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iona.sms.ed.ac.uk\home\s1407956\MSc\Dissertation\Data Generation\Final\"/>
    </mc:Choice>
  </mc:AlternateContent>
  <bookViews>
    <workbookView xWindow="0" yWindow="0" windowWidth="21570" windowHeight="8055" tabRatio="995" firstSheet="15" activeTab="22"/>
  </bookViews>
  <sheets>
    <sheet name="Methodology" sheetId="51" r:id="rId1"/>
    <sheet name="Projection Summary" sheetId="52" r:id="rId2"/>
    <sheet name="Graphs" sheetId="57" r:id="rId3"/>
    <sheet name="BALERNO" sheetId="32" r:id="rId4"/>
    <sheet name="BOROUGH" sheetId="31" r:id="rId5"/>
    <sheet name="BROUGHT" sheetId="33" r:id="rId6"/>
    <sheet name="CASTLEB" sheetId="34" r:id="rId7"/>
    <sheet name="CMOUNT" sheetId="35" r:id="rId8"/>
    <sheet name="CROYSTON" sheetId="36" r:id="rId9"/>
    <sheet name="CURRIE" sheetId="37" r:id="rId10"/>
    <sheet name="DRUMM" sheetId="28" r:id="rId11"/>
    <sheet name="FIRRH" sheetId="11" r:id="rId12"/>
    <sheet name="FORRES" sheetId="30" r:id="rId13"/>
    <sheet name="GRACEM" sheetId="38" r:id="rId14"/>
    <sheet name="HOLY_R" sheetId="39" r:id="rId15"/>
    <sheet name="JAMESG" sheetId="29" r:id="rId16"/>
    <sheet name="LEITH_A" sheetId="41" r:id="rId17"/>
    <sheet name="LIBERT" sheetId="42" r:id="rId18"/>
    <sheet name="PORTOB" sheetId="43" r:id="rId19"/>
    <sheet name="QUEENSF" sheetId="44" r:id="rId20"/>
    <sheet name="ST_AUGU" sheetId="45" r:id="rId21"/>
    <sheet name="ST_THOM" sheetId="46" r:id="rId22"/>
    <sheet name="THE_ROYAL" sheetId="47" r:id="rId23"/>
    <sheet name="TRINITY" sheetId="48" r:id="rId24"/>
    <sheet name="TYNECA" sheetId="49" r:id="rId25"/>
    <sheet name="WHEC" sheetId="50" r:id="rId26"/>
    <sheet name="Pri Housing Generation" sheetId="56" r:id="rId27"/>
    <sheet name="Sec Housing Generation" sheetId="54" r:id="rId28"/>
    <sheet name="PS - Cumulative pupils per year" sheetId="55" r:id="rId29"/>
    <sheet name="P1 Catchment Projections" sheetId="4" r:id="rId30"/>
    <sheet name="Primary Catchment Analysis" sheetId="58" r:id="rId31"/>
    <sheet name="S1 Catchment Analysis" sheetId="60" r:id="rId32"/>
    <sheet name="S1 Catchment Retained" sheetId="61" r:id="rId33"/>
    <sheet name="Secondary Rolls" sheetId="59" r:id="rId34"/>
    <sheet name="DevHSND 1" sheetId="27" r:id="rId35"/>
    <sheet name="DevHSRC 2" sheetId="40" r:id="rId36"/>
    <sheet name="Historic Secondary Roll Totals" sheetId="53" r:id="rId37"/>
  </sheets>
  <externalReferences>
    <externalReference r:id="rId38"/>
    <externalReference r:id="rId39"/>
  </externalReferences>
  <definedNames>
    <definedName name="_xlnm._FilterDatabase" localSheetId="29" hidden="1">'P1 Catchment Projections'!$A$1:$M$103</definedName>
    <definedName name="All_Schools" localSheetId="2">#REF!</definedName>
    <definedName name="All_Schools" localSheetId="26">#REF!</definedName>
    <definedName name="All_Schools">#REF!</definedName>
    <definedName name="Balgreen_Primary_School" localSheetId="2">#REF!</definedName>
    <definedName name="Balgreen_Primary_School" localSheetId="26">#REF!</definedName>
    <definedName name="Balgreen_Primary_School">#REF!</definedName>
    <definedName name="_xlnm.Print_Area" localSheetId="3">BALERNO!$A$1:$X$76</definedName>
    <definedName name="_xlnm.Print_Area" localSheetId="4">BOROUGH!$A$1:$X$67</definedName>
    <definedName name="_xlnm.Print_Area" localSheetId="5">BROUGHT!$A$1:$X$76</definedName>
    <definedName name="_xlnm.Print_Area" localSheetId="6">CASTLEB!$A$1:$X$75</definedName>
    <definedName name="_xlnm.Print_Area" localSheetId="7">CMOUNT!$A$1:$X$75</definedName>
    <definedName name="_xlnm.Print_Area" localSheetId="8">CROYSTON!$A$1:$X$75</definedName>
    <definedName name="_xlnm.Print_Area" localSheetId="9">CURRIE!$A$1:$X$75</definedName>
    <definedName name="_xlnm.Print_Area" localSheetId="10">DRUMM!$A$1:$X$75</definedName>
    <definedName name="_xlnm.Print_Area" localSheetId="11">FIRRH!$A$1:$X$75</definedName>
    <definedName name="_xlnm.Print_Area" localSheetId="12">FORRES!$A$1:$X$75</definedName>
    <definedName name="_xlnm.Print_Area" localSheetId="13">GRACEM!$A$1:$X$75</definedName>
    <definedName name="_xlnm.Print_Area" localSheetId="14">HOLY_R!$A$1:$X$76</definedName>
    <definedName name="_xlnm.Print_Area" localSheetId="15">JAMESG!$A$1:$Z$76</definedName>
    <definedName name="_xlnm.Print_Area" localSheetId="16">LEITH_A!$A$1:$X$75</definedName>
    <definedName name="_xlnm.Print_Area" localSheetId="17">LIBERT!$A$1:$X$75</definedName>
    <definedName name="_xlnm.Print_Area" localSheetId="0">Methodology!$A$1:$O$48</definedName>
    <definedName name="_xlnm.Print_Area" localSheetId="18">PORTOB!$A$1:$X$75</definedName>
    <definedName name="_xlnm.Print_Area" localSheetId="1">'Projection Summary'!$A$1:$R$52</definedName>
    <definedName name="_xlnm.Print_Area" localSheetId="19">QUEENSF!$A$1:$X$67</definedName>
    <definedName name="_xlnm.Print_Area" localSheetId="20">ST_AUGU!$A$1:$X$75</definedName>
    <definedName name="_xlnm.Print_Area" localSheetId="21">ST_THOM!$A$1:$X$75</definedName>
    <definedName name="_xlnm.Print_Area" localSheetId="22">THE_ROYAL!$A$1:$X$75</definedName>
    <definedName name="_xlnm.Print_Area" localSheetId="23">TRINITY!$A$1:$X$75</definedName>
    <definedName name="_xlnm.Print_Area" localSheetId="24">TYNECA!$A$1:$X$75</definedName>
    <definedName name="_xlnm.Print_Area" localSheetId="25">WHEC!$A$1:$X$75</definedName>
    <definedName name="_xlnm.Print_Titles" localSheetId="29">'P1 Catchment Projections'!$A$3:$IL$4</definedName>
  </definedNames>
  <calcPr calcId="162913"/>
</workbook>
</file>

<file path=xl/calcChain.xml><?xml version="1.0" encoding="utf-8"?>
<calcChain xmlns="http://schemas.openxmlformats.org/spreadsheetml/2006/main">
  <c r="P92" i="4" l="1"/>
  <c r="O92" i="4"/>
  <c r="N92" i="4"/>
  <c r="M92" i="4"/>
  <c r="L92" i="4"/>
  <c r="K92" i="4"/>
  <c r="J92" i="4"/>
  <c r="I92" i="4"/>
  <c r="H92" i="4"/>
  <c r="G92" i="4"/>
  <c r="F92" i="4"/>
  <c r="E92" i="4"/>
  <c r="D92" i="4"/>
  <c r="C92" i="4"/>
  <c r="P91" i="4"/>
  <c r="O91" i="4"/>
  <c r="N91" i="4"/>
  <c r="M91" i="4"/>
  <c r="L91" i="4"/>
  <c r="K91" i="4"/>
  <c r="J91" i="4"/>
  <c r="I91" i="4"/>
  <c r="H91" i="4"/>
  <c r="G91" i="4"/>
  <c r="F91" i="4"/>
  <c r="E91" i="4"/>
  <c r="D91" i="4"/>
  <c r="C91" i="4"/>
  <c r="P90" i="4"/>
  <c r="O90" i="4"/>
  <c r="N90" i="4"/>
  <c r="M90" i="4"/>
  <c r="L90" i="4"/>
  <c r="K90" i="4"/>
  <c r="J90" i="4"/>
  <c r="I90" i="4"/>
  <c r="H90" i="4"/>
  <c r="G90" i="4"/>
  <c r="F90" i="4"/>
  <c r="E90" i="4"/>
  <c r="D90" i="4"/>
  <c r="C90" i="4"/>
  <c r="P89" i="4"/>
  <c r="O89" i="4"/>
  <c r="N89" i="4"/>
  <c r="M89" i="4"/>
  <c r="L89" i="4"/>
  <c r="K89" i="4"/>
  <c r="J89" i="4"/>
  <c r="I89" i="4"/>
  <c r="H89" i="4"/>
  <c r="G89" i="4"/>
  <c r="F89" i="4"/>
  <c r="E89" i="4"/>
  <c r="D89" i="4"/>
  <c r="C89" i="4"/>
  <c r="P88" i="4"/>
  <c r="O88" i="4"/>
  <c r="N88" i="4"/>
  <c r="M88" i="4"/>
  <c r="L88" i="4"/>
  <c r="K88" i="4"/>
  <c r="J88" i="4"/>
  <c r="I88" i="4"/>
  <c r="H88" i="4"/>
  <c r="G88" i="4"/>
  <c r="F88" i="4"/>
  <c r="E88" i="4"/>
  <c r="D88" i="4"/>
  <c r="C88" i="4"/>
  <c r="P87" i="4"/>
  <c r="O87" i="4"/>
  <c r="N87" i="4"/>
  <c r="M87" i="4"/>
  <c r="L87" i="4"/>
  <c r="K87" i="4"/>
  <c r="J87" i="4"/>
  <c r="I87" i="4"/>
  <c r="H87" i="4"/>
  <c r="G87" i="4"/>
  <c r="F87" i="4"/>
  <c r="E87" i="4"/>
  <c r="D87" i="4"/>
  <c r="C87" i="4"/>
  <c r="P86" i="4"/>
  <c r="O86" i="4"/>
  <c r="N86" i="4"/>
  <c r="M86" i="4"/>
  <c r="L86" i="4"/>
  <c r="K86" i="4"/>
  <c r="J86" i="4"/>
  <c r="I86" i="4"/>
  <c r="H86" i="4"/>
  <c r="G86" i="4"/>
  <c r="F86" i="4"/>
  <c r="E86" i="4"/>
  <c r="D86" i="4"/>
  <c r="C86" i="4"/>
  <c r="P85" i="4"/>
  <c r="O85" i="4"/>
  <c r="N85" i="4"/>
  <c r="M85" i="4"/>
  <c r="L85" i="4"/>
  <c r="K85" i="4"/>
  <c r="J85" i="4"/>
  <c r="I85" i="4"/>
  <c r="H85" i="4"/>
  <c r="G85" i="4"/>
  <c r="F85" i="4"/>
  <c r="E85" i="4"/>
  <c r="D85" i="4"/>
  <c r="C85" i="4"/>
  <c r="P84" i="4"/>
  <c r="O84" i="4"/>
  <c r="N84" i="4"/>
  <c r="M84" i="4"/>
  <c r="L84" i="4"/>
  <c r="K84" i="4"/>
  <c r="J84" i="4"/>
  <c r="I84" i="4"/>
  <c r="H84" i="4"/>
  <c r="G84" i="4"/>
  <c r="F84" i="4"/>
  <c r="E84" i="4"/>
  <c r="D84" i="4"/>
  <c r="C84" i="4"/>
  <c r="P83" i="4"/>
  <c r="O83" i="4"/>
  <c r="N83" i="4"/>
  <c r="M83" i="4"/>
  <c r="L83" i="4"/>
  <c r="K83" i="4"/>
  <c r="J83" i="4"/>
  <c r="I83" i="4"/>
  <c r="H83" i="4"/>
  <c r="G83" i="4"/>
  <c r="F83" i="4"/>
  <c r="E83" i="4"/>
  <c r="D83" i="4"/>
  <c r="C83" i="4"/>
  <c r="P82" i="4"/>
  <c r="O82" i="4"/>
  <c r="N82" i="4"/>
  <c r="M82" i="4"/>
  <c r="L82" i="4"/>
  <c r="K82" i="4"/>
  <c r="J82" i="4"/>
  <c r="I82" i="4"/>
  <c r="H82" i="4"/>
  <c r="G82" i="4"/>
  <c r="F82" i="4"/>
  <c r="E82" i="4"/>
  <c r="D82" i="4"/>
  <c r="C82" i="4"/>
  <c r="P81" i="4"/>
  <c r="O81" i="4"/>
  <c r="N81" i="4"/>
  <c r="M81" i="4"/>
  <c r="L81" i="4"/>
  <c r="K81" i="4"/>
  <c r="J81" i="4"/>
  <c r="I81" i="4"/>
  <c r="H81" i="4"/>
  <c r="G81" i="4"/>
  <c r="F81" i="4"/>
  <c r="E81" i="4"/>
  <c r="D81" i="4"/>
  <c r="C81" i="4"/>
  <c r="P80" i="4"/>
  <c r="O80" i="4"/>
  <c r="N80" i="4"/>
  <c r="M80" i="4"/>
  <c r="L80" i="4"/>
  <c r="K80" i="4"/>
  <c r="J80" i="4"/>
  <c r="I80" i="4"/>
  <c r="H80" i="4"/>
  <c r="G80" i="4"/>
  <c r="F80" i="4"/>
  <c r="E80" i="4"/>
  <c r="D80" i="4"/>
  <c r="C80" i="4"/>
  <c r="P79" i="4"/>
  <c r="O79" i="4"/>
  <c r="N79" i="4"/>
  <c r="M79" i="4"/>
  <c r="L79" i="4"/>
  <c r="K79" i="4"/>
  <c r="J79" i="4"/>
  <c r="I79" i="4"/>
  <c r="H79" i="4"/>
  <c r="G79" i="4"/>
  <c r="F79" i="4"/>
  <c r="E79" i="4"/>
  <c r="D79" i="4"/>
  <c r="C79" i="4"/>
  <c r="P78" i="4"/>
  <c r="O78" i="4"/>
  <c r="N78" i="4"/>
  <c r="M78" i="4"/>
  <c r="L78" i="4"/>
  <c r="K78" i="4"/>
  <c r="J78" i="4"/>
  <c r="I78" i="4"/>
  <c r="H78" i="4"/>
  <c r="G78" i="4"/>
  <c r="F78" i="4"/>
  <c r="E78" i="4"/>
  <c r="D78" i="4"/>
  <c r="C78" i="4"/>
  <c r="P77" i="4"/>
  <c r="O77" i="4"/>
  <c r="N77" i="4"/>
  <c r="M77" i="4"/>
  <c r="L77" i="4"/>
  <c r="K77" i="4"/>
  <c r="J77" i="4"/>
  <c r="I77" i="4"/>
  <c r="H77" i="4"/>
  <c r="G77" i="4"/>
  <c r="F77" i="4"/>
  <c r="E77" i="4"/>
  <c r="D77" i="4"/>
  <c r="C77" i="4"/>
  <c r="P76" i="4"/>
  <c r="O76" i="4"/>
  <c r="N76" i="4"/>
  <c r="M76" i="4"/>
  <c r="L76" i="4"/>
  <c r="K76" i="4"/>
  <c r="J76" i="4"/>
  <c r="I76" i="4"/>
  <c r="H76" i="4"/>
  <c r="G76" i="4"/>
  <c r="F76" i="4"/>
  <c r="E76" i="4"/>
  <c r="D76" i="4"/>
  <c r="C76" i="4"/>
  <c r="P75" i="4"/>
  <c r="O75" i="4"/>
  <c r="N75" i="4"/>
  <c r="M75" i="4"/>
  <c r="L75" i="4"/>
  <c r="K75" i="4"/>
  <c r="J75" i="4"/>
  <c r="I75" i="4"/>
  <c r="H75" i="4"/>
  <c r="G75" i="4"/>
  <c r="F75" i="4"/>
  <c r="E75" i="4"/>
  <c r="D75" i="4"/>
  <c r="C75" i="4"/>
  <c r="P74" i="4"/>
  <c r="O74" i="4"/>
  <c r="N74" i="4"/>
  <c r="M74" i="4"/>
  <c r="L74" i="4"/>
  <c r="K74" i="4"/>
  <c r="J74" i="4"/>
  <c r="I74" i="4"/>
  <c r="H74" i="4"/>
  <c r="G74" i="4"/>
  <c r="F74" i="4"/>
  <c r="E74" i="4"/>
  <c r="D74" i="4"/>
  <c r="C74" i="4"/>
  <c r="P73" i="4"/>
  <c r="O73" i="4"/>
  <c r="N73" i="4"/>
  <c r="M73" i="4"/>
  <c r="L73" i="4"/>
  <c r="K73" i="4"/>
  <c r="J73" i="4"/>
  <c r="I73" i="4"/>
  <c r="H73" i="4"/>
  <c r="G73" i="4"/>
  <c r="F73" i="4"/>
  <c r="E73" i="4"/>
  <c r="D73" i="4"/>
  <c r="C73" i="4"/>
  <c r="P72" i="4"/>
  <c r="O72" i="4"/>
  <c r="N72" i="4"/>
  <c r="M72" i="4"/>
  <c r="L72" i="4"/>
  <c r="K72" i="4"/>
  <c r="J72" i="4"/>
  <c r="I72" i="4"/>
  <c r="H72" i="4"/>
  <c r="G72" i="4"/>
  <c r="F72" i="4"/>
  <c r="E72" i="4"/>
  <c r="D72" i="4"/>
  <c r="C72" i="4"/>
  <c r="P71" i="4"/>
  <c r="O71" i="4"/>
  <c r="N71" i="4"/>
  <c r="M71" i="4"/>
  <c r="L71" i="4"/>
  <c r="K71" i="4"/>
  <c r="J71" i="4"/>
  <c r="I71" i="4"/>
  <c r="H71" i="4"/>
  <c r="G71" i="4"/>
  <c r="F71" i="4"/>
  <c r="E71" i="4"/>
  <c r="D71" i="4"/>
  <c r="C71" i="4"/>
  <c r="P70" i="4"/>
  <c r="O70" i="4"/>
  <c r="N70" i="4"/>
  <c r="M70" i="4"/>
  <c r="L70" i="4"/>
  <c r="K70" i="4"/>
  <c r="J70" i="4"/>
  <c r="I70" i="4"/>
  <c r="H70" i="4"/>
  <c r="G70" i="4"/>
  <c r="F70" i="4"/>
  <c r="E70" i="4"/>
  <c r="D70" i="4"/>
  <c r="C70" i="4"/>
  <c r="P69" i="4"/>
  <c r="O69" i="4"/>
  <c r="N69" i="4"/>
  <c r="M69" i="4"/>
  <c r="L69" i="4"/>
  <c r="K69" i="4"/>
  <c r="J69" i="4"/>
  <c r="I69" i="4"/>
  <c r="H69" i="4"/>
  <c r="G69" i="4"/>
  <c r="F69" i="4"/>
  <c r="E69" i="4"/>
  <c r="D69" i="4"/>
  <c r="C69" i="4"/>
  <c r="P68" i="4"/>
  <c r="O68" i="4"/>
  <c r="N68" i="4"/>
  <c r="M68" i="4"/>
  <c r="L68" i="4"/>
  <c r="K68" i="4"/>
  <c r="J68" i="4"/>
  <c r="I68" i="4"/>
  <c r="H68" i="4"/>
  <c r="G68" i="4"/>
  <c r="F68" i="4"/>
  <c r="E68" i="4"/>
  <c r="D68" i="4"/>
  <c r="C68" i="4"/>
  <c r="P67" i="4"/>
  <c r="O67" i="4"/>
  <c r="N67" i="4"/>
  <c r="M67" i="4"/>
  <c r="L67" i="4"/>
  <c r="K67" i="4"/>
  <c r="J67" i="4"/>
  <c r="I67" i="4"/>
  <c r="H67" i="4"/>
  <c r="G67" i="4"/>
  <c r="F67" i="4"/>
  <c r="E67" i="4"/>
  <c r="D67" i="4"/>
  <c r="C67" i="4"/>
  <c r="P66" i="4"/>
  <c r="O66" i="4"/>
  <c r="N66" i="4"/>
  <c r="M66" i="4"/>
  <c r="L66" i="4"/>
  <c r="K66" i="4"/>
  <c r="J66" i="4"/>
  <c r="I66" i="4"/>
  <c r="H66" i="4"/>
  <c r="G66" i="4"/>
  <c r="F66" i="4"/>
  <c r="E66" i="4"/>
  <c r="D66" i="4"/>
  <c r="C66" i="4"/>
  <c r="P65" i="4"/>
  <c r="O65" i="4"/>
  <c r="N65" i="4"/>
  <c r="M65" i="4"/>
  <c r="L65" i="4"/>
  <c r="K65" i="4"/>
  <c r="J65" i="4"/>
  <c r="I65" i="4"/>
  <c r="H65" i="4"/>
  <c r="G65" i="4"/>
  <c r="F65" i="4"/>
  <c r="E65" i="4"/>
  <c r="D65" i="4"/>
  <c r="C65" i="4"/>
  <c r="P64" i="4"/>
  <c r="O64" i="4"/>
  <c r="N64" i="4"/>
  <c r="M64" i="4"/>
  <c r="L64" i="4"/>
  <c r="K64" i="4"/>
  <c r="J64" i="4"/>
  <c r="I64" i="4"/>
  <c r="H64" i="4"/>
  <c r="G64" i="4"/>
  <c r="F64" i="4"/>
  <c r="E64" i="4"/>
  <c r="D64" i="4"/>
  <c r="C64" i="4"/>
  <c r="P63" i="4"/>
  <c r="O63" i="4"/>
  <c r="N63" i="4"/>
  <c r="M63" i="4"/>
  <c r="L63" i="4"/>
  <c r="K63" i="4"/>
  <c r="J63" i="4"/>
  <c r="I63" i="4"/>
  <c r="H63" i="4"/>
  <c r="G63" i="4"/>
  <c r="F63" i="4"/>
  <c r="E63" i="4"/>
  <c r="D63" i="4"/>
  <c r="C63" i="4"/>
  <c r="P62" i="4"/>
  <c r="O62" i="4"/>
  <c r="N62" i="4"/>
  <c r="M62" i="4"/>
  <c r="L62" i="4"/>
  <c r="K62" i="4"/>
  <c r="J62" i="4"/>
  <c r="I62" i="4"/>
  <c r="H62" i="4"/>
  <c r="G62" i="4"/>
  <c r="F62" i="4"/>
  <c r="E62" i="4"/>
  <c r="D62" i="4"/>
  <c r="C62" i="4"/>
  <c r="P61" i="4"/>
  <c r="O61" i="4"/>
  <c r="N61" i="4"/>
  <c r="M61" i="4"/>
  <c r="L61" i="4"/>
  <c r="K61" i="4"/>
  <c r="J61" i="4"/>
  <c r="I61" i="4"/>
  <c r="H61" i="4"/>
  <c r="G61" i="4"/>
  <c r="F61" i="4"/>
  <c r="E61" i="4"/>
  <c r="D61" i="4"/>
  <c r="C61" i="4"/>
  <c r="P60" i="4"/>
  <c r="O60" i="4"/>
  <c r="N60" i="4"/>
  <c r="M60" i="4"/>
  <c r="L60" i="4"/>
  <c r="K60" i="4"/>
  <c r="J60" i="4"/>
  <c r="I60" i="4"/>
  <c r="H60" i="4"/>
  <c r="G60" i="4"/>
  <c r="F60" i="4"/>
  <c r="E60" i="4"/>
  <c r="D60" i="4"/>
  <c r="C60" i="4"/>
  <c r="P59" i="4"/>
  <c r="O59" i="4"/>
  <c r="N59" i="4"/>
  <c r="M59" i="4"/>
  <c r="L59" i="4"/>
  <c r="K59" i="4"/>
  <c r="J59" i="4"/>
  <c r="I59" i="4"/>
  <c r="H59" i="4"/>
  <c r="G59" i="4"/>
  <c r="F59" i="4"/>
  <c r="E59" i="4"/>
  <c r="D59" i="4"/>
  <c r="C59" i="4"/>
  <c r="P58" i="4"/>
  <c r="O58" i="4"/>
  <c r="N58" i="4"/>
  <c r="M58" i="4"/>
  <c r="L58" i="4"/>
  <c r="K58" i="4"/>
  <c r="J58" i="4"/>
  <c r="I58" i="4"/>
  <c r="H58" i="4"/>
  <c r="G58" i="4"/>
  <c r="F58" i="4"/>
  <c r="E58" i="4"/>
  <c r="D58" i="4"/>
  <c r="C58" i="4"/>
  <c r="P57" i="4"/>
  <c r="O57" i="4"/>
  <c r="N57" i="4"/>
  <c r="M57" i="4"/>
  <c r="L57" i="4"/>
  <c r="K57" i="4"/>
  <c r="J57" i="4"/>
  <c r="I57" i="4"/>
  <c r="H57" i="4"/>
  <c r="G57" i="4"/>
  <c r="F57" i="4"/>
  <c r="E57" i="4"/>
  <c r="D57" i="4"/>
  <c r="C57" i="4"/>
  <c r="P56" i="4"/>
  <c r="O56" i="4"/>
  <c r="N56" i="4"/>
  <c r="M56" i="4"/>
  <c r="L56" i="4"/>
  <c r="K56" i="4"/>
  <c r="J56" i="4"/>
  <c r="I56" i="4"/>
  <c r="H56" i="4"/>
  <c r="G56" i="4"/>
  <c r="F56" i="4"/>
  <c r="E56" i="4"/>
  <c r="D56" i="4"/>
  <c r="C56" i="4"/>
  <c r="P55" i="4"/>
  <c r="O55" i="4"/>
  <c r="N55" i="4"/>
  <c r="M55" i="4"/>
  <c r="L55" i="4"/>
  <c r="K55" i="4"/>
  <c r="J55" i="4"/>
  <c r="I55" i="4"/>
  <c r="H55" i="4"/>
  <c r="G55" i="4"/>
  <c r="F55" i="4"/>
  <c r="E55" i="4"/>
  <c r="D55" i="4"/>
  <c r="C55" i="4"/>
  <c r="P54" i="4"/>
  <c r="O54" i="4"/>
  <c r="N54" i="4"/>
  <c r="M54" i="4"/>
  <c r="L54" i="4"/>
  <c r="K54" i="4"/>
  <c r="J54" i="4"/>
  <c r="I54" i="4"/>
  <c r="H54" i="4"/>
  <c r="G54" i="4"/>
  <c r="F54" i="4"/>
  <c r="E54" i="4"/>
  <c r="D54" i="4"/>
  <c r="C54" i="4"/>
  <c r="P53" i="4"/>
  <c r="O53" i="4"/>
  <c r="N53" i="4"/>
  <c r="M53" i="4"/>
  <c r="L53" i="4"/>
  <c r="K53" i="4"/>
  <c r="J53" i="4"/>
  <c r="I53" i="4"/>
  <c r="H53" i="4"/>
  <c r="G53" i="4"/>
  <c r="F53" i="4"/>
  <c r="E53" i="4"/>
  <c r="D53" i="4"/>
  <c r="C53" i="4"/>
  <c r="P52" i="4"/>
  <c r="O52" i="4"/>
  <c r="N52" i="4"/>
  <c r="M52" i="4"/>
  <c r="L52" i="4"/>
  <c r="K52" i="4"/>
  <c r="J52" i="4"/>
  <c r="I52" i="4"/>
  <c r="H52" i="4"/>
  <c r="G52" i="4"/>
  <c r="F52" i="4"/>
  <c r="E52" i="4"/>
  <c r="D52" i="4"/>
  <c r="C52" i="4"/>
  <c r="P51" i="4"/>
  <c r="O51" i="4"/>
  <c r="N51" i="4"/>
  <c r="M51" i="4"/>
  <c r="L51" i="4"/>
  <c r="K51" i="4"/>
  <c r="J51" i="4"/>
  <c r="I51" i="4"/>
  <c r="H51" i="4"/>
  <c r="G51" i="4"/>
  <c r="F51" i="4"/>
  <c r="E51" i="4"/>
  <c r="D51" i="4"/>
  <c r="C51" i="4"/>
  <c r="P50" i="4"/>
  <c r="O50" i="4"/>
  <c r="N50" i="4"/>
  <c r="M50" i="4"/>
  <c r="L50" i="4"/>
  <c r="K50" i="4"/>
  <c r="J50" i="4"/>
  <c r="I50" i="4"/>
  <c r="H50" i="4"/>
  <c r="G50" i="4"/>
  <c r="F50" i="4"/>
  <c r="E50" i="4"/>
  <c r="D50" i="4"/>
  <c r="C50" i="4"/>
  <c r="P49" i="4"/>
  <c r="O49" i="4"/>
  <c r="N49" i="4"/>
  <c r="M49" i="4"/>
  <c r="L49" i="4"/>
  <c r="K49" i="4"/>
  <c r="J49" i="4"/>
  <c r="I49" i="4"/>
  <c r="H49" i="4"/>
  <c r="G49" i="4"/>
  <c r="F49" i="4"/>
  <c r="E49" i="4"/>
  <c r="D49" i="4"/>
  <c r="C49" i="4"/>
  <c r="P48" i="4"/>
  <c r="O48" i="4"/>
  <c r="N48" i="4"/>
  <c r="M48" i="4"/>
  <c r="L48" i="4"/>
  <c r="K48" i="4"/>
  <c r="J48" i="4"/>
  <c r="I48" i="4"/>
  <c r="H48" i="4"/>
  <c r="G48" i="4"/>
  <c r="F48" i="4"/>
  <c r="E48" i="4"/>
  <c r="D48" i="4"/>
  <c r="C48" i="4"/>
  <c r="P46" i="4"/>
  <c r="O46" i="4"/>
  <c r="N46" i="4"/>
  <c r="M46" i="4"/>
  <c r="L46" i="4"/>
  <c r="K46" i="4"/>
  <c r="J46" i="4"/>
  <c r="I46" i="4"/>
  <c r="H46" i="4"/>
  <c r="G46" i="4"/>
  <c r="F46" i="4"/>
  <c r="E46" i="4"/>
  <c r="D46" i="4"/>
  <c r="C46" i="4"/>
  <c r="P45" i="4"/>
  <c r="O45" i="4"/>
  <c r="N45" i="4"/>
  <c r="M45" i="4"/>
  <c r="L45" i="4"/>
  <c r="K45" i="4"/>
  <c r="J45" i="4"/>
  <c r="I45" i="4"/>
  <c r="H45" i="4"/>
  <c r="G45" i="4"/>
  <c r="F45" i="4"/>
  <c r="E45" i="4"/>
  <c r="D45" i="4"/>
  <c r="C45" i="4"/>
  <c r="P44" i="4"/>
  <c r="O44" i="4"/>
  <c r="N44" i="4"/>
  <c r="M44" i="4"/>
  <c r="L44" i="4"/>
  <c r="K44" i="4"/>
  <c r="J44" i="4"/>
  <c r="I44" i="4"/>
  <c r="H44" i="4"/>
  <c r="G44" i="4"/>
  <c r="F44" i="4"/>
  <c r="E44" i="4"/>
  <c r="D44" i="4"/>
  <c r="C44" i="4"/>
  <c r="P43" i="4"/>
  <c r="O43" i="4"/>
  <c r="N43" i="4"/>
  <c r="M43" i="4"/>
  <c r="L43" i="4"/>
  <c r="K43" i="4"/>
  <c r="J43" i="4"/>
  <c r="I43" i="4"/>
  <c r="H43" i="4"/>
  <c r="G43" i="4"/>
  <c r="F43" i="4"/>
  <c r="E43" i="4"/>
  <c r="D43" i="4"/>
  <c r="C43" i="4"/>
  <c r="P42" i="4"/>
  <c r="O42" i="4"/>
  <c r="N42" i="4"/>
  <c r="M42" i="4"/>
  <c r="L42" i="4"/>
  <c r="K42" i="4"/>
  <c r="J42" i="4"/>
  <c r="I42" i="4"/>
  <c r="H42" i="4"/>
  <c r="G42" i="4"/>
  <c r="F42" i="4"/>
  <c r="E42" i="4"/>
  <c r="D42" i="4"/>
  <c r="C42" i="4"/>
  <c r="P41" i="4"/>
  <c r="O41" i="4"/>
  <c r="N41" i="4"/>
  <c r="M41" i="4"/>
  <c r="L41" i="4"/>
  <c r="K41" i="4"/>
  <c r="J41" i="4"/>
  <c r="I41" i="4"/>
  <c r="H41" i="4"/>
  <c r="G41" i="4"/>
  <c r="F41" i="4"/>
  <c r="E41" i="4"/>
  <c r="D41" i="4"/>
  <c r="C41" i="4"/>
  <c r="P40" i="4"/>
  <c r="O40" i="4"/>
  <c r="N40" i="4"/>
  <c r="M40" i="4"/>
  <c r="L40" i="4"/>
  <c r="K40" i="4"/>
  <c r="J40" i="4"/>
  <c r="I40" i="4"/>
  <c r="H40" i="4"/>
  <c r="G40" i="4"/>
  <c r="F40" i="4"/>
  <c r="E40" i="4"/>
  <c r="D40" i="4"/>
  <c r="C40" i="4"/>
  <c r="P39" i="4"/>
  <c r="O39" i="4"/>
  <c r="N39" i="4"/>
  <c r="M39" i="4"/>
  <c r="L39" i="4"/>
  <c r="K39" i="4"/>
  <c r="J39" i="4"/>
  <c r="I39" i="4"/>
  <c r="H39" i="4"/>
  <c r="G39" i="4"/>
  <c r="F39" i="4"/>
  <c r="E39" i="4"/>
  <c r="D39" i="4"/>
  <c r="C39" i="4"/>
  <c r="P38" i="4"/>
  <c r="O38" i="4"/>
  <c r="N38" i="4"/>
  <c r="M38" i="4"/>
  <c r="L38" i="4"/>
  <c r="K38" i="4"/>
  <c r="J38" i="4"/>
  <c r="I38" i="4"/>
  <c r="H38" i="4"/>
  <c r="G38" i="4"/>
  <c r="F38" i="4"/>
  <c r="E38" i="4"/>
  <c r="D38" i="4"/>
  <c r="C38" i="4"/>
  <c r="P37" i="4"/>
  <c r="O37" i="4"/>
  <c r="N37" i="4"/>
  <c r="M37" i="4"/>
  <c r="L37" i="4"/>
  <c r="K37" i="4"/>
  <c r="J37" i="4"/>
  <c r="I37" i="4"/>
  <c r="H37" i="4"/>
  <c r="G37" i="4"/>
  <c r="F37" i="4"/>
  <c r="E37" i="4"/>
  <c r="D37" i="4"/>
  <c r="C37" i="4"/>
  <c r="P36" i="4"/>
  <c r="O36" i="4"/>
  <c r="N36" i="4"/>
  <c r="M36" i="4"/>
  <c r="L36" i="4"/>
  <c r="K36" i="4"/>
  <c r="J36" i="4"/>
  <c r="I36" i="4"/>
  <c r="H36" i="4"/>
  <c r="G36" i="4"/>
  <c r="F36" i="4"/>
  <c r="E36" i="4"/>
  <c r="D36" i="4"/>
  <c r="C36" i="4"/>
  <c r="P35" i="4"/>
  <c r="O35" i="4"/>
  <c r="N35" i="4"/>
  <c r="M35" i="4"/>
  <c r="L35" i="4"/>
  <c r="K35" i="4"/>
  <c r="J35" i="4"/>
  <c r="I35" i="4"/>
  <c r="H35" i="4"/>
  <c r="G35" i="4"/>
  <c r="F35" i="4"/>
  <c r="E35" i="4"/>
  <c r="D35" i="4"/>
  <c r="C35" i="4"/>
  <c r="P34" i="4"/>
  <c r="O34" i="4"/>
  <c r="N34" i="4"/>
  <c r="M34" i="4"/>
  <c r="L34" i="4"/>
  <c r="K34" i="4"/>
  <c r="J34" i="4"/>
  <c r="I34" i="4"/>
  <c r="H34" i="4"/>
  <c r="G34" i="4"/>
  <c r="F34" i="4"/>
  <c r="E34" i="4"/>
  <c r="D34" i="4"/>
  <c r="C34" i="4"/>
  <c r="P33" i="4"/>
  <c r="O33" i="4"/>
  <c r="N33" i="4"/>
  <c r="M33" i="4"/>
  <c r="L33" i="4"/>
  <c r="K33" i="4"/>
  <c r="J33" i="4"/>
  <c r="I33" i="4"/>
  <c r="H33" i="4"/>
  <c r="G33" i="4"/>
  <c r="F33" i="4"/>
  <c r="E33" i="4"/>
  <c r="D33" i="4"/>
  <c r="C33" i="4"/>
  <c r="P32" i="4"/>
  <c r="O32" i="4"/>
  <c r="N32" i="4"/>
  <c r="M32" i="4"/>
  <c r="L32" i="4"/>
  <c r="K32" i="4"/>
  <c r="J32" i="4"/>
  <c r="I32" i="4"/>
  <c r="H32" i="4"/>
  <c r="G32" i="4"/>
  <c r="F32" i="4"/>
  <c r="E32" i="4"/>
  <c r="D32" i="4"/>
  <c r="C32" i="4"/>
  <c r="P31" i="4"/>
  <c r="O31" i="4"/>
  <c r="N31" i="4"/>
  <c r="M31" i="4"/>
  <c r="L31" i="4"/>
  <c r="K31" i="4"/>
  <c r="J31" i="4"/>
  <c r="I31" i="4"/>
  <c r="H31" i="4"/>
  <c r="G31" i="4"/>
  <c r="F31" i="4"/>
  <c r="E31" i="4"/>
  <c r="D31" i="4"/>
  <c r="C31" i="4"/>
  <c r="P30" i="4"/>
  <c r="O30" i="4"/>
  <c r="N30" i="4"/>
  <c r="M30" i="4"/>
  <c r="L30" i="4"/>
  <c r="K30" i="4"/>
  <c r="J30" i="4"/>
  <c r="I30" i="4"/>
  <c r="H30" i="4"/>
  <c r="G30" i="4"/>
  <c r="F30" i="4"/>
  <c r="E30" i="4"/>
  <c r="D30" i="4"/>
  <c r="C30" i="4"/>
  <c r="P29" i="4"/>
  <c r="O29" i="4"/>
  <c r="N29" i="4"/>
  <c r="M29" i="4"/>
  <c r="L29" i="4"/>
  <c r="K29" i="4"/>
  <c r="J29" i="4"/>
  <c r="I29" i="4"/>
  <c r="H29" i="4"/>
  <c r="G29" i="4"/>
  <c r="F29" i="4"/>
  <c r="E29" i="4"/>
  <c r="D29" i="4"/>
  <c r="C29" i="4"/>
  <c r="P28" i="4"/>
  <c r="O28" i="4"/>
  <c r="N28" i="4"/>
  <c r="M28" i="4"/>
  <c r="L28" i="4"/>
  <c r="K28" i="4"/>
  <c r="J28" i="4"/>
  <c r="I28" i="4"/>
  <c r="H28" i="4"/>
  <c r="G28" i="4"/>
  <c r="F28" i="4"/>
  <c r="E28" i="4"/>
  <c r="D28" i="4"/>
  <c r="C28" i="4"/>
  <c r="P27" i="4"/>
  <c r="O27" i="4"/>
  <c r="N27" i="4"/>
  <c r="M27" i="4"/>
  <c r="L27" i="4"/>
  <c r="K27" i="4"/>
  <c r="J27" i="4"/>
  <c r="I27" i="4"/>
  <c r="H27" i="4"/>
  <c r="G27" i="4"/>
  <c r="F27" i="4"/>
  <c r="E27" i="4"/>
  <c r="D27" i="4"/>
  <c r="C27" i="4"/>
  <c r="P26" i="4"/>
  <c r="O26" i="4"/>
  <c r="N26" i="4"/>
  <c r="M26" i="4"/>
  <c r="L26" i="4"/>
  <c r="K26" i="4"/>
  <c r="J26" i="4"/>
  <c r="I26" i="4"/>
  <c r="H26" i="4"/>
  <c r="G26" i="4"/>
  <c r="F26" i="4"/>
  <c r="E26" i="4"/>
  <c r="D26" i="4"/>
  <c r="C26" i="4"/>
  <c r="P25" i="4"/>
  <c r="O25" i="4"/>
  <c r="N25" i="4"/>
  <c r="M25" i="4"/>
  <c r="L25" i="4"/>
  <c r="K25" i="4"/>
  <c r="J25" i="4"/>
  <c r="I25" i="4"/>
  <c r="H25" i="4"/>
  <c r="G25" i="4"/>
  <c r="F25" i="4"/>
  <c r="E25" i="4"/>
  <c r="D25" i="4"/>
  <c r="C25" i="4"/>
  <c r="P24" i="4"/>
  <c r="O24" i="4"/>
  <c r="N24" i="4"/>
  <c r="M24" i="4"/>
  <c r="L24" i="4"/>
  <c r="K24" i="4"/>
  <c r="J24" i="4"/>
  <c r="I24" i="4"/>
  <c r="H24" i="4"/>
  <c r="G24" i="4"/>
  <c r="F24" i="4"/>
  <c r="E24" i="4"/>
  <c r="D24" i="4"/>
  <c r="C24" i="4"/>
  <c r="P23" i="4"/>
  <c r="O23" i="4"/>
  <c r="N23" i="4"/>
  <c r="M23" i="4"/>
  <c r="L23" i="4"/>
  <c r="K23" i="4"/>
  <c r="J23" i="4"/>
  <c r="I23" i="4"/>
  <c r="H23" i="4"/>
  <c r="G23" i="4"/>
  <c r="F23" i="4"/>
  <c r="E23" i="4"/>
  <c r="D23" i="4"/>
  <c r="C23" i="4"/>
  <c r="P22" i="4"/>
  <c r="O22" i="4"/>
  <c r="N22" i="4"/>
  <c r="M22" i="4"/>
  <c r="L22" i="4"/>
  <c r="K22" i="4"/>
  <c r="J22" i="4"/>
  <c r="I22" i="4"/>
  <c r="H22" i="4"/>
  <c r="G22" i="4"/>
  <c r="F22" i="4"/>
  <c r="E22" i="4"/>
  <c r="D22" i="4"/>
  <c r="C22" i="4"/>
  <c r="P21" i="4"/>
  <c r="O21" i="4"/>
  <c r="N21" i="4"/>
  <c r="M21" i="4"/>
  <c r="L21" i="4"/>
  <c r="K21" i="4"/>
  <c r="J21" i="4"/>
  <c r="I21" i="4"/>
  <c r="H21" i="4"/>
  <c r="G21" i="4"/>
  <c r="F21" i="4"/>
  <c r="E21" i="4"/>
  <c r="D21" i="4"/>
  <c r="C21" i="4"/>
  <c r="P20" i="4"/>
  <c r="O20" i="4"/>
  <c r="N20" i="4"/>
  <c r="M20" i="4"/>
  <c r="L20" i="4"/>
  <c r="K20" i="4"/>
  <c r="J20" i="4"/>
  <c r="I20" i="4"/>
  <c r="H20" i="4"/>
  <c r="G20" i="4"/>
  <c r="F20" i="4"/>
  <c r="E20" i="4"/>
  <c r="D20" i="4"/>
  <c r="C20" i="4"/>
  <c r="P19" i="4"/>
  <c r="O19" i="4"/>
  <c r="N19" i="4"/>
  <c r="M19" i="4"/>
  <c r="L19" i="4"/>
  <c r="K19" i="4"/>
  <c r="J19" i="4"/>
  <c r="I19" i="4"/>
  <c r="H19" i="4"/>
  <c r="G19" i="4"/>
  <c r="F19" i="4"/>
  <c r="E19" i="4"/>
  <c r="D19" i="4"/>
  <c r="C19" i="4"/>
  <c r="P18" i="4"/>
  <c r="O18" i="4"/>
  <c r="N18" i="4"/>
  <c r="M18" i="4"/>
  <c r="L18" i="4"/>
  <c r="K18" i="4"/>
  <c r="J18" i="4"/>
  <c r="I18" i="4"/>
  <c r="H18" i="4"/>
  <c r="G18" i="4"/>
  <c r="F18" i="4"/>
  <c r="E18" i="4"/>
  <c r="D18" i="4"/>
  <c r="C18" i="4"/>
  <c r="P17" i="4"/>
  <c r="O17" i="4"/>
  <c r="N17" i="4"/>
  <c r="M17" i="4"/>
  <c r="L17" i="4"/>
  <c r="K17" i="4"/>
  <c r="J17" i="4"/>
  <c r="I17" i="4"/>
  <c r="H17" i="4"/>
  <c r="G17" i="4"/>
  <c r="F17" i="4"/>
  <c r="E17" i="4"/>
  <c r="D17" i="4"/>
  <c r="C17" i="4"/>
  <c r="P16" i="4"/>
  <c r="O16" i="4"/>
  <c r="N16" i="4"/>
  <c r="M16" i="4"/>
  <c r="L16" i="4"/>
  <c r="K16" i="4"/>
  <c r="J16" i="4"/>
  <c r="I16" i="4"/>
  <c r="H16" i="4"/>
  <c r="G16" i="4"/>
  <c r="F16" i="4"/>
  <c r="E16" i="4"/>
  <c r="D16" i="4"/>
  <c r="C16" i="4"/>
  <c r="P15" i="4"/>
  <c r="O15" i="4"/>
  <c r="N15" i="4"/>
  <c r="M15" i="4"/>
  <c r="L15" i="4"/>
  <c r="K15" i="4"/>
  <c r="J15" i="4"/>
  <c r="I15" i="4"/>
  <c r="H15" i="4"/>
  <c r="G15" i="4"/>
  <c r="F15" i="4"/>
  <c r="E15" i="4"/>
  <c r="D15" i="4"/>
  <c r="C15" i="4"/>
  <c r="P14" i="4"/>
  <c r="O14" i="4"/>
  <c r="N14" i="4"/>
  <c r="M14" i="4"/>
  <c r="L14" i="4"/>
  <c r="K14" i="4"/>
  <c r="J14" i="4"/>
  <c r="I14" i="4"/>
  <c r="H14" i="4"/>
  <c r="G14" i="4"/>
  <c r="F14" i="4"/>
  <c r="E14" i="4"/>
  <c r="D14" i="4"/>
  <c r="C14" i="4"/>
  <c r="P13" i="4"/>
  <c r="O13" i="4"/>
  <c r="N13" i="4"/>
  <c r="M13" i="4"/>
  <c r="L13" i="4"/>
  <c r="K13" i="4"/>
  <c r="J13" i="4"/>
  <c r="I13" i="4"/>
  <c r="H13" i="4"/>
  <c r="G13" i="4"/>
  <c r="F13" i="4"/>
  <c r="E13" i="4"/>
  <c r="D13" i="4"/>
  <c r="C13" i="4"/>
  <c r="P12" i="4"/>
  <c r="O12" i="4"/>
  <c r="N12" i="4"/>
  <c r="M12" i="4"/>
  <c r="L12" i="4"/>
  <c r="K12" i="4"/>
  <c r="J12" i="4"/>
  <c r="I12" i="4"/>
  <c r="H12" i="4"/>
  <c r="G12" i="4"/>
  <c r="F12" i="4"/>
  <c r="E12" i="4"/>
  <c r="D12" i="4"/>
  <c r="C12" i="4"/>
  <c r="P11" i="4"/>
  <c r="O11" i="4"/>
  <c r="N11" i="4"/>
  <c r="M11" i="4"/>
  <c r="L11" i="4"/>
  <c r="K11" i="4"/>
  <c r="J11" i="4"/>
  <c r="I11" i="4"/>
  <c r="H11" i="4"/>
  <c r="G11" i="4"/>
  <c r="F11" i="4"/>
  <c r="E11" i="4"/>
  <c r="D11" i="4"/>
  <c r="C11" i="4"/>
  <c r="P10" i="4"/>
  <c r="O10" i="4"/>
  <c r="N10" i="4"/>
  <c r="M10" i="4"/>
  <c r="L10" i="4"/>
  <c r="K10" i="4"/>
  <c r="J10" i="4"/>
  <c r="I10" i="4"/>
  <c r="H10" i="4"/>
  <c r="G10" i="4"/>
  <c r="F10" i="4"/>
  <c r="E10" i="4"/>
  <c r="D10" i="4"/>
  <c r="C10" i="4"/>
  <c r="P9" i="4"/>
  <c r="O9" i="4"/>
  <c r="N9" i="4"/>
  <c r="M9" i="4"/>
  <c r="L9" i="4"/>
  <c r="K9" i="4"/>
  <c r="J9" i="4"/>
  <c r="I9" i="4"/>
  <c r="H9" i="4"/>
  <c r="G9" i="4"/>
  <c r="F9" i="4"/>
  <c r="E9" i="4"/>
  <c r="D9" i="4"/>
  <c r="C9" i="4"/>
  <c r="P8" i="4"/>
  <c r="O8" i="4"/>
  <c r="N8" i="4"/>
  <c r="M8" i="4"/>
  <c r="L8" i="4"/>
  <c r="K8" i="4"/>
  <c r="J8" i="4"/>
  <c r="I8" i="4"/>
  <c r="H8" i="4"/>
  <c r="G8" i="4"/>
  <c r="F8" i="4"/>
  <c r="E8" i="4"/>
  <c r="D8" i="4"/>
  <c r="C8" i="4"/>
  <c r="P7" i="4"/>
  <c r="O7" i="4"/>
  <c r="N7" i="4"/>
  <c r="M7" i="4"/>
  <c r="L7" i="4"/>
  <c r="K7" i="4"/>
  <c r="J7" i="4"/>
  <c r="I7" i="4"/>
  <c r="H7" i="4"/>
  <c r="G7" i="4"/>
  <c r="F7" i="4"/>
  <c r="E7" i="4"/>
  <c r="D7" i="4"/>
  <c r="C7" i="4"/>
  <c r="P6" i="4"/>
  <c r="O6" i="4"/>
  <c r="N6" i="4"/>
  <c r="M6" i="4"/>
  <c r="L6" i="4"/>
  <c r="K6" i="4"/>
  <c r="J6" i="4"/>
  <c r="I6" i="4"/>
  <c r="H6" i="4"/>
  <c r="G6" i="4"/>
  <c r="F6" i="4"/>
  <c r="E6" i="4"/>
  <c r="D6" i="4"/>
  <c r="C6" i="4"/>
  <c r="P5" i="4"/>
  <c r="O5" i="4"/>
  <c r="N5" i="4"/>
  <c r="M5" i="4"/>
  <c r="L5" i="4"/>
  <c r="K5" i="4"/>
  <c r="J5" i="4"/>
  <c r="I5" i="4"/>
  <c r="H5" i="4"/>
  <c r="G5" i="4"/>
  <c r="F5" i="4"/>
  <c r="E5" i="4"/>
  <c r="D5" i="4"/>
  <c r="C5" i="4"/>
  <c r="P3" i="4"/>
  <c r="O3" i="4"/>
  <c r="N3" i="4"/>
  <c r="M3" i="4"/>
  <c r="L3" i="4"/>
  <c r="K3" i="4"/>
  <c r="J3" i="4"/>
  <c r="I3" i="4"/>
  <c r="H3" i="4"/>
  <c r="G3" i="4"/>
  <c r="F3" i="4"/>
  <c r="E3" i="4"/>
  <c r="D3" i="4"/>
  <c r="C3" i="4"/>
  <c r="DQ90" i="56" l="1"/>
  <c r="DP90" i="56"/>
  <c r="DO90" i="56"/>
  <c r="DN90" i="56"/>
  <c r="DM90" i="56"/>
  <c r="DL90" i="56"/>
  <c r="DK90" i="56"/>
  <c r="DJ90" i="56"/>
  <c r="DI90" i="56"/>
  <c r="DH90" i="56"/>
  <c r="DG90" i="56"/>
  <c r="DF90" i="56"/>
  <c r="DE90" i="56"/>
  <c r="DD90" i="56"/>
  <c r="DC90" i="56"/>
  <c r="DB90" i="56"/>
  <c r="DA90" i="56"/>
  <c r="CZ90" i="56"/>
  <c r="CY90" i="56"/>
  <c r="CX90" i="56"/>
  <c r="CW90" i="56"/>
  <c r="CV90" i="56"/>
  <c r="CU90" i="56"/>
  <c r="CT90" i="56"/>
  <c r="CS90" i="56"/>
  <c r="CR90" i="56"/>
  <c r="CQ90" i="56"/>
  <c r="CP90" i="56"/>
  <c r="CO90" i="56"/>
  <c r="CN90" i="56"/>
  <c r="CM90" i="56"/>
  <c r="CL90" i="56"/>
  <c r="CK90" i="56"/>
  <c r="CJ90" i="56"/>
  <c r="CI90" i="56"/>
  <c r="CH90" i="56"/>
  <c r="CG90" i="56"/>
  <c r="CF90" i="56"/>
  <c r="CE90" i="56"/>
  <c r="CD90" i="56"/>
  <c r="CC90" i="56"/>
  <c r="CB90" i="56"/>
  <c r="CA90" i="56"/>
  <c r="BZ90" i="56"/>
  <c r="BY90" i="56"/>
  <c r="BX90" i="56"/>
  <c r="BW90" i="56"/>
  <c r="BV90" i="56"/>
  <c r="BU90" i="56"/>
  <c r="BT90" i="56"/>
  <c r="BS90" i="56"/>
  <c r="BR90" i="56"/>
  <c r="BQ90" i="56"/>
  <c r="BP90" i="56"/>
  <c r="BO90" i="56"/>
  <c r="BN90" i="56"/>
  <c r="BM90" i="56"/>
  <c r="BL90" i="56"/>
  <c r="BK90" i="56"/>
  <c r="BJ90" i="56"/>
  <c r="BI90" i="56"/>
  <c r="BH90" i="56"/>
  <c r="BG90" i="56"/>
  <c r="BF90" i="56"/>
  <c r="BE90" i="56"/>
  <c r="BD90" i="56"/>
  <c r="BC90" i="56"/>
  <c r="BB90" i="56"/>
  <c r="BA90" i="56"/>
  <c r="AZ90" i="56"/>
  <c r="AY90" i="56"/>
  <c r="AX90" i="56"/>
  <c r="AW90" i="56"/>
  <c r="AV90" i="56"/>
  <c r="AU90" i="56"/>
  <c r="AT90" i="56"/>
  <c r="AS90" i="56"/>
  <c r="AR90" i="56"/>
  <c r="AQ90" i="56"/>
  <c r="AP90" i="56"/>
  <c r="AO90" i="56"/>
  <c r="AN90" i="56"/>
  <c r="AM90" i="56"/>
  <c r="AL90" i="56"/>
  <c r="AK90" i="56"/>
  <c r="AJ90" i="56"/>
  <c r="AI90" i="56"/>
  <c r="AH90" i="56"/>
  <c r="AG90" i="56"/>
  <c r="AF90" i="56"/>
  <c r="AE90" i="56"/>
  <c r="AD90" i="56"/>
  <c r="AC90" i="56"/>
  <c r="AB90" i="56"/>
  <c r="AA90" i="56"/>
  <c r="Z90" i="56"/>
  <c r="Y90" i="56"/>
  <c r="X90" i="56"/>
  <c r="W90" i="56"/>
  <c r="V90" i="56"/>
  <c r="U90" i="56"/>
  <c r="T90" i="56"/>
  <c r="S90" i="56"/>
  <c r="R90" i="56"/>
  <c r="Q90" i="56"/>
  <c r="P90" i="56"/>
  <c r="O90" i="56"/>
  <c r="N90" i="56"/>
  <c r="M90" i="56"/>
  <c r="L90" i="56"/>
  <c r="K90" i="56"/>
  <c r="J90" i="56"/>
  <c r="I90" i="56"/>
  <c r="H90" i="56"/>
  <c r="G90" i="56"/>
  <c r="F90" i="56"/>
  <c r="E90" i="56"/>
  <c r="D90" i="56"/>
  <c r="C90" i="56"/>
  <c r="B90" i="56"/>
  <c r="DQ89" i="56"/>
  <c r="DP89" i="56"/>
  <c r="DO89" i="56"/>
  <c r="DN89" i="56"/>
  <c r="DM89" i="56"/>
  <c r="DL89" i="56"/>
  <c r="DK89" i="56"/>
  <c r="DJ89" i="56"/>
  <c r="DI89" i="56"/>
  <c r="DH89" i="56"/>
  <c r="DG89" i="56"/>
  <c r="DF89" i="56"/>
  <c r="DE89" i="56"/>
  <c r="DD89" i="56"/>
  <c r="DC89" i="56"/>
  <c r="DB89" i="56"/>
  <c r="DA89" i="56"/>
  <c r="CZ89" i="56"/>
  <c r="CY89" i="56"/>
  <c r="CX89" i="56"/>
  <c r="CW89" i="56"/>
  <c r="CV89" i="56"/>
  <c r="CU89" i="56"/>
  <c r="CT89" i="56"/>
  <c r="CS89" i="56"/>
  <c r="CR89" i="56"/>
  <c r="CQ89" i="56"/>
  <c r="CP89" i="56"/>
  <c r="CO89" i="56"/>
  <c r="CN89" i="56"/>
  <c r="CM89" i="56"/>
  <c r="CL89" i="56"/>
  <c r="CK89" i="56"/>
  <c r="CJ89" i="56"/>
  <c r="CI89" i="56"/>
  <c r="CH89" i="56"/>
  <c r="CG89" i="56"/>
  <c r="CF89" i="56"/>
  <c r="CE89" i="56"/>
  <c r="CD89" i="56"/>
  <c r="CC89" i="56"/>
  <c r="CB89" i="56"/>
  <c r="CA89" i="56"/>
  <c r="BZ89" i="56"/>
  <c r="BY89" i="56"/>
  <c r="BX89" i="56"/>
  <c r="BW89" i="56"/>
  <c r="BV89" i="56"/>
  <c r="BU89" i="56"/>
  <c r="BT89" i="56"/>
  <c r="BS89" i="56"/>
  <c r="BR89" i="56"/>
  <c r="BQ89" i="56"/>
  <c r="BP89" i="56"/>
  <c r="BO89" i="56"/>
  <c r="BN89" i="56"/>
  <c r="BM89" i="56"/>
  <c r="BL89" i="56"/>
  <c r="BK89" i="56"/>
  <c r="BJ89" i="56"/>
  <c r="BI89" i="56"/>
  <c r="BH89" i="56"/>
  <c r="BG89" i="56"/>
  <c r="BF89" i="56"/>
  <c r="BE89" i="56"/>
  <c r="BD89" i="56"/>
  <c r="BC89" i="56"/>
  <c r="BB89" i="56"/>
  <c r="BA89" i="56"/>
  <c r="AZ89" i="56"/>
  <c r="AY89" i="56"/>
  <c r="AX89" i="56"/>
  <c r="AW89" i="56"/>
  <c r="AV89" i="56"/>
  <c r="AU89" i="56"/>
  <c r="AT89" i="56"/>
  <c r="AS89" i="56"/>
  <c r="AR89" i="56"/>
  <c r="AQ89" i="56"/>
  <c r="AP89" i="56"/>
  <c r="AO89" i="56"/>
  <c r="AN89" i="56"/>
  <c r="AM89" i="56"/>
  <c r="AL89" i="56"/>
  <c r="AK89" i="56"/>
  <c r="AJ89" i="56"/>
  <c r="AI89" i="56"/>
  <c r="AH89" i="56"/>
  <c r="AG89" i="56"/>
  <c r="AF89" i="56"/>
  <c r="AE89" i="56"/>
  <c r="AD89" i="56"/>
  <c r="AC89" i="56"/>
  <c r="AB89" i="56"/>
  <c r="AA89" i="56"/>
  <c r="Z89" i="56"/>
  <c r="Y89" i="56"/>
  <c r="X89" i="56"/>
  <c r="W89" i="56"/>
  <c r="V89" i="56"/>
  <c r="U89" i="56"/>
  <c r="T89" i="56"/>
  <c r="S89" i="56"/>
  <c r="R89" i="56"/>
  <c r="Q89" i="56"/>
  <c r="P89" i="56"/>
  <c r="O89" i="56"/>
  <c r="N89" i="56"/>
  <c r="M89" i="56"/>
  <c r="L89" i="56"/>
  <c r="K89" i="56"/>
  <c r="J89" i="56"/>
  <c r="I89" i="56"/>
  <c r="H89" i="56"/>
  <c r="G89" i="56"/>
  <c r="F89" i="56"/>
  <c r="E89" i="56"/>
  <c r="D89" i="56"/>
  <c r="C89" i="56"/>
  <c r="B89" i="56"/>
  <c r="DQ88" i="56"/>
  <c r="DP88" i="56"/>
  <c r="DO88" i="56"/>
  <c r="DN88" i="56"/>
  <c r="DM88" i="56"/>
  <c r="DL88" i="56"/>
  <c r="DK88" i="56"/>
  <c r="DJ88" i="56"/>
  <c r="DI88" i="56"/>
  <c r="DH88" i="56"/>
  <c r="DG88" i="56"/>
  <c r="DF88" i="56"/>
  <c r="DE88" i="56"/>
  <c r="DD88" i="56"/>
  <c r="DC88" i="56"/>
  <c r="DB88" i="56"/>
  <c r="DA88" i="56"/>
  <c r="CZ88" i="56"/>
  <c r="CY88" i="56"/>
  <c r="CX88" i="56"/>
  <c r="CW88" i="56"/>
  <c r="CV88" i="56"/>
  <c r="CU88" i="56"/>
  <c r="CT88" i="56"/>
  <c r="CS88" i="56"/>
  <c r="CR88" i="56"/>
  <c r="CQ88" i="56"/>
  <c r="CP88" i="56"/>
  <c r="CO88" i="56"/>
  <c r="CN88" i="56"/>
  <c r="CM88" i="56"/>
  <c r="CL88" i="56"/>
  <c r="CK88" i="56"/>
  <c r="CJ88" i="56"/>
  <c r="CI88" i="56"/>
  <c r="CH88" i="56"/>
  <c r="CG88" i="56"/>
  <c r="CF88" i="56"/>
  <c r="CE88" i="56"/>
  <c r="CD88" i="56"/>
  <c r="CC88" i="56"/>
  <c r="CB88" i="56"/>
  <c r="CA88" i="56"/>
  <c r="BZ88" i="56"/>
  <c r="BY88" i="56"/>
  <c r="BX88" i="56"/>
  <c r="BW88" i="56"/>
  <c r="BV88" i="56"/>
  <c r="BU88" i="56"/>
  <c r="BT88" i="56"/>
  <c r="BS88" i="56"/>
  <c r="BR88" i="56"/>
  <c r="BQ88" i="56"/>
  <c r="BP88" i="56"/>
  <c r="BO88" i="56"/>
  <c r="BN88" i="56"/>
  <c r="BM88" i="56"/>
  <c r="BL88" i="56"/>
  <c r="BK88" i="56"/>
  <c r="BJ88" i="56"/>
  <c r="BI88" i="56"/>
  <c r="BH88" i="56"/>
  <c r="BG88" i="56"/>
  <c r="BF88" i="56"/>
  <c r="BE88" i="56"/>
  <c r="BD88" i="56"/>
  <c r="BC88" i="56"/>
  <c r="BB88" i="56"/>
  <c r="BA88" i="56"/>
  <c r="AZ88" i="56"/>
  <c r="AY88" i="56"/>
  <c r="AX88" i="56"/>
  <c r="AW88" i="56"/>
  <c r="AV88" i="56"/>
  <c r="AU88" i="56"/>
  <c r="AT88" i="56"/>
  <c r="AS88" i="56"/>
  <c r="AR88" i="56"/>
  <c r="AQ88" i="56"/>
  <c r="AP88" i="56"/>
  <c r="AO88" i="56"/>
  <c r="AN88" i="56"/>
  <c r="AM88" i="56"/>
  <c r="AL88" i="56"/>
  <c r="AK88" i="56"/>
  <c r="AJ88" i="56"/>
  <c r="AI88" i="56"/>
  <c r="AH88" i="56"/>
  <c r="AG88" i="56"/>
  <c r="AF88" i="56"/>
  <c r="AE88" i="56"/>
  <c r="AD88" i="56"/>
  <c r="AC88" i="56"/>
  <c r="AB88" i="56"/>
  <c r="AA88" i="56"/>
  <c r="Z88" i="56"/>
  <c r="Y88" i="56"/>
  <c r="X88" i="56"/>
  <c r="W88" i="56"/>
  <c r="V88" i="56"/>
  <c r="U88" i="56"/>
  <c r="T88" i="56"/>
  <c r="S88" i="56"/>
  <c r="R88" i="56"/>
  <c r="Q88" i="56"/>
  <c r="P88" i="56"/>
  <c r="O88" i="56"/>
  <c r="N88" i="56"/>
  <c r="M88" i="56"/>
  <c r="L88" i="56"/>
  <c r="K88" i="56"/>
  <c r="J88" i="56"/>
  <c r="I88" i="56"/>
  <c r="H88" i="56"/>
  <c r="G88" i="56"/>
  <c r="F88" i="56"/>
  <c r="E88" i="56"/>
  <c r="D88" i="56"/>
  <c r="C88" i="56"/>
  <c r="B88" i="56"/>
  <c r="DQ87" i="56"/>
  <c r="DP87" i="56"/>
  <c r="DO87" i="56"/>
  <c r="DN87" i="56"/>
  <c r="DM87" i="56"/>
  <c r="DL87" i="56"/>
  <c r="DK87" i="56"/>
  <c r="DJ87" i="56"/>
  <c r="DI87" i="56"/>
  <c r="DH87" i="56"/>
  <c r="DG87" i="56"/>
  <c r="DF87" i="56"/>
  <c r="DE87" i="56"/>
  <c r="DD87" i="56"/>
  <c r="DC87" i="56"/>
  <c r="DB87" i="56"/>
  <c r="DA87" i="56"/>
  <c r="CZ87" i="56"/>
  <c r="CY87" i="56"/>
  <c r="CX87" i="56"/>
  <c r="CW87" i="56"/>
  <c r="CV87" i="56"/>
  <c r="CU87" i="56"/>
  <c r="CT87" i="56"/>
  <c r="CS87" i="56"/>
  <c r="CR87" i="56"/>
  <c r="CQ87" i="56"/>
  <c r="CP87" i="56"/>
  <c r="CO87" i="56"/>
  <c r="CN87" i="56"/>
  <c r="CM87" i="56"/>
  <c r="CL87" i="56"/>
  <c r="CK87" i="56"/>
  <c r="CJ87" i="56"/>
  <c r="CI87" i="56"/>
  <c r="CH87" i="56"/>
  <c r="CG87" i="56"/>
  <c r="CF87" i="56"/>
  <c r="CE87" i="56"/>
  <c r="CD87" i="56"/>
  <c r="CC87" i="56"/>
  <c r="CB87" i="56"/>
  <c r="CA87" i="56"/>
  <c r="BZ87" i="56"/>
  <c r="BY87" i="56"/>
  <c r="BX87" i="56"/>
  <c r="BW87" i="56"/>
  <c r="BV87" i="56"/>
  <c r="BU87" i="56"/>
  <c r="BT87" i="56"/>
  <c r="BS87" i="56"/>
  <c r="BR87" i="56"/>
  <c r="BQ87" i="56"/>
  <c r="BP87" i="56"/>
  <c r="BO87" i="56"/>
  <c r="BN87" i="56"/>
  <c r="BM87" i="56"/>
  <c r="BL87" i="56"/>
  <c r="BK87" i="56"/>
  <c r="BJ87" i="56"/>
  <c r="BI87" i="56"/>
  <c r="BH87" i="56"/>
  <c r="BG87" i="56"/>
  <c r="BF87" i="56"/>
  <c r="BE87" i="56"/>
  <c r="BD87" i="56"/>
  <c r="BC87" i="56"/>
  <c r="BB87" i="56"/>
  <c r="BA87" i="56"/>
  <c r="AZ87" i="56"/>
  <c r="AY87" i="56"/>
  <c r="AX87" i="56"/>
  <c r="AW87" i="56"/>
  <c r="AV87" i="56"/>
  <c r="AU87" i="56"/>
  <c r="AT87" i="56"/>
  <c r="AS87" i="56"/>
  <c r="AR87" i="56"/>
  <c r="AQ87" i="56"/>
  <c r="AP87" i="56"/>
  <c r="AO87" i="56"/>
  <c r="AN87" i="56"/>
  <c r="AM87" i="56"/>
  <c r="AL87" i="56"/>
  <c r="AK87" i="56"/>
  <c r="AJ87" i="56"/>
  <c r="AI87" i="56"/>
  <c r="AH87" i="56"/>
  <c r="AG87" i="56"/>
  <c r="AF87" i="56"/>
  <c r="AE87" i="56"/>
  <c r="AD87" i="56"/>
  <c r="AC87" i="56"/>
  <c r="AB87" i="56"/>
  <c r="AA87" i="56"/>
  <c r="Z87" i="56"/>
  <c r="Y87" i="56"/>
  <c r="X87" i="56"/>
  <c r="W87" i="56"/>
  <c r="V87" i="56"/>
  <c r="U87" i="56"/>
  <c r="T87" i="56"/>
  <c r="S87" i="56"/>
  <c r="R87" i="56"/>
  <c r="Q87" i="56"/>
  <c r="P87" i="56"/>
  <c r="O87" i="56"/>
  <c r="N87" i="56"/>
  <c r="M87" i="56"/>
  <c r="L87" i="56"/>
  <c r="K87" i="56"/>
  <c r="J87" i="56"/>
  <c r="I87" i="56"/>
  <c r="H87" i="56"/>
  <c r="G87" i="56"/>
  <c r="F87" i="56"/>
  <c r="E87" i="56"/>
  <c r="D87" i="56"/>
  <c r="C87" i="56"/>
  <c r="B87" i="56"/>
  <c r="DQ86" i="56"/>
  <c r="DP86" i="56"/>
  <c r="DO86" i="56"/>
  <c r="DN86" i="56"/>
  <c r="DM86" i="56"/>
  <c r="DL86" i="56"/>
  <c r="DK86" i="56"/>
  <c r="DJ86" i="56"/>
  <c r="DI86" i="56"/>
  <c r="DH86" i="56"/>
  <c r="DG86" i="56"/>
  <c r="DF86" i="56"/>
  <c r="DE86" i="56"/>
  <c r="DD86" i="56"/>
  <c r="DC86" i="56"/>
  <c r="DB86" i="56"/>
  <c r="DA86" i="56"/>
  <c r="CZ86" i="56"/>
  <c r="CY86" i="56"/>
  <c r="CX86" i="56"/>
  <c r="CW86" i="56"/>
  <c r="CV86" i="56"/>
  <c r="CU86" i="56"/>
  <c r="CT86" i="56"/>
  <c r="CS86" i="56"/>
  <c r="CR86" i="56"/>
  <c r="CQ86" i="56"/>
  <c r="CP86" i="56"/>
  <c r="CO86" i="56"/>
  <c r="CN86" i="56"/>
  <c r="CM86" i="56"/>
  <c r="CL86" i="56"/>
  <c r="CK86" i="56"/>
  <c r="CJ86" i="56"/>
  <c r="CI86" i="56"/>
  <c r="CH86" i="56"/>
  <c r="CG86" i="56"/>
  <c r="CF86" i="56"/>
  <c r="CE86" i="56"/>
  <c r="CD86" i="56"/>
  <c r="CC86" i="56"/>
  <c r="CB86" i="56"/>
  <c r="CA86" i="56"/>
  <c r="BZ86" i="56"/>
  <c r="BY86" i="56"/>
  <c r="BX86" i="56"/>
  <c r="BW86" i="56"/>
  <c r="BV86" i="56"/>
  <c r="BU86" i="56"/>
  <c r="BT86" i="56"/>
  <c r="BS86" i="56"/>
  <c r="BR86" i="56"/>
  <c r="BQ86" i="56"/>
  <c r="BP86" i="56"/>
  <c r="BO86" i="56"/>
  <c r="BN86" i="56"/>
  <c r="BM86" i="56"/>
  <c r="BL86" i="56"/>
  <c r="BK86" i="56"/>
  <c r="BJ86" i="56"/>
  <c r="BI86" i="56"/>
  <c r="BH86" i="56"/>
  <c r="BG86" i="56"/>
  <c r="BF86" i="56"/>
  <c r="BE86" i="56"/>
  <c r="BD86" i="56"/>
  <c r="BC86" i="56"/>
  <c r="BB86" i="56"/>
  <c r="BA86" i="56"/>
  <c r="AZ86" i="56"/>
  <c r="AY86" i="56"/>
  <c r="AX86" i="56"/>
  <c r="AW86" i="56"/>
  <c r="AV86" i="56"/>
  <c r="AU86" i="56"/>
  <c r="AT86" i="56"/>
  <c r="AS86" i="56"/>
  <c r="AR86" i="56"/>
  <c r="AQ86" i="56"/>
  <c r="AP86" i="56"/>
  <c r="AO86" i="56"/>
  <c r="AN86" i="56"/>
  <c r="AM86" i="56"/>
  <c r="AL86" i="56"/>
  <c r="AK86" i="56"/>
  <c r="AJ86" i="56"/>
  <c r="AI86" i="56"/>
  <c r="AH86" i="56"/>
  <c r="AG86" i="56"/>
  <c r="AF86" i="56"/>
  <c r="AE86" i="56"/>
  <c r="AD86" i="56"/>
  <c r="AC86" i="56"/>
  <c r="AB86" i="56"/>
  <c r="AA86" i="56"/>
  <c r="Z86" i="56"/>
  <c r="Y86" i="56"/>
  <c r="X86" i="56"/>
  <c r="W86" i="56"/>
  <c r="V86" i="56"/>
  <c r="U86" i="56"/>
  <c r="T86" i="56"/>
  <c r="S86" i="56"/>
  <c r="R86" i="56"/>
  <c r="Q86" i="56"/>
  <c r="P86" i="56"/>
  <c r="O86" i="56"/>
  <c r="N86" i="56"/>
  <c r="M86" i="56"/>
  <c r="L86" i="56"/>
  <c r="K86" i="56"/>
  <c r="J86" i="56"/>
  <c r="I86" i="56"/>
  <c r="H86" i="56"/>
  <c r="G86" i="56"/>
  <c r="F86" i="56"/>
  <c r="E86" i="56"/>
  <c r="D86" i="56"/>
  <c r="C86" i="56"/>
  <c r="B86" i="56"/>
  <c r="DQ85" i="56"/>
  <c r="DP85" i="56"/>
  <c r="DO85" i="56"/>
  <c r="DN85" i="56"/>
  <c r="DM85" i="56"/>
  <c r="DL85" i="56"/>
  <c r="DK85" i="56"/>
  <c r="DJ85" i="56"/>
  <c r="DI85" i="56"/>
  <c r="DH85" i="56"/>
  <c r="DG85" i="56"/>
  <c r="DF85" i="56"/>
  <c r="DE85" i="56"/>
  <c r="DD85" i="56"/>
  <c r="DC85" i="56"/>
  <c r="DB85" i="56"/>
  <c r="DA85" i="56"/>
  <c r="CZ85" i="56"/>
  <c r="CY85" i="56"/>
  <c r="CX85" i="56"/>
  <c r="CW85" i="56"/>
  <c r="CV85" i="56"/>
  <c r="CU85" i="56"/>
  <c r="CT85" i="56"/>
  <c r="CS85" i="56"/>
  <c r="CR85" i="56"/>
  <c r="CQ85" i="56"/>
  <c r="CP85" i="56"/>
  <c r="CO85" i="56"/>
  <c r="CN85" i="56"/>
  <c r="CM85" i="56"/>
  <c r="CL85" i="56"/>
  <c r="CK85" i="56"/>
  <c r="CJ85" i="56"/>
  <c r="CI85" i="56"/>
  <c r="CH85" i="56"/>
  <c r="CG85" i="56"/>
  <c r="CF85" i="56"/>
  <c r="CE85" i="56"/>
  <c r="CD85" i="56"/>
  <c r="CC85" i="56"/>
  <c r="CB85" i="56"/>
  <c r="CA85" i="56"/>
  <c r="BZ85" i="56"/>
  <c r="BY85" i="56"/>
  <c r="BX85" i="56"/>
  <c r="BW85" i="56"/>
  <c r="BV85" i="56"/>
  <c r="BU85" i="56"/>
  <c r="BT85" i="56"/>
  <c r="BS85" i="56"/>
  <c r="BR85" i="56"/>
  <c r="BQ85" i="56"/>
  <c r="BP85" i="56"/>
  <c r="BO85" i="56"/>
  <c r="BN85" i="56"/>
  <c r="BM85" i="56"/>
  <c r="BL85" i="56"/>
  <c r="BK85" i="56"/>
  <c r="BJ85" i="56"/>
  <c r="BI85" i="56"/>
  <c r="BH85" i="56"/>
  <c r="BG85" i="56"/>
  <c r="BF85" i="56"/>
  <c r="BE85" i="56"/>
  <c r="BD85" i="56"/>
  <c r="BC85" i="56"/>
  <c r="BB85" i="56"/>
  <c r="BA85" i="56"/>
  <c r="AZ85" i="56"/>
  <c r="AY85" i="56"/>
  <c r="AX85" i="56"/>
  <c r="AW85" i="56"/>
  <c r="AV85" i="56"/>
  <c r="AU85" i="56"/>
  <c r="AT85" i="56"/>
  <c r="AS85" i="56"/>
  <c r="AR85" i="56"/>
  <c r="AQ85" i="56"/>
  <c r="AP85" i="56"/>
  <c r="AO85" i="56"/>
  <c r="AN85" i="56"/>
  <c r="AM85" i="56"/>
  <c r="AL85" i="56"/>
  <c r="AK85" i="56"/>
  <c r="AJ85" i="56"/>
  <c r="AI85" i="56"/>
  <c r="AH85" i="56"/>
  <c r="AG85" i="56"/>
  <c r="AF85" i="56"/>
  <c r="AE85" i="56"/>
  <c r="AD85" i="56"/>
  <c r="AC85" i="56"/>
  <c r="AB85" i="56"/>
  <c r="AA85" i="56"/>
  <c r="Z85" i="56"/>
  <c r="Y85" i="56"/>
  <c r="X85" i="56"/>
  <c r="W85" i="56"/>
  <c r="V85" i="56"/>
  <c r="U85" i="56"/>
  <c r="T85" i="56"/>
  <c r="S85" i="56"/>
  <c r="R85" i="56"/>
  <c r="Q85" i="56"/>
  <c r="P85" i="56"/>
  <c r="O85" i="56"/>
  <c r="N85" i="56"/>
  <c r="M85" i="56"/>
  <c r="L85" i="56"/>
  <c r="K85" i="56"/>
  <c r="J85" i="56"/>
  <c r="I85" i="56"/>
  <c r="H85" i="56"/>
  <c r="G85" i="56"/>
  <c r="F85" i="56"/>
  <c r="E85" i="56"/>
  <c r="D85" i="56"/>
  <c r="C85" i="56"/>
  <c r="B85" i="56"/>
  <c r="DQ84" i="56"/>
  <c r="DP84" i="56"/>
  <c r="DO84" i="56"/>
  <c r="DN84" i="56"/>
  <c r="DM84" i="56"/>
  <c r="DL84" i="56"/>
  <c r="DK84" i="56"/>
  <c r="DJ84" i="56"/>
  <c r="DI84" i="56"/>
  <c r="DH84" i="56"/>
  <c r="DG84" i="56"/>
  <c r="DF84" i="56"/>
  <c r="DE84" i="56"/>
  <c r="DD84" i="56"/>
  <c r="DC84" i="56"/>
  <c r="DB84" i="56"/>
  <c r="DA84" i="56"/>
  <c r="CZ84" i="56"/>
  <c r="CY84" i="56"/>
  <c r="CX84" i="56"/>
  <c r="CW84" i="56"/>
  <c r="CV84" i="56"/>
  <c r="CU84" i="56"/>
  <c r="CT84" i="56"/>
  <c r="CS84" i="56"/>
  <c r="CR84" i="56"/>
  <c r="CQ84" i="56"/>
  <c r="CP84" i="56"/>
  <c r="CO84" i="56"/>
  <c r="CN84" i="56"/>
  <c r="CM84" i="56"/>
  <c r="CL84" i="56"/>
  <c r="CK84" i="56"/>
  <c r="CJ84" i="56"/>
  <c r="CI84" i="56"/>
  <c r="CH84" i="56"/>
  <c r="CG84" i="56"/>
  <c r="CF84" i="56"/>
  <c r="CE84" i="56"/>
  <c r="CD84" i="56"/>
  <c r="CC84" i="56"/>
  <c r="CB84" i="56"/>
  <c r="CA84" i="56"/>
  <c r="BZ84" i="56"/>
  <c r="BY84" i="56"/>
  <c r="BX84" i="56"/>
  <c r="BW84" i="56"/>
  <c r="BV84" i="56"/>
  <c r="BU84" i="56"/>
  <c r="BT84" i="56"/>
  <c r="BS84" i="56"/>
  <c r="BR84" i="56"/>
  <c r="BQ84" i="56"/>
  <c r="BP84" i="56"/>
  <c r="BO84" i="56"/>
  <c r="BN84" i="56"/>
  <c r="BM84" i="56"/>
  <c r="BL84" i="56"/>
  <c r="BK84" i="56"/>
  <c r="BJ84" i="56"/>
  <c r="BI84" i="56"/>
  <c r="BH84" i="56"/>
  <c r="BG84" i="56"/>
  <c r="BF84" i="56"/>
  <c r="BE84" i="56"/>
  <c r="BD84" i="56"/>
  <c r="BC84" i="56"/>
  <c r="BB84" i="56"/>
  <c r="BA84" i="56"/>
  <c r="AZ84" i="56"/>
  <c r="AY84" i="56"/>
  <c r="AX84" i="56"/>
  <c r="AW84" i="56"/>
  <c r="AV84" i="56"/>
  <c r="AU84" i="56"/>
  <c r="AT84" i="56"/>
  <c r="AS84" i="56"/>
  <c r="AR84" i="56"/>
  <c r="AQ84" i="56"/>
  <c r="AP84" i="56"/>
  <c r="AO84" i="56"/>
  <c r="AN84" i="56"/>
  <c r="AM84" i="56"/>
  <c r="AL84" i="56"/>
  <c r="AK84" i="56"/>
  <c r="AJ84" i="56"/>
  <c r="AI84" i="56"/>
  <c r="AH84" i="56"/>
  <c r="AG84" i="56"/>
  <c r="AF84" i="56"/>
  <c r="AE84" i="56"/>
  <c r="AD84" i="56"/>
  <c r="AC84" i="56"/>
  <c r="AB84" i="56"/>
  <c r="AA84" i="56"/>
  <c r="Z84" i="56"/>
  <c r="Y84" i="56"/>
  <c r="X84" i="56"/>
  <c r="W84" i="56"/>
  <c r="V84" i="56"/>
  <c r="U84" i="56"/>
  <c r="T84" i="56"/>
  <c r="S84" i="56"/>
  <c r="R84" i="56"/>
  <c r="Q84" i="56"/>
  <c r="P84" i="56"/>
  <c r="O84" i="56"/>
  <c r="N84" i="56"/>
  <c r="M84" i="56"/>
  <c r="L84" i="56"/>
  <c r="K84" i="56"/>
  <c r="J84" i="56"/>
  <c r="I84" i="56"/>
  <c r="H84" i="56"/>
  <c r="G84" i="56"/>
  <c r="F84" i="56"/>
  <c r="E84" i="56"/>
  <c r="D84" i="56"/>
  <c r="C84" i="56"/>
  <c r="B84" i="56"/>
  <c r="DQ83" i="56"/>
  <c r="DP83" i="56"/>
  <c r="DO83" i="56"/>
  <c r="DN83" i="56"/>
  <c r="DM83" i="56"/>
  <c r="DL83" i="56"/>
  <c r="DK83" i="56"/>
  <c r="DJ83" i="56"/>
  <c r="DI83" i="56"/>
  <c r="DH83" i="56"/>
  <c r="DG83" i="56"/>
  <c r="DF83" i="56"/>
  <c r="DE83" i="56"/>
  <c r="DD83" i="56"/>
  <c r="DC83" i="56"/>
  <c r="DB83" i="56"/>
  <c r="DA83" i="56"/>
  <c r="CZ83" i="56"/>
  <c r="CY83" i="56"/>
  <c r="CX83" i="56"/>
  <c r="CW83" i="56"/>
  <c r="CV83" i="56"/>
  <c r="CU83" i="56"/>
  <c r="CT83" i="56"/>
  <c r="CS83" i="56"/>
  <c r="CR83" i="56"/>
  <c r="CQ83" i="56"/>
  <c r="CP83" i="56"/>
  <c r="CO83" i="56"/>
  <c r="CN83" i="56"/>
  <c r="CM83" i="56"/>
  <c r="CL83" i="56"/>
  <c r="CK83" i="56"/>
  <c r="CJ83" i="56"/>
  <c r="CI83" i="56"/>
  <c r="CH83" i="56"/>
  <c r="CG83" i="56"/>
  <c r="CF83" i="56"/>
  <c r="CE83" i="56"/>
  <c r="CD83" i="56"/>
  <c r="CC83" i="56"/>
  <c r="CB83" i="56"/>
  <c r="CA83" i="56"/>
  <c r="BZ83" i="56"/>
  <c r="BY83" i="56"/>
  <c r="BX83" i="56"/>
  <c r="BW83" i="56"/>
  <c r="BV83" i="56"/>
  <c r="BU83" i="56"/>
  <c r="BT83" i="56"/>
  <c r="BS83" i="56"/>
  <c r="BR83" i="56"/>
  <c r="BQ83" i="56"/>
  <c r="BP83" i="56"/>
  <c r="BO83" i="56"/>
  <c r="BN83" i="56"/>
  <c r="BM83" i="56"/>
  <c r="BL83" i="56"/>
  <c r="BK83" i="56"/>
  <c r="BJ83" i="56"/>
  <c r="BI83" i="56"/>
  <c r="BH83" i="56"/>
  <c r="BG83" i="56"/>
  <c r="BF83" i="56"/>
  <c r="BE83" i="56"/>
  <c r="BD83" i="56"/>
  <c r="BC83" i="56"/>
  <c r="BB83" i="56"/>
  <c r="BA83" i="56"/>
  <c r="AZ83" i="56"/>
  <c r="AY83" i="56"/>
  <c r="AX83" i="56"/>
  <c r="AW83" i="56"/>
  <c r="AV83" i="56"/>
  <c r="AU83" i="56"/>
  <c r="AT83" i="56"/>
  <c r="AS83" i="56"/>
  <c r="AR83" i="56"/>
  <c r="AQ83" i="56"/>
  <c r="AP83" i="56"/>
  <c r="AO83" i="56"/>
  <c r="AN83" i="56"/>
  <c r="AM83" i="56"/>
  <c r="AL83" i="56"/>
  <c r="AK83" i="56"/>
  <c r="AJ83" i="56"/>
  <c r="AI83" i="56"/>
  <c r="AH83" i="56"/>
  <c r="AG83" i="56"/>
  <c r="AF83" i="56"/>
  <c r="AE83" i="56"/>
  <c r="AD83" i="56"/>
  <c r="AC83" i="56"/>
  <c r="AB83" i="56"/>
  <c r="AA83" i="56"/>
  <c r="Z83" i="56"/>
  <c r="Y83" i="56"/>
  <c r="X83" i="56"/>
  <c r="W83" i="56"/>
  <c r="V83" i="56"/>
  <c r="U83" i="56"/>
  <c r="T83" i="56"/>
  <c r="S83" i="56"/>
  <c r="R83" i="56"/>
  <c r="Q83" i="56"/>
  <c r="P83" i="56"/>
  <c r="O83" i="56"/>
  <c r="N83" i="56"/>
  <c r="M83" i="56"/>
  <c r="L83" i="56"/>
  <c r="K83" i="56"/>
  <c r="J83" i="56"/>
  <c r="I83" i="56"/>
  <c r="H83" i="56"/>
  <c r="G83" i="56"/>
  <c r="F83" i="56"/>
  <c r="E83" i="56"/>
  <c r="D83" i="56"/>
  <c r="C83" i="56"/>
  <c r="B83" i="56"/>
  <c r="DQ82" i="56"/>
  <c r="DP82" i="56"/>
  <c r="DO82" i="56"/>
  <c r="DN82" i="56"/>
  <c r="DM82" i="56"/>
  <c r="DL82" i="56"/>
  <c r="DK82" i="56"/>
  <c r="DJ82" i="56"/>
  <c r="DI82" i="56"/>
  <c r="DH82" i="56"/>
  <c r="DG82" i="56"/>
  <c r="DF82" i="56"/>
  <c r="DE82" i="56"/>
  <c r="DD82" i="56"/>
  <c r="DC82" i="56"/>
  <c r="DB82" i="56"/>
  <c r="DA82" i="56"/>
  <c r="CZ82" i="56"/>
  <c r="CY82" i="56"/>
  <c r="CX82" i="56"/>
  <c r="CW82" i="56"/>
  <c r="CV82" i="56"/>
  <c r="CU82" i="56"/>
  <c r="CT82" i="56"/>
  <c r="CS82" i="56"/>
  <c r="CR82" i="56"/>
  <c r="CQ82" i="56"/>
  <c r="CP82" i="56"/>
  <c r="CO82" i="56"/>
  <c r="CN82" i="56"/>
  <c r="CM82" i="56"/>
  <c r="CL82" i="56"/>
  <c r="CK82" i="56"/>
  <c r="CJ82" i="56"/>
  <c r="CI82" i="56"/>
  <c r="CH82" i="56"/>
  <c r="CG82" i="56"/>
  <c r="CF82" i="56"/>
  <c r="CE82" i="56"/>
  <c r="CD82" i="56"/>
  <c r="CC82" i="56"/>
  <c r="CB82" i="56"/>
  <c r="CA82" i="56"/>
  <c r="BZ82" i="56"/>
  <c r="BY82" i="56"/>
  <c r="BX82" i="56"/>
  <c r="BW82" i="56"/>
  <c r="BV82" i="56"/>
  <c r="BU82" i="56"/>
  <c r="BT82" i="56"/>
  <c r="BS82" i="56"/>
  <c r="BR82" i="56"/>
  <c r="BQ82" i="56"/>
  <c r="BP82" i="56"/>
  <c r="BO82" i="56"/>
  <c r="BN82" i="56"/>
  <c r="BM82" i="56"/>
  <c r="BL82" i="56"/>
  <c r="BK82" i="56"/>
  <c r="BJ82" i="56"/>
  <c r="BI82" i="56"/>
  <c r="BH82" i="56"/>
  <c r="BG82" i="56"/>
  <c r="BF82" i="56"/>
  <c r="BE82" i="56"/>
  <c r="BD82" i="56"/>
  <c r="BC82" i="56"/>
  <c r="BB82" i="56"/>
  <c r="BA82" i="56"/>
  <c r="AZ82" i="56"/>
  <c r="AY82" i="56"/>
  <c r="AX82" i="56"/>
  <c r="AW82" i="56"/>
  <c r="AV82" i="56"/>
  <c r="AU82" i="56"/>
  <c r="AT82" i="56"/>
  <c r="AS82" i="56"/>
  <c r="AR82" i="56"/>
  <c r="AQ82" i="56"/>
  <c r="AP82" i="56"/>
  <c r="AO82" i="56"/>
  <c r="AN82" i="56"/>
  <c r="AM82" i="56"/>
  <c r="AL82" i="56"/>
  <c r="AK82" i="56"/>
  <c r="AJ82" i="56"/>
  <c r="AI82" i="56"/>
  <c r="AH82" i="56"/>
  <c r="AG82" i="56"/>
  <c r="AF82" i="56"/>
  <c r="AE82" i="56"/>
  <c r="AD82" i="56"/>
  <c r="AC82" i="56"/>
  <c r="AB82" i="56"/>
  <c r="AA82" i="56"/>
  <c r="Z82" i="56"/>
  <c r="Y82" i="56"/>
  <c r="X82" i="56"/>
  <c r="W82" i="56"/>
  <c r="V82" i="56"/>
  <c r="U82" i="56"/>
  <c r="T82" i="56"/>
  <c r="S82" i="56"/>
  <c r="R82" i="56"/>
  <c r="Q82" i="56"/>
  <c r="P82" i="56"/>
  <c r="O82" i="56"/>
  <c r="N82" i="56"/>
  <c r="M82" i="56"/>
  <c r="L82" i="56"/>
  <c r="K82" i="56"/>
  <c r="J82" i="56"/>
  <c r="I82" i="56"/>
  <c r="H82" i="56"/>
  <c r="G82" i="56"/>
  <c r="F82" i="56"/>
  <c r="E82" i="56"/>
  <c r="D82" i="56"/>
  <c r="C82" i="56"/>
  <c r="B82" i="56"/>
  <c r="DQ81" i="56"/>
  <c r="DP81" i="56"/>
  <c r="DO81" i="56"/>
  <c r="DN81" i="56"/>
  <c r="DM81" i="56"/>
  <c r="DL81" i="56"/>
  <c r="DK81" i="56"/>
  <c r="DJ81" i="56"/>
  <c r="DI81" i="56"/>
  <c r="DH81" i="56"/>
  <c r="DG81" i="56"/>
  <c r="DF81" i="56"/>
  <c r="DE81" i="56"/>
  <c r="DD81" i="56"/>
  <c r="DC81" i="56"/>
  <c r="DB81" i="56"/>
  <c r="DA81" i="56"/>
  <c r="CZ81" i="56"/>
  <c r="CY81" i="56"/>
  <c r="CX81" i="56"/>
  <c r="CW81" i="56"/>
  <c r="CV81" i="56"/>
  <c r="CU81" i="56"/>
  <c r="CT81" i="56"/>
  <c r="CS81" i="56"/>
  <c r="CR81" i="56"/>
  <c r="CQ81" i="56"/>
  <c r="CP81" i="56"/>
  <c r="CO81" i="56"/>
  <c r="CN81" i="56"/>
  <c r="CM81" i="56"/>
  <c r="CL81" i="56"/>
  <c r="CK81" i="56"/>
  <c r="CJ81" i="56"/>
  <c r="CI81" i="56"/>
  <c r="CH81" i="56"/>
  <c r="CG81" i="56"/>
  <c r="CF81" i="56"/>
  <c r="CE81" i="56"/>
  <c r="CD81" i="56"/>
  <c r="CC81" i="56"/>
  <c r="CB81" i="56"/>
  <c r="CA81" i="56"/>
  <c r="BZ81" i="56"/>
  <c r="BY81" i="56"/>
  <c r="BX81" i="56"/>
  <c r="BW81" i="56"/>
  <c r="BV81" i="56"/>
  <c r="BU81" i="56"/>
  <c r="BT81" i="56"/>
  <c r="BS81" i="56"/>
  <c r="BR81" i="56"/>
  <c r="BQ81" i="56"/>
  <c r="BP81" i="56"/>
  <c r="BO81" i="56"/>
  <c r="BN81" i="56"/>
  <c r="BM81" i="56"/>
  <c r="BL81" i="56"/>
  <c r="BK81" i="56"/>
  <c r="BJ81" i="56"/>
  <c r="BI81" i="56"/>
  <c r="BH81" i="56"/>
  <c r="BG81" i="56"/>
  <c r="BF81" i="56"/>
  <c r="BE81" i="56"/>
  <c r="BD81" i="56"/>
  <c r="BC81" i="56"/>
  <c r="BB81" i="56"/>
  <c r="BA81" i="56"/>
  <c r="AZ81" i="56"/>
  <c r="AY81" i="56"/>
  <c r="AX81" i="56"/>
  <c r="AW81" i="56"/>
  <c r="AV81" i="56"/>
  <c r="AU81" i="56"/>
  <c r="AT81" i="56"/>
  <c r="AS81" i="56"/>
  <c r="AR81" i="56"/>
  <c r="AQ81" i="56"/>
  <c r="AP81" i="56"/>
  <c r="AO81" i="56"/>
  <c r="AN81" i="56"/>
  <c r="AM81" i="56"/>
  <c r="AL81" i="56"/>
  <c r="AK81" i="56"/>
  <c r="AJ81" i="56"/>
  <c r="AI81" i="56"/>
  <c r="AH81" i="56"/>
  <c r="AG81" i="56"/>
  <c r="AF81" i="56"/>
  <c r="AE81" i="56"/>
  <c r="AD81" i="56"/>
  <c r="AC81" i="56"/>
  <c r="AB81" i="56"/>
  <c r="AA81" i="56"/>
  <c r="Z81" i="56"/>
  <c r="Y81" i="56"/>
  <c r="X81" i="56"/>
  <c r="W81" i="56"/>
  <c r="V81" i="56"/>
  <c r="U81" i="56"/>
  <c r="T81" i="56"/>
  <c r="S81" i="56"/>
  <c r="R81" i="56"/>
  <c r="Q81" i="56"/>
  <c r="P81" i="56"/>
  <c r="O81" i="56"/>
  <c r="N81" i="56"/>
  <c r="M81" i="56"/>
  <c r="L81" i="56"/>
  <c r="K81" i="56"/>
  <c r="J81" i="56"/>
  <c r="I81" i="56"/>
  <c r="H81" i="56"/>
  <c r="G81" i="56"/>
  <c r="F81" i="56"/>
  <c r="E81" i="56"/>
  <c r="D81" i="56"/>
  <c r="C81" i="56"/>
  <c r="B81" i="56"/>
  <c r="DQ80" i="56"/>
  <c r="DP80" i="56"/>
  <c r="DO80" i="56"/>
  <c r="DN80" i="56"/>
  <c r="DM80" i="56"/>
  <c r="DL80" i="56"/>
  <c r="DK80" i="56"/>
  <c r="DJ80" i="56"/>
  <c r="DI80" i="56"/>
  <c r="DH80" i="56"/>
  <c r="DG80" i="56"/>
  <c r="DF80" i="56"/>
  <c r="DE80" i="56"/>
  <c r="DD80" i="56"/>
  <c r="DC80" i="56"/>
  <c r="DB80" i="56"/>
  <c r="DA80" i="56"/>
  <c r="CZ80" i="56"/>
  <c r="CY80" i="56"/>
  <c r="CX80" i="56"/>
  <c r="CW80" i="56"/>
  <c r="CV80" i="56"/>
  <c r="CU80" i="56"/>
  <c r="CT80" i="56"/>
  <c r="CS80" i="56"/>
  <c r="CR80" i="56"/>
  <c r="CQ80" i="56"/>
  <c r="CP80" i="56"/>
  <c r="CO80" i="56"/>
  <c r="CN80" i="56"/>
  <c r="CM80" i="56"/>
  <c r="CL80" i="56"/>
  <c r="CK80" i="56"/>
  <c r="CJ80" i="56"/>
  <c r="CI80" i="56"/>
  <c r="CH80" i="56"/>
  <c r="CG80" i="56"/>
  <c r="CF80" i="56"/>
  <c r="CE80" i="56"/>
  <c r="CD80" i="56"/>
  <c r="CC80" i="56"/>
  <c r="CB80" i="56"/>
  <c r="CA80" i="56"/>
  <c r="BZ80" i="56"/>
  <c r="BY80" i="56"/>
  <c r="BX80" i="56"/>
  <c r="BW80" i="56"/>
  <c r="BV80" i="56"/>
  <c r="BU80" i="56"/>
  <c r="BT80" i="56"/>
  <c r="BS80" i="56"/>
  <c r="BR80" i="56"/>
  <c r="BQ80" i="56"/>
  <c r="BP80" i="56"/>
  <c r="BO80" i="56"/>
  <c r="BN80" i="56"/>
  <c r="BM80" i="56"/>
  <c r="BL80" i="56"/>
  <c r="BK80" i="56"/>
  <c r="BJ80" i="56"/>
  <c r="BI80" i="56"/>
  <c r="BH80" i="56"/>
  <c r="BG80" i="56"/>
  <c r="BF80" i="56"/>
  <c r="BE80" i="56"/>
  <c r="BD80" i="56"/>
  <c r="BC80" i="56"/>
  <c r="BB80" i="56"/>
  <c r="BA80" i="56"/>
  <c r="AZ80" i="56"/>
  <c r="AY80" i="56"/>
  <c r="AX80" i="56"/>
  <c r="AW80" i="56"/>
  <c r="AV80" i="56"/>
  <c r="AU80" i="56"/>
  <c r="AT80" i="56"/>
  <c r="AS80" i="56"/>
  <c r="AR80" i="56"/>
  <c r="AQ80" i="56"/>
  <c r="AP80" i="56"/>
  <c r="AO80" i="56"/>
  <c r="AN80" i="56"/>
  <c r="AM80" i="56"/>
  <c r="AL80" i="56"/>
  <c r="AK80" i="56"/>
  <c r="AJ80" i="56"/>
  <c r="AI80" i="56"/>
  <c r="AH80" i="56"/>
  <c r="AG80" i="56"/>
  <c r="AF80" i="56"/>
  <c r="AE80" i="56"/>
  <c r="AD80" i="56"/>
  <c r="AC80" i="56"/>
  <c r="AB80" i="56"/>
  <c r="AA80" i="56"/>
  <c r="Z80" i="56"/>
  <c r="Y80" i="56"/>
  <c r="X80" i="56"/>
  <c r="W80" i="56"/>
  <c r="V80" i="56"/>
  <c r="U80" i="56"/>
  <c r="T80" i="56"/>
  <c r="S80" i="56"/>
  <c r="R80" i="56"/>
  <c r="Q80" i="56"/>
  <c r="P80" i="56"/>
  <c r="O80" i="56"/>
  <c r="N80" i="56"/>
  <c r="M80" i="56"/>
  <c r="L80" i="56"/>
  <c r="K80" i="56"/>
  <c r="J80" i="56"/>
  <c r="I80" i="56"/>
  <c r="H80" i="56"/>
  <c r="G80" i="56"/>
  <c r="F80" i="56"/>
  <c r="E80" i="56"/>
  <c r="D80" i="56"/>
  <c r="C80" i="56"/>
  <c r="B80" i="56"/>
  <c r="DQ79" i="56"/>
  <c r="DP79" i="56"/>
  <c r="DO79" i="56"/>
  <c r="DN79" i="56"/>
  <c r="DM79" i="56"/>
  <c r="DL79" i="56"/>
  <c r="DK79" i="56"/>
  <c r="DJ79" i="56"/>
  <c r="DI79" i="56"/>
  <c r="DH79" i="56"/>
  <c r="DG79" i="56"/>
  <c r="DF79" i="56"/>
  <c r="DE79" i="56"/>
  <c r="DD79" i="56"/>
  <c r="DC79" i="56"/>
  <c r="DB79" i="56"/>
  <c r="DA79" i="56"/>
  <c r="CZ79" i="56"/>
  <c r="CY79" i="56"/>
  <c r="CX79" i="56"/>
  <c r="CW79" i="56"/>
  <c r="CV79" i="56"/>
  <c r="CU79" i="56"/>
  <c r="CT79" i="56"/>
  <c r="CS79" i="56"/>
  <c r="CR79" i="56"/>
  <c r="CQ79" i="56"/>
  <c r="CP79" i="56"/>
  <c r="CO79" i="56"/>
  <c r="CN79" i="56"/>
  <c r="CM79" i="56"/>
  <c r="CL79" i="56"/>
  <c r="CK79" i="56"/>
  <c r="CJ79" i="56"/>
  <c r="CI79" i="56"/>
  <c r="CH79" i="56"/>
  <c r="CG79" i="56"/>
  <c r="CF79" i="56"/>
  <c r="CE79" i="56"/>
  <c r="CD79" i="56"/>
  <c r="CC79" i="56"/>
  <c r="CB79" i="56"/>
  <c r="CA79" i="56"/>
  <c r="BZ79" i="56"/>
  <c r="BY79" i="56"/>
  <c r="BX79" i="56"/>
  <c r="BW79" i="56"/>
  <c r="BV79" i="56"/>
  <c r="BU79" i="56"/>
  <c r="BT79" i="56"/>
  <c r="BS79" i="56"/>
  <c r="BR79" i="56"/>
  <c r="BQ79" i="56"/>
  <c r="BP79" i="56"/>
  <c r="BO79" i="56"/>
  <c r="BN79" i="56"/>
  <c r="BM79" i="56"/>
  <c r="BL79" i="56"/>
  <c r="BK79" i="56"/>
  <c r="BJ79" i="56"/>
  <c r="BI79" i="56"/>
  <c r="BH79" i="56"/>
  <c r="BG79" i="56"/>
  <c r="BF79" i="56"/>
  <c r="BE79" i="56"/>
  <c r="BD79" i="56"/>
  <c r="BC79" i="56"/>
  <c r="BB79" i="56"/>
  <c r="BA79" i="56"/>
  <c r="AZ79" i="56"/>
  <c r="AY79" i="56"/>
  <c r="AX79" i="56"/>
  <c r="AW79" i="56"/>
  <c r="AV79" i="56"/>
  <c r="AU79" i="56"/>
  <c r="AT79" i="56"/>
  <c r="AS79" i="56"/>
  <c r="AR79" i="56"/>
  <c r="AQ79" i="56"/>
  <c r="AP79" i="56"/>
  <c r="AO79" i="56"/>
  <c r="AN79" i="56"/>
  <c r="AM79" i="56"/>
  <c r="AL79" i="56"/>
  <c r="AK79" i="56"/>
  <c r="AJ79" i="56"/>
  <c r="AI79" i="56"/>
  <c r="AH79" i="56"/>
  <c r="AG79" i="56"/>
  <c r="AF79" i="56"/>
  <c r="AE79" i="56"/>
  <c r="AD79" i="56"/>
  <c r="AC79" i="56"/>
  <c r="AB79" i="56"/>
  <c r="AA79" i="56"/>
  <c r="Z79" i="56"/>
  <c r="Y79" i="56"/>
  <c r="X79" i="56"/>
  <c r="W79" i="56"/>
  <c r="V79" i="56"/>
  <c r="U79" i="56"/>
  <c r="T79" i="56"/>
  <c r="S79" i="56"/>
  <c r="R79" i="56"/>
  <c r="Q79" i="56"/>
  <c r="P79" i="56"/>
  <c r="O79" i="56"/>
  <c r="N79" i="56"/>
  <c r="M79" i="56"/>
  <c r="L79" i="56"/>
  <c r="K79" i="56"/>
  <c r="J79" i="56"/>
  <c r="I79" i="56"/>
  <c r="H79" i="56"/>
  <c r="G79" i="56"/>
  <c r="F79" i="56"/>
  <c r="E79" i="56"/>
  <c r="D79" i="56"/>
  <c r="C79" i="56"/>
  <c r="B79" i="56"/>
  <c r="DQ78" i="56"/>
  <c r="DP78" i="56"/>
  <c r="DO78" i="56"/>
  <c r="DN78" i="56"/>
  <c r="DM78" i="56"/>
  <c r="DL78" i="56"/>
  <c r="DK78" i="56"/>
  <c r="DJ78" i="56"/>
  <c r="DI78" i="56"/>
  <c r="DH78" i="56"/>
  <c r="DG78" i="56"/>
  <c r="DF78" i="56"/>
  <c r="DE78" i="56"/>
  <c r="DD78" i="56"/>
  <c r="DC78" i="56"/>
  <c r="DB78" i="56"/>
  <c r="DA78" i="56"/>
  <c r="CZ78" i="56"/>
  <c r="CY78" i="56"/>
  <c r="CX78" i="56"/>
  <c r="CW78" i="56"/>
  <c r="CV78" i="56"/>
  <c r="CU78" i="56"/>
  <c r="CT78" i="56"/>
  <c r="CS78" i="56"/>
  <c r="CR78" i="56"/>
  <c r="CQ78" i="56"/>
  <c r="CP78" i="56"/>
  <c r="CO78" i="56"/>
  <c r="CN78" i="56"/>
  <c r="CM78" i="56"/>
  <c r="CL78" i="56"/>
  <c r="CK78" i="56"/>
  <c r="CJ78" i="56"/>
  <c r="CI78" i="56"/>
  <c r="CH78" i="56"/>
  <c r="CG78" i="56"/>
  <c r="CF78" i="56"/>
  <c r="CE78" i="56"/>
  <c r="CD78" i="56"/>
  <c r="CC78" i="56"/>
  <c r="CB78" i="56"/>
  <c r="CA78" i="56"/>
  <c r="BZ78" i="56"/>
  <c r="BY78" i="56"/>
  <c r="BX78" i="56"/>
  <c r="BW78" i="56"/>
  <c r="BV78" i="56"/>
  <c r="BU78" i="56"/>
  <c r="BT78" i="56"/>
  <c r="BS78" i="56"/>
  <c r="BR78" i="56"/>
  <c r="BQ78" i="56"/>
  <c r="BP78" i="56"/>
  <c r="BO78" i="56"/>
  <c r="BN78" i="56"/>
  <c r="BM78" i="56"/>
  <c r="BL78" i="56"/>
  <c r="BK78" i="56"/>
  <c r="BJ78" i="56"/>
  <c r="BI78" i="56"/>
  <c r="BH78" i="56"/>
  <c r="BG78" i="56"/>
  <c r="BF78" i="56"/>
  <c r="BE78" i="56"/>
  <c r="BD78" i="56"/>
  <c r="BC78" i="56"/>
  <c r="BB78" i="56"/>
  <c r="BA78" i="56"/>
  <c r="AZ78" i="56"/>
  <c r="AY78" i="56"/>
  <c r="AX78" i="56"/>
  <c r="AW78" i="56"/>
  <c r="AV78" i="56"/>
  <c r="AU78" i="56"/>
  <c r="AT78" i="56"/>
  <c r="AS78" i="56"/>
  <c r="AR78" i="56"/>
  <c r="AQ78" i="56"/>
  <c r="AP78" i="56"/>
  <c r="AO78" i="56"/>
  <c r="AN78" i="56"/>
  <c r="AM78" i="56"/>
  <c r="AL78" i="56"/>
  <c r="AK78" i="56"/>
  <c r="AJ78" i="56"/>
  <c r="AI78" i="56"/>
  <c r="AH78" i="56"/>
  <c r="AG78" i="56"/>
  <c r="AF78" i="56"/>
  <c r="AE78" i="56"/>
  <c r="AD78" i="56"/>
  <c r="AC78" i="56"/>
  <c r="AB78" i="56"/>
  <c r="AA78" i="56"/>
  <c r="Z78" i="56"/>
  <c r="Y78" i="56"/>
  <c r="X78" i="56"/>
  <c r="W78" i="56"/>
  <c r="V78" i="56"/>
  <c r="U78" i="56"/>
  <c r="T78" i="56"/>
  <c r="S78" i="56"/>
  <c r="R78" i="56"/>
  <c r="Q78" i="56"/>
  <c r="P78" i="56"/>
  <c r="O78" i="56"/>
  <c r="N78" i="56"/>
  <c r="M78" i="56"/>
  <c r="L78" i="56"/>
  <c r="K78" i="56"/>
  <c r="J78" i="56"/>
  <c r="I78" i="56"/>
  <c r="H78" i="56"/>
  <c r="G78" i="56"/>
  <c r="F78" i="56"/>
  <c r="E78" i="56"/>
  <c r="D78" i="56"/>
  <c r="C78" i="56"/>
  <c r="B78" i="56"/>
  <c r="DQ77" i="56"/>
  <c r="DP77" i="56"/>
  <c r="DO77" i="56"/>
  <c r="DN77" i="56"/>
  <c r="DM77" i="56"/>
  <c r="DL77" i="56"/>
  <c r="DK77" i="56"/>
  <c r="DJ77" i="56"/>
  <c r="DI77" i="56"/>
  <c r="DH77" i="56"/>
  <c r="DG77" i="56"/>
  <c r="DF77" i="56"/>
  <c r="DE77" i="56"/>
  <c r="DD77" i="56"/>
  <c r="DC77" i="56"/>
  <c r="DB77" i="56"/>
  <c r="DA77" i="56"/>
  <c r="CZ77" i="56"/>
  <c r="CY77" i="56"/>
  <c r="CX77" i="56"/>
  <c r="CW77" i="56"/>
  <c r="CV77" i="56"/>
  <c r="CU77" i="56"/>
  <c r="CT77" i="56"/>
  <c r="CS77" i="56"/>
  <c r="CR77" i="56"/>
  <c r="CQ77" i="56"/>
  <c r="CP77" i="56"/>
  <c r="CO77" i="56"/>
  <c r="CN77" i="56"/>
  <c r="CM77" i="56"/>
  <c r="CL77" i="56"/>
  <c r="CK77" i="56"/>
  <c r="CJ77" i="56"/>
  <c r="CI77" i="56"/>
  <c r="CH77" i="56"/>
  <c r="CG77" i="56"/>
  <c r="CF77" i="56"/>
  <c r="CE77" i="56"/>
  <c r="CD77" i="56"/>
  <c r="CC77" i="56"/>
  <c r="CB77" i="56"/>
  <c r="CA77" i="56"/>
  <c r="BZ77" i="56"/>
  <c r="BY77" i="56"/>
  <c r="BX77" i="56"/>
  <c r="BW77" i="56"/>
  <c r="BV77" i="56"/>
  <c r="BU77" i="56"/>
  <c r="BT77" i="56"/>
  <c r="BS77" i="56"/>
  <c r="BR77" i="56"/>
  <c r="BQ77" i="56"/>
  <c r="BP77" i="56"/>
  <c r="BO77" i="56"/>
  <c r="BN77" i="56"/>
  <c r="BM77" i="56"/>
  <c r="BL77" i="56"/>
  <c r="BK77" i="56"/>
  <c r="BJ77" i="56"/>
  <c r="BI77" i="56"/>
  <c r="BH77" i="56"/>
  <c r="BG77" i="56"/>
  <c r="BF77" i="56"/>
  <c r="BE77" i="56"/>
  <c r="BD77" i="56"/>
  <c r="BC77" i="56"/>
  <c r="BB77" i="56"/>
  <c r="BA77" i="56"/>
  <c r="AZ77" i="56"/>
  <c r="AY77" i="56"/>
  <c r="AX77" i="56"/>
  <c r="AW77" i="56"/>
  <c r="AV77" i="56"/>
  <c r="AU77" i="56"/>
  <c r="AT77" i="56"/>
  <c r="AS77" i="56"/>
  <c r="AR77" i="56"/>
  <c r="AQ77" i="56"/>
  <c r="AP77" i="56"/>
  <c r="AO77" i="56"/>
  <c r="AN77" i="56"/>
  <c r="AM77" i="56"/>
  <c r="AL77" i="56"/>
  <c r="AK77" i="56"/>
  <c r="AJ77" i="56"/>
  <c r="AI77" i="56"/>
  <c r="AH77" i="56"/>
  <c r="AG77" i="56"/>
  <c r="AF77" i="56"/>
  <c r="AE77" i="56"/>
  <c r="AD77" i="56"/>
  <c r="AC77" i="56"/>
  <c r="AB77" i="56"/>
  <c r="AA77" i="56"/>
  <c r="Z77" i="56"/>
  <c r="Y77" i="56"/>
  <c r="X77" i="56"/>
  <c r="W77" i="56"/>
  <c r="V77" i="56"/>
  <c r="U77" i="56"/>
  <c r="T77" i="56"/>
  <c r="S77" i="56"/>
  <c r="R77" i="56"/>
  <c r="Q77" i="56"/>
  <c r="P77" i="56"/>
  <c r="O77" i="56"/>
  <c r="N77" i="56"/>
  <c r="M77" i="56"/>
  <c r="L77" i="56"/>
  <c r="K77" i="56"/>
  <c r="J77" i="56"/>
  <c r="I77" i="56"/>
  <c r="H77" i="56"/>
  <c r="G77" i="56"/>
  <c r="F77" i="56"/>
  <c r="E77" i="56"/>
  <c r="D77" i="56"/>
  <c r="C77" i="56"/>
  <c r="B77" i="56"/>
  <c r="DQ76" i="56"/>
  <c r="DP76" i="56"/>
  <c r="DO76" i="56"/>
  <c r="DN76" i="56"/>
  <c r="DM76" i="56"/>
  <c r="DL76" i="56"/>
  <c r="DK76" i="56"/>
  <c r="DJ76" i="56"/>
  <c r="DI76" i="56"/>
  <c r="DH76" i="56"/>
  <c r="DG76" i="56"/>
  <c r="DF76" i="56"/>
  <c r="DE76" i="56"/>
  <c r="DD76" i="56"/>
  <c r="DC76" i="56"/>
  <c r="DB76" i="56"/>
  <c r="DA76" i="56"/>
  <c r="CZ76" i="56"/>
  <c r="CY76" i="56"/>
  <c r="CX76" i="56"/>
  <c r="CW76" i="56"/>
  <c r="CV76" i="56"/>
  <c r="CU76" i="56"/>
  <c r="CT76" i="56"/>
  <c r="CS76" i="56"/>
  <c r="CR76" i="56"/>
  <c r="CQ76" i="56"/>
  <c r="CP76" i="56"/>
  <c r="CO76" i="56"/>
  <c r="CN76" i="56"/>
  <c r="CM76" i="56"/>
  <c r="CL76" i="56"/>
  <c r="CK76" i="56"/>
  <c r="CJ76" i="56"/>
  <c r="CI76" i="56"/>
  <c r="CH76" i="56"/>
  <c r="CG76" i="56"/>
  <c r="CF76" i="56"/>
  <c r="CE76" i="56"/>
  <c r="CD76" i="56"/>
  <c r="CC76" i="56"/>
  <c r="CB76" i="56"/>
  <c r="CA76" i="56"/>
  <c r="BZ76" i="56"/>
  <c r="BY76" i="56"/>
  <c r="BX76" i="56"/>
  <c r="BW76" i="56"/>
  <c r="BV76" i="56"/>
  <c r="BU76" i="56"/>
  <c r="BT76" i="56"/>
  <c r="BS76" i="56"/>
  <c r="BR76" i="56"/>
  <c r="BQ76" i="56"/>
  <c r="BP76" i="56"/>
  <c r="BO76" i="56"/>
  <c r="BN76" i="56"/>
  <c r="BM76" i="56"/>
  <c r="BL76" i="56"/>
  <c r="BK76" i="56"/>
  <c r="BJ76" i="56"/>
  <c r="BI76" i="56"/>
  <c r="BH76" i="56"/>
  <c r="BG76" i="56"/>
  <c r="BF76" i="56"/>
  <c r="BE76" i="56"/>
  <c r="BD76" i="56"/>
  <c r="BC76" i="56"/>
  <c r="BB76" i="56"/>
  <c r="BA76" i="56"/>
  <c r="AZ76" i="56"/>
  <c r="AY76" i="56"/>
  <c r="AX76" i="56"/>
  <c r="AW76" i="56"/>
  <c r="AV76" i="56"/>
  <c r="AU76" i="56"/>
  <c r="AT76" i="56"/>
  <c r="AS76" i="56"/>
  <c r="AR76" i="56"/>
  <c r="AQ76" i="56"/>
  <c r="AP76" i="56"/>
  <c r="AO76" i="56"/>
  <c r="AN76" i="56"/>
  <c r="AM76" i="56"/>
  <c r="AL76" i="56"/>
  <c r="AK76" i="56"/>
  <c r="AJ76" i="56"/>
  <c r="AI76" i="56"/>
  <c r="AH76" i="56"/>
  <c r="AG76" i="56"/>
  <c r="AF76" i="56"/>
  <c r="AE76" i="56"/>
  <c r="AD76" i="56"/>
  <c r="AC76" i="56"/>
  <c r="AB76" i="56"/>
  <c r="AA76" i="56"/>
  <c r="Z76" i="56"/>
  <c r="Y76" i="56"/>
  <c r="X76" i="56"/>
  <c r="W76" i="56"/>
  <c r="V76" i="56"/>
  <c r="U76" i="56"/>
  <c r="T76" i="56"/>
  <c r="S76" i="56"/>
  <c r="R76" i="56"/>
  <c r="Q76" i="56"/>
  <c r="P76" i="56"/>
  <c r="O76" i="56"/>
  <c r="N76" i="56"/>
  <c r="M76" i="56"/>
  <c r="L76" i="56"/>
  <c r="K76" i="56"/>
  <c r="J76" i="56"/>
  <c r="I76" i="56"/>
  <c r="H76" i="56"/>
  <c r="G76" i="56"/>
  <c r="F76" i="56"/>
  <c r="E76" i="56"/>
  <c r="D76" i="56"/>
  <c r="C76" i="56"/>
  <c r="B76" i="56"/>
  <c r="DQ75" i="56"/>
  <c r="DP75" i="56"/>
  <c r="DO75" i="56"/>
  <c r="DN75" i="56"/>
  <c r="DM75" i="56"/>
  <c r="DL75" i="56"/>
  <c r="DK75" i="56"/>
  <c r="DJ75" i="56"/>
  <c r="DI75" i="56"/>
  <c r="DH75" i="56"/>
  <c r="DG75" i="56"/>
  <c r="DF75" i="56"/>
  <c r="DE75" i="56"/>
  <c r="DD75" i="56"/>
  <c r="DC75" i="56"/>
  <c r="DB75" i="56"/>
  <c r="DA75" i="56"/>
  <c r="CZ75" i="56"/>
  <c r="CY75" i="56"/>
  <c r="CX75" i="56"/>
  <c r="CW75" i="56"/>
  <c r="CV75" i="56"/>
  <c r="CU75" i="56"/>
  <c r="CT75" i="56"/>
  <c r="CS75" i="56"/>
  <c r="CR75" i="56"/>
  <c r="CQ75" i="56"/>
  <c r="CP75" i="56"/>
  <c r="CO75" i="56"/>
  <c r="CN75" i="56"/>
  <c r="CM75" i="56"/>
  <c r="CL75" i="56"/>
  <c r="CK75" i="56"/>
  <c r="CJ75" i="56"/>
  <c r="CI75" i="56"/>
  <c r="CH75" i="56"/>
  <c r="CG75" i="56"/>
  <c r="CF75" i="56"/>
  <c r="CE75" i="56"/>
  <c r="CD75" i="56"/>
  <c r="CC75" i="56"/>
  <c r="CB75" i="56"/>
  <c r="CA75" i="56"/>
  <c r="BZ75" i="56"/>
  <c r="BY75" i="56"/>
  <c r="BX75" i="56"/>
  <c r="BW75" i="56"/>
  <c r="BV75" i="56"/>
  <c r="BU75" i="56"/>
  <c r="BT75" i="56"/>
  <c r="BS75" i="56"/>
  <c r="BR75" i="56"/>
  <c r="BQ75" i="56"/>
  <c r="BP75" i="56"/>
  <c r="BO75" i="56"/>
  <c r="BN75" i="56"/>
  <c r="BM75" i="56"/>
  <c r="BL75" i="56"/>
  <c r="BK75" i="56"/>
  <c r="BJ75" i="56"/>
  <c r="BI75" i="56"/>
  <c r="BH75" i="56"/>
  <c r="BG75" i="56"/>
  <c r="BF75" i="56"/>
  <c r="BE75" i="56"/>
  <c r="BD75" i="56"/>
  <c r="BC75" i="56"/>
  <c r="BB75" i="56"/>
  <c r="BA75" i="56"/>
  <c r="AZ75" i="56"/>
  <c r="AY75" i="56"/>
  <c r="AX75" i="56"/>
  <c r="AW75" i="56"/>
  <c r="AV75" i="56"/>
  <c r="AU75" i="56"/>
  <c r="AT75" i="56"/>
  <c r="AS75" i="56"/>
  <c r="AR75" i="56"/>
  <c r="AQ75" i="56"/>
  <c r="AP75" i="56"/>
  <c r="AO75" i="56"/>
  <c r="AN75" i="56"/>
  <c r="AM75" i="56"/>
  <c r="AL75" i="56"/>
  <c r="AK75" i="56"/>
  <c r="AJ75" i="56"/>
  <c r="AI75" i="56"/>
  <c r="AH75" i="56"/>
  <c r="AG75" i="56"/>
  <c r="AF75" i="56"/>
  <c r="AE75" i="56"/>
  <c r="AD75" i="56"/>
  <c r="AC75" i="56"/>
  <c r="AB75" i="56"/>
  <c r="AA75" i="56"/>
  <c r="Z75" i="56"/>
  <c r="Y75" i="56"/>
  <c r="X75" i="56"/>
  <c r="W75" i="56"/>
  <c r="V75" i="56"/>
  <c r="U75" i="56"/>
  <c r="T75" i="56"/>
  <c r="S75" i="56"/>
  <c r="R75" i="56"/>
  <c r="Q75" i="56"/>
  <c r="P75" i="56"/>
  <c r="O75" i="56"/>
  <c r="N75" i="56"/>
  <c r="M75" i="56"/>
  <c r="L75" i="56"/>
  <c r="K75" i="56"/>
  <c r="J75" i="56"/>
  <c r="I75" i="56"/>
  <c r="H75" i="56"/>
  <c r="G75" i="56"/>
  <c r="F75" i="56"/>
  <c r="E75" i="56"/>
  <c r="D75" i="56"/>
  <c r="C75" i="56"/>
  <c r="B75" i="56"/>
  <c r="DQ74" i="56"/>
  <c r="DP74" i="56"/>
  <c r="DO74" i="56"/>
  <c r="DN74" i="56"/>
  <c r="DM74" i="56"/>
  <c r="DL74" i="56"/>
  <c r="DK74" i="56"/>
  <c r="DJ74" i="56"/>
  <c r="DI74" i="56"/>
  <c r="DH74" i="56"/>
  <c r="DG74" i="56"/>
  <c r="DF74" i="56"/>
  <c r="DE74" i="56"/>
  <c r="DD74" i="56"/>
  <c r="DC74" i="56"/>
  <c r="DB74" i="56"/>
  <c r="DA74" i="56"/>
  <c r="CZ74" i="56"/>
  <c r="CY74" i="56"/>
  <c r="CX74" i="56"/>
  <c r="CW74" i="56"/>
  <c r="CV74" i="56"/>
  <c r="CU74" i="56"/>
  <c r="CT74" i="56"/>
  <c r="CS74" i="56"/>
  <c r="CR74" i="56"/>
  <c r="CQ74" i="56"/>
  <c r="CP74" i="56"/>
  <c r="CO74" i="56"/>
  <c r="CN74" i="56"/>
  <c r="CM74" i="56"/>
  <c r="CL74" i="56"/>
  <c r="CK74" i="56"/>
  <c r="CJ74" i="56"/>
  <c r="CI74" i="56"/>
  <c r="CH74" i="56"/>
  <c r="CG74" i="56"/>
  <c r="CF74" i="56"/>
  <c r="CE74" i="56"/>
  <c r="CD74" i="56"/>
  <c r="CC74" i="56"/>
  <c r="CB74" i="56"/>
  <c r="CA74" i="56"/>
  <c r="BZ74" i="56"/>
  <c r="BY74" i="56"/>
  <c r="BX74" i="56"/>
  <c r="BW74" i="56"/>
  <c r="BV74" i="56"/>
  <c r="BU74" i="56"/>
  <c r="BT74" i="56"/>
  <c r="BS74" i="56"/>
  <c r="BR74" i="56"/>
  <c r="BQ74" i="56"/>
  <c r="BP74" i="56"/>
  <c r="BO74" i="56"/>
  <c r="BN74" i="56"/>
  <c r="BM74" i="56"/>
  <c r="BL74" i="56"/>
  <c r="BK74" i="56"/>
  <c r="BJ74" i="56"/>
  <c r="BI74" i="56"/>
  <c r="BH74" i="56"/>
  <c r="BG74" i="56"/>
  <c r="BF74" i="56"/>
  <c r="BE74" i="56"/>
  <c r="BD74" i="56"/>
  <c r="BC74" i="56"/>
  <c r="BB74" i="56"/>
  <c r="BA74" i="56"/>
  <c r="AZ74" i="56"/>
  <c r="AY74" i="56"/>
  <c r="AX74" i="56"/>
  <c r="AW74" i="56"/>
  <c r="AV74" i="56"/>
  <c r="AU74" i="56"/>
  <c r="AT74" i="56"/>
  <c r="AS74" i="56"/>
  <c r="AR74" i="56"/>
  <c r="AQ74" i="56"/>
  <c r="AP74" i="56"/>
  <c r="AO74" i="56"/>
  <c r="AN74" i="56"/>
  <c r="AM74" i="56"/>
  <c r="AL74" i="56"/>
  <c r="AK74" i="56"/>
  <c r="AJ74" i="56"/>
  <c r="AI74" i="56"/>
  <c r="AH74" i="56"/>
  <c r="AG74" i="56"/>
  <c r="AF74" i="56"/>
  <c r="AE74" i="56"/>
  <c r="AD74" i="56"/>
  <c r="AC74" i="56"/>
  <c r="AB74" i="56"/>
  <c r="AA74" i="56"/>
  <c r="Z74" i="56"/>
  <c r="Y74" i="56"/>
  <c r="X74" i="56"/>
  <c r="W74" i="56"/>
  <c r="V74" i="56"/>
  <c r="U74" i="56"/>
  <c r="T74" i="56"/>
  <c r="S74" i="56"/>
  <c r="R74" i="56"/>
  <c r="Q74" i="56"/>
  <c r="P74" i="56"/>
  <c r="O74" i="56"/>
  <c r="N74" i="56"/>
  <c r="M74" i="56"/>
  <c r="L74" i="56"/>
  <c r="K74" i="56"/>
  <c r="J74" i="56"/>
  <c r="I74" i="56"/>
  <c r="H74" i="56"/>
  <c r="G74" i="56"/>
  <c r="F74" i="56"/>
  <c r="E74" i="56"/>
  <c r="D74" i="56"/>
  <c r="C74" i="56"/>
  <c r="B74" i="56"/>
  <c r="DQ73" i="56"/>
  <c r="DP73" i="56"/>
  <c r="DO73" i="56"/>
  <c r="DN73" i="56"/>
  <c r="DM73" i="56"/>
  <c r="DL73" i="56"/>
  <c r="DK73" i="56"/>
  <c r="DJ73" i="56"/>
  <c r="DI73" i="56"/>
  <c r="DH73" i="56"/>
  <c r="DG73" i="56"/>
  <c r="DF73" i="56"/>
  <c r="DE73" i="56"/>
  <c r="DD73" i="56"/>
  <c r="DC73" i="56"/>
  <c r="DB73" i="56"/>
  <c r="DA73" i="56"/>
  <c r="CZ73" i="56"/>
  <c r="CY73" i="56"/>
  <c r="CX73" i="56"/>
  <c r="CW73" i="56"/>
  <c r="CV73" i="56"/>
  <c r="CU73" i="56"/>
  <c r="CT73" i="56"/>
  <c r="CS73" i="56"/>
  <c r="CR73" i="56"/>
  <c r="CQ73" i="56"/>
  <c r="CP73" i="56"/>
  <c r="CO73" i="56"/>
  <c r="CN73" i="56"/>
  <c r="CM73" i="56"/>
  <c r="CL73" i="56"/>
  <c r="CK73" i="56"/>
  <c r="CJ73" i="56"/>
  <c r="CI73" i="56"/>
  <c r="CH73" i="56"/>
  <c r="CG73" i="56"/>
  <c r="CF73" i="56"/>
  <c r="CE73" i="56"/>
  <c r="CD73" i="56"/>
  <c r="CC73" i="56"/>
  <c r="CB73" i="56"/>
  <c r="CA73" i="56"/>
  <c r="BZ73" i="56"/>
  <c r="BY73" i="56"/>
  <c r="BX73" i="56"/>
  <c r="BW73" i="56"/>
  <c r="BV73" i="56"/>
  <c r="BU73" i="56"/>
  <c r="BT73" i="56"/>
  <c r="BS73" i="56"/>
  <c r="BR73" i="56"/>
  <c r="BQ73" i="56"/>
  <c r="BP73" i="56"/>
  <c r="BO73" i="56"/>
  <c r="BN73" i="56"/>
  <c r="BM73" i="56"/>
  <c r="BL73" i="56"/>
  <c r="BK73" i="56"/>
  <c r="BJ73" i="56"/>
  <c r="BI73" i="56"/>
  <c r="BH73" i="56"/>
  <c r="BG73" i="56"/>
  <c r="BF73" i="56"/>
  <c r="BE73" i="56"/>
  <c r="BD73" i="56"/>
  <c r="BC73" i="56"/>
  <c r="BB73" i="56"/>
  <c r="BA73" i="56"/>
  <c r="AZ73" i="56"/>
  <c r="AY73" i="56"/>
  <c r="AX73" i="56"/>
  <c r="AW73" i="56"/>
  <c r="AV73" i="56"/>
  <c r="AU73" i="56"/>
  <c r="AT73" i="56"/>
  <c r="AS73" i="56"/>
  <c r="AR73" i="56"/>
  <c r="AQ73" i="56"/>
  <c r="AP73" i="56"/>
  <c r="AO73" i="56"/>
  <c r="AN73" i="56"/>
  <c r="AM73" i="56"/>
  <c r="AL73" i="56"/>
  <c r="AK73" i="56"/>
  <c r="AJ73" i="56"/>
  <c r="AI73" i="56"/>
  <c r="AH73" i="56"/>
  <c r="AG73" i="56"/>
  <c r="AF73" i="56"/>
  <c r="AE73" i="56"/>
  <c r="AD73" i="56"/>
  <c r="AC73" i="56"/>
  <c r="AB73" i="56"/>
  <c r="AA73" i="56"/>
  <c r="Z73" i="56"/>
  <c r="Y73" i="56"/>
  <c r="X73" i="56"/>
  <c r="W73" i="56"/>
  <c r="V73" i="56"/>
  <c r="U73" i="56"/>
  <c r="T73" i="56"/>
  <c r="S73" i="56"/>
  <c r="R73" i="56"/>
  <c r="Q73" i="56"/>
  <c r="P73" i="56"/>
  <c r="O73" i="56"/>
  <c r="N73" i="56"/>
  <c r="M73" i="56"/>
  <c r="L73" i="56"/>
  <c r="K73" i="56"/>
  <c r="J73" i="56"/>
  <c r="I73" i="56"/>
  <c r="H73" i="56"/>
  <c r="G73" i="56"/>
  <c r="F73" i="56"/>
  <c r="E73" i="56"/>
  <c r="D73" i="56"/>
  <c r="C73" i="56"/>
  <c r="B73" i="56"/>
  <c r="DQ72" i="56"/>
  <c r="DP72" i="56"/>
  <c r="DO72" i="56"/>
  <c r="DN72" i="56"/>
  <c r="DM72" i="56"/>
  <c r="DL72" i="56"/>
  <c r="DK72" i="56"/>
  <c r="DJ72" i="56"/>
  <c r="DI72" i="56"/>
  <c r="DH72" i="56"/>
  <c r="DG72" i="56"/>
  <c r="DF72" i="56"/>
  <c r="DE72" i="56"/>
  <c r="DD72" i="56"/>
  <c r="DC72" i="56"/>
  <c r="DB72" i="56"/>
  <c r="DA72" i="56"/>
  <c r="CZ72" i="56"/>
  <c r="CY72" i="56"/>
  <c r="CX72" i="56"/>
  <c r="CW72" i="56"/>
  <c r="CV72" i="56"/>
  <c r="CU72" i="56"/>
  <c r="CT72" i="56"/>
  <c r="CS72" i="56"/>
  <c r="CR72" i="56"/>
  <c r="CQ72" i="56"/>
  <c r="CP72" i="56"/>
  <c r="CO72" i="56"/>
  <c r="CN72" i="56"/>
  <c r="CM72" i="56"/>
  <c r="CL72" i="56"/>
  <c r="CK72" i="56"/>
  <c r="CJ72" i="56"/>
  <c r="CI72" i="56"/>
  <c r="CH72" i="56"/>
  <c r="CG72" i="56"/>
  <c r="CF72" i="56"/>
  <c r="CE72" i="56"/>
  <c r="CD72" i="56"/>
  <c r="CC72" i="56"/>
  <c r="CB72" i="56"/>
  <c r="CA72" i="56"/>
  <c r="BZ72" i="56"/>
  <c r="BY72" i="56"/>
  <c r="BX72" i="56"/>
  <c r="BW72" i="56"/>
  <c r="BV72" i="56"/>
  <c r="BU72" i="56"/>
  <c r="BT72" i="56"/>
  <c r="BS72" i="56"/>
  <c r="BR72" i="56"/>
  <c r="BQ72" i="56"/>
  <c r="BP72" i="56"/>
  <c r="BO72" i="56"/>
  <c r="BN72" i="56"/>
  <c r="BM72" i="56"/>
  <c r="BL72" i="56"/>
  <c r="BK72" i="56"/>
  <c r="BJ72" i="56"/>
  <c r="BI72" i="56"/>
  <c r="BH72" i="56"/>
  <c r="BG72" i="56"/>
  <c r="BF72" i="56"/>
  <c r="BE72" i="56"/>
  <c r="BD72" i="56"/>
  <c r="BC72" i="56"/>
  <c r="BB72" i="56"/>
  <c r="BA72" i="56"/>
  <c r="AZ72" i="56"/>
  <c r="AY72" i="56"/>
  <c r="AX72" i="56"/>
  <c r="AW72" i="56"/>
  <c r="AV72" i="56"/>
  <c r="AU72" i="56"/>
  <c r="AT72" i="56"/>
  <c r="AS72" i="56"/>
  <c r="AR72" i="56"/>
  <c r="AQ72" i="56"/>
  <c r="AP72" i="56"/>
  <c r="AO72" i="56"/>
  <c r="AN72" i="56"/>
  <c r="AM72" i="56"/>
  <c r="AL72" i="56"/>
  <c r="AK72" i="56"/>
  <c r="AJ72" i="56"/>
  <c r="AI72" i="56"/>
  <c r="AH72" i="56"/>
  <c r="AG72" i="56"/>
  <c r="AF72" i="56"/>
  <c r="AE72" i="56"/>
  <c r="AD72" i="56"/>
  <c r="AC72" i="56"/>
  <c r="AB72" i="56"/>
  <c r="AA72" i="56"/>
  <c r="Z72" i="56"/>
  <c r="Y72" i="56"/>
  <c r="X72" i="56"/>
  <c r="W72" i="56"/>
  <c r="V72" i="56"/>
  <c r="U72" i="56"/>
  <c r="T72" i="56"/>
  <c r="S72" i="56"/>
  <c r="R72" i="56"/>
  <c r="Q72" i="56"/>
  <c r="P72" i="56"/>
  <c r="O72" i="56"/>
  <c r="N72" i="56"/>
  <c r="M72" i="56"/>
  <c r="L72" i="56"/>
  <c r="K72" i="56"/>
  <c r="J72" i="56"/>
  <c r="I72" i="56"/>
  <c r="H72" i="56"/>
  <c r="G72" i="56"/>
  <c r="F72" i="56"/>
  <c r="E72" i="56"/>
  <c r="D72" i="56"/>
  <c r="C72" i="56"/>
  <c r="B72" i="56"/>
  <c r="DQ71" i="56"/>
  <c r="DP71" i="56"/>
  <c r="DO71" i="56"/>
  <c r="DN71" i="56"/>
  <c r="DM71" i="56"/>
  <c r="DL71" i="56"/>
  <c r="DK71" i="56"/>
  <c r="DJ71" i="56"/>
  <c r="DI71" i="56"/>
  <c r="DH71" i="56"/>
  <c r="DG71" i="56"/>
  <c r="DF71" i="56"/>
  <c r="DE71" i="56"/>
  <c r="DD71" i="56"/>
  <c r="DC71" i="56"/>
  <c r="DB71" i="56"/>
  <c r="DA71" i="56"/>
  <c r="CZ71" i="56"/>
  <c r="CY71" i="56"/>
  <c r="CX71" i="56"/>
  <c r="CW71" i="56"/>
  <c r="CV71" i="56"/>
  <c r="CU71" i="56"/>
  <c r="CT71" i="56"/>
  <c r="CS71" i="56"/>
  <c r="CR71" i="56"/>
  <c r="CQ71" i="56"/>
  <c r="CP71" i="56"/>
  <c r="CO71" i="56"/>
  <c r="CN71" i="56"/>
  <c r="CM71" i="56"/>
  <c r="CL71" i="56"/>
  <c r="CK71" i="56"/>
  <c r="CJ71" i="56"/>
  <c r="CI71" i="56"/>
  <c r="CH71" i="56"/>
  <c r="CG71" i="56"/>
  <c r="CF71" i="56"/>
  <c r="CE71" i="56"/>
  <c r="CD71" i="56"/>
  <c r="CC71" i="56"/>
  <c r="CB71" i="56"/>
  <c r="CA71" i="56"/>
  <c r="BZ71" i="56"/>
  <c r="BY71" i="56"/>
  <c r="BX71" i="56"/>
  <c r="BW71" i="56"/>
  <c r="BV71" i="56"/>
  <c r="BU71" i="56"/>
  <c r="BT71" i="56"/>
  <c r="BS71" i="56"/>
  <c r="BR71" i="56"/>
  <c r="BQ71" i="56"/>
  <c r="BP71" i="56"/>
  <c r="BO71" i="56"/>
  <c r="BN71" i="56"/>
  <c r="BM71" i="56"/>
  <c r="BL71" i="56"/>
  <c r="BK71" i="56"/>
  <c r="BJ71" i="56"/>
  <c r="BI71" i="56"/>
  <c r="BH71" i="56"/>
  <c r="BG71" i="56"/>
  <c r="BF71" i="56"/>
  <c r="BE71" i="56"/>
  <c r="BD71" i="56"/>
  <c r="BC71" i="56"/>
  <c r="BB71" i="56"/>
  <c r="BA71" i="56"/>
  <c r="AZ71" i="56"/>
  <c r="AY71" i="56"/>
  <c r="AX71" i="56"/>
  <c r="AW71" i="56"/>
  <c r="AV71" i="56"/>
  <c r="AU71" i="56"/>
  <c r="AT71" i="56"/>
  <c r="AS71" i="56"/>
  <c r="AR71" i="56"/>
  <c r="AQ71" i="56"/>
  <c r="AP71" i="56"/>
  <c r="AO71" i="56"/>
  <c r="AN71" i="56"/>
  <c r="AM71" i="56"/>
  <c r="AL71" i="56"/>
  <c r="AK71" i="56"/>
  <c r="AJ71" i="56"/>
  <c r="AI71" i="56"/>
  <c r="AH71" i="56"/>
  <c r="AG71" i="56"/>
  <c r="AF71" i="56"/>
  <c r="AE71" i="56"/>
  <c r="AD71" i="56"/>
  <c r="AC71" i="56"/>
  <c r="AB71" i="56"/>
  <c r="AA71" i="56"/>
  <c r="Z71" i="56"/>
  <c r="Y71" i="56"/>
  <c r="X71" i="56"/>
  <c r="W71" i="56"/>
  <c r="V71" i="56"/>
  <c r="U71" i="56"/>
  <c r="T71" i="56"/>
  <c r="S71" i="56"/>
  <c r="R71" i="56"/>
  <c r="Q71" i="56"/>
  <c r="P71" i="56"/>
  <c r="O71" i="56"/>
  <c r="N71" i="56"/>
  <c r="M71" i="56"/>
  <c r="L71" i="56"/>
  <c r="K71" i="56"/>
  <c r="J71" i="56"/>
  <c r="I71" i="56"/>
  <c r="H71" i="56"/>
  <c r="G71" i="56"/>
  <c r="F71" i="56"/>
  <c r="E71" i="56"/>
  <c r="D71" i="56"/>
  <c r="C71" i="56"/>
  <c r="B71" i="56"/>
  <c r="DQ70" i="56"/>
  <c r="DP70" i="56"/>
  <c r="DO70" i="56"/>
  <c r="DN70" i="56"/>
  <c r="DM70" i="56"/>
  <c r="DL70" i="56"/>
  <c r="DK70" i="56"/>
  <c r="DJ70" i="56"/>
  <c r="DI70" i="56"/>
  <c r="DH70" i="56"/>
  <c r="DG70" i="56"/>
  <c r="DF70" i="56"/>
  <c r="DE70" i="56"/>
  <c r="DD70" i="56"/>
  <c r="DC70" i="56"/>
  <c r="DB70" i="56"/>
  <c r="DA70" i="56"/>
  <c r="CZ70" i="56"/>
  <c r="CY70" i="56"/>
  <c r="CX70" i="56"/>
  <c r="CW70" i="56"/>
  <c r="CV70" i="56"/>
  <c r="CU70" i="56"/>
  <c r="CT70" i="56"/>
  <c r="CS70" i="56"/>
  <c r="CR70" i="56"/>
  <c r="CQ70" i="56"/>
  <c r="CP70" i="56"/>
  <c r="CO70" i="56"/>
  <c r="CN70" i="56"/>
  <c r="CM70" i="56"/>
  <c r="CL70" i="56"/>
  <c r="CK70" i="56"/>
  <c r="CJ70" i="56"/>
  <c r="CI70" i="56"/>
  <c r="CH70" i="56"/>
  <c r="CG70" i="56"/>
  <c r="CF70" i="56"/>
  <c r="CE70" i="56"/>
  <c r="CD70" i="56"/>
  <c r="CC70" i="56"/>
  <c r="CB70" i="56"/>
  <c r="CA70" i="56"/>
  <c r="BZ70" i="56"/>
  <c r="BY70" i="56"/>
  <c r="BX70" i="56"/>
  <c r="BW70" i="56"/>
  <c r="BV70" i="56"/>
  <c r="BU70" i="56"/>
  <c r="BT70" i="56"/>
  <c r="BS70" i="56"/>
  <c r="BR70" i="56"/>
  <c r="BQ70" i="56"/>
  <c r="BP70" i="56"/>
  <c r="BO70" i="56"/>
  <c r="BN70" i="56"/>
  <c r="BM70" i="56"/>
  <c r="BL70" i="56"/>
  <c r="BK70" i="56"/>
  <c r="BJ70" i="56"/>
  <c r="BI70" i="56"/>
  <c r="BH70" i="56"/>
  <c r="BG70" i="56"/>
  <c r="BF70" i="56"/>
  <c r="BE70" i="56"/>
  <c r="BD70" i="56"/>
  <c r="BC70" i="56"/>
  <c r="BB70" i="56"/>
  <c r="BA70" i="56"/>
  <c r="AZ70" i="56"/>
  <c r="AY70" i="56"/>
  <c r="AX70" i="56"/>
  <c r="AW70" i="56"/>
  <c r="AV70" i="56"/>
  <c r="AU70" i="56"/>
  <c r="AT70" i="56"/>
  <c r="AS70" i="56"/>
  <c r="AR70" i="56"/>
  <c r="AQ70" i="56"/>
  <c r="AP70" i="56"/>
  <c r="AO70" i="56"/>
  <c r="AN70" i="56"/>
  <c r="AM70" i="56"/>
  <c r="AL70" i="56"/>
  <c r="AK70" i="56"/>
  <c r="AJ70" i="56"/>
  <c r="AI70" i="56"/>
  <c r="AH70" i="56"/>
  <c r="AG70" i="56"/>
  <c r="AF70" i="56"/>
  <c r="AE70" i="56"/>
  <c r="AD70" i="56"/>
  <c r="AC70" i="56"/>
  <c r="AB70" i="56"/>
  <c r="AA70" i="56"/>
  <c r="Z70" i="56"/>
  <c r="Y70" i="56"/>
  <c r="X70" i="56"/>
  <c r="W70" i="56"/>
  <c r="V70" i="56"/>
  <c r="U70" i="56"/>
  <c r="T70" i="56"/>
  <c r="S70" i="56"/>
  <c r="R70" i="56"/>
  <c r="Q70" i="56"/>
  <c r="P70" i="56"/>
  <c r="O70" i="56"/>
  <c r="N70" i="56"/>
  <c r="M70" i="56"/>
  <c r="L70" i="56"/>
  <c r="K70" i="56"/>
  <c r="J70" i="56"/>
  <c r="I70" i="56"/>
  <c r="H70" i="56"/>
  <c r="G70" i="56"/>
  <c r="F70" i="56"/>
  <c r="E70" i="56"/>
  <c r="D70" i="56"/>
  <c r="C70" i="56"/>
  <c r="B70" i="56"/>
  <c r="DQ69" i="56"/>
  <c r="DP69" i="56"/>
  <c r="DO69" i="56"/>
  <c r="DN69" i="56"/>
  <c r="DM69" i="56"/>
  <c r="DL69" i="56"/>
  <c r="DK69" i="56"/>
  <c r="DJ69" i="56"/>
  <c r="DI69" i="56"/>
  <c r="DH69" i="56"/>
  <c r="DG69" i="56"/>
  <c r="DF69" i="56"/>
  <c r="DE69" i="56"/>
  <c r="DD69" i="56"/>
  <c r="DC69" i="56"/>
  <c r="DB69" i="56"/>
  <c r="DA69" i="56"/>
  <c r="CZ69" i="56"/>
  <c r="CY69" i="56"/>
  <c r="CX69" i="56"/>
  <c r="CW69" i="56"/>
  <c r="CV69" i="56"/>
  <c r="CU69" i="56"/>
  <c r="CT69" i="56"/>
  <c r="CS69" i="56"/>
  <c r="CR69" i="56"/>
  <c r="CQ69" i="56"/>
  <c r="CP69" i="56"/>
  <c r="CO69" i="56"/>
  <c r="CN69" i="56"/>
  <c r="CM69" i="56"/>
  <c r="CL69" i="56"/>
  <c r="CK69" i="56"/>
  <c r="CJ69" i="56"/>
  <c r="CI69" i="56"/>
  <c r="CH69" i="56"/>
  <c r="CG69" i="56"/>
  <c r="CF69" i="56"/>
  <c r="CE69" i="56"/>
  <c r="CD69" i="56"/>
  <c r="CC69" i="56"/>
  <c r="CB69" i="56"/>
  <c r="CA69" i="56"/>
  <c r="BZ69" i="56"/>
  <c r="BY69" i="56"/>
  <c r="BX69" i="56"/>
  <c r="BW69" i="56"/>
  <c r="BV69" i="56"/>
  <c r="BU69" i="56"/>
  <c r="BT69" i="56"/>
  <c r="BS69" i="56"/>
  <c r="BR69" i="56"/>
  <c r="BQ69" i="56"/>
  <c r="BP69" i="56"/>
  <c r="BO69" i="56"/>
  <c r="BN69" i="56"/>
  <c r="BM69" i="56"/>
  <c r="BL69" i="56"/>
  <c r="BK69" i="56"/>
  <c r="BJ69" i="56"/>
  <c r="BI69" i="56"/>
  <c r="BH69" i="56"/>
  <c r="BG69" i="56"/>
  <c r="BF69" i="56"/>
  <c r="BE69" i="56"/>
  <c r="BD69" i="56"/>
  <c r="BC69" i="56"/>
  <c r="BB69" i="56"/>
  <c r="BA69" i="56"/>
  <c r="AZ69" i="56"/>
  <c r="AY69" i="56"/>
  <c r="AX69" i="56"/>
  <c r="AW69" i="56"/>
  <c r="AV69" i="56"/>
  <c r="AU69" i="56"/>
  <c r="AT69" i="56"/>
  <c r="AS69" i="56"/>
  <c r="AR69" i="56"/>
  <c r="AQ69" i="56"/>
  <c r="AP69" i="56"/>
  <c r="AO69" i="56"/>
  <c r="AN69" i="56"/>
  <c r="AM69" i="56"/>
  <c r="AL69" i="56"/>
  <c r="AK69" i="56"/>
  <c r="AJ69" i="56"/>
  <c r="AI69" i="56"/>
  <c r="AH69" i="56"/>
  <c r="AG69" i="56"/>
  <c r="AF69" i="56"/>
  <c r="AE69" i="56"/>
  <c r="AD69" i="56"/>
  <c r="AC69" i="56"/>
  <c r="AB69" i="56"/>
  <c r="AA69" i="56"/>
  <c r="Z69" i="56"/>
  <c r="Y69" i="56"/>
  <c r="X69" i="56"/>
  <c r="W69" i="56"/>
  <c r="V69" i="56"/>
  <c r="U69" i="56"/>
  <c r="T69" i="56"/>
  <c r="S69" i="56"/>
  <c r="R69" i="56"/>
  <c r="Q69" i="56"/>
  <c r="P69" i="56"/>
  <c r="O69" i="56"/>
  <c r="N69" i="56"/>
  <c r="M69" i="56"/>
  <c r="L69" i="56"/>
  <c r="K69" i="56"/>
  <c r="J69" i="56"/>
  <c r="I69" i="56"/>
  <c r="H69" i="56"/>
  <c r="G69" i="56"/>
  <c r="F69" i="56"/>
  <c r="E69" i="56"/>
  <c r="D69" i="56"/>
  <c r="C69" i="56"/>
  <c r="B69" i="56"/>
  <c r="DQ68" i="56"/>
  <c r="DP68" i="56"/>
  <c r="DO68" i="56"/>
  <c r="DN68" i="56"/>
  <c r="DM68" i="56"/>
  <c r="DL68" i="56"/>
  <c r="DK68" i="56"/>
  <c r="DJ68" i="56"/>
  <c r="DI68" i="56"/>
  <c r="DH68" i="56"/>
  <c r="DG68" i="56"/>
  <c r="DF68" i="56"/>
  <c r="DE68" i="56"/>
  <c r="DD68" i="56"/>
  <c r="DC68" i="56"/>
  <c r="DB68" i="56"/>
  <c r="DA68" i="56"/>
  <c r="CZ68" i="56"/>
  <c r="CY68" i="56"/>
  <c r="CX68" i="56"/>
  <c r="CW68" i="56"/>
  <c r="CV68" i="56"/>
  <c r="CU68" i="56"/>
  <c r="CT68" i="56"/>
  <c r="CS68" i="56"/>
  <c r="CR68" i="56"/>
  <c r="CQ68" i="56"/>
  <c r="CP68" i="56"/>
  <c r="CO68" i="56"/>
  <c r="CN68" i="56"/>
  <c r="CM68" i="56"/>
  <c r="CL68" i="56"/>
  <c r="CK68" i="56"/>
  <c r="CJ68" i="56"/>
  <c r="CI68" i="56"/>
  <c r="CH68" i="56"/>
  <c r="CG68" i="56"/>
  <c r="CF68" i="56"/>
  <c r="CE68" i="56"/>
  <c r="CD68" i="56"/>
  <c r="CC68" i="56"/>
  <c r="CB68" i="56"/>
  <c r="CA68" i="56"/>
  <c r="BZ68" i="56"/>
  <c r="BY68" i="56"/>
  <c r="BX68" i="56"/>
  <c r="BW68" i="56"/>
  <c r="BV68" i="56"/>
  <c r="BU68" i="56"/>
  <c r="BT68" i="56"/>
  <c r="BS68" i="56"/>
  <c r="BR68" i="56"/>
  <c r="BQ68" i="56"/>
  <c r="BP68" i="56"/>
  <c r="BO68" i="56"/>
  <c r="BN68" i="56"/>
  <c r="BM68" i="56"/>
  <c r="BL68" i="56"/>
  <c r="BK68" i="56"/>
  <c r="BJ68" i="56"/>
  <c r="BI68" i="56"/>
  <c r="BH68" i="56"/>
  <c r="BG68" i="56"/>
  <c r="BF68" i="56"/>
  <c r="BE68" i="56"/>
  <c r="BD68" i="56"/>
  <c r="BC68" i="56"/>
  <c r="BB68" i="56"/>
  <c r="BA68" i="56"/>
  <c r="AZ68" i="56"/>
  <c r="AY68" i="56"/>
  <c r="AX68" i="56"/>
  <c r="AW68" i="56"/>
  <c r="AV68" i="56"/>
  <c r="AU68" i="56"/>
  <c r="AT68" i="56"/>
  <c r="AS68" i="56"/>
  <c r="AR68" i="56"/>
  <c r="AQ68" i="56"/>
  <c r="AP68" i="56"/>
  <c r="AO68" i="56"/>
  <c r="AN68" i="56"/>
  <c r="AM68" i="56"/>
  <c r="AL68" i="56"/>
  <c r="AK68" i="56"/>
  <c r="AJ68" i="56"/>
  <c r="AI68" i="56"/>
  <c r="AH68" i="56"/>
  <c r="AG68" i="56"/>
  <c r="AF68" i="56"/>
  <c r="AE68" i="56"/>
  <c r="AD68" i="56"/>
  <c r="AC68" i="56"/>
  <c r="AB68" i="56"/>
  <c r="AA68" i="56"/>
  <c r="Z68" i="56"/>
  <c r="Y68" i="56"/>
  <c r="X68" i="56"/>
  <c r="W68" i="56"/>
  <c r="V68" i="56"/>
  <c r="U68" i="56"/>
  <c r="T68" i="56"/>
  <c r="S68" i="56"/>
  <c r="R68" i="56"/>
  <c r="Q68" i="56"/>
  <c r="P68" i="56"/>
  <c r="O68" i="56"/>
  <c r="N68" i="56"/>
  <c r="M68" i="56"/>
  <c r="L68" i="56"/>
  <c r="K68" i="56"/>
  <c r="J68" i="56"/>
  <c r="I68" i="56"/>
  <c r="H68" i="56"/>
  <c r="G68" i="56"/>
  <c r="F68" i="56"/>
  <c r="E68" i="56"/>
  <c r="D68" i="56"/>
  <c r="C68" i="56"/>
  <c r="B68" i="56"/>
  <c r="DQ67" i="56"/>
  <c r="DP67" i="56"/>
  <c r="DO67" i="56"/>
  <c r="DN67" i="56"/>
  <c r="DM67" i="56"/>
  <c r="DL67" i="56"/>
  <c r="DK67" i="56"/>
  <c r="DJ67" i="56"/>
  <c r="DI67" i="56"/>
  <c r="DH67" i="56"/>
  <c r="DG67" i="56"/>
  <c r="DF67" i="56"/>
  <c r="DE67" i="56"/>
  <c r="DD67" i="56"/>
  <c r="DC67" i="56"/>
  <c r="DB67" i="56"/>
  <c r="DA67" i="56"/>
  <c r="CZ67" i="56"/>
  <c r="CY67" i="56"/>
  <c r="CX67" i="56"/>
  <c r="CW67" i="56"/>
  <c r="CV67" i="56"/>
  <c r="CU67" i="56"/>
  <c r="CT67" i="56"/>
  <c r="CS67" i="56"/>
  <c r="CR67" i="56"/>
  <c r="CQ67" i="56"/>
  <c r="CP67" i="56"/>
  <c r="CO67" i="56"/>
  <c r="CN67" i="56"/>
  <c r="CM67" i="56"/>
  <c r="CL67" i="56"/>
  <c r="CK67" i="56"/>
  <c r="CJ67" i="56"/>
  <c r="CI67" i="56"/>
  <c r="CH67" i="56"/>
  <c r="CG67" i="56"/>
  <c r="CF67" i="56"/>
  <c r="CE67" i="56"/>
  <c r="CD67" i="56"/>
  <c r="CC67" i="56"/>
  <c r="CB67" i="56"/>
  <c r="CA67" i="56"/>
  <c r="BZ67" i="56"/>
  <c r="BY67" i="56"/>
  <c r="BX67" i="56"/>
  <c r="BW67" i="56"/>
  <c r="BV67" i="56"/>
  <c r="BU67" i="56"/>
  <c r="BT67" i="56"/>
  <c r="BS67" i="56"/>
  <c r="BR67" i="56"/>
  <c r="BQ67" i="56"/>
  <c r="BP67" i="56"/>
  <c r="BO67" i="56"/>
  <c r="BN67" i="56"/>
  <c r="BM67" i="56"/>
  <c r="BL67" i="56"/>
  <c r="BK67" i="56"/>
  <c r="BJ67" i="56"/>
  <c r="BI67" i="56"/>
  <c r="BH67" i="56"/>
  <c r="BG67" i="56"/>
  <c r="BF67" i="56"/>
  <c r="BE67" i="56"/>
  <c r="BD67" i="56"/>
  <c r="BC67" i="56"/>
  <c r="BB67" i="56"/>
  <c r="BA67" i="56"/>
  <c r="AZ67" i="56"/>
  <c r="AY67" i="56"/>
  <c r="AX67" i="56"/>
  <c r="AW67" i="56"/>
  <c r="AV67" i="56"/>
  <c r="AU67" i="56"/>
  <c r="AT67" i="56"/>
  <c r="AS67" i="56"/>
  <c r="AR67" i="56"/>
  <c r="AQ67" i="56"/>
  <c r="AP67" i="56"/>
  <c r="AO67" i="56"/>
  <c r="AN67" i="56"/>
  <c r="AM67" i="56"/>
  <c r="AL67" i="56"/>
  <c r="AK67" i="56"/>
  <c r="AJ67" i="56"/>
  <c r="AI67" i="56"/>
  <c r="AH67" i="56"/>
  <c r="AG67" i="56"/>
  <c r="AF67" i="56"/>
  <c r="AE67" i="56"/>
  <c r="AD67" i="56"/>
  <c r="AC67" i="56"/>
  <c r="AB67" i="56"/>
  <c r="AA67" i="56"/>
  <c r="Z67" i="56"/>
  <c r="Y67" i="56"/>
  <c r="X67" i="56"/>
  <c r="W67" i="56"/>
  <c r="V67" i="56"/>
  <c r="U67" i="56"/>
  <c r="T67" i="56"/>
  <c r="S67" i="56"/>
  <c r="R67" i="56"/>
  <c r="Q67" i="56"/>
  <c r="P67" i="56"/>
  <c r="O67" i="56"/>
  <c r="N67" i="56"/>
  <c r="M67" i="56"/>
  <c r="L67" i="56"/>
  <c r="K67" i="56"/>
  <c r="J67" i="56"/>
  <c r="I67" i="56"/>
  <c r="H67" i="56"/>
  <c r="G67" i="56"/>
  <c r="F67" i="56"/>
  <c r="E67" i="56"/>
  <c r="D67" i="56"/>
  <c r="C67" i="56"/>
  <c r="B67" i="56"/>
  <c r="DQ66" i="56"/>
  <c r="DP66" i="56"/>
  <c r="DO66" i="56"/>
  <c r="DN66" i="56"/>
  <c r="DM66" i="56"/>
  <c r="DL66" i="56"/>
  <c r="DK66" i="56"/>
  <c r="DJ66" i="56"/>
  <c r="DI66" i="56"/>
  <c r="DH66" i="56"/>
  <c r="DG66" i="56"/>
  <c r="DF66" i="56"/>
  <c r="DE66" i="56"/>
  <c r="DD66" i="56"/>
  <c r="DC66" i="56"/>
  <c r="DB66" i="56"/>
  <c r="DA66" i="56"/>
  <c r="CZ66" i="56"/>
  <c r="CY66" i="56"/>
  <c r="CX66" i="56"/>
  <c r="CW66" i="56"/>
  <c r="CV66" i="56"/>
  <c r="CU66" i="56"/>
  <c r="CT66" i="56"/>
  <c r="CS66" i="56"/>
  <c r="CR66" i="56"/>
  <c r="CQ66" i="56"/>
  <c r="CP66" i="56"/>
  <c r="CO66" i="56"/>
  <c r="CN66" i="56"/>
  <c r="CM66" i="56"/>
  <c r="CL66" i="56"/>
  <c r="CK66" i="56"/>
  <c r="CJ66" i="56"/>
  <c r="CI66" i="56"/>
  <c r="CH66" i="56"/>
  <c r="CG66" i="56"/>
  <c r="CF66" i="56"/>
  <c r="CE66" i="56"/>
  <c r="CD66" i="56"/>
  <c r="CC66" i="56"/>
  <c r="CB66" i="56"/>
  <c r="CA66" i="56"/>
  <c r="BZ66" i="56"/>
  <c r="BY66" i="56"/>
  <c r="BX66" i="56"/>
  <c r="BW66" i="56"/>
  <c r="BV66" i="56"/>
  <c r="BU66" i="56"/>
  <c r="BT66" i="56"/>
  <c r="BS66" i="56"/>
  <c r="BR66" i="56"/>
  <c r="BQ66" i="56"/>
  <c r="BP66" i="56"/>
  <c r="BO66" i="56"/>
  <c r="BN66" i="56"/>
  <c r="BM66" i="56"/>
  <c r="BL66" i="56"/>
  <c r="BK66" i="56"/>
  <c r="BJ66" i="56"/>
  <c r="BI66" i="56"/>
  <c r="BH66" i="56"/>
  <c r="BG66" i="56"/>
  <c r="BF66" i="56"/>
  <c r="BE66" i="56"/>
  <c r="BD66" i="56"/>
  <c r="BC66" i="56"/>
  <c r="BB66" i="56"/>
  <c r="BA66" i="56"/>
  <c r="AZ66" i="56"/>
  <c r="AY66" i="56"/>
  <c r="AX66" i="56"/>
  <c r="AW66" i="56"/>
  <c r="AV66" i="56"/>
  <c r="AU66" i="56"/>
  <c r="AT66" i="56"/>
  <c r="AS66" i="56"/>
  <c r="AR66" i="56"/>
  <c r="AQ66" i="56"/>
  <c r="AP66" i="56"/>
  <c r="AO66" i="56"/>
  <c r="AN66" i="56"/>
  <c r="AM66" i="56"/>
  <c r="AL66" i="56"/>
  <c r="AK66" i="56"/>
  <c r="AJ66" i="56"/>
  <c r="AI66" i="56"/>
  <c r="AH66" i="56"/>
  <c r="AG66" i="56"/>
  <c r="AF66" i="56"/>
  <c r="AE66" i="56"/>
  <c r="AD66" i="56"/>
  <c r="AC66" i="56"/>
  <c r="AB66" i="56"/>
  <c r="AA66" i="56"/>
  <c r="Z66" i="56"/>
  <c r="Y66" i="56"/>
  <c r="X66" i="56"/>
  <c r="W66" i="56"/>
  <c r="V66" i="56"/>
  <c r="U66" i="56"/>
  <c r="T66" i="56"/>
  <c r="S66" i="56"/>
  <c r="R66" i="56"/>
  <c r="Q66" i="56"/>
  <c r="P66" i="56"/>
  <c r="O66" i="56"/>
  <c r="N66" i="56"/>
  <c r="M66" i="56"/>
  <c r="L66" i="56"/>
  <c r="K66" i="56"/>
  <c r="J66" i="56"/>
  <c r="I66" i="56"/>
  <c r="H66" i="56"/>
  <c r="G66" i="56"/>
  <c r="F66" i="56"/>
  <c r="E66" i="56"/>
  <c r="D66" i="56"/>
  <c r="C66" i="56"/>
  <c r="B66" i="56"/>
  <c r="DQ65" i="56"/>
  <c r="DP65" i="56"/>
  <c r="DO65" i="56"/>
  <c r="DN65" i="56"/>
  <c r="DM65" i="56"/>
  <c r="DL65" i="56"/>
  <c r="DK65" i="56"/>
  <c r="DJ65" i="56"/>
  <c r="DI65" i="56"/>
  <c r="DH65" i="56"/>
  <c r="DG65" i="56"/>
  <c r="DF65" i="56"/>
  <c r="DE65" i="56"/>
  <c r="DD65" i="56"/>
  <c r="DC65" i="56"/>
  <c r="DB65" i="56"/>
  <c r="DA65" i="56"/>
  <c r="CZ65" i="56"/>
  <c r="CY65" i="56"/>
  <c r="CX65" i="56"/>
  <c r="CW65" i="56"/>
  <c r="CV65" i="56"/>
  <c r="CU65" i="56"/>
  <c r="CT65" i="56"/>
  <c r="CS65" i="56"/>
  <c r="CR65" i="56"/>
  <c r="CQ65" i="56"/>
  <c r="CP65" i="56"/>
  <c r="CO65" i="56"/>
  <c r="CN65" i="56"/>
  <c r="CM65" i="56"/>
  <c r="CL65" i="56"/>
  <c r="CK65" i="56"/>
  <c r="CJ65" i="56"/>
  <c r="CI65" i="56"/>
  <c r="CH65" i="56"/>
  <c r="CG65" i="56"/>
  <c r="CF65" i="56"/>
  <c r="CE65" i="56"/>
  <c r="CD65" i="56"/>
  <c r="CC65" i="56"/>
  <c r="CB65" i="56"/>
  <c r="CA65" i="56"/>
  <c r="BZ65" i="56"/>
  <c r="BY65" i="56"/>
  <c r="BX65" i="56"/>
  <c r="BW65" i="56"/>
  <c r="BV65" i="56"/>
  <c r="BU65" i="56"/>
  <c r="BT65" i="56"/>
  <c r="BS65" i="56"/>
  <c r="BR65" i="56"/>
  <c r="BQ65" i="56"/>
  <c r="BP65" i="56"/>
  <c r="BO65" i="56"/>
  <c r="BN65" i="56"/>
  <c r="BM65" i="56"/>
  <c r="BL65" i="56"/>
  <c r="BK65" i="56"/>
  <c r="BJ65" i="56"/>
  <c r="BI65" i="56"/>
  <c r="BH65" i="56"/>
  <c r="BG65" i="56"/>
  <c r="BF65" i="56"/>
  <c r="BE65" i="56"/>
  <c r="BD65" i="56"/>
  <c r="BC65" i="56"/>
  <c r="BB65" i="56"/>
  <c r="BA65" i="56"/>
  <c r="AZ65" i="56"/>
  <c r="AY65" i="56"/>
  <c r="AX65" i="56"/>
  <c r="AW65" i="56"/>
  <c r="AV65" i="56"/>
  <c r="AU65" i="56"/>
  <c r="AT65" i="56"/>
  <c r="AS65" i="56"/>
  <c r="AR65" i="56"/>
  <c r="AQ65" i="56"/>
  <c r="AP65" i="56"/>
  <c r="AO65" i="56"/>
  <c r="AN65" i="56"/>
  <c r="AM65" i="56"/>
  <c r="AL65" i="56"/>
  <c r="AK65" i="56"/>
  <c r="AJ65" i="56"/>
  <c r="AI65" i="56"/>
  <c r="AH65" i="56"/>
  <c r="AG65" i="56"/>
  <c r="AF65" i="56"/>
  <c r="AE65" i="56"/>
  <c r="AD65" i="56"/>
  <c r="AC65" i="56"/>
  <c r="AB65" i="56"/>
  <c r="AA65" i="56"/>
  <c r="Z65" i="56"/>
  <c r="Y65" i="56"/>
  <c r="X65" i="56"/>
  <c r="W65" i="56"/>
  <c r="V65" i="56"/>
  <c r="U65" i="56"/>
  <c r="T65" i="56"/>
  <c r="S65" i="56"/>
  <c r="R65" i="56"/>
  <c r="Q65" i="56"/>
  <c r="P65" i="56"/>
  <c r="O65" i="56"/>
  <c r="N65" i="56"/>
  <c r="M65" i="56"/>
  <c r="L65" i="56"/>
  <c r="K65" i="56"/>
  <c r="J65" i="56"/>
  <c r="I65" i="56"/>
  <c r="H65" i="56"/>
  <c r="G65" i="56"/>
  <c r="F65" i="56"/>
  <c r="E65" i="56"/>
  <c r="D65" i="56"/>
  <c r="C65" i="56"/>
  <c r="B65" i="56"/>
  <c r="DQ64" i="56"/>
  <c r="DP64" i="56"/>
  <c r="DO64" i="56"/>
  <c r="DN64" i="56"/>
  <c r="DM64" i="56"/>
  <c r="DL64" i="56"/>
  <c r="DK64" i="56"/>
  <c r="DJ64" i="56"/>
  <c r="DI64" i="56"/>
  <c r="DH64" i="56"/>
  <c r="DG64" i="56"/>
  <c r="DF64" i="56"/>
  <c r="DE64" i="56"/>
  <c r="DD64" i="56"/>
  <c r="DC64" i="56"/>
  <c r="DB64" i="56"/>
  <c r="DA64" i="56"/>
  <c r="CZ64" i="56"/>
  <c r="CY64" i="56"/>
  <c r="CX64" i="56"/>
  <c r="CW64" i="56"/>
  <c r="CV64" i="56"/>
  <c r="CU64" i="56"/>
  <c r="CT64" i="56"/>
  <c r="CS64" i="56"/>
  <c r="CR64" i="56"/>
  <c r="CQ64" i="56"/>
  <c r="CP64" i="56"/>
  <c r="CO64" i="56"/>
  <c r="CN64" i="56"/>
  <c r="CM64" i="56"/>
  <c r="CL64" i="56"/>
  <c r="CK64" i="56"/>
  <c r="CJ64" i="56"/>
  <c r="CI64" i="56"/>
  <c r="CH64" i="56"/>
  <c r="CG64" i="56"/>
  <c r="CF64" i="56"/>
  <c r="CE64" i="56"/>
  <c r="CD64" i="56"/>
  <c r="CC64" i="56"/>
  <c r="CB64" i="56"/>
  <c r="CA64" i="56"/>
  <c r="BZ64" i="56"/>
  <c r="BY64" i="56"/>
  <c r="BX64" i="56"/>
  <c r="BW64" i="56"/>
  <c r="BV64" i="56"/>
  <c r="BU64" i="56"/>
  <c r="BT64" i="56"/>
  <c r="BS64" i="56"/>
  <c r="BR64" i="56"/>
  <c r="BQ64" i="56"/>
  <c r="BP64" i="56"/>
  <c r="BO64" i="56"/>
  <c r="BN64" i="56"/>
  <c r="BM64" i="56"/>
  <c r="BL64" i="56"/>
  <c r="BK64" i="56"/>
  <c r="BJ64" i="56"/>
  <c r="BI64" i="56"/>
  <c r="BH64" i="56"/>
  <c r="BG64" i="56"/>
  <c r="BF64" i="56"/>
  <c r="BE64" i="56"/>
  <c r="BD64" i="56"/>
  <c r="BC64" i="56"/>
  <c r="BB64" i="56"/>
  <c r="BA64" i="56"/>
  <c r="AZ64" i="56"/>
  <c r="AY64" i="56"/>
  <c r="AX64" i="56"/>
  <c r="AW64" i="56"/>
  <c r="AV64" i="56"/>
  <c r="AU64" i="56"/>
  <c r="AT64" i="56"/>
  <c r="AS64" i="56"/>
  <c r="AR64" i="56"/>
  <c r="AQ64" i="56"/>
  <c r="AP64" i="56"/>
  <c r="AO64" i="56"/>
  <c r="AN64" i="56"/>
  <c r="AM64" i="56"/>
  <c r="AL64" i="56"/>
  <c r="AK64" i="56"/>
  <c r="AJ64" i="56"/>
  <c r="AI64" i="56"/>
  <c r="AH64" i="56"/>
  <c r="AG64" i="56"/>
  <c r="AF64" i="56"/>
  <c r="AE64" i="56"/>
  <c r="AD64" i="56"/>
  <c r="AC64" i="56"/>
  <c r="AB64" i="56"/>
  <c r="AA64" i="56"/>
  <c r="Z64" i="56"/>
  <c r="Y64" i="56"/>
  <c r="X64" i="56"/>
  <c r="W64" i="56"/>
  <c r="V64" i="56"/>
  <c r="U64" i="56"/>
  <c r="T64" i="56"/>
  <c r="S64" i="56"/>
  <c r="R64" i="56"/>
  <c r="Q64" i="56"/>
  <c r="P64" i="56"/>
  <c r="O64" i="56"/>
  <c r="N64" i="56"/>
  <c r="M64" i="56"/>
  <c r="L64" i="56"/>
  <c r="K64" i="56"/>
  <c r="J64" i="56"/>
  <c r="I64" i="56"/>
  <c r="H64" i="56"/>
  <c r="G64" i="56"/>
  <c r="F64" i="56"/>
  <c r="E64" i="56"/>
  <c r="D64" i="56"/>
  <c r="C64" i="56"/>
  <c r="B64" i="56"/>
  <c r="DQ63" i="56"/>
  <c r="DP63" i="56"/>
  <c r="DO63" i="56"/>
  <c r="DN63" i="56"/>
  <c r="DM63" i="56"/>
  <c r="DL63" i="56"/>
  <c r="DK63" i="56"/>
  <c r="DJ63" i="56"/>
  <c r="DI63" i="56"/>
  <c r="DH63" i="56"/>
  <c r="DG63" i="56"/>
  <c r="DF63" i="56"/>
  <c r="DE63" i="56"/>
  <c r="DD63" i="56"/>
  <c r="DC63" i="56"/>
  <c r="DB63" i="56"/>
  <c r="DA63" i="56"/>
  <c r="CZ63" i="56"/>
  <c r="CY63" i="56"/>
  <c r="CX63" i="56"/>
  <c r="CW63" i="56"/>
  <c r="CV63" i="56"/>
  <c r="CU63" i="56"/>
  <c r="CT63" i="56"/>
  <c r="CS63" i="56"/>
  <c r="CR63" i="56"/>
  <c r="CQ63" i="56"/>
  <c r="CP63" i="56"/>
  <c r="CO63" i="56"/>
  <c r="CN63" i="56"/>
  <c r="CM63" i="56"/>
  <c r="CL63" i="56"/>
  <c r="CK63" i="56"/>
  <c r="CJ63" i="56"/>
  <c r="CI63" i="56"/>
  <c r="CH63" i="56"/>
  <c r="CG63" i="56"/>
  <c r="CF63" i="56"/>
  <c r="CE63" i="56"/>
  <c r="CD63" i="56"/>
  <c r="CC63" i="56"/>
  <c r="CB63" i="56"/>
  <c r="CA63" i="56"/>
  <c r="BZ63" i="56"/>
  <c r="BY63" i="56"/>
  <c r="BX63" i="56"/>
  <c r="BW63" i="56"/>
  <c r="BV63" i="56"/>
  <c r="BU63" i="56"/>
  <c r="BT63" i="56"/>
  <c r="BS63" i="56"/>
  <c r="BR63" i="56"/>
  <c r="BQ63" i="56"/>
  <c r="BP63" i="56"/>
  <c r="BO63" i="56"/>
  <c r="BN63" i="56"/>
  <c r="BM63" i="56"/>
  <c r="BL63" i="56"/>
  <c r="BK63" i="56"/>
  <c r="BJ63" i="56"/>
  <c r="BI63" i="56"/>
  <c r="BH63" i="56"/>
  <c r="BG63" i="56"/>
  <c r="BF63" i="56"/>
  <c r="BE63" i="56"/>
  <c r="BD63" i="56"/>
  <c r="BC63" i="56"/>
  <c r="BB63" i="56"/>
  <c r="BA63" i="56"/>
  <c r="AZ63" i="56"/>
  <c r="AY63" i="56"/>
  <c r="AX63" i="56"/>
  <c r="AW63" i="56"/>
  <c r="AV63" i="56"/>
  <c r="AU63" i="56"/>
  <c r="AT63" i="56"/>
  <c r="AS63" i="56"/>
  <c r="AR63" i="56"/>
  <c r="AQ63" i="56"/>
  <c r="AP63" i="56"/>
  <c r="AO63" i="56"/>
  <c r="AN63" i="56"/>
  <c r="AM63" i="56"/>
  <c r="AL63" i="56"/>
  <c r="AK63" i="56"/>
  <c r="AJ63" i="56"/>
  <c r="AI63" i="56"/>
  <c r="AH63" i="56"/>
  <c r="AG63" i="56"/>
  <c r="AF63" i="56"/>
  <c r="AE63" i="56"/>
  <c r="AD63" i="56"/>
  <c r="AC63" i="56"/>
  <c r="AB63" i="56"/>
  <c r="AA63" i="56"/>
  <c r="Z63" i="56"/>
  <c r="Y63" i="56"/>
  <c r="X63" i="56"/>
  <c r="W63" i="56"/>
  <c r="V63" i="56"/>
  <c r="U63" i="56"/>
  <c r="T63" i="56"/>
  <c r="S63" i="56"/>
  <c r="R63" i="56"/>
  <c r="Q63" i="56"/>
  <c r="P63" i="56"/>
  <c r="O63" i="56"/>
  <c r="N63" i="56"/>
  <c r="M63" i="56"/>
  <c r="L63" i="56"/>
  <c r="K63" i="56"/>
  <c r="J63" i="56"/>
  <c r="I63" i="56"/>
  <c r="H63" i="56"/>
  <c r="G63" i="56"/>
  <c r="F63" i="56"/>
  <c r="E63" i="56"/>
  <c r="D63" i="56"/>
  <c r="C63" i="56"/>
  <c r="B63" i="56"/>
  <c r="DQ62" i="56"/>
  <c r="DP62" i="56"/>
  <c r="DO62" i="56"/>
  <c r="DN62" i="56"/>
  <c r="DM62" i="56"/>
  <c r="DL62" i="56"/>
  <c r="DK62" i="56"/>
  <c r="DJ62" i="56"/>
  <c r="DI62" i="56"/>
  <c r="DH62" i="56"/>
  <c r="DG62" i="56"/>
  <c r="DF62" i="56"/>
  <c r="DE62" i="56"/>
  <c r="DD62" i="56"/>
  <c r="DC62" i="56"/>
  <c r="DB62" i="56"/>
  <c r="DA62" i="56"/>
  <c r="CZ62" i="56"/>
  <c r="CY62" i="56"/>
  <c r="CX62" i="56"/>
  <c r="CW62" i="56"/>
  <c r="CV62" i="56"/>
  <c r="CU62" i="56"/>
  <c r="CT62" i="56"/>
  <c r="CS62" i="56"/>
  <c r="CR62" i="56"/>
  <c r="CQ62" i="56"/>
  <c r="CP62" i="56"/>
  <c r="CO62" i="56"/>
  <c r="CN62" i="56"/>
  <c r="CM62" i="56"/>
  <c r="CL62" i="56"/>
  <c r="CK62" i="56"/>
  <c r="CJ62" i="56"/>
  <c r="CI62" i="56"/>
  <c r="CH62" i="56"/>
  <c r="CG62" i="56"/>
  <c r="CF62" i="56"/>
  <c r="CE62" i="56"/>
  <c r="CD62" i="56"/>
  <c r="CC62" i="56"/>
  <c r="CB62" i="56"/>
  <c r="CA62" i="56"/>
  <c r="BZ62" i="56"/>
  <c r="BY62" i="56"/>
  <c r="BX62" i="56"/>
  <c r="BW62" i="56"/>
  <c r="BV62" i="56"/>
  <c r="BU62" i="56"/>
  <c r="BT62" i="56"/>
  <c r="BS62" i="56"/>
  <c r="BR62" i="56"/>
  <c r="BQ62" i="56"/>
  <c r="BP62" i="56"/>
  <c r="BO62" i="56"/>
  <c r="BN62" i="56"/>
  <c r="BM62" i="56"/>
  <c r="BL62" i="56"/>
  <c r="BK62" i="56"/>
  <c r="BJ62" i="56"/>
  <c r="BI62" i="56"/>
  <c r="BH62" i="56"/>
  <c r="BG62" i="56"/>
  <c r="BF62" i="56"/>
  <c r="BE62" i="56"/>
  <c r="BD62" i="56"/>
  <c r="BC62" i="56"/>
  <c r="BB62" i="56"/>
  <c r="BA62" i="56"/>
  <c r="AZ62" i="56"/>
  <c r="AY62" i="56"/>
  <c r="AX62" i="56"/>
  <c r="AW62" i="56"/>
  <c r="AV62" i="56"/>
  <c r="AU62" i="56"/>
  <c r="AT62" i="56"/>
  <c r="AS62" i="56"/>
  <c r="AR62" i="56"/>
  <c r="AQ62" i="56"/>
  <c r="AP62" i="56"/>
  <c r="AO62" i="56"/>
  <c r="AN62" i="56"/>
  <c r="AM62" i="56"/>
  <c r="AL62" i="56"/>
  <c r="AK62" i="56"/>
  <c r="AJ62" i="56"/>
  <c r="AI62" i="56"/>
  <c r="AH62" i="56"/>
  <c r="AG62" i="56"/>
  <c r="AF62" i="56"/>
  <c r="AE62" i="56"/>
  <c r="AD62" i="56"/>
  <c r="AC62" i="56"/>
  <c r="AB62" i="56"/>
  <c r="AA62" i="56"/>
  <c r="Z62" i="56"/>
  <c r="Y62" i="56"/>
  <c r="X62" i="56"/>
  <c r="W62" i="56"/>
  <c r="V62" i="56"/>
  <c r="U62" i="56"/>
  <c r="T62" i="56"/>
  <c r="S62" i="56"/>
  <c r="R62" i="56"/>
  <c r="Q62" i="56"/>
  <c r="P62" i="56"/>
  <c r="O62" i="56"/>
  <c r="N62" i="56"/>
  <c r="M62" i="56"/>
  <c r="L62" i="56"/>
  <c r="K62" i="56"/>
  <c r="J62" i="56"/>
  <c r="I62" i="56"/>
  <c r="H62" i="56"/>
  <c r="G62" i="56"/>
  <c r="F62" i="56"/>
  <c r="E62" i="56"/>
  <c r="D62" i="56"/>
  <c r="C62" i="56"/>
  <c r="B62" i="56"/>
  <c r="DQ61" i="56"/>
  <c r="DP61" i="56"/>
  <c r="DO61" i="56"/>
  <c r="DN61" i="56"/>
  <c r="DM61" i="56"/>
  <c r="DL61" i="56"/>
  <c r="DK61" i="56"/>
  <c r="DJ61" i="56"/>
  <c r="DI61" i="56"/>
  <c r="DH61" i="56"/>
  <c r="DG61" i="56"/>
  <c r="DF61" i="56"/>
  <c r="DE61" i="56"/>
  <c r="DD61" i="56"/>
  <c r="DC61" i="56"/>
  <c r="DB61" i="56"/>
  <c r="DA61" i="56"/>
  <c r="CZ61" i="56"/>
  <c r="CY61" i="56"/>
  <c r="CX61" i="56"/>
  <c r="CW61" i="56"/>
  <c r="CV61" i="56"/>
  <c r="CU61" i="56"/>
  <c r="CT61" i="56"/>
  <c r="CS61" i="56"/>
  <c r="CR61" i="56"/>
  <c r="CQ61" i="56"/>
  <c r="CP61" i="56"/>
  <c r="CO61" i="56"/>
  <c r="CN61" i="56"/>
  <c r="CM61" i="56"/>
  <c r="CL61" i="56"/>
  <c r="CK61" i="56"/>
  <c r="CJ61" i="56"/>
  <c r="CI61" i="56"/>
  <c r="CH61" i="56"/>
  <c r="CG61" i="56"/>
  <c r="CF61" i="56"/>
  <c r="CE61" i="56"/>
  <c r="CD61" i="56"/>
  <c r="CC61" i="56"/>
  <c r="CB61" i="56"/>
  <c r="CA61" i="56"/>
  <c r="BZ61" i="56"/>
  <c r="BY61" i="56"/>
  <c r="BX61" i="56"/>
  <c r="BW61" i="56"/>
  <c r="BV61" i="56"/>
  <c r="BU61" i="56"/>
  <c r="BT61" i="56"/>
  <c r="BS61" i="56"/>
  <c r="BR61" i="56"/>
  <c r="BQ61" i="56"/>
  <c r="BP61" i="56"/>
  <c r="BO61" i="56"/>
  <c r="BN61" i="56"/>
  <c r="BM61" i="56"/>
  <c r="BL61" i="56"/>
  <c r="BK61" i="56"/>
  <c r="BJ61" i="56"/>
  <c r="BI61" i="56"/>
  <c r="BH61" i="56"/>
  <c r="BG61" i="56"/>
  <c r="BF61" i="56"/>
  <c r="BE61" i="56"/>
  <c r="BD61" i="56"/>
  <c r="BC61" i="56"/>
  <c r="BB61" i="56"/>
  <c r="BA61" i="56"/>
  <c r="AZ61" i="56"/>
  <c r="AY61" i="56"/>
  <c r="AX61" i="56"/>
  <c r="AW61" i="56"/>
  <c r="AV61" i="56"/>
  <c r="AU61" i="56"/>
  <c r="AT61" i="56"/>
  <c r="AS61" i="56"/>
  <c r="AR61" i="56"/>
  <c r="AQ61" i="56"/>
  <c r="AP61" i="56"/>
  <c r="AO61" i="56"/>
  <c r="AN61" i="56"/>
  <c r="AM61" i="56"/>
  <c r="AL61" i="56"/>
  <c r="AK61" i="56"/>
  <c r="AJ61" i="56"/>
  <c r="AI61" i="56"/>
  <c r="AH61" i="56"/>
  <c r="AG61" i="56"/>
  <c r="AF61" i="56"/>
  <c r="AE61" i="56"/>
  <c r="AD61" i="56"/>
  <c r="AC61" i="56"/>
  <c r="AB61" i="56"/>
  <c r="AA61" i="56"/>
  <c r="Z61" i="56"/>
  <c r="Y61" i="56"/>
  <c r="X61" i="56"/>
  <c r="W61" i="56"/>
  <c r="V61" i="56"/>
  <c r="U61" i="56"/>
  <c r="T61" i="56"/>
  <c r="S61" i="56"/>
  <c r="R61" i="56"/>
  <c r="Q61" i="56"/>
  <c r="P61" i="56"/>
  <c r="O61" i="56"/>
  <c r="N61" i="56"/>
  <c r="M61" i="56"/>
  <c r="L61" i="56"/>
  <c r="K61" i="56"/>
  <c r="J61" i="56"/>
  <c r="I61" i="56"/>
  <c r="H61" i="56"/>
  <c r="G61" i="56"/>
  <c r="F61" i="56"/>
  <c r="E61" i="56"/>
  <c r="D61" i="56"/>
  <c r="C61" i="56"/>
  <c r="B61" i="56"/>
  <c r="DQ60" i="56"/>
  <c r="DP60" i="56"/>
  <c r="DO60" i="56"/>
  <c r="DN60" i="56"/>
  <c r="DM60" i="56"/>
  <c r="DL60" i="56"/>
  <c r="DK60" i="56"/>
  <c r="DJ60" i="56"/>
  <c r="DI60" i="56"/>
  <c r="DH60" i="56"/>
  <c r="DG60" i="56"/>
  <c r="DF60" i="56"/>
  <c r="DE60" i="56"/>
  <c r="DD60" i="56"/>
  <c r="DC60" i="56"/>
  <c r="DB60" i="56"/>
  <c r="DA60" i="56"/>
  <c r="CZ60" i="56"/>
  <c r="CY60" i="56"/>
  <c r="CX60" i="56"/>
  <c r="CW60" i="56"/>
  <c r="CV60" i="56"/>
  <c r="CU60" i="56"/>
  <c r="CT60" i="56"/>
  <c r="CS60" i="56"/>
  <c r="CR60" i="56"/>
  <c r="CQ60" i="56"/>
  <c r="CP60" i="56"/>
  <c r="CO60" i="56"/>
  <c r="CN60" i="56"/>
  <c r="CM60" i="56"/>
  <c r="CL60" i="56"/>
  <c r="CK60" i="56"/>
  <c r="CJ60" i="56"/>
  <c r="CI60" i="56"/>
  <c r="CH60" i="56"/>
  <c r="CG60" i="56"/>
  <c r="CF60" i="56"/>
  <c r="CE60" i="56"/>
  <c r="CD60" i="56"/>
  <c r="CC60" i="56"/>
  <c r="CB60" i="56"/>
  <c r="CA60" i="56"/>
  <c r="BZ60" i="56"/>
  <c r="BY60" i="56"/>
  <c r="BX60" i="56"/>
  <c r="BW60" i="56"/>
  <c r="BV60" i="56"/>
  <c r="BU60" i="56"/>
  <c r="BT60" i="56"/>
  <c r="BS60" i="56"/>
  <c r="BR60" i="56"/>
  <c r="BQ60" i="56"/>
  <c r="BP60" i="56"/>
  <c r="BO60" i="56"/>
  <c r="BN60" i="56"/>
  <c r="BM60" i="56"/>
  <c r="BL60" i="56"/>
  <c r="BK60" i="56"/>
  <c r="BJ60" i="56"/>
  <c r="BI60" i="56"/>
  <c r="BH60" i="56"/>
  <c r="BG60" i="56"/>
  <c r="BF60" i="56"/>
  <c r="BE60" i="56"/>
  <c r="BD60" i="56"/>
  <c r="BC60" i="56"/>
  <c r="BB60" i="56"/>
  <c r="BA60" i="56"/>
  <c r="AZ60" i="56"/>
  <c r="AY60" i="56"/>
  <c r="AX60" i="56"/>
  <c r="AW60" i="56"/>
  <c r="AV60" i="56"/>
  <c r="AU60" i="56"/>
  <c r="AT60" i="56"/>
  <c r="AS60" i="56"/>
  <c r="AR60" i="56"/>
  <c r="AQ60" i="56"/>
  <c r="AP60" i="56"/>
  <c r="AO60" i="56"/>
  <c r="AN60" i="56"/>
  <c r="AM60" i="56"/>
  <c r="AL60" i="56"/>
  <c r="AK60" i="56"/>
  <c r="AJ60" i="56"/>
  <c r="AI60" i="56"/>
  <c r="AH60" i="56"/>
  <c r="AG60" i="56"/>
  <c r="AF60" i="56"/>
  <c r="AE60" i="56"/>
  <c r="AD60" i="56"/>
  <c r="AC60" i="56"/>
  <c r="AB60" i="56"/>
  <c r="AA60" i="56"/>
  <c r="Z60" i="56"/>
  <c r="Y60" i="56"/>
  <c r="X60" i="56"/>
  <c r="W60" i="56"/>
  <c r="V60" i="56"/>
  <c r="U60" i="56"/>
  <c r="T60" i="56"/>
  <c r="S60" i="56"/>
  <c r="R60" i="56"/>
  <c r="Q60" i="56"/>
  <c r="P60" i="56"/>
  <c r="O60" i="56"/>
  <c r="N60" i="56"/>
  <c r="M60" i="56"/>
  <c r="L60" i="56"/>
  <c r="K60" i="56"/>
  <c r="J60" i="56"/>
  <c r="I60" i="56"/>
  <c r="H60" i="56"/>
  <c r="G60" i="56"/>
  <c r="F60" i="56"/>
  <c r="E60" i="56"/>
  <c r="D60" i="56"/>
  <c r="C60" i="56"/>
  <c r="B60" i="56"/>
  <c r="DQ59" i="56"/>
  <c r="DP59" i="56"/>
  <c r="DO59" i="56"/>
  <c r="DN59" i="56"/>
  <c r="DM59" i="56"/>
  <c r="DL59" i="56"/>
  <c r="DK59" i="56"/>
  <c r="DJ59" i="56"/>
  <c r="DI59" i="56"/>
  <c r="DH59" i="56"/>
  <c r="DG59" i="56"/>
  <c r="DF59" i="56"/>
  <c r="DE59" i="56"/>
  <c r="DD59" i="56"/>
  <c r="DC59" i="56"/>
  <c r="DB59" i="56"/>
  <c r="DA59" i="56"/>
  <c r="CZ59" i="56"/>
  <c r="CY59" i="56"/>
  <c r="CX59" i="56"/>
  <c r="CW59" i="56"/>
  <c r="CV59" i="56"/>
  <c r="CU59" i="56"/>
  <c r="CT59" i="56"/>
  <c r="CS59" i="56"/>
  <c r="CR59" i="56"/>
  <c r="CQ59" i="56"/>
  <c r="CP59" i="56"/>
  <c r="CO59" i="56"/>
  <c r="CN59" i="56"/>
  <c r="CM59" i="56"/>
  <c r="CL59" i="56"/>
  <c r="CK59" i="56"/>
  <c r="CJ59" i="56"/>
  <c r="CI59" i="56"/>
  <c r="CH59" i="56"/>
  <c r="CG59" i="56"/>
  <c r="CF59" i="56"/>
  <c r="CE59" i="56"/>
  <c r="CD59" i="56"/>
  <c r="CC59" i="56"/>
  <c r="CB59" i="56"/>
  <c r="CA59" i="56"/>
  <c r="BZ59" i="56"/>
  <c r="BY59" i="56"/>
  <c r="BX59" i="56"/>
  <c r="BW59" i="56"/>
  <c r="BV59" i="56"/>
  <c r="BU59" i="56"/>
  <c r="BT59" i="56"/>
  <c r="BS59" i="56"/>
  <c r="BR59" i="56"/>
  <c r="BQ59" i="56"/>
  <c r="BP59" i="56"/>
  <c r="BO59" i="56"/>
  <c r="BN59" i="56"/>
  <c r="BM59" i="56"/>
  <c r="BL59" i="56"/>
  <c r="BK59" i="56"/>
  <c r="BJ59" i="56"/>
  <c r="BI59" i="56"/>
  <c r="BH59" i="56"/>
  <c r="BG59" i="56"/>
  <c r="BF59" i="56"/>
  <c r="BE59" i="56"/>
  <c r="BD59" i="56"/>
  <c r="BC59" i="56"/>
  <c r="BB59" i="56"/>
  <c r="BA59" i="56"/>
  <c r="AZ59" i="56"/>
  <c r="AY59" i="56"/>
  <c r="AX59" i="56"/>
  <c r="AW59" i="56"/>
  <c r="AV59" i="56"/>
  <c r="AU59" i="56"/>
  <c r="AT59" i="56"/>
  <c r="AS59" i="56"/>
  <c r="AR59" i="56"/>
  <c r="AQ59" i="56"/>
  <c r="AP59" i="56"/>
  <c r="AO59" i="56"/>
  <c r="AN59" i="56"/>
  <c r="AM59" i="56"/>
  <c r="AL59" i="56"/>
  <c r="AK59" i="56"/>
  <c r="AJ59" i="56"/>
  <c r="AI59" i="56"/>
  <c r="AH59" i="56"/>
  <c r="AG59" i="56"/>
  <c r="AF59" i="56"/>
  <c r="AE59" i="56"/>
  <c r="AD59" i="56"/>
  <c r="AC59" i="56"/>
  <c r="AB59" i="56"/>
  <c r="AA59" i="56"/>
  <c r="Z59" i="56"/>
  <c r="Y59" i="56"/>
  <c r="X59" i="56"/>
  <c r="W59" i="56"/>
  <c r="V59" i="56"/>
  <c r="U59" i="56"/>
  <c r="T59" i="56"/>
  <c r="S59" i="56"/>
  <c r="R59" i="56"/>
  <c r="Q59" i="56"/>
  <c r="P59" i="56"/>
  <c r="O59" i="56"/>
  <c r="N59" i="56"/>
  <c r="M59" i="56"/>
  <c r="L59" i="56"/>
  <c r="K59" i="56"/>
  <c r="J59" i="56"/>
  <c r="I59" i="56"/>
  <c r="H59" i="56"/>
  <c r="G59" i="56"/>
  <c r="F59" i="56"/>
  <c r="E59" i="56"/>
  <c r="D59" i="56"/>
  <c r="C59" i="56"/>
  <c r="B59" i="56"/>
  <c r="DQ58" i="56"/>
  <c r="DP58" i="56"/>
  <c r="DO58" i="56"/>
  <c r="DN58" i="56"/>
  <c r="DM58" i="56"/>
  <c r="DL58" i="56"/>
  <c r="DK58" i="56"/>
  <c r="DJ58" i="56"/>
  <c r="DI58" i="56"/>
  <c r="DH58" i="56"/>
  <c r="DG58" i="56"/>
  <c r="DF58" i="56"/>
  <c r="DE58" i="56"/>
  <c r="DD58" i="56"/>
  <c r="DC58" i="56"/>
  <c r="DB58" i="56"/>
  <c r="DA58" i="56"/>
  <c r="CZ58" i="56"/>
  <c r="CY58" i="56"/>
  <c r="CX58" i="56"/>
  <c r="CW58" i="56"/>
  <c r="CV58" i="56"/>
  <c r="CU58" i="56"/>
  <c r="CT58" i="56"/>
  <c r="CS58" i="56"/>
  <c r="CR58" i="56"/>
  <c r="CQ58" i="56"/>
  <c r="CP58" i="56"/>
  <c r="CO58" i="56"/>
  <c r="CN58" i="56"/>
  <c r="CM58" i="56"/>
  <c r="CL58" i="56"/>
  <c r="CK58" i="56"/>
  <c r="CJ58" i="56"/>
  <c r="CI58" i="56"/>
  <c r="CH58" i="56"/>
  <c r="CG58" i="56"/>
  <c r="CF58" i="56"/>
  <c r="CE58" i="56"/>
  <c r="CD58" i="56"/>
  <c r="CC58" i="56"/>
  <c r="CB58" i="56"/>
  <c r="CA58" i="56"/>
  <c r="BZ58" i="56"/>
  <c r="BY58" i="56"/>
  <c r="BX58" i="56"/>
  <c r="BW58" i="56"/>
  <c r="BV58" i="56"/>
  <c r="BU58" i="56"/>
  <c r="BT58" i="56"/>
  <c r="BS58" i="56"/>
  <c r="BR58" i="56"/>
  <c r="BQ58" i="56"/>
  <c r="BP58" i="56"/>
  <c r="BO58" i="56"/>
  <c r="BN58" i="56"/>
  <c r="BM58" i="56"/>
  <c r="BL58" i="56"/>
  <c r="BK58" i="56"/>
  <c r="BJ58" i="56"/>
  <c r="BI58" i="56"/>
  <c r="BH58" i="56"/>
  <c r="BG58" i="56"/>
  <c r="BF58" i="56"/>
  <c r="BE58" i="56"/>
  <c r="BD58" i="56"/>
  <c r="BC58" i="56"/>
  <c r="BB58" i="56"/>
  <c r="BA58" i="56"/>
  <c r="AZ58" i="56"/>
  <c r="AY58" i="56"/>
  <c r="AX58" i="56"/>
  <c r="AW58" i="56"/>
  <c r="AV58" i="56"/>
  <c r="AU58" i="56"/>
  <c r="AT58" i="56"/>
  <c r="AS58" i="56"/>
  <c r="AR58" i="56"/>
  <c r="AQ58" i="56"/>
  <c r="AP58" i="56"/>
  <c r="AO58" i="56"/>
  <c r="AN58" i="56"/>
  <c r="AM58" i="56"/>
  <c r="AL58" i="56"/>
  <c r="AK58" i="56"/>
  <c r="AJ58" i="56"/>
  <c r="AI58" i="56"/>
  <c r="AH58" i="56"/>
  <c r="AG58" i="56"/>
  <c r="AF58" i="56"/>
  <c r="AE58" i="56"/>
  <c r="AD58" i="56"/>
  <c r="AC58" i="56"/>
  <c r="AB58" i="56"/>
  <c r="AA58" i="56"/>
  <c r="Z58" i="56"/>
  <c r="Y58" i="56"/>
  <c r="X58" i="56"/>
  <c r="W58" i="56"/>
  <c r="V58" i="56"/>
  <c r="U58" i="56"/>
  <c r="T58" i="56"/>
  <c r="S58" i="56"/>
  <c r="R58" i="56"/>
  <c r="Q58" i="56"/>
  <c r="P58" i="56"/>
  <c r="O58" i="56"/>
  <c r="N58" i="56"/>
  <c r="M58" i="56"/>
  <c r="L58" i="56"/>
  <c r="K58" i="56"/>
  <c r="J58" i="56"/>
  <c r="I58" i="56"/>
  <c r="H58" i="56"/>
  <c r="G58" i="56"/>
  <c r="F58" i="56"/>
  <c r="E58" i="56"/>
  <c r="D58" i="56"/>
  <c r="C58" i="56"/>
  <c r="B58" i="56"/>
  <c r="DQ57" i="56"/>
  <c r="DP57" i="56"/>
  <c r="DO57" i="56"/>
  <c r="DN57" i="56"/>
  <c r="DM57" i="56"/>
  <c r="DL57" i="56"/>
  <c r="DK57" i="56"/>
  <c r="DJ57" i="56"/>
  <c r="DI57" i="56"/>
  <c r="DH57" i="56"/>
  <c r="DG57" i="56"/>
  <c r="DF57" i="56"/>
  <c r="DE57" i="56"/>
  <c r="DD57" i="56"/>
  <c r="DC57" i="56"/>
  <c r="DB57" i="56"/>
  <c r="DA57" i="56"/>
  <c r="CZ57" i="56"/>
  <c r="CY57" i="56"/>
  <c r="CX57" i="56"/>
  <c r="CW57" i="56"/>
  <c r="CV57" i="56"/>
  <c r="CU57" i="56"/>
  <c r="CT57" i="56"/>
  <c r="CS57" i="56"/>
  <c r="CR57" i="56"/>
  <c r="CQ57" i="56"/>
  <c r="CP57" i="56"/>
  <c r="CO57" i="56"/>
  <c r="CN57" i="56"/>
  <c r="CM57" i="56"/>
  <c r="CL57" i="56"/>
  <c r="CK57" i="56"/>
  <c r="CJ57" i="56"/>
  <c r="CI57" i="56"/>
  <c r="CH57" i="56"/>
  <c r="CG57" i="56"/>
  <c r="CF57" i="56"/>
  <c r="CE57" i="56"/>
  <c r="CD57" i="56"/>
  <c r="CC57" i="56"/>
  <c r="CB57" i="56"/>
  <c r="CA57" i="56"/>
  <c r="BZ57" i="56"/>
  <c r="BY57" i="56"/>
  <c r="BX57" i="56"/>
  <c r="BW57" i="56"/>
  <c r="BV57" i="56"/>
  <c r="BU57" i="56"/>
  <c r="BT57" i="56"/>
  <c r="BS57" i="56"/>
  <c r="BR57" i="56"/>
  <c r="BQ57" i="56"/>
  <c r="BP57" i="56"/>
  <c r="BO57" i="56"/>
  <c r="BN57" i="56"/>
  <c r="BM57" i="56"/>
  <c r="BL57" i="56"/>
  <c r="BK57" i="56"/>
  <c r="BJ57" i="56"/>
  <c r="BI57" i="56"/>
  <c r="BH57" i="56"/>
  <c r="BG57" i="56"/>
  <c r="BF57" i="56"/>
  <c r="BE57" i="56"/>
  <c r="BD57" i="56"/>
  <c r="BC57" i="56"/>
  <c r="BB57" i="56"/>
  <c r="BA57" i="56"/>
  <c r="AZ57" i="56"/>
  <c r="AY57" i="56"/>
  <c r="AX57" i="56"/>
  <c r="AW57" i="56"/>
  <c r="AV57" i="56"/>
  <c r="AU57" i="56"/>
  <c r="AT57" i="56"/>
  <c r="AS57" i="56"/>
  <c r="AR57" i="56"/>
  <c r="AQ57" i="56"/>
  <c r="AP57" i="56"/>
  <c r="AO57" i="56"/>
  <c r="AN57" i="56"/>
  <c r="AM57" i="56"/>
  <c r="AL57" i="56"/>
  <c r="AK57" i="56"/>
  <c r="AJ57" i="56"/>
  <c r="AI57" i="56"/>
  <c r="AH57" i="56"/>
  <c r="AG57" i="56"/>
  <c r="AF57" i="56"/>
  <c r="AE57" i="56"/>
  <c r="AD57" i="56"/>
  <c r="AC57" i="56"/>
  <c r="AB57" i="56"/>
  <c r="AA57" i="56"/>
  <c r="Z57" i="56"/>
  <c r="Y57" i="56"/>
  <c r="X57" i="56"/>
  <c r="W57" i="56"/>
  <c r="V57" i="56"/>
  <c r="U57" i="56"/>
  <c r="T57" i="56"/>
  <c r="S57" i="56"/>
  <c r="R57" i="56"/>
  <c r="Q57" i="56"/>
  <c r="P57" i="56"/>
  <c r="O57" i="56"/>
  <c r="N57" i="56"/>
  <c r="M57" i="56"/>
  <c r="L57" i="56"/>
  <c r="K57" i="56"/>
  <c r="J57" i="56"/>
  <c r="I57" i="56"/>
  <c r="H57" i="56"/>
  <c r="G57" i="56"/>
  <c r="F57" i="56"/>
  <c r="E57" i="56"/>
  <c r="D57" i="56"/>
  <c r="C57" i="56"/>
  <c r="B57" i="56"/>
  <c r="DQ56" i="56"/>
  <c r="DP56" i="56"/>
  <c r="DO56" i="56"/>
  <c r="DN56" i="56"/>
  <c r="DM56" i="56"/>
  <c r="DL56" i="56"/>
  <c r="DK56" i="56"/>
  <c r="DJ56" i="56"/>
  <c r="DI56" i="56"/>
  <c r="DH56" i="56"/>
  <c r="DG56" i="56"/>
  <c r="DF56" i="56"/>
  <c r="DE56" i="56"/>
  <c r="DD56" i="56"/>
  <c r="DC56" i="56"/>
  <c r="DB56" i="56"/>
  <c r="DA56" i="56"/>
  <c r="CZ56" i="56"/>
  <c r="CY56" i="56"/>
  <c r="CX56" i="56"/>
  <c r="CW56" i="56"/>
  <c r="CV56" i="56"/>
  <c r="CU56" i="56"/>
  <c r="CT56" i="56"/>
  <c r="CS56" i="56"/>
  <c r="CR56" i="56"/>
  <c r="CQ56" i="56"/>
  <c r="CP56" i="56"/>
  <c r="CO56" i="56"/>
  <c r="CN56" i="56"/>
  <c r="CM56" i="56"/>
  <c r="CL56" i="56"/>
  <c r="CK56" i="56"/>
  <c r="CJ56" i="56"/>
  <c r="CI56" i="56"/>
  <c r="CH56" i="56"/>
  <c r="CG56" i="56"/>
  <c r="CF56" i="56"/>
  <c r="CE56" i="56"/>
  <c r="CD56" i="56"/>
  <c r="CC56" i="56"/>
  <c r="CB56" i="56"/>
  <c r="CA56" i="56"/>
  <c r="BZ56" i="56"/>
  <c r="BY56" i="56"/>
  <c r="BX56" i="56"/>
  <c r="BW56" i="56"/>
  <c r="BV56" i="56"/>
  <c r="BU56" i="56"/>
  <c r="BT56" i="56"/>
  <c r="BS56" i="56"/>
  <c r="BR56" i="56"/>
  <c r="BQ56" i="56"/>
  <c r="BP56" i="56"/>
  <c r="BO56" i="56"/>
  <c r="BN56" i="56"/>
  <c r="BM56" i="56"/>
  <c r="BL56" i="56"/>
  <c r="BK56" i="56"/>
  <c r="BJ56" i="56"/>
  <c r="BI56" i="56"/>
  <c r="BH56" i="56"/>
  <c r="BG56" i="56"/>
  <c r="BF56" i="56"/>
  <c r="BE56" i="56"/>
  <c r="BD56" i="56"/>
  <c r="BC56" i="56"/>
  <c r="BB56" i="56"/>
  <c r="BA56" i="56"/>
  <c r="AZ56" i="56"/>
  <c r="AY56" i="56"/>
  <c r="AX56" i="56"/>
  <c r="AW56" i="56"/>
  <c r="AV56" i="56"/>
  <c r="AU56" i="56"/>
  <c r="AT56" i="56"/>
  <c r="AS56" i="56"/>
  <c r="AR56" i="56"/>
  <c r="AQ56" i="56"/>
  <c r="AP56" i="56"/>
  <c r="AO56" i="56"/>
  <c r="AN56" i="56"/>
  <c r="AM56" i="56"/>
  <c r="AL56" i="56"/>
  <c r="AK56" i="56"/>
  <c r="AJ56" i="56"/>
  <c r="AI56" i="56"/>
  <c r="AH56" i="56"/>
  <c r="AG56" i="56"/>
  <c r="AF56" i="56"/>
  <c r="AE56" i="56"/>
  <c r="AD56" i="56"/>
  <c r="AC56" i="56"/>
  <c r="AB56" i="56"/>
  <c r="AA56" i="56"/>
  <c r="Z56" i="56"/>
  <c r="Y56" i="56"/>
  <c r="X56" i="56"/>
  <c r="W56" i="56"/>
  <c r="V56" i="56"/>
  <c r="U56" i="56"/>
  <c r="T56" i="56"/>
  <c r="S56" i="56"/>
  <c r="R56" i="56"/>
  <c r="Q56" i="56"/>
  <c r="P56" i="56"/>
  <c r="O56" i="56"/>
  <c r="N56" i="56"/>
  <c r="M56" i="56"/>
  <c r="L56" i="56"/>
  <c r="K56" i="56"/>
  <c r="J56" i="56"/>
  <c r="I56" i="56"/>
  <c r="H56" i="56"/>
  <c r="G56" i="56"/>
  <c r="F56" i="56"/>
  <c r="E56" i="56"/>
  <c r="D56" i="56"/>
  <c r="C56" i="56"/>
  <c r="B56" i="56"/>
  <c r="DQ55" i="56"/>
  <c r="DP55" i="56"/>
  <c r="DO55" i="56"/>
  <c r="DN55" i="56"/>
  <c r="DM55" i="56"/>
  <c r="DL55" i="56"/>
  <c r="DK55" i="56"/>
  <c r="DJ55" i="56"/>
  <c r="DI55" i="56"/>
  <c r="DH55" i="56"/>
  <c r="DG55" i="56"/>
  <c r="DF55" i="56"/>
  <c r="DE55" i="56"/>
  <c r="DD55" i="56"/>
  <c r="DC55" i="56"/>
  <c r="DB55" i="56"/>
  <c r="DA55" i="56"/>
  <c r="CZ55" i="56"/>
  <c r="CY55" i="56"/>
  <c r="CX55" i="56"/>
  <c r="CW55" i="56"/>
  <c r="CV55" i="56"/>
  <c r="CU55" i="56"/>
  <c r="CT55" i="56"/>
  <c r="CS55" i="56"/>
  <c r="CR55" i="56"/>
  <c r="CQ55" i="56"/>
  <c r="CP55" i="56"/>
  <c r="CO55" i="56"/>
  <c r="CN55" i="56"/>
  <c r="CM55" i="56"/>
  <c r="CL55" i="56"/>
  <c r="CK55" i="56"/>
  <c r="CJ55" i="56"/>
  <c r="CI55" i="56"/>
  <c r="CH55" i="56"/>
  <c r="CG55" i="56"/>
  <c r="CF55" i="56"/>
  <c r="CE55" i="56"/>
  <c r="CD55" i="56"/>
  <c r="CC55" i="56"/>
  <c r="CB55" i="56"/>
  <c r="CA55" i="56"/>
  <c r="BZ55" i="56"/>
  <c r="BY55" i="56"/>
  <c r="BX55" i="56"/>
  <c r="BW55" i="56"/>
  <c r="BV55" i="56"/>
  <c r="BU55" i="56"/>
  <c r="BT55" i="56"/>
  <c r="BS55" i="56"/>
  <c r="BR55" i="56"/>
  <c r="BQ55" i="56"/>
  <c r="BP55" i="56"/>
  <c r="BO55" i="56"/>
  <c r="BN55" i="56"/>
  <c r="BM55" i="56"/>
  <c r="BL55" i="56"/>
  <c r="BK55" i="56"/>
  <c r="BJ55" i="56"/>
  <c r="BI55" i="56"/>
  <c r="BH55" i="56"/>
  <c r="BG55" i="56"/>
  <c r="BF55" i="56"/>
  <c r="BE55" i="56"/>
  <c r="BD55" i="56"/>
  <c r="BC55" i="56"/>
  <c r="BB55" i="56"/>
  <c r="BA55" i="56"/>
  <c r="AZ55" i="56"/>
  <c r="AY55" i="56"/>
  <c r="AX55" i="56"/>
  <c r="AW55" i="56"/>
  <c r="AV55" i="56"/>
  <c r="AU55" i="56"/>
  <c r="AT55" i="56"/>
  <c r="AS55" i="56"/>
  <c r="AR55" i="56"/>
  <c r="AQ55" i="56"/>
  <c r="AP55" i="56"/>
  <c r="AO55" i="56"/>
  <c r="AN55" i="56"/>
  <c r="AM55" i="56"/>
  <c r="AL55" i="56"/>
  <c r="AK55" i="56"/>
  <c r="AJ55" i="56"/>
  <c r="AI55" i="56"/>
  <c r="AH55" i="56"/>
  <c r="AG55" i="56"/>
  <c r="AF55" i="56"/>
  <c r="AE55" i="56"/>
  <c r="AD55" i="56"/>
  <c r="AC55" i="56"/>
  <c r="AB55" i="56"/>
  <c r="AA55" i="56"/>
  <c r="Z55" i="56"/>
  <c r="Y55" i="56"/>
  <c r="X55" i="56"/>
  <c r="W55" i="56"/>
  <c r="V55" i="56"/>
  <c r="U55" i="56"/>
  <c r="T55" i="56"/>
  <c r="S55" i="56"/>
  <c r="R55" i="56"/>
  <c r="Q55" i="56"/>
  <c r="P55" i="56"/>
  <c r="O55" i="56"/>
  <c r="N55" i="56"/>
  <c r="M55" i="56"/>
  <c r="L55" i="56"/>
  <c r="K55" i="56"/>
  <c r="J55" i="56"/>
  <c r="I55" i="56"/>
  <c r="H55" i="56"/>
  <c r="G55" i="56"/>
  <c r="F55" i="56"/>
  <c r="E55" i="56"/>
  <c r="D55" i="56"/>
  <c r="C55" i="56"/>
  <c r="B55" i="56"/>
  <c r="DQ54" i="56"/>
  <c r="DP54" i="56"/>
  <c r="DO54" i="56"/>
  <c r="DN54" i="56"/>
  <c r="DM54" i="56"/>
  <c r="DL54" i="56"/>
  <c r="DK54" i="56"/>
  <c r="DJ54" i="56"/>
  <c r="DI54" i="56"/>
  <c r="DH54" i="56"/>
  <c r="DG54" i="56"/>
  <c r="DF54" i="56"/>
  <c r="DE54" i="56"/>
  <c r="DD54" i="56"/>
  <c r="DC54" i="56"/>
  <c r="DB54" i="56"/>
  <c r="DA54" i="56"/>
  <c r="CZ54" i="56"/>
  <c r="CY54" i="56"/>
  <c r="CX54" i="56"/>
  <c r="CW54" i="56"/>
  <c r="CV54" i="56"/>
  <c r="CU54" i="56"/>
  <c r="CT54" i="56"/>
  <c r="CS54" i="56"/>
  <c r="CR54" i="56"/>
  <c r="CQ54" i="56"/>
  <c r="CP54" i="56"/>
  <c r="CO54" i="56"/>
  <c r="CN54" i="56"/>
  <c r="CM54" i="56"/>
  <c r="CL54" i="56"/>
  <c r="CK54" i="56"/>
  <c r="CJ54" i="56"/>
  <c r="CI54" i="56"/>
  <c r="CH54" i="56"/>
  <c r="CG54" i="56"/>
  <c r="CF54" i="56"/>
  <c r="CE54" i="56"/>
  <c r="CD54" i="56"/>
  <c r="CC54" i="56"/>
  <c r="CB54" i="56"/>
  <c r="CA54" i="56"/>
  <c r="BZ54" i="56"/>
  <c r="BY54" i="56"/>
  <c r="BX54" i="56"/>
  <c r="BW54" i="56"/>
  <c r="BV54" i="56"/>
  <c r="BU54" i="56"/>
  <c r="BT54" i="56"/>
  <c r="BS54" i="56"/>
  <c r="BR54" i="56"/>
  <c r="BQ54" i="56"/>
  <c r="BP54" i="56"/>
  <c r="BO54" i="56"/>
  <c r="BN54" i="56"/>
  <c r="BM54" i="56"/>
  <c r="BL54" i="56"/>
  <c r="BK54" i="56"/>
  <c r="BJ54" i="56"/>
  <c r="BI54" i="56"/>
  <c r="BH54" i="56"/>
  <c r="BG54" i="56"/>
  <c r="BF54" i="56"/>
  <c r="BE54" i="56"/>
  <c r="BD54" i="56"/>
  <c r="BC54" i="56"/>
  <c r="BB54" i="56"/>
  <c r="BA54" i="56"/>
  <c r="AZ54" i="56"/>
  <c r="AY54" i="56"/>
  <c r="AX54" i="56"/>
  <c r="AW54" i="56"/>
  <c r="AV54" i="56"/>
  <c r="AU54" i="56"/>
  <c r="AT54" i="56"/>
  <c r="AS54" i="56"/>
  <c r="AR54" i="56"/>
  <c r="AQ54" i="56"/>
  <c r="AP54" i="56"/>
  <c r="AO54" i="56"/>
  <c r="AN54" i="56"/>
  <c r="AM54" i="56"/>
  <c r="AL54" i="56"/>
  <c r="AK54" i="56"/>
  <c r="AJ54" i="56"/>
  <c r="AI54" i="56"/>
  <c r="AH54" i="56"/>
  <c r="AG54" i="56"/>
  <c r="AF54" i="56"/>
  <c r="AE54" i="56"/>
  <c r="AD54" i="56"/>
  <c r="AC54" i="56"/>
  <c r="AB54" i="56"/>
  <c r="AA54" i="56"/>
  <c r="Z54" i="56"/>
  <c r="Y54" i="56"/>
  <c r="X54" i="56"/>
  <c r="W54" i="56"/>
  <c r="V54" i="56"/>
  <c r="U54" i="56"/>
  <c r="T54" i="56"/>
  <c r="S54" i="56"/>
  <c r="R54" i="56"/>
  <c r="Q54" i="56"/>
  <c r="P54" i="56"/>
  <c r="O54" i="56"/>
  <c r="N54" i="56"/>
  <c r="M54" i="56"/>
  <c r="L54" i="56"/>
  <c r="K54" i="56"/>
  <c r="J54" i="56"/>
  <c r="I54" i="56"/>
  <c r="H54" i="56"/>
  <c r="G54" i="56"/>
  <c r="F54" i="56"/>
  <c r="E54" i="56"/>
  <c r="D54" i="56"/>
  <c r="C54" i="56"/>
  <c r="B54" i="56"/>
  <c r="DQ53" i="56"/>
  <c r="DP53" i="56"/>
  <c r="DO53" i="56"/>
  <c r="DN53" i="56"/>
  <c r="DM53" i="56"/>
  <c r="DL53" i="56"/>
  <c r="DK53" i="56"/>
  <c r="DJ53" i="56"/>
  <c r="DI53" i="56"/>
  <c r="DH53" i="56"/>
  <c r="DG53" i="56"/>
  <c r="DF53" i="56"/>
  <c r="DE53" i="56"/>
  <c r="DD53" i="56"/>
  <c r="DC53" i="56"/>
  <c r="DB53" i="56"/>
  <c r="DA53" i="56"/>
  <c r="CZ53" i="56"/>
  <c r="CY53" i="56"/>
  <c r="CX53" i="56"/>
  <c r="CW53" i="56"/>
  <c r="CV53" i="56"/>
  <c r="CU53" i="56"/>
  <c r="CT53" i="56"/>
  <c r="CS53" i="56"/>
  <c r="CR53" i="56"/>
  <c r="CQ53" i="56"/>
  <c r="CP53" i="56"/>
  <c r="CO53" i="56"/>
  <c r="CN53" i="56"/>
  <c r="CM53" i="56"/>
  <c r="CL53" i="56"/>
  <c r="CK53" i="56"/>
  <c r="CJ53" i="56"/>
  <c r="CI53" i="56"/>
  <c r="CH53" i="56"/>
  <c r="CG53" i="56"/>
  <c r="CF53" i="56"/>
  <c r="CE53" i="56"/>
  <c r="CD53" i="56"/>
  <c r="CC53" i="56"/>
  <c r="CB53" i="56"/>
  <c r="CA53" i="56"/>
  <c r="BZ53" i="56"/>
  <c r="BY53" i="56"/>
  <c r="BX53" i="56"/>
  <c r="BW53" i="56"/>
  <c r="BV53" i="56"/>
  <c r="BU53" i="56"/>
  <c r="BT53" i="56"/>
  <c r="BS53" i="56"/>
  <c r="BR53" i="56"/>
  <c r="BQ53" i="56"/>
  <c r="BP53" i="56"/>
  <c r="BO53" i="56"/>
  <c r="BN53" i="56"/>
  <c r="BM53" i="56"/>
  <c r="BL53" i="56"/>
  <c r="BK53" i="56"/>
  <c r="BJ53" i="56"/>
  <c r="BI53" i="56"/>
  <c r="BH53" i="56"/>
  <c r="BG53" i="56"/>
  <c r="BF53" i="56"/>
  <c r="BE53" i="56"/>
  <c r="BD53" i="56"/>
  <c r="BC53" i="56"/>
  <c r="BB53" i="56"/>
  <c r="BA53" i="56"/>
  <c r="AZ53" i="56"/>
  <c r="AY53" i="56"/>
  <c r="AX53" i="56"/>
  <c r="AW53" i="56"/>
  <c r="AV53" i="56"/>
  <c r="AU53" i="56"/>
  <c r="AT53" i="56"/>
  <c r="AS53" i="56"/>
  <c r="AR53" i="56"/>
  <c r="AQ53" i="56"/>
  <c r="AP53" i="56"/>
  <c r="AO53" i="56"/>
  <c r="AN53" i="56"/>
  <c r="AM53" i="56"/>
  <c r="AL53" i="56"/>
  <c r="AK53" i="56"/>
  <c r="AJ53" i="56"/>
  <c r="AI53" i="56"/>
  <c r="AH53" i="56"/>
  <c r="AG53" i="56"/>
  <c r="AF53" i="56"/>
  <c r="AE53" i="56"/>
  <c r="AD53" i="56"/>
  <c r="AC53" i="56"/>
  <c r="AB53" i="56"/>
  <c r="AA53" i="56"/>
  <c r="Z53" i="56"/>
  <c r="Y53" i="56"/>
  <c r="X53" i="56"/>
  <c r="W53" i="56"/>
  <c r="V53" i="56"/>
  <c r="U53" i="56"/>
  <c r="T53" i="56"/>
  <c r="S53" i="56"/>
  <c r="R53" i="56"/>
  <c r="Q53" i="56"/>
  <c r="P53" i="56"/>
  <c r="O53" i="56"/>
  <c r="N53" i="56"/>
  <c r="M53" i="56"/>
  <c r="L53" i="56"/>
  <c r="K53" i="56"/>
  <c r="J53" i="56"/>
  <c r="I53" i="56"/>
  <c r="H53" i="56"/>
  <c r="G53" i="56"/>
  <c r="F53" i="56"/>
  <c r="E53" i="56"/>
  <c r="D53" i="56"/>
  <c r="C53" i="56"/>
  <c r="B53" i="56"/>
  <c r="DQ52" i="56"/>
  <c r="DP52" i="56"/>
  <c r="DO52" i="56"/>
  <c r="DN52" i="56"/>
  <c r="DM52" i="56"/>
  <c r="DL52" i="56"/>
  <c r="DK52" i="56"/>
  <c r="DJ52" i="56"/>
  <c r="DI52" i="56"/>
  <c r="DH52" i="56"/>
  <c r="DG52" i="56"/>
  <c r="DF52" i="56"/>
  <c r="DE52" i="56"/>
  <c r="DD52" i="56"/>
  <c r="DC52" i="56"/>
  <c r="DB52" i="56"/>
  <c r="DA52" i="56"/>
  <c r="CZ52" i="56"/>
  <c r="CY52" i="56"/>
  <c r="CX52" i="56"/>
  <c r="CW52" i="56"/>
  <c r="CV52" i="56"/>
  <c r="CU52" i="56"/>
  <c r="CT52" i="56"/>
  <c r="CS52" i="56"/>
  <c r="CR52" i="56"/>
  <c r="CQ52" i="56"/>
  <c r="CP52" i="56"/>
  <c r="CO52" i="56"/>
  <c r="CN52" i="56"/>
  <c r="CM52" i="56"/>
  <c r="CL52" i="56"/>
  <c r="CK52" i="56"/>
  <c r="CJ52" i="56"/>
  <c r="CI52" i="56"/>
  <c r="CH52" i="56"/>
  <c r="CG52" i="56"/>
  <c r="CF52" i="56"/>
  <c r="CE52" i="56"/>
  <c r="CD52" i="56"/>
  <c r="CC52" i="56"/>
  <c r="CB52" i="56"/>
  <c r="CA52" i="56"/>
  <c r="BZ52" i="56"/>
  <c r="BY52" i="56"/>
  <c r="BX52" i="56"/>
  <c r="BW52" i="56"/>
  <c r="BV52" i="56"/>
  <c r="BU52" i="56"/>
  <c r="BT52" i="56"/>
  <c r="BS52" i="56"/>
  <c r="BR52" i="56"/>
  <c r="BQ52" i="56"/>
  <c r="BP52" i="56"/>
  <c r="BO52" i="56"/>
  <c r="BN52" i="56"/>
  <c r="BM52" i="56"/>
  <c r="BL52" i="56"/>
  <c r="BK52" i="56"/>
  <c r="BJ52" i="56"/>
  <c r="BI52" i="56"/>
  <c r="BH52" i="56"/>
  <c r="BG52" i="56"/>
  <c r="BF52" i="56"/>
  <c r="BE52" i="56"/>
  <c r="BD52" i="56"/>
  <c r="BC52" i="56"/>
  <c r="BB52" i="56"/>
  <c r="BA52" i="56"/>
  <c r="AZ52" i="56"/>
  <c r="AY52" i="56"/>
  <c r="AX52" i="56"/>
  <c r="AW52" i="56"/>
  <c r="AV52" i="56"/>
  <c r="AU52" i="56"/>
  <c r="AT52" i="56"/>
  <c r="AS52" i="56"/>
  <c r="AR52" i="56"/>
  <c r="AQ52" i="56"/>
  <c r="AP52" i="56"/>
  <c r="AO52" i="56"/>
  <c r="AN52" i="56"/>
  <c r="AM52" i="56"/>
  <c r="AL52" i="56"/>
  <c r="AK52" i="56"/>
  <c r="AJ52" i="56"/>
  <c r="AI52" i="56"/>
  <c r="AH52" i="56"/>
  <c r="AG52" i="56"/>
  <c r="AF52" i="56"/>
  <c r="AE52" i="56"/>
  <c r="AD52" i="56"/>
  <c r="AC52" i="56"/>
  <c r="AB52" i="56"/>
  <c r="AA52" i="56"/>
  <c r="Z52" i="56"/>
  <c r="Y52" i="56"/>
  <c r="X52" i="56"/>
  <c r="W52" i="56"/>
  <c r="V52" i="56"/>
  <c r="U52" i="56"/>
  <c r="T52" i="56"/>
  <c r="S52" i="56"/>
  <c r="R52" i="56"/>
  <c r="Q52" i="56"/>
  <c r="P52" i="56"/>
  <c r="O52" i="56"/>
  <c r="N52" i="56"/>
  <c r="M52" i="56"/>
  <c r="L52" i="56"/>
  <c r="K52" i="56"/>
  <c r="J52" i="56"/>
  <c r="I52" i="56"/>
  <c r="H52" i="56"/>
  <c r="G52" i="56"/>
  <c r="F52" i="56"/>
  <c r="E52" i="56"/>
  <c r="D52" i="56"/>
  <c r="C52" i="56"/>
  <c r="B52" i="56"/>
  <c r="DQ51" i="56"/>
  <c r="DP51" i="56"/>
  <c r="DO51" i="56"/>
  <c r="DN51" i="56"/>
  <c r="DM51" i="56"/>
  <c r="DL51" i="56"/>
  <c r="DK51" i="56"/>
  <c r="DJ51" i="56"/>
  <c r="DI51" i="56"/>
  <c r="DH51" i="56"/>
  <c r="DG51" i="56"/>
  <c r="DF51" i="56"/>
  <c r="DE51" i="56"/>
  <c r="DD51" i="56"/>
  <c r="DC51" i="56"/>
  <c r="DB51" i="56"/>
  <c r="DA51" i="56"/>
  <c r="CZ51" i="56"/>
  <c r="CY51" i="56"/>
  <c r="CX51" i="56"/>
  <c r="CW51" i="56"/>
  <c r="CV51" i="56"/>
  <c r="CU51" i="56"/>
  <c r="CT51" i="56"/>
  <c r="CS51" i="56"/>
  <c r="CR51" i="56"/>
  <c r="CQ51" i="56"/>
  <c r="CP51" i="56"/>
  <c r="CO51" i="56"/>
  <c r="CN51" i="56"/>
  <c r="CM51" i="56"/>
  <c r="CL51" i="56"/>
  <c r="CK51" i="56"/>
  <c r="CJ51" i="56"/>
  <c r="CI51" i="56"/>
  <c r="CH51" i="56"/>
  <c r="CG51" i="56"/>
  <c r="CF51" i="56"/>
  <c r="CE51" i="56"/>
  <c r="CD51" i="56"/>
  <c r="CC51" i="56"/>
  <c r="CB51" i="56"/>
  <c r="CA51" i="56"/>
  <c r="BZ51" i="56"/>
  <c r="BY51" i="56"/>
  <c r="BX51" i="56"/>
  <c r="BW51" i="56"/>
  <c r="BV51" i="56"/>
  <c r="BU51" i="56"/>
  <c r="BT51" i="56"/>
  <c r="BS51" i="56"/>
  <c r="BR51" i="56"/>
  <c r="BQ51" i="56"/>
  <c r="BP51" i="56"/>
  <c r="BO51" i="56"/>
  <c r="BN51" i="56"/>
  <c r="BM51" i="56"/>
  <c r="BL51" i="56"/>
  <c r="BK51" i="56"/>
  <c r="BJ51" i="56"/>
  <c r="BI51" i="56"/>
  <c r="BH51" i="56"/>
  <c r="BG51" i="56"/>
  <c r="BF51" i="56"/>
  <c r="BE51" i="56"/>
  <c r="BD51" i="56"/>
  <c r="BC51" i="56"/>
  <c r="BB51" i="56"/>
  <c r="BA51" i="56"/>
  <c r="AZ51" i="56"/>
  <c r="AY51" i="56"/>
  <c r="AX51" i="56"/>
  <c r="AW51" i="56"/>
  <c r="AV51" i="56"/>
  <c r="AU51" i="56"/>
  <c r="AT51" i="56"/>
  <c r="AS51" i="56"/>
  <c r="AR51" i="56"/>
  <c r="AQ51" i="56"/>
  <c r="AP51" i="56"/>
  <c r="AO51" i="56"/>
  <c r="AN51" i="56"/>
  <c r="AM51" i="56"/>
  <c r="AL51" i="56"/>
  <c r="AK51" i="56"/>
  <c r="AJ51" i="56"/>
  <c r="AI51" i="56"/>
  <c r="AH51" i="56"/>
  <c r="AG51" i="56"/>
  <c r="AF51" i="56"/>
  <c r="AE51" i="56"/>
  <c r="AD51" i="56"/>
  <c r="AC51" i="56"/>
  <c r="AB51" i="56"/>
  <c r="AA51" i="56"/>
  <c r="Z51" i="56"/>
  <c r="Y51" i="56"/>
  <c r="X51" i="56"/>
  <c r="W51" i="56"/>
  <c r="V51" i="56"/>
  <c r="U51" i="56"/>
  <c r="T51" i="56"/>
  <c r="S51" i="56"/>
  <c r="R51" i="56"/>
  <c r="Q51" i="56"/>
  <c r="P51" i="56"/>
  <c r="O51" i="56"/>
  <c r="N51" i="56"/>
  <c r="M51" i="56"/>
  <c r="L51" i="56"/>
  <c r="K51" i="56"/>
  <c r="J51" i="56"/>
  <c r="I51" i="56"/>
  <c r="H51" i="56"/>
  <c r="G51" i="56"/>
  <c r="F51" i="56"/>
  <c r="E51" i="56"/>
  <c r="D51" i="56"/>
  <c r="C51" i="56"/>
  <c r="B51" i="56"/>
  <c r="DQ50" i="56"/>
  <c r="DP50" i="56"/>
  <c r="DO50" i="56"/>
  <c r="DN50" i="56"/>
  <c r="DM50" i="56"/>
  <c r="DL50" i="56"/>
  <c r="DK50" i="56"/>
  <c r="DJ50" i="56"/>
  <c r="DI50" i="56"/>
  <c r="DH50" i="56"/>
  <c r="DG50" i="56"/>
  <c r="DF50" i="56"/>
  <c r="DE50" i="56"/>
  <c r="DD50" i="56"/>
  <c r="DC50" i="56"/>
  <c r="DB50" i="56"/>
  <c r="DA50" i="56"/>
  <c r="CZ50" i="56"/>
  <c r="CY50" i="56"/>
  <c r="CX50" i="56"/>
  <c r="CW50" i="56"/>
  <c r="CV50" i="56"/>
  <c r="CU50" i="56"/>
  <c r="CT50" i="56"/>
  <c r="CS50" i="56"/>
  <c r="CR50" i="56"/>
  <c r="CQ50" i="56"/>
  <c r="CP50" i="56"/>
  <c r="CO50" i="56"/>
  <c r="CN50" i="56"/>
  <c r="CM50" i="56"/>
  <c r="CL50" i="56"/>
  <c r="CK50" i="56"/>
  <c r="CJ50" i="56"/>
  <c r="CI50" i="56"/>
  <c r="CH50" i="56"/>
  <c r="CG50" i="56"/>
  <c r="CF50" i="56"/>
  <c r="CE50" i="56"/>
  <c r="CD50" i="56"/>
  <c r="CC50" i="56"/>
  <c r="CB50" i="56"/>
  <c r="CA50" i="56"/>
  <c r="BZ50" i="56"/>
  <c r="BY50" i="56"/>
  <c r="BX50" i="56"/>
  <c r="BW50" i="56"/>
  <c r="BV50" i="56"/>
  <c r="BU50" i="56"/>
  <c r="BT50" i="56"/>
  <c r="BS50" i="56"/>
  <c r="BR50" i="56"/>
  <c r="BQ50" i="56"/>
  <c r="BP50" i="56"/>
  <c r="BO50" i="56"/>
  <c r="BN50" i="56"/>
  <c r="BM50" i="56"/>
  <c r="BL50" i="56"/>
  <c r="BK50" i="56"/>
  <c r="BJ50" i="56"/>
  <c r="BI50" i="56"/>
  <c r="BH50" i="56"/>
  <c r="BG50" i="56"/>
  <c r="BF50" i="56"/>
  <c r="BE50" i="56"/>
  <c r="BD50" i="56"/>
  <c r="BC50" i="56"/>
  <c r="BB50" i="56"/>
  <c r="BA50" i="56"/>
  <c r="AZ50" i="56"/>
  <c r="AY50" i="56"/>
  <c r="AX50" i="56"/>
  <c r="AW50" i="56"/>
  <c r="AV50" i="56"/>
  <c r="AU50" i="56"/>
  <c r="AT50" i="56"/>
  <c r="AS50" i="56"/>
  <c r="AR50" i="56"/>
  <c r="AQ50" i="56"/>
  <c r="AP50" i="56"/>
  <c r="AO50" i="56"/>
  <c r="AN50" i="56"/>
  <c r="AM50" i="56"/>
  <c r="AL50" i="56"/>
  <c r="AK50" i="56"/>
  <c r="AJ50" i="56"/>
  <c r="AI50" i="56"/>
  <c r="AH50" i="56"/>
  <c r="AG50" i="56"/>
  <c r="AF50" i="56"/>
  <c r="AE50" i="56"/>
  <c r="AD50" i="56"/>
  <c r="AC50" i="56"/>
  <c r="AB50" i="56"/>
  <c r="AA50" i="56"/>
  <c r="Z50" i="56"/>
  <c r="Y50" i="56"/>
  <c r="X50" i="56"/>
  <c r="W50" i="56"/>
  <c r="V50" i="56"/>
  <c r="U50" i="56"/>
  <c r="T50" i="56"/>
  <c r="S50" i="56"/>
  <c r="R50" i="56"/>
  <c r="Q50" i="56"/>
  <c r="P50" i="56"/>
  <c r="O50" i="56"/>
  <c r="N50" i="56"/>
  <c r="M50" i="56"/>
  <c r="L50" i="56"/>
  <c r="K50" i="56"/>
  <c r="J50" i="56"/>
  <c r="I50" i="56"/>
  <c r="H50" i="56"/>
  <c r="G50" i="56"/>
  <c r="F50" i="56"/>
  <c r="E50" i="56"/>
  <c r="D50" i="56"/>
  <c r="C50" i="56"/>
  <c r="B50" i="56"/>
  <c r="DQ49" i="56"/>
  <c r="DP49" i="56"/>
  <c r="DO49" i="56"/>
  <c r="DN49" i="56"/>
  <c r="DM49" i="56"/>
  <c r="DL49" i="56"/>
  <c r="DK49" i="56"/>
  <c r="DJ49" i="56"/>
  <c r="DI49" i="56"/>
  <c r="DH49" i="56"/>
  <c r="DG49" i="56"/>
  <c r="DF49" i="56"/>
  <c r="DE49" i="56"/>
  <c r="DD49" i="56"/>
  <c r="DC49" i="56"/>
  <c r="DB49" i="56"/>
  <c r="DA49" i="56"/>
  <c r="CZ49" i="56"/>
  <c r="CY49" i="56"/>
  <c r="CX49" i="56"/>
  <c r="CW49" i="56"/>
  <c r="CV49" i="56"/>
  <c r="CU49" i="56"/>
  <c r="CT49" i="56"/>
  <c r="CS49" i="56"/>
  <c r="CR49" i="56"/>
  <c r="CQ49" i="56"/>
  <c r="CP49" i="56"/>
  <c r="CO49" i="56"/>
  <c r="CN49" i="56"/>
  <c r="CM49" i="56"/>
  <c r="CL49" i="56"/>
  <c r="CK49" i="56"/>
  <c r="CJ49" i="56"/>
  <c r="CI49" i="56"/>
  <c r="CH49" i="56"/>
  <c r="CG49" i="56"/>
  <c r="CF49" i="56"/>
  <c r="CE49" i="56"/>
  <c r="CD49" i="56"/>
  <c r="CC49" i="56"/>
  <c r="CB49" i="56"/>
  <c r="CA49" i="56"/>
  <c r="BZ49" i="56"/>
  <c r="BY49" i="56"/>
  <c r="BX49" i="56"/>
  <c r="BW49" i="56"/>
  <c r="BV49" i="56"/>
  <c r="BU49" i="56"/>
  <c r="BT49" i="56"/>
  <c r="BS49" i="56"/>
  <c r="BR49" i="56"/>
  <c r="BQ49" i="56"/>
  <c r="BP49" i="56"/>
  <c r="BO49" i="56"/>
  <c r="BN49" i="56"/>
  <c r="BM49" i="56"/>
  <c r="BL49" i="56"/>
  <c r="BK49" i="56"/>
  <c r="BJ49" i="56"/>
  <c r="BI49" i="56"/>
  <c r="BH49" i="56"/>
  <c r="BG49" i="56"/>
  <c r="BF49" i="56"/>
  <c r="BE49" i="56"/>
  <c r="BD49" i="56"/>
  <c r="BC49" i="56"/>
  <c r="BB49" i="56"/>
  <c r="BA49" i="56"/>
  <c r="AZ49" i="56"/>
  <c r="AY49" i="56"/>
  <c r="AX49" i="56"/>
  <c r="AW49" i="56"/>
  <c r="AV49" i="56"/>
  <c r="AU49" i="56"/>
  <c r="AT49" i="56"/>
  <c r="AS49" i="56"/>
  <c r="AR49" i="56"/>
  <c r="AQ49" i="56"/>
  <c r="AP49" i="56"/>
  <c r="AO49" i="56"/>
  <c r="AN49" i="56"/>
  <c r="AM49" i="56"/>
  <c r="AL49" i="56"/>
  <c r="AK49" i="56"/>
  <c r="AJ49" i="56"/>
  <c r="AI49" i="56"/>
  <c r="AH49" i="56"/>
  <c r="AG49" i="56"/>
  <c r="AF49" i="56"/>
  <c r="AE49" i="56"/>
  <c r="AD49" i="56"/>
  <c r="AC49" i="56"/>
  <c r="AB49" i="56"/>
  <c r="AA49" i="56"/>
  <c r="Z49" i="56"/>
  <c r="Y49" i="56"/>
  <c r="X49" i="56"/>
  <c r="W49" i="56"/>
  <c r="V49" i="56"/>
  <c r="U49" i="56"/>
  <c r="T49" i="56"/>
  <c r="S49" i="56"/>
  <c r="R49" i="56"/>
  <c r="Q49" i="56"/>
  <c r="P49" i="56"/>
  <c r="O49" i="56"/>
  <c r="N49" i="56"/>
  <c r="M49" i="56"/>
  <c r="L49" i="56"/>
  <c r="K49" i="56"/>
  <c r="J49" i="56"/>
  <c r="I49" i="56"/>
  <c r="H49" i="56"/>
  <c r="G49" i="56"/>
  <c r="F49" i="56"/>
  <c r="E49" i="56"/>
  <c r="D49" i="56"/>
  <c r="C49" i="56"/>
  <c r="B49" i="56"/>
  <c r="DQ48" i="56"/>
  <c r="DP48" i="56"/>
  <c r="DO48" i="56"/>
  <c r="DN48" i="56"/>
  <c r="DM48" i="56"/>
  <c r="DL48" i="56"/>
  <c r="DK48" i="56"/>
  <c r="DJ48" i="56"/>
  <c r="DI48" i="56"/>
  <c r="DH48" i="56"/>
  <c r="DG48" i="56"/>
  <c r="DF48" i="56"/>
  <c r="DE48" i="56"/>
  <c r="DD48" i="56"/>
  <c r="DC48" i="56"/>
  <c r="DB48" i="56"/>
  <c r="DA48" i="56"/>
  <c r="CZ48" i="56"/>
  <c r="CY48" i="56"/>
  <c r="CX48" i="56"/>
  <c r="CW48" i="56"/>
  <c r="CV48" i="56"/>
  <c r="CU48" i="56"/>
  <c r="CT48" i="56"/>
  <c r="CS48" i="56"/>
  <c r="CR48" i="56"/>
  <c r="CQ48" i="56"/>
  <c r="CP48" i="56"/>
  <c r="CO48" i="56"/>
  <c r="CN48" i="56"/>
  <c r="CM48" i="56"/>
  <c r="CL48" i="56"/>
  <c r="CK48" i="56"/>
  <c r="CJ48" i="56"/>
  <c r="CI48" i="56"/>
  <c r="CH48" i="56"/>
  <c r="CG48" i="56"/>
  <c r="CF48" i="56"/>
  <c r="CE48" i="56"/>
  <c r="CD48" i="56"/>
  <c r="CC48" i="56"/>
  <c r="CB48" i="56"/>
  <c r="CA48" i="56"/>
  <c r="BZ48" i="56"/>
  <c r="BY48" i="56"/>
  <c r="BX48" i="56"/>
  <c r="BW48" i="56"/>
  <c r="BV48" i="56"/>
  <c r="BU48" i="56"/>
  <c r="BT48" i="56"/>
  <c r="BS48" i="56"/>
  <c r="BR48" i="56"/>
  <c r="BQ48" i="56"/>
  <c r="BP48" i="56"/>
  <c r="BO48" i="56"/>
  <c r="BN48" i="56"/>
  <c r="BM48" i="56"/>
  <c r="BL48" i="56"/>
  <c r="BK48" i="56"/>
  <c r="BJ48" i="56"/>
  <c r="BI48" i="56"/>
  <c r="BH48" i="56"/>
  <c r="BG48" i="56"/>
  <c r="BF48" i="56"/>
  <c r="BE48" i="56"/>
  <c r="BD48" i="56"/>
  <c r="BC48" i="56"/>
  <c r="BB48" i="56"/>
  <c r="BA48" i="56"/>
  <c r="AZ48" i="56"/>
  <c r="AY48" i="56"/>
  <c r="AX48" i="56"/>
  <c r="AW48" i="56"/>
  <c r="AV48" i="56"/>
  <c r="AU48" i="56"/>
  <c r="AT48" i="56"/>
  <c r="AS48" i="56"/>
  <c r="AR48" i="56"/>
  <c r="AQ48" i="56"/>
  <c r="AP48" i="56"/>
  <c r="AO48" i="56"/>
  <c r="AN48" i="56"/>
  <c r="AM48" i="56"/>
  <c r="AL48" i="56"/>
  <c r="AK48" i="56"/>
  <c r="AJ48" i="56"/>
  <c r="AI48" i="56"/>
  <c r="AH48" i="56"/>
  <c r="AG48" i="56"/>
  <c r="AF48" i="56"/>
  <c r="AE48" i="56"/>
  <c r="AD48" i="56"/>
  <c r="AC48" i="56"/>
  <c r="AB48" i="56"/>
  <c r="AA48" i="56"/>
  <c r="Z48" i="56"/>
  <c r="Y48" i="56"/>
  <c r="X48" i="56"/>
  <c r="W48" i="56"/>
  <c r="V48" i="56"/>
  <c r="U48" i="56"/>
  <c r="T48" i="56"/>
  <c r="S48" i="56"/>
  <c r="R48" i="56"/>
  <c r="Q48" i="56"/>
  <c r="P48" i="56"/>
  <c r="O48" i="56"/>
  <c r="N48" i="56"/>
  <c r="M48" i="56"/>
  <c r="L48" i="56"/>
  <c r="K48" i="56"/>
  <c r="J48" i="56"/>
  <c r="I48" i="56"/>
  <c r="H48" i="56"/>
  <c r="G48" i="56"/>
  <c r="F48" i="56"/>
  <c r="E48" i="56"/>
  <c r="D48" i="56"/>
  <c r="C48" i="56"/>
  <c r="B48" i="56"/>
  <c r="DQ47" i="56"/>
  <c r="DP47" i="56"/>
  <c r="DO47" i="56"/>
  <c r="DN47" i="56"/>
  <c r="DM47" i="56"/>
  <c r="DL47" i="56"/>
  <c r="DK47" i="56"/>
  <c r="DJ47" i="56"/>
  <c r="DI47" i="56"/>
  <c r="DH47" i="56"/>
  <c r="DG47" i="56"/>
  <c r="DF47" i="56"/>
  <c r="DE47" i="56"/>
  <c r="DD47" i="56"/>
  <c r="DC47" i="56"/>
  <c r="DB47" i="56"/>
  <c r="DA47" i="56"/>
  <c r="CZ47" i="56"/>
  <c r="CY47" i="56"/>
  <c r="CX47" i="56"/>
  <c r="CW47" i="56"/>
  <c r="CV47" i="56"/>
  <c r="CU47" i="56"/>
  <c r="CT47" i="56"/>
  <c r="CS47" i="56"/>
  <c r="CR47" i="56"/>
  <c r="CQ47" i="56"/>
  <c r="CP47" i="56"/>
  <c r="CO47" i="56"/>
  <c r="CN47" i="56"/>
  <c r="CM47" i="56"/>
  <c r="CL47" i="56"/>
  <c r="CK47" i="56"/>
  <c r="CJ47" i="56"/>
  <c r="CI47" i="56"/>
  <c r="CH47" i="56"/>
  <c r="CG47" i="56"/>
  <c r="CF47" i="56"/>
  <c r="CE47" i="56"/>
  <c r="CD47" i="56"/>
  <c r="CC47" i="56"/>
  <c r="CB47" i="56"/>
  <c r="CA47" i="56"/>
  <c r="BZ47" i="56"/>
  <c r="BY47" i="56"/>
  <c r="BX47" i="56"/>
  <c r="BW47" i="56"/>
  <c r="BV47" i="56"/>
  <c r="BU47" i="56"/>
  <c r="BT47" i="56"/>
  <c r="BS47" i="56"/>
  <c r="BR47" i="56"/>
  <c r="BQ47" i="56"/>
  <c r="BP47" i="56"/>
  <c r="BO47" i="56"/>
  <c r="BN47" i="56"/>
  <c r="BM47" i="56"/>
  <c r="BL47" i="56"/>
  <c r="BK47" i="56"/>
  <c r="BJ47" i="56"/>
  <c r="BI47" i="56"/>
  <c r="BH47" i="56"/>
  <c r="BG47" i="56"/>
  <c r="BF47" i="56"/>
  <c r="BE47" i="56"/>
  <c r="BD47" i="56"/>
  <c r="BC47" i="56"/>
  <c r="BB47" i="56"/>
  <c r="BA47" i="56"/>
  <c r="AZ47" i="56"/>
  <c r="AY47" i="56"/>
  <c r="AX47" i="56"/>
  <c r="AW47" i="56"/>
  <c r="AV47" i="56"/>
  <c r="AU47" i="56"/>
  <c r="AT47" i="56"/>
  <c r="AS47" i="56"/>
  <c r="AR47" i="56"/>
  <c r="AQ47" i="56"/>
  <c r="AP47" i="56"/>
  <c r="AO47" i="56"/>
  <c r="AN47" i="56"/>
  <c r="AM47" i="56"/>
  <c r="AL47" i="56"/>
  <c r="AK47" i="56"/>
  <c r="AJ47" i="56"/>
  <c r="AI47" i="56"/>
  <c r="AH47" i="56"/>
  <c r="AG47" i="56"/>
  <c r="AF47" i="56"/>
  <c r="AE47" i="56"/>
  <c r="AD47" i="56"/>
  <c r="AC47" i="56"/>
  <c r="AB47" i="56"/>
  <c r="AA47" i="56"/>
  <c r="Z47" i="56"/>
  <c r="Y47" i="56"/>
  <c r="X47" i="56"/>
  <c r="W47" i="56"/>
  <c r="V47" i="56"/>
  <c r="U47" i="56"/>
  <c r="T47" i="56"/>
  <c r="S47" i="56"/>
  <c r="R47" i="56"/>
  <c r="Q47" i="56"/>
  <c r="P47" i="56"/>
  <c r="O47" i="56"/>
  <c r="N47" i="56"/>
  <c r="M47" i="56"/>
  <c r="L47" i="56"/>
  <c r="K47" i="56"/>
  <c r="J47" i="56"/>
  <c r="I47" i="56"/>
  <c r="H47" i="56"/>
  <c r="G47" i="56"/>
  <c r="F47" i="56"/>
  <c r="E47" i="56"/>
  <c r="D47" i="56"/>
  <c r="C47" i="56"/>
  <c r="B47" i="56"/>
  <c r="DQ46" i="56"/>
  <c r="DP46" i="56"/>
  <c r="DO46" i="56"/>
  <c r="DN46" i="56"/>
  <c r="DM46" i="56"/>
  <c r="DL46" i="56"/>
  <c r="DK46" i="56"/>
  <c r="DJ46" i="56"/>
  <c r="DI46" i="56"/>
  <c r="DH46" i="56"/>
  <c r="DG46" i="56"/>
  <c r="DF46" i="56"/>
  <c r="DE46" i="56"/>
  <c r="DD46" i="56"/>
  <c r="DC46" i="56"/>
  <c r="DB46" i="56"/>
  <c r="DA46" i="56"/>
  <c r="CZ46" i="56"/>
  <c r="CY46" i="56"/>
  <c r="CX46" i="56"/>
  <c r="CW46" i="56"/>
  <c r="CV46" i="56"/>
  <c r="CU46" i="56"/>
  <c r="CT46" i="56"/>
  <c r="CS46" i="56"/>
  <c r="CR46" i="56"/>
  <c r="CQ46" i="56"/>
  <c r="CP46" i="56"/>
  <c r="CO46" i="56"/>
  <c r="CN46" i="56"/>
  <c r="CM46" i="56"/>
  <c r="CL46" i="56"/>
  <c r="CK46" i="56"/>
  <c r="CJ46" i="56"/>
  <c r="CI46" i="56"/>
  <c r="CH46" i="56"/>
  <c r="CG46" i="56"/>
  <c r="CF46" i="56"/>
  <c r="CE46" i="56"/>
  <c r="CD46" i="56"/>
  <c r="CC46" i="56"/>
  <c r="CB46" i="56"/>
  <c r="CA46" i="56"/>
  <c r="BZ46" i="56"/>
  <c r="BY46" i="56"/>
  <c r="BX46" i="56"/>
  <c r="BW46" i="56"/>
  <c r="BV46" i="56"/>
  <c r="BU46" i="56"/>
  <c r="BT46" i="56"/>
  <c r="BS46" i="56"/>
  <c r="BR46" i="56"/>
  <c r="BQ46" i="56"/>
  <c r="BP46" i="56"/>
  <c r="BO46" i="56"/>
  <c r="BN46" i="56"/>
  <c r="BM46" i="56"/>
  <c r="BL46" i="56"/>
  <c r="BK46" i="56"/>
  <c r="BJ46" i="56"/>
  <c r="BI46" i="56"/>
  <c r="BH46" i="56"/>
  <c r="BG46" i="56"/>
  <c r="BF46" i="56"/>
  <c r="BE46" i="56"/>
  <c r="BD46" i="56"/>
  <c r="BC46" i="56"/>
  <c r="BB46" i="56"/>
  <c r="BA46" i="56"/>
  <c r="AZ46" i="56"/>
  <c r="AY46" i="56"/>
  <c r="AX46" i="56"/>
  <c r="AW46" i="56"/>
  <c r="AV46" i="56"/>
  <c r="AU46" i="56"/>
  <c r="AT46" i="56"/>
  <c r="AS46" i="56"/>
  <c r="AR46" i="56"/>
  <c r="AQ46" i="56"/>
  <c r="AP46" i="56"/>
  <c r="AO46" i="56"/>
  <c r="AN46" i="56"/>
  <c r="AM46" i="56"/>
  <c r="AL46" i="56"/>
  <c r="AK46" i="56"/>
  <c r="AJ46" i="56"/>
  <c r="AI46" i="56"/>
  <c r="AH46" i="56"/>
  <c r="AG46" i="56"/>
  <c r="AF46" i="56"/>
  <c r="AE46" i="56"/>
  <c r="AD46" i="56"/>
  <c r="AC46" i="56"/>
  <c r="AB46" i="56"/>
  <c r="AA46" i="56"/>
  <c r="Z46" i="56"/>
  <c r="Y46" i="56"/>
  <c r="X46" i="56"/>
  <c r="W46" i="56"/>
  <c r="V46" i="56"/>
  <c r="U46" i="56"/>
  <c r="T46" i="56"/>
  <c r="S46" i="56"/>
  <c r="R46" i="56"/>
  <c r="Q46" i="56"/>
  <c r="P46" i="56"/>
  <c r="O46" i="56"/>
  <c r="N46" i="56"/>
  <c r="M46" i="56"/>
  <c r="L46" i="56"/>
  <c r="K46" i="56"/>
  <c r="J46" i="56"/>
  <c r="I46" i="56"/>
  <c r="H46" i="56"/>
  <c r="G46" i="56"/>
  <c r="F46" i="56"/>
  <c r="E46" i="56"/>
  <c r="D46" i="56"/>
  <c r="C46" i="56"/>
  <c r="B46" i="56"/>
  <c r="DQ45" i="56"/>
  <c r="DP45" i="56"/>
  <c r="DO45" i="56"/>
  <c r="DN45" i="56"/>
  <c r="DM45" i="56"/>
  <c r="DL45" i="56"/>
  <c r="DK45" i="56"/>
  <c r="DJ45" i="56"/>
  <c r="DI45" i="56"/>
  <c r="DH45" i="56"/>
  <c r="DG45" i="56"/>
  <c r="DF45" i="56"/>
  <c r="DE45" i="56"/>
  <c r="DD45" i="56"/>
  <c r="DC45" i="56"/>
  <c r="DB45" i="56"/>
  <c r="DA45" i="56"/>
  <c r="CZ45" i="56"/>
  <c r="CY45" i="56"/>
  <c r="CX45" i="56"/>
  <c r="CW45" i="56"/>
  <c r="CV45" i="56"/>
  <c r="CU45" i="56"/>
  <c r="CT45" i="56"/>
  <c r="CS45" i="56"/>
  <c r="CR45" i="56"/>
  <c r="CQ45" i="56"/>
  <c r="CP45" i="56"/>
  <c r="CO45" i="56"/>
  <c r="CN45" i="56"/>
  <c r="CM45" i="56"/>
  <c r="CL45" i="56"/>
  <c r="CK45" i="56"/>
  <c r="CJ45" i="56"/>
  <c r="CI45" i="56"/>
  <c r="CH45" i="56"/>
  <c r="CG45" i="56"/>
  <c r="CF45" i="56"/>
  <c r="CE45" i="56"/>
  <c r="CD45" i="56"/>
  <c r="CC45" i="56"/>
  <c r="CB45" i="56"/>
  <c r="CA45" i="56"/>
  <c r="BZ45" i="56"/>
  <c r="BY45" i="56"/>
  <c r="BX45" i="56"/>
  <c r="BW45" i="56"/>
  <c r="BV45" i="56"/>
  <c r="BU45" i="56"/>
  <c r="BT45" i="56"/>
  <c r="BS45" i="56"/>
  <c r="BR45" i="56"/>
  <c r="BQ45" i="56"/>
  <c r="BP45" i="56"/>
  <c r="BO45" i="56"/>
  <c r="BN45" i="56"/>
  <c r="BM45" i="56"/>
  <c r="BL45" i="56"/>
  <c r="BK45" i="56"/>
  <c r="BJ45" i="56"/>
  <c r="BI45" i="56"/>
  <c r="BH45" i="56"/>
  <c r="BG45" i="56"/>
  <c r="BF45" i="56"/>
  <c r="BE45" i="56"/>
  <c r="BD45" i="56"/>
  <c r="BC45" i="56"/>
  <c r="BB45" i="56"/>
  <c r="BA45" i="56"/>
  <c r="AZ45" i="56"/>
  <c r="AY45" i="56"/>
  <c r="AX45" i="56"/>
  <c r="AW45" i="56"/>
  <c r="AV45" i="56"/>
  <c r="AU45" i="56"/>
  <c r="AT45" i="56"/>
  <c r="AS45" i="56"/>
  <c r="AR45" i="56"/>
  <c r="AQ45" i="56"/>
  <c r="AP45" i="56"/>
  <c r="AO45" i="56"/>
  <c r="AN45" i="56"/>
  <c r="AM45" i="56"/>
  <c r="AL45" i="56"/>
  <c r="AK45" i="56"/>
  <c r="AJ45" i="56"/>
  <c r="AI45" i="56"/>
  <c r="AH45" i="56"/>
  <c r="AG45" i="56"/>
  <c r="AF45" i="56"/>
  <c r="AE45" i="56"/>
  <c r="AD45" i="56"/>
  <c r="AC45" i="56"/>
  <c r="AB45" i="56"/>
  <c r="AA45" i="56"/>
  <c r="Z45" i="56"/>
  <c r="Y45" i="56"/>
  <c r="X45" i="56"/>
  <c r="W45" i="56"/>
  <c r="V45" i="56"/>
  <c r="U45" i="56"/>
  <c r="T45" i="56"/>
  <c r="S45" i="56"/>
  <c r="R45" i="56"/>
  <c r="Q45" i="56"/>
  <c r="P45" i="56"/>
  <c r="O45" i="56"/>
  <c r="N45" i="56"/>
  <c r="M45" i="56"/>
  <c r="L45" i="56"/>
  <c r="K45" i="56"/>
  <c r="J45" i="56"/>
  <c r="I45" i="56"/>
  <c r="H45" i="56"/>
  <c r="G45" i="56"/>
  <c r="F45" i="56"/>
  <c r="E45" i="56"/>
  <c r="D45" i="56"/>
  <c r="C45" i="56"/>
  <c r="B45" i="56"/>
  <c r="DQ44" i="56"/>
  <c r="DP44" i="56"/>
  <c r="DO44" i="56"/>
  <c r="DN44" i="56"/>
  <c r="DM44" i="56"/>
  <c r="DL44" i="56"/>
  <c r="DK44" i="56"/>
  <c r="DJ44" i="56"/>
  <c r="DI44" i="56"/>
  <c r="DH44" i="56"/>
  <c r="DG44" i="56"/>
  <c r="DF44" i="56"/>
  <c r="DE44" i="56"/>
  <c r="DD44" i="56"/>
  <c r="DC44" i="56"/>
  <c r="DB44" i="56"/>
  <c r="DA44" i="56"/>
  <c r="CZ44" i="56"/>
  <c r="CY44" i="56"/>
  <c r="CX44" i="56"/>
  <c r="CW44" i="56"/>
  <c r="CV44" i="56"/>
  <c r="CU44" i="56"/>
  <c r="CT44" i="56"/>
  <c r="CS44" i="56"/>
  <c r="CR44" i="56"/>
  <c r="CQ44" i="56"/>
  <c r="CP44" i="56"/>
  <c r="CO44" i="56"/>
  <c r="CN44" i="56"/>
  <c r="CM44" i="56"/>
  <c r="CL44" i="56"/>
  <c r="CK44" i="56"/>
  <c r="CJ44" i="56"/>
  <c r="CI44" i="56"/>
  <c r="CH44" i="56"/>
  <c r="CG44" i="56"/>
  <c r="CF44" i="56"/>
  <c r="CE44" i="56"/>
  <c r="CD44" i="56"/>
  <c r="CC44" i="56"/>
  <c r="CB44" i="56"/>
  <c r="CA44" i="56"/>
  <c r="BZ44" i="56"/>
  <c r="BY44" i="56"/>
  <c r="BX44" i="56"/>
  <c r="BW44" i="56"/>
  <c r="BV44" i="56"/>
  <c r="BU44" i="56"/>
  <c r="BT44" i="56"/>
  <c r="BS44" i="56"/>
  <c r="BR44" i="56"/>
  <c r="BQ44" i="56"/>
  <c r="BP44" i="56"/>
  <c r="BO44" i="56"/>
  <c r="BN44" i="56"/>
  <c r="BM44" i="56"/>
  <c r="BL44" i="56"/>
  <c r="BK44" i="56"/>
  <c r="BJ44" i="56"/>
  <c r="BI44" i="56"/>
  <c r="BH44" i="56"/>
  <c r="BG44" i="56"/>
  <c r="BF44" i="56"/>
  <c r="BE44" i="56"/>
  <c r="BD44" i="56"/>
  <c r="BC44" i="56"/>
  <c r="BB44" i="56"/>
  <c r="BA44" i="56"/>
  <c r="AZ44" i="56"/>
  <c r="AY44" i="56"/>
  <c r="AX44" i="56"/>
  <c r="AW44" i="56"/>
  <c r="AV44" i="56"/>
  <c r="AU44" i="56"/>
  <c r="AT44" i="56"/>
  <c r="AS44" i="56"/>
  <c r="AR44" i="56"/>
  <c r="AQ44" i="56"/>
  <c r="AP44" i="56"/>
  <c r="AO44" i="56"/>
  <c r="AN44" i="56"/>
  <c r="AM44" i="56"/>
  <c r="AL44" i="56"/>
  <c r="AK44" i="56"/>
  <c r="AJ44" i="56"/>
  <c r="AI44" i="56"/>
  <c r="AH44" i="56"/>
  <c r="AG44" i="56"/>
  <c r="AF44" i="56"/>
  <c r="AE44" i="56"/>
  <c r="AD44" i="56"/>
  <c r="AC44" i="56"/>
  <c r="AB44" i="56"/>
  <c r="AA44" i="56"/>
  <c r="Z44" i="56"/>
  <c r="Y44" i="56"/>
  <c r="X44" i="56"/>
  <c r="W44" i="56"/>
  <c r="V44" i="56"/>
  <c r="U44" i="56"/>
  <c r="T44" i="56"/>
  <c r="S44" i="56"/>
  <c r="R44" i="56"/>
  <c r="Q44" i="56"/>
  <c r="P44" i="56"/>
  <c r="O44" i="56"/>
  <c r="N44" i="56"/>
  <c r="M44" i="56"/>
  <c r="L44" i="56"/>
  <c r="K44" i="56"/>
  <c r="J44" i="56"/>
  <c r="I44" i="56"/>
  <c r="H44" i="56"/>
  <c r="G44" i="56"/>
  <c r="F44" i="56"/>
  <c r="E44" i="56"/>
  <c r="D44" i="56"/>
  <c r="C44" i="56"/>
  <c r="B44" i="56"/>
  <c r="DQ43" i="56"/>
  <c r="DP43" i="56"/>
  <c r="DO43" i="56"/>
  <c r="DN43" i="56"/>
  <c r="DM43" i="56"/>
  <c r="DL43" i="56"/>
  <c r="DK43" i="56"/>
  <c r="DJ43" i="56"/>
  <c r="DI43" i="56"/>
  <c r="DH43" i="56"/>
  <c r="DG43" i="56"/>
  <c r="DF43" i="56"/>
  <c r="DE43" i="56"/>
  <c r="DD43" i="56"/>
  <c r="DC43" i="56"/>
  <c r="DB43" i="56"/>
  <c r="DA43" i="56"/>
  <c r="CZ43" i="56"/>
  <c r="CY43" i="56"/>
  <c r="CX43" i="56"/>
  <c r="CW43" i="56"/>
  <c r="CV43" i="56"/>
  <c r="CU43" i="56"/>
  <c r="CT43" i="56"/>
  <c r="CS43" i="56"/>
  <c r="CR43" i="56"/>
  <c r="CQ43" i="56"/>
  <c r="CP43" i="56"/>
  <c r="CO43" i="56"/>
  <c r="CN43" i="56"/>
  <c r="CM43" i="56"/>
  <c r="CL43" i="56"/>
  <c r="CK43" i="56"/>
  <c r="CJ43" i="56"/>
  <c r="CI43" i="56"/>
  <c r="CH43" i="56"/>
  <c r="CG43" i="56"/>
  <c r="CF43" i="56"/>
  <c r="CE43" i="56"/>
  <c r="CD43" i="56"/>
  <c r="CC43" i="56"/>
  <c r="CB43" i="56"/>
  <c r="CA43" i="56"/>
  <c r="BZ43" i="56"/>
  <c r="BY43" i="56"/>
  <c r="BX43" i="56"/>
  <c r="BW43" i="56"/>
  <c r="BV43" i="56"/>
  <c r="BU43" i="56"/>
  <c r="BT43" i="56"/>
  <c r="BS43" i="56"/>
  <c r="BR43" i="56"/>
  <c r="BQ43" i="56"/>
  <c r="BP43" i="56"/>
  <c r="BO43" i="56"/>
  <c r="BN43" i="56"/>
  <c r="BM43" i="56"/>
  <c r="BL43" i="56"/>
  <c r="BK43" i="56"/>
  <c r="BJ43" i="56"/>
  <c r="BI43" i="56"/>
  <c r="BH43" i="56"/>
  <c r="BG43" i="56"/>
  <c r="BF43" i="56"/>
  <c r="BE43" i="56"/>
  <c r="BD43" i="56"/>
  <c r="BC43" i="56"/>
  <c r="BB43" i="56"/>
  <c r="BA43" i="56"/>
  <c r="AZ43" i="56"/>
  <c r="AY43" i="56"/>
  <c r="AX43" i="56"/>
  <c r="AW43" i="56"/>
  <c r="AV43" i="56"/>
  <c r="AU43" i="56"/>
  <c r="AT43" i="56"/>
  <c r="AS43" i="56"/>
  <c r="AR43" i="56"/>
  <c r="AQ43" i="56"/>
  <c r="AP43" i="56"/>
  <c r="AO43" i="56"/>
  <c r="AN43" i="56"/>
  <c r="AM43" i="56"/>
  <c r="AL43" i="56"/>
  <c r="AK43" i="56"/>
  <c r="AJ43" i="56"/>
  <c r="AI43" i="56"/>
  <c r="AH43" i="56"/>
  <c r="AG43" i="56"/>
  <c r="AF43" i="56"/>
  <c r="AE43" i="56"/>
  <c r="AD43" i="56"/>
  <c r="AC43" i="56"/>
  <c r="AB43" i="56"/>
  <c r="AA43" i="56"/>
  <c r="Z43" i="56"/>
  <c r="Y43" i="56"/>
  <c r="X43" i="56"/>
  <c r="W43" i="56"/>
  <c r="V43" i="56"/>
  <c r="U43" i="56"/>
  <c r="T43" i="56"/>
  <c r="S43" i="56"/>
  <c r="R43" i="56"/>
  <c r="Q43" i="56"/>
  <c r="P43" i="56"/>
  <c r="O43" i="56"/>
  <c r="N43" i="56"/>
  <c r="M43" i="56"/>
  <c r="L43" i="56"/>
  <c r="K43" i="56"/>
  <c r="J43" i="56"/>
  <c r="I43" i="56"/>
  <c r="H43" i="56"/>
  <c r="G43" i="56"/>
  <c r="F43" i="56"/>
  <c r="E43" i="56"/>
  <c r="D43" i="56"/>
  <c r="C43" i="56"/>
  <c r="B43" i="56"/>
  <c r="DQ42" i="56"/>
  <c r="DP42" i="56"/>
  <c r="DO42" i="56"/>
  <c r="DN42" i="56"/>
  <c r="DM42" i="56"/>
  <c r="DL42" i="56"/>
  <c r="DK42" i="56"/>
  <c r="DJ42" i="56"/>
  <c r="DI42" i="56"/>
  <c r="DH42" i="56"/>
  <c r="DG42" i="56"/>
  <c r="DF42" i="56"/>
  <c r="DE42" i="56"/>
  <c r="DD42" i="56"/>
  <c r="DC42" i="56"/>
  <c r="DB42" i="56"/>
  <c r="DA42" i="56"/>
  <c r="CZ42" i="56"/>
  <c r="CY42" i="56"/>
  <c r="CX42" i="56"/>
  <c r="CW42" i="56"/>
  <c r="CV42" i="56"/>
  <c r="CU42" i="56"/>
  <c r="CT42" i="56"/>
  <c r="CS42" i="56"/>
  <c r="CR42" i="56"/>
  <c r="CQ42" i="56"/>
  <c r="CP42" i="56"/>
  <c r="CO42" i="56"/>
  <c r="CN42" i="56"/>
  <c r="CM42" i="56"/>
  <c r="CL42" i="56"/>
  <c r="CK42" i="56"/>
  <c r="CJ42" i="56"/>
  <c r="CI42" i="56"/>
  <c r="CH42" i="56"/>
  <c r="CG42" i="56"/>
  <c r="CF42" i="56"/>
  <c r="CE42" i="56"/>
  <c r="CD42" i="56"/>
  <c r="CC42" i="56"/>
  <c r="CB42" i="56"/>
  <c r="CA42" i="56"/>
  <c r="BZ42" i="56"/>
  <c r="BY42" i="56"/>
  <c r="BX42" i="56"/>
  <c r="BW42" i="56"/>
  <c r="BV42" i="56"/>
  <c r="BU42" i="56"/>
  <c r="BT42" i="56"/>
  <c r="BS42" i="56"/>
  <c r="BR42" i="56"/>
  <c r="BQ42" i="56"/>
  <c r="BP42" i="56"/>
  <c r="BO42" i="56"/>
  <c r="BN42" i="56"/>
  <c r="BM42" i="56"/>
  <c r="BL42" i="56"/>
  <c r="BK42" i="56"/>
  <c r="BJ42" i="56"/>
  <c r="BI42" i="56"/>
  <c r="BH42" i="56"/>
  <c r="BG42" i="56"/>
  <c r="BF42" i="56"/>
  <c r="BE42" i="56"/>
  <c r="BD42" i="56"/>
  <c r="BC42" i="56"/>
  <c r="BB42" i="56"/>
  <c r="BA42" i="56"/>
  <c r="AZ42" i="56"/>
  <c r="AY42" i="56"/>
  <c r="AX42" i="56"/>
  <c r="AW42" i="56"/>
  <c r="AV42" i="56"/>
  <c r="AU42" i="56"/>
  <c r="AT42" i="56"/>
  <c r="AS42" i="56"/>
  <c r="AR42" i="56"/>
  <c r="AQ42" i="56"/>
  <c r="AP42" i="56"/>
  <c r="AO42" i="56"/>
  <c r="AN42" i="56"/>
  <c r="AM42" i="56"/>
  <c r="AL42" i="56"/>
  <c r="AK42" i="56"/>
  <c r="AJ42" i="56"/>
  <c r="AI42" i="56"/>
  <c r="AH42" i="56"/>
  <c r="AG42" i="56"/>
  <c r="AF42" i="56"/>
  <c r="AE42" i="56"/>
  <c r="AD42" i="56"/>
  <c r="AC42" i="56"/>
  <c r="AB42" i="56"/>
  <c r="AA42" i="56"/>
  <c r="Z42" i="56"/>
  <c r="Y42" i="56"/>
  <c r="X42" i="56"/>
  <c r="W42" i="56"/>
  <c r="V42" i="56"/>
  <c r="U42" i="56"/>
  <c r="T42" i="56"/>
  <c r="S42" i="56"/>
  <c r="R42" i="56"/>
  <c r="Q42" i="56"/>
  <c r="P42" i="56"/>
  <c r="O42" i="56"/>
  <c r="N42" i="56"/>
  <c r="M42" i="56"/>
  <c r="L42" i="56"/>
  <c r="K42" i="56"/>
  <c r="J42" i="56"/>
  <c r="I42" i="56"/>
  <c r="H42" i="56"/>
  <c r="G42" i="56"/>
  <c r="F42" i="56"/>
  <c r="E42" i="56"/>
  <c r="D42" i="56"/>
  <c r="C42" i="56"/>
  <c r="B42" i="56"/>
  <c r="DQ41" i="56"/>
  <c r="DP41" i="56"/>
  <c r="DO41" i="56"/>
  <c r="DN41" i="56"/>
  <c r="DM41" i="56"/>
  <c r="DL41" i="56"/>
  <c r="DK41" i="56"/>
  <c r="DJ41" i="56"/>
  <c r="DI41" i="56"/>
  <c r="DH41" i="56"/>
  <c r="DG41" i="56"/>
  <c r="DF41" i="56"/>
  <c r="DE41" i="56"/>
  <c r="DD41" i="56"/>
  <c r="DC41" i="56"/>
  <c r="DB41" i="56"/>
  <c r="DA41" i="56"/>
  <c r="CZ41" i="56"/>
  <c r="CY41" i="56"/>
  <c r="CX41" i="56"/>
  <c r="CW41" i="56"/>
  <c r="CV41" i="56"/>
  <c r="CU41" i="56"/>
  <c r="CT41" i="56"/>
  <c r="CS41" i="56"/>
  <c r="CR41" i="56"/>
  <c r="CQ41" i="56"/>
  <c r="CP41" i="56"/>
  <c r="CO41" i="56"/>
  <c r="CN41" i="56"/>
  <c r="CM41" i="56"/>
  <c r="CL41" i="56"/>
  <c r="CK41" i="56"/>
  <c r="CJ41" i="56"/>
  <c r="CI41" i="56"/>
  <c r="CH41" i="56"/>
  <c r="CG41" i="56"/>
  <c r="CF41" i="56"/>
  <c r="CE41" i="56"/>
  <c r="CD41" i="56"/>
  <c r="CC41" i="56"/>
  <c r="CB41" i="56"/>
  <c r="CA41" i="56"/>
  <c r="BZ41" i="56"/>
  <c r="BY41" i="56"/>
  <c r="BX41" i="56"/>
  <c r="BW41" i="56"/>
  <c r="BV41" i="56"/>
  <c r="BU41" i="56"/>
  <c r="BT41" i="56"/>
  <c r="BS41" i="56"/>
  <c r="BR41" i="56"/>
  <c r="BQ41" i="56"/>
  <c r="BP41" i="56"/>
  <c r="BO41" i="56"/>
  <c r="BN41" i="56"/>
  <c r="BM41" i="56"/>
  <c r="BL41" i="56"/>
  <c r="BK41" i="56"/>
  <c r="BJ41" i="56"/>
  <c r="BI41" i="56"/>
  <c r="BH41" i="56"/>
  <c r="BG41" i="56"/>
  <c r="BF41" i="56"/>
  <c r="BE41" i="56"/>
  <c r="BD41" i="56"/>
  <c r="BC41" i="56"/>
  <c r="BB41" i="56"/>
  <c r="BA41" i="56"/>
  <c r="AZ41" i="56"/>
  <c r="AY41" i="56"/>
  <c r="AX41" i="56"/>
  <c r="AW41" i="56"/>
  <c r="AV41" i="56"/>
  <c r="AU41" i="56"/>
  <c r="AT41" i="56"/>
  <c r="AS41" i="56"/>
  <c r="AR41" i="56"/>
  <c r="AQ41" i="56"/>
  <c r="AP41" i="56"/>
  <c r="AO41" i="56"/>
  <c r="AN41" i="56"/>
  <c r="AM41" i="56"/>
  <c r="AL41" i="56"/>
  <c r="AK41" i="56"/>
  <c r="AJ41" i="56"/>
  <c r="AI41" i="56"/>
  <c r="AH41" i="56"/>
  <c r="AG41" i="56"/>
  <c r="AF41" i="56"/>
  <c r="AE41" i="56"/>
  <c r="AD41" i="56"/>
  <c r="AC41" i="56"/>
  <c r="AB41" i="56"/>
  <c r="AA41" i="56"/>
  <c r="Z41" i="56"/>
  <c r="Y41" i="56"/>
  <c r="X41" i="56"/>
  <c r="W41" i="56"/>
  <c r="V41" i="56"/>
  <c r="U41" i="56"/>
  <c r="T41" i="56"/>
  <c r="S41" i="56"/>
  <c r="R41" i="56"/>
  <c r="Q41" i="56"/>
  <c r="P41" i="56"/>
  <c r="O41" i="56"/>
  <c r="N41" i="56"/>
  <c r="M41" i="56"/>
  <c r="L41" i="56"/>
  <c r="K41" i="56"/>
  <c r="J41" i="56"/>
  <c r="I41" i="56"/>
  <c r="H41" i="56"/>
  <c r="G41" i="56"/>
  <c r="F41" i="56"/>
  <c r="E41" i="56"/>
  <c r="D41" i="56"/>
  <c r="C41" i="56"/>
  <c r="B41" i="56"/>
  <c r="DQ40" i="56"/>
  <c r="DP40" i="56"/>
  <c r="DO40" i="56"/>
  <c r="DN40" i="56"/>
  <c r="DM40" i="56"/>
  <c r="DL40" i="56"/>
  <c r="DK40" i="56"/>
  <c r="DJ40" i="56"/>
  <c r="DI40" i="56"/>
  <c r="DH40" i="56"/>
  <c r="DG40" i="56"/>
  <c r="DF40" i="56"/>
  <c r="DE40" i="56"/>
  <c r="DD40" i="56"/>
  <c r="DC40" i="56"/>
  <c r="DB40" i="56"/>
  <c r="DA40" i="56"/>
  <c r="CZ40" i="56"/>
  <c r="CY40" i="56"/>
  <c r="CX40" i="56"/>
  <c r="CW40" i="56"/>
  <c r="CV40" i="56"/>
  <c r="CU40" i="56"/>
  <c r="CT40" i="56"/>
  <c r="CS40" i="56"/>
  <c r="CR40" i="56"/>
  <c r="CQ40" i="56"/>
  <c r="CP40" i="56"/>
  <c r="CO40" i="56"/>
  <c r="CN40" i="56"/>
  <c r="CM40" i="56"/>
  <c r="CL40" i="56"/>
  <c r="CK40" i="56"/>
  <c r="CJ40" i="56"/>
  <c r="CI40" i="56"/>
  <c r="CH40" i="56"/>
  <c r="CG40" i="56"/>
  <c r="CF40" i="56"/>
  <c r="CE40" i="56"/>
  <c r="CD40" i="56"/>
  <c r="CC40" i="56"/>
  <c r="CB40" i="56"/>
  <c r="CA40" i="56"/>
  <c r="BZ40" i="56"/>
  <c r="BY40" i="56"/>
  <c r="BX40" i="56"/>
  <c r="BW40" i="56"/>
  <c r="BV40" i="56"/>
  <c r="BU40" i="56"/>
  <c r="BT40" i="56"/>
  <c r="BS40" i="56"/>
  <c r="BR40" i="56"/>
  <c r="BQ40" i="56"/>
  <c r="BP40" i="56"/>
  <c r="BO40" i="56"/>
  <c r="BN40" i="56"/>
  <c r="BM40" i="56"/>
  <c r="BL40" i="56"/>
  <c r="BK40" i="56"/>
  <c r="BJ40" i="56"/>
  <c r="BI40" i="56"/>
  <c r="BH40" i="56"/>
  <c r="BG40" i="56"/>
  <c r="BF40" i="56"/>
  <c r="BE40" i="56"/>
  <c r="BD40" i="56"/>
  <c r="BC40" i="56"/>
  <c r="BB40" i="56"/>
  <c r="BA40" i="56"/>
  <c r="AZ40" i="56"/>
  <c r="AY40" i="56"/>
  <c r="AX40" i="56"/>
  <c r="AW40" i="56"/>
  <c r="AV40" i="56"/>
  <c r="AU40" i="56"/>
  <c r="AT40" i="56"/>
  <c r="AS40" i="56"/>
  <c r="AR40" i="56"/>
  <c r="AQ40" i="56"/>
  <c r="AP40" i="56"/>
  <c r="AO40" i="56"/>
  <c r="AN40" i="56"/>
  <c r="AM40" i="56"/>
  <c r="AL40" i="56"/>
  <c r="AK40" i="56"/>
  <c r="AJ40" i="56"/>
  <c r="AI40" i="56"/>
  <c r="AH40" i="56"/>
  <c r="AG40" i="56"/>
  <c r="AF40" i="56"/>
  <c r="AE40" i="56"/>
  <c r="AD40" i="56"/>
  <c r="AC40" i="56"/>
  <c r="AB40" i="56"/>
  <c r="AA40" i="56"/>
  <c r="Z40" i="56"/>
  <c r="Y40" i="56"/>
  <c r="X40" i="56"/>
  <c r="W40" i="56"/>
  <c r="V40" i="56"/>
  <c r="U40" i="56"/>
  <c r="T40" i="56"/>
  <c r="S40" i="56"/>
  <c r="R40" i="56"/>
  <c r="Q40" i="56"/>
  <c r="P40" i="56"/>
  <c r="O40" i="56"/>
  <c r="N40" i="56"/>
  <c r="M40" i="56"/>
  <c r="L40" i="56"/>
  <c r="K40" i="56"/>
  <c r="J40" i="56"/>
  <c r="I40" i="56"/>
  <c r="H40" i="56"/>
  <c r="G40" i="56"/>
  <c r="F40" i="56"/>
  <c r="E40" i="56"/>
  <c r="D40" i="56"/>
  <c r="C40" i="56"/>
  <c r="B40" i="56"/>
  <c r="DQ39" i="56"/>
  <c r="DP39" i="56"/>
  <c r="DO39" i="56"/>
  <c r="DN39" i="56"/>
  <c r="DM39" i="56"/>
  <c r="DL39" i="56"/>
  <c r="DK39" i="56"/>
  <c r="DJ39" i="56"/>
  <c r="DI39" i="56"/>
  <c r="DH39" i="56"/>
  <c r="DG39" i="56"/>
  <c r="DF39" i="56"/>
  <c r="DE39" i="56"/>
  <c r="DD39" i="56"/>
  <c r="DC39" i="56"/>
  <c r="DB39" i="56"/>
  <c r="DA39" i="56"/>
  <c r="CZ39" i="56"/>
  <c r="CY39" i="56"/>
  <c r="CX39" i="56"/>
  <c r="CW39" i="56"/>
  <c r="CV39" i="56"/>
  <c r="CU39" i="56"/>
  <c r="CT39" i="56"/>
  <c r="CS39" i="56"/>
  <c r="CR39" i="56"/>
  <c r="CQ39" i="56"/>
  <c r="CP39" i="56"/>
  <c r="CO39" i="56"/>
  <c r="CN39" i="56"/>
  <c r="CM39" i="56"/>
  <c r="CL39" i="56"/>
  <c r="CK39" i="56"/>
  <c r="CJ39" i="56"/>
  <c r="CI39" i="56"/>
  <c r="CH39" i="56"/>
  <c r="CG39" i="56"/>
  <c r="CF39" i="56"/>
  <c r="CE39" i="56"/>
  <c r="CD39" i="56"/>
  <c r="CC39" i="56"/>
  <c r="CB39" i="56"/>
  <c r="CA39" i="56"/>
  <c r="BZ39" i="56"/>
  <c r="BY39" i="56"/>
  <c r="BX39" i="56"/>
  <c r="BW39" i="56"/>
  <c r="BV39" i="56"/>
  <c r="BU39" i="56"/>
  <c r="BT39" i="56"/>
  <c r="BS39" i="56"/>
  <c r="BR39" i="56"/>
  <c r="BQ39" i="56"/>
  <c r="BP39" i="56"/>
  <c r="BO39" i="56"/>
  <c r="BN39" i="56"/>
  <c r="BM39" i="56"/>
  <c r="BL39" i="56"/>
  <c r="BK39" i="56"/>
  <c r="BJ39" i="56"/>
  <c r="BI39" i="56"/>
  <c r="BH39" i="56"/>
  <c r="BG39" i="56"/>
  <c r="BF39" i="56"/>
  <c r="BE39" i="56"/>
  <c r="BD39" i="56"/>
  <c r="BC39" i="56"/>
  <c r="BB39" i="56"/>
  <c r="BA39" i="56"/>
  <c r="AZ39" i="56"/>
  <c r="AY39" i="56"/>
  <c r="AX39" i="56"/>
  <c r="AW39" i="56"/>
  <c r="AV39" i="56"/>
  <c r="AU39" i="56"/>
  <c r="AT39" i="56"/>
  <c r="AS39" i="56"/>
  <c r="AR39" i="56"/>
  <c r="AQ39" i="56"/>
  <c r="AP39" i="56"/>
  <c r="AO39" i="56"/>
  <c r="AN39" i="56"/>
  <c r="AM39" i="56"/>
  <c r="AL39" i="56"/>
  <c r="AK39" i="56"/>
  <c r="AJ39" i="56"/>
  <c r="AI39" i="56"/>
  <c r="AH39" i="56"/>
  <c r="AG39" i="56"/>
  <c r="AF39" i="56"/>
  <c r="AE39" i="56"/>
  <c r="AD39" i="56"/>
  <c r="AC39" i="56"/>
  <c r="AB39" i="56"/>
  <c r="AA39" i="56"/>
  <c r="Z39" i="56"/>
  <c r="Y39" i="56"/>
  <c r="X39" i="56"/>
  <c r="W39" i="56"/>
  <c r="V39" i="56"/>
  <c r="U39" i="56"/>
  <c r="T39" i="56"/>
  <c r="S39" i="56"/>
  <c r="R39" i="56"/>
  <c r="Q39" i="56"/>
  <c r="P39" i="56"/>
  <c r="O39" i="56"/>
  <c r="N39" i="56"/>
  <c r="M39" i="56"/>
  <c r="L39" i="56"/>
  <c r="K39" i="56"/>
  <c r="J39" i="56"/>
  <c r="I39" i="56"/>
  <c r="H39" i="56"/>
  <c r="G39" i="56"/>
  <c r="F39" i="56"/>
  <c r="E39" i="56"/>
  <c r="D39" i="56"/>
  <c r="C39" i="56"/>
  <c r="B39" i="56"/>
  <c r="DQ38" i="56"/>
  <c r="DP38" i="56"/>
  <c r="DO38" i="56"/>
  <c r="DN38" i="56"/>
  <c r="DM38" i="56"/>
  <c r="DL38" i="56"/>
  <c r="DK38" i="56"/>
  <c r="DJ38" i="56"/>
  <c r="DI38" i="56"/>
  <c r="DH38" i="56"/>
  <c r="DG38" i="56"/>
  <c r="DF38" i="56"/>
  <c r="DE38" i="56"/>
  <c r="DD38" i="56"/>
  <c r="DC38" i="56"/>
  <c r="DB38" i="56"/>
  <c r="DA38" i="56"/>
  <c r="CZ38" i="56"/>
  <c r="CY38" i="56"/>
  <c r="CX38" i="56"/>
  <c r="CW38" i="56"/>
  <c r="CV38" i="56"/>
  <c r="CU38" i="56"/>
  <c r="CT38" i="56"/>
  <c r="CS38" i="56"/>
  <c r="CR38" i="56"/>
  <c r="CQ38" i="56"/>
  <c r="CP38" i="56"/>
  <c r="CO38" i="56"/>
  <c r="CN38" i="56"/>
  <c r="CM38" i="56"/>
  <c r="CL38" i="56"/>
  <c r="CK38" i="56"/>
  <c r="CJ38" i="56"/>
  <c r="CI38" i="56"/>
  <c r="CH38" i="56"/>
  <c r="CG38" i="56"/>
  <c r="CF38" i="56"/>
  <c r="CE38" i="56"/>
  <c r="CD38" i="56"/>
  <c r="CC38" i="56"/>
  <c r="CB38" i="56"/>
  <c r="CA38" i="56"/>
  <c r="BZ38" i="56"/>
  <c r="BY38" i="56"/>
  <c r="BX38" i="56"/>
  <c r="BW38" i="56"/>
  <c r="BV38" i="56"/>
  <c r="BU38" i="56"/>
  <c r="BT38" i="56"/>
  <c r="BS38" i="56"/>
  <c r="BR38" i="56"/>
  <c r="BQ38" i="56"/>
  <c r="BP38" i="56"/>
  <c r="BO38" i="56"/>
  <c r="BN38" i="56"/>
  <c r="BM38" i="56"/>
  <c r="BL38" i="56"/>
  <c r="BK38" i="56"/>
  <c r="BJ38" i="56"/>
  <c r="BI38" i="56"/>
  <c r="BH38" i="56"/>
  <c r="BG38" i="56"/>
  <c r="BF38" i="56"/>
  <c r="BE38" i="56"/>
  <c r="BD38" i="56"/>
  <c r="BC38" i="56"/>
  <c r="BB38" i="56"/>
  <c r="BA38" i="56"/>
  <c r="AZ38" i="56"/>
  <c r="AY38" i="56"/>
  <c r="AX38" i="56"/>
  <c r="AW38" i="56"/>
  <c r="AV38" i="56"/>
  <c r="AU38" i="56"/>
  <c r="AT38" i="56"/>
  <c r="AS38" i="56"/>
  <c r="AR38" i="56"/>
  <c r="AQ38" i="56"/>
  <c r="AP38" i="56"/>
  <c r="AO38" i="56"/>
  <c r="AN38" i="56"/>
  <c r="AM38" i="56"/>
  <c r="AL38" i="56"/>
  <c r="AK38" i="56"/>
  <c r="AJ38" i="56"/>
  <c r="AI38" i="56"/>
  <c r="AH38" i="56"/>
  <c r="AG38" i="56"/>
  <c r="AF38" i="56"/>
  <c r="AE38" i="56"/>
  <c r="AD38" i="56"/>
  <c r="AC38" i="56"/>
  <c r="AB38" i="56"/>
  <c r="AA38" i="56"/>
  <c r="Z38" i="56"/>
  <c r="Y38" i="56"/>
  <c r="X38" i="56"/>
  <c r="W38" i="56"/>
  <c r="V38" i="56"/>
  <c r="U38" i="56"/>
  <c r="T38" i="56"/>
  <c r="S38" i="56"/>
  <c r="R38" i="56"/>
  <c r="Q38" i="56"/>
  <c r="P38" i="56"/>
  <c r="O38" i="56"/>
  <c r="N38" i="56"/>
  <c r="M38" i="56"/>
  <c r="L38" i="56"/>
  <c r="K38" i="56"/>
  <c r="J38" i="56"/>
  <c r="I38" i="56"/>
  <c r="H38" i="56"/>
  <c r="G38" i="56"/>
  <c r="F38" i="56"/>
  <c r="E38" i="56"/>
  <c r="D38" i="56"/>
  <c r="C38" i="56"/>
  <c r="B38" i="56"/>
  <c r="DQ37" i="56"/>
  <c r="DP37" i="56"/>
  <c r="DO37" i="56"/>
  <c r="DN37" i="56"/>
  <c r="DM37" i="56"/>
  <c r="DL37" i="56"/>
  <c r="DK37" i="56"/>
  <c r="DJ37" i="56"/>
  <c r="DI37" i="56"/>
  <c r="DH37" i="56"/>
  <c r="DG37" i="56"/>
  <c r="DF37" i="56"/>
  <c r="DE37" i="56"/>
  <c r="DD37" i="56"/>
  <c r="DC37" i="56"/>
  <c r="DB37" i="56"/>
  <c r="DA37" i="56"/>
  <c r="CZ37" i="56"/>
  <c r="CY37" i="56"/>
  <c r="CX37" i="56"/>
  <c r="CW37" i="56"/>
  <c r="CV37" i="56"/>
  <c r="CU37" i="56"/>
  <c r="CT37" i="56"/>
  <c r="CS37" i="56"/>
  <c r="CR37" i="56"/>
  <c r="CQ37" i="56"/>
  <c r="CP37" i="56"/>
  <c r="CO37" i="56"/>
  <c r="CN37" i="56"/>
  <c r="CM37" i="56"/>
  <c r="CL37" i="56"/>
  <c r="CK37" i="56"/>
  <c r="CJ37" i="56"/>
  <c r="CI37" i="56"/>
  <c r="CH37" i="56"/>
  <c r="CG37" i="56"/>
  <c r="CF37" i="56"/>
  <c r="CE37" i="56"/>
  <c r="CD37" i="56"/>
  <c r="CC37" i="56"/>
  <c r="CB37" i="56"/>
  <c r="CA37" i="56"/>
  <c r="BZ37" i="56"/>
  <c r="BY37" i="56"/>
  <c r="BX37" i="56"/>
  <c r="BW37" i="56"/>
  <c r="BV37" i="56"/>
  <c r="BU37" i="56"/>
  <c r="BT37" i="56"/>
  <c r="BS37" i="56"/>
  <c r="BR37" i="56"/>
  <c r="BQ37" i="56"/>
  <c r="BP37" i="56"/>
  <c r="BO37" i="56"/>
  <c r="BN37" i="56"/>
  <c r="BM37" i="56"/>
  <c r="BL37" i="56"/>
  <c r="BK37" i="56"/>
  <c r="BJ37" i="56"/>
  <c r="BI37" i="56"/>
  <c r="BH37" i="56"/>
  <c r="BG37" i="56"/>
  <c r="BF37" i="56"/>
  <c r="BE37" i="56"/>
  <c r="BD37" i="56"/>
  <c r="BC37" i="56"/>
  <c r="BB37" i="56"/>
  <c r="BA37" i="56"/>
  <c r="AZ37" i="56"/>
  <c r="AY37" i="56"/>
  <c r="AX37" i="56"/>
  <c r="AW37" i="56"/>
  <c r="AV37" i="56"/>
  <c r="AU37" i="56"/>
  <c r="AT37" i="56"/>
  <c r="AS37" i="56"/>
  <c r="AR37" i="56"/>
  <c r="AQ37" i="56"/>
  <c r="AP37" i="56"/>
  <c r="AO37" i="56"/>
  <c r="AN37" i="56"/>
  <c r="AM37" i="56"/>
  <c r="AL37" i="56"/>
  <c r="AK37" i="56"/>
  <c r="AJ37" i="56"/>
  <c r="AI37" i="56"/>
  <c r="AH37" i="56"/>
  <c r="AG37" i="56"/>
  <c r="AF37" i="56"/>
  <c r="AE37" i="56"/>
  <c r="AD37" i="56"/>
  <c r="AC37" i="56"/>
  <c r="AB37" i="56"/>
  <c r="AA37" i="56"/>
  <c r="Z37" i="56"/>
  <c r="Y37" i="56"/>
  <c r="X37" i="56"/>
  <c r="W37" i="56"/>
  <c r="V37" i="56"/>
  <c r="U37" i="56"/>
  <c r="T37" i="56"/>
  <c r="S37" i="56"/>
  <c r="R37" i="56"/>
  <c r="Q37" i="56"/>
  <c r="P37" i="56"/>
  <c r="O37" i="56"/>
  <c r="N37" i="56"/>
  <c r="M37" i="56"/>
  <c r="L37" i="56"/>
  <c r="K37" i="56"/>
  <c r="J37" i="56"/>
  <c r="I37" i="56"/>
  <c r="H37" i="56"/>
  <c r="G37" i="56"/>
  <c r="F37" i="56"/>
  <c r="E37" i="56"/>
  <c r="D37" i="56"/>
  <c r="C37" i="56"/>
  <c r="B37" i="56"/>
  <c r="DQ36" i="56"/>
  <c r="DP36" i="56"/>
  <c r="DO36" i="56"/>
  <c r="DN36" i="56"/>
  <c r="DM36" i="56"/>
  <c r="DL36" i="56"/>
  <c r="DK36" i="56"/>
  <c r="DJ36" i="56"/>
  <c r="DI36" i="56"/>
  <c r="DH36" i="56"/>
  <c r="DG36" i="56"/>
  <c r="DF36" i="56"/>
  <c r="DE36" i="56"/>
  <c r="DD36" i="56"/>
  <c r="DC36" i="56"/>
  <c r="DB36" i="56"/>
  <c r="DA36" i="56"/>
  <c r="CZ36" i="56"/>
  <c r="CY36" i="56"/>
  <c r="CX36" i="56"/>
  <c r="CW36" i="56"/>
  <c r="CV36" i="56"/>
  <c r="CU36" i="56"/>
  <c r="CT36" i="56"/>
  <c r="CS36" i="56"/>
  <c r="CR36" i="56"/>
  <c r="CQ36" i="56"/>
  <c r="CP36" i="56"/>
  <c r="CO36" i="56"/>
  <c r="CN36" i="56"/>
  <c r="CM36" i="56"/>
  <c r="CL36" i="56"/>
  <c r="CK36" i="56"/>
  <c r="CJ36" i="56"/>
  <c r="CI36" i="56"/>
  <c r="CH36" i="56"/>
  <c r="CG36" i="56"/>
  <c r="CF36" i="56"/>
  <c r="CE36" i="56"/>
  <c r="CD36" i="56"/>
  <c r="CC36" i="56"/>
  <c r="CB36" i="56"/>
  <c r="CA36" i="56"/>
  <c r="BZ36" i="56"/>
  <c r="BY36" i="56"/>
  <c r="BX36" i="56"/>
  <c r="BW36" i="56"/>
  <c r="BV36" i="56"/>
  <c r="BU36" i="56"/>
  <c r="BT36" i="56"/>
  <c r="BS36" i="56"/>
  <c r="BR36" i="56"/>
  <c r="BQ36" i="56"/>
  <c r="BP36" i="56"/>
  <c r="BO36" i="56"/>
  <c r="BN36" i="56"/>
  <c r="BM36" i="56"/>
  <c r="BL36" i="56"/>
  <c r="BK36" i="56"/>
  <c r="BJ36" i="56"/>
  <c r="BI36" i="56"/>
  <c r="BH36" i="56"/>
  <c r="BG36" i="56"/>
  <c r="BF36" i="56"/>
  <c r="BE36" i="56"/>
  <c r="BD36" i="56"/>
  <c r="BC36" i="56"/>
  <c r="BB36" i="56"/>
  <c r="BA36" i="56"/>
  <c r="AZ36" i="56"/>
  <c r="AY36" i="56"/>
  <c r="AX36" i="56"/>
  <c r="AW36" i="56"/>
  <c r="AV36" i="56"/>
  <c r="AU36" i="56"/>
  <c r="AT36" i="56"/>
  <c r="AS36" i="56"/>
  <c r="AR36" i="56"/>
  <c r="AQ36" i="56"/>
  <c r="AP36" i="56"/>
  <c r="AO36" i="56"/>
  <c r="AN36" i="56"/>
  <c r="AM36" i="56"/>
  <c r="AL36" i="56"/>
  <c r="AK36" i="56"/>
  <c r="AJ36" i="56"/>
  <c r="AI36" i="56"/>
  <c r="AH36" i="56"/>
  <c r="AG36" i="56"/>
  <c r="AF36" i="56"/>
  <c r="AE36" i="56"/>
  <c r="AD36" i="56"/>
  <c r="AC36" i="56"/>
  <c r="AB36" i="56"/>
  <c r="AA36" i="56"/>
  <c r="Z36" i="56"/>
  <c r="Y36" i="56"/>
  <c r="X36" i="56"/>
  <c r="W36" i="56"/>
  <c r="V36" i="56"/>
  <c r="U36" i="56"/>
  <c r="T36" i="56"/>
  <c r="S36" i="56"/>
  <c r="R36" i="56"/>
  <c r="Q36" i="56"/>
  <c r="P36" i="56"/>
  <c r="O36" i="56"/>
  <c r="N36" i="56"/>
  <c r="M36" i="56"/>
  <c r="L36" i="56"/>
  <c r="K36" i="56"/>
  <c r="J36" i="56"/>
  <c r="I36" i="56"/>
  <c r="H36" i="56"/>
  <c r="G36" i="56"/>
  <c r="F36" i="56"/>
  <c r="E36" i="56"/>
  <c r="D36" i="56"/>
  <c r="C36" i="56"/>
  <c r="B36" i="56"/>
  <c r="DQ35" i="56"/>
  <c r="DP35" i="56"/>
  <c r="DO35" i="56"/>
  <c r="DN35" i="56"/>
  <c r="DM35" i="56"/>
  <c r="DL35" i="56"/>
  <c r="DK35" i="56"/>
  <c r="DJ35" i="56"/>
  <c r="DI35" i="56"/>
  <c r="DH35" i="56"/>
  <c r="DG35" i="56"/>
  <c r="DF35" i="56"/>
  <c r="DE35" i="56"/>
  <c r="DD35" i="56"/>
  <c r="DC35" i="56"/>
  <c r="DB35" i="56"/>
  <c r="DA35" i="56"/>
  <c r="CZ35" i="56"/>
  <c r="CY35" i="56"/>
  <c r="CX35" i="56"/>
  <c r="CW35" i="56"/>
  <c r="CV35" i="56"/>
  <c r="CU35" i="56"/>
  <c r="CT35" i="56"/>
  <c r="CS35" i="56"/>
  <c r="CR35" i="56"/>
  <c r="CQ35" i="56"/>
  <c r="CP35" i="56"/>
  <c r="CO35" i="56"/>
  <c r="CN35" i="56"/>
  <c r="CM35" i="56"/>
  <c r="CL35" i="56"/>
  <c r="CK35" i="56"/>
  <c r="CJ35" i="56"/>
  <c r="CI35" i="56"/>
  <c r="CH35" i="56"/>
  <c r="CG35" i="56"/>
  <c r="CF35" i="56"/>
  <c r="CE35" i="56"/>
  <c r="CD35" i="56"/>
  <c r="CC35" i="56"/>
  <c r="CB35" i="56"/>
  <c r="CA35" i="56"/>
  <c r="BZ35" i="56"/>
  <c r="BY35" i="56"/>
  <c r="BX35" i="56"/>
  <c r="BW35" i="56"/>
  <c r="BV35" i="56"/>
  <c r="BU35" i="56"/>
  <c r="BT35" i="56"/>
  <c r="BS35" i="56"/>
  <c r="BR35" i="56"/>
  <c r="BQ35" i="56"/>
  <c r="BP35" i="56"/>
  <c r="BO35" i="56"/>
  <c r="BN35" i="56"/>
  <c r="BM35" i="56"/>
  <c r="BL35" i="56"/>
  <c r="BK35" i="56"/>
  <c r="BJ35" i="56"/>
  <c r="BI35" i="56"/>
  <c r="BH35" i="56"/>
  <c r="BG35" i="56"/>
  <c r="BF35" i="56"/>
  <c r="BE35" i="56"/>
  <c r="BD35" i="56"/>
  <c r="BC35" i="56"/>
  <c r="BB35" i="56"/>
  <c r="BA35" i="56"/>
  <c r="AZ35" i="56"/>
  <c r="AY35" i="56"/>
  <c r="AX35" i="56"/>
  <c r="AW35" i="56"/>
  <c r="AV35" i="56"/>
  <c r="AU35" i="56"/>
  <c r="AT35" i="56"/>
  <c r="AS35" i="56"/>
  <c r="AR35" i="56"/>
  <c r="AQ35" i="56"/>
  <c r="AP35" i="56"/>
  <c r="AO35" i="56"/>
  <c r="AN35" i="56"/>
  <c r="AM35" i="56"/>
  <c r="AL35" i="56"/>
  <c r="AK35" i="56"/>
  <c r="AJ35" i="56"/>
  <c r="AI35" i="56"/>
  <c r="AH35" i="56"/>
  <c r="AG35" i="56"/>
  <c r="AF35" i="56"/>
  <c r="AE35" i="56"/>
  <c r="AD35" i="56"/>
  <c r="AC35" i="56"/>
  <c r="AB35" i="56"/>
  <c r="AA35" i="56"/>
  <c r="Z35" i="56"/>
  <c r="Y35" i="56"/>
  <c r="X35" i="56"/>
  <c r="W35" i="56"/>
  <c r="V35" i="56"/>
  <c r="U35" i="56"/>
  <c r="T35" i="56"/>
  <c r="S35" i="56"/>
  <c r="R35" i="56"/>
  <c r="Q35" i="56"/>
  <c r="P35" i="56"/>
  <c r="O35" i="56"/>
  <c r="N35" i="56"/>
  <c r="M35" i="56"/>
  <c r="L35" i="56"/>
  <c r="K35" i="56"/>
  <c r="J35" i="56"/>
  <c r="I35" i="56"/>
  <c r="H35" i="56"/>
  <c r="G35" i="56"/>
  <c r="F35" i="56"/>
  <c r="E35" i="56"/>
  <c r="D35" i="56"/>
  <c r="C35" i="56"/>
  <c r="B35" i="56"/>
  <c r="DQ34" i="56"/>
  <c r="DP34" i="56"/>
  <c r="DO34" i="56"/>
  <c r="DN34" i="56"/>
  <c r="DM34" i="56"/>
  <c r="DL34" i="56"/>
  <c r="DK34" i="56"/>
  <c r="DJ34" i="56"/>
  <c r="DI34" i="56"/>
  <c r="DH34" i="56"/>
  <c r="DG34" i="56"/>
  <c r="DF34" i="56"/>
  <c r="DE34" i="56"/>
  <c r="DD34" i="56"/>
  <c r="DC34" i="56"/>
  <c r="DB34" i="56"/>
  <c r="DA34" i="56"/>
  <c r="CZ34" i="56"/>
  <c r="CY34" i="56"/>
  <c r="CX34" i="56"/>
  <c r="CW34" i="56"/>
  <c r="CV34" i="56"/>
  <c r="CU34" i="56"/>
  <c r="CT34" i="56"/>
  <c r="CS34" i="56"/>
  <c r="CR34" i="56"/>
  <c r="CQ34" i="56"/>
  <c r="CP34" i="56"/>
  <c r="CO34" i="56"/>
  <c r="CN34" i="56"/>
  <c r="CM34" i="56"/>
  <c r="CL34" i="56"/>
  <c r="CK34" i="56"/>
  <c r="CJ34" i="56"/>
  <c r="CI34" i="56"/>
  <c r="CH34" i="56"/>
  <c r="CG34" i="56"/>
  <c r="CF34" i="56"/>
  <c r="CE34" i="56"/>
  <c r="CD34" i="56"/>
  <c r="CC34" i="56"/>
  <c r="CB34" i="56"/>
  <c r="CA34" i="56"/>
  <c r="BZ34" i="56"/>
  <c r="BY34" i="56"/>
  <c r="BX34" i="56"/>
  <c r="BW34" i="56"/>
  <c r="BV34" i="56"/>
  <c r="BU34" i="56"/>
  <c r="BT34" i="56"/>
  <c r="BS34" i="56"/>
  <c r="BR34" i="56"/>
  <c r="BQ34" i="56"/>
  <c r="BP34" i="56"/>
  <c r="BO34" i="56"/>
  <c r="BN34" i="56"/>
  <c r="BM34" i="56"/>
  <c r="BL34" i="56"/>
  <c r="BK34" i="56"/>
  <c r="BJ34" i="56"/>
  <c r="BI34" i="56"/>
  <c r="BH34" i="56"/>
  <c r="BG34" i="56"/>
  <c r="BF34" i="56"/>
  <c r="BE34" i="56"/>
  <c r="BD34" i="56"/>
  <c r="BC34" i="56"/>
  <c r="BB34" i="56"/>
  <c r="BA34" i="56"/>
  <c r="AZ34" i="56"/>
  <c r="AY34" i="56"/>
  <c r="AX34" i="56"/>
  <c r="AW34" i="56"/>
  <c r="AV34" i="56"/>
  <c r="AU34" i="56"/>
  <c r="AT34" i="56"/>
  <c r="AS34" i="56"/>
  <c r="AR34" i="56"/>
  <c r="AQ34" i="56"/>
  <c r="AP34" i="56"/>
  <c r="AO34" i="56"/>
  <c r="AN34" i="56"/>
  <c r="AM34" i="56"/>
  <c r="AL34" i="56"/>
  <c r="AK34" i="56"/>
  <c r="AJ34" i="56"/>
  <c r="AI34" i="56"/>
  <c r="AH34" i="56"/>
  <c r="AG34" i="56"/>
  <c r="AF34" i="56"/>
  <c r="AE34" i="56"/>
  <c r="AD34" i="56"/>
  <c r="AC34" i="56"/>
  <c r="AB34" i="56"/>
  <c r="AA34" i="56"/>
  <c r="Z34" i="56"/>
  <c r="Y34" i="56"/>
  <c r="X34" i="56"/>
  <c r="W34" i="56"/>
  <c r="V34" i="56"/>
  <c r="U34" i="56"/>
  <c r="T34" i="56"/>
  <c r="S34" i="56"/>
  <c r="R34" i="56"/>
  <c r="Q34" i="56"/>
  <c r="P34" i="56"/>
  <c r="O34" i="56"/>
  <c r="N34" i="56"/>
  <c r="M34" i="56"/>
  <c r="L34" i="56"/>
  <c r="K34" i="56"/>
  <c r="J34" i="56"/>
  <c r="I34" i="56"/>
  <c r="H34" i="56"/>
  <c r="G34" i="56"/>
  <c r="F34" i="56"/>
  <c r="E34" i="56"/>
  <c r="D34" i="56"/>
  <c r="C34" i="56"/>
  <c r="B34" i="56"/>
  <c r="DQ33" i="56"/>
  <c r="DP33" i="56"/>
  <c r="DO33" i="56"/>
  <c r="DN33" i="56"/>
  <c r="DM33" i="56"/>
  <c r="DL33" i="56"/>
  <c r="DK33" i="56"/>
  <c r="DJ33" i="56"/>
  <c r="DI33" i="56"/>
  <c r="DH33" i="56"/>
  <c r="DG33" i="56"/>
  <c r="DF33" i="56"/>
  <c r="DE33" i="56"/>
  <c r="DD33" i="56"/>
  <c r="DC33" i="56"/>
  <c r="DB33" i="56"/>
  <c r="DA33" i="56"/>
  <c r="CZ33" i="56"/>
  <c r="CY33" i="56"/>
  <c r="CX33" i="56"/>
  <c r="CW33" i="56"/>
  <c r="CV33" i="56"/>
  <c r="CU33" i="56"/>
  <c r="CT33" i="56"/>
  <c r="CS33" i="56"/>
  <c r="CR33" i="56"/>
  <c r="CQ33" i="56"/>
  <c r="CP33" i="56"/>
  <c r="CO33" i="56"/>
  <c r="CN33" i="56"/>
  <c r="CM33" i="56"/>
  <c r="CL33" i="56"/>
  <c r="CK33" i="56"/>
  <c r="CJ33" i="56"/>
  <c r="CI33" i="56"/>
  <c r="CH33" i="56"/>
  <c r="CG33" i="56"/>
  <c r="CF33" i="56"/>
  <c r="CE33" i="56"/>
  <c r="CD33" i="56"/>
  <c r="CC33" i="56"/>
  <c r="CB33" i="56"/>
  <c r="CA33" i="56"/>
  <c r="BZ33" i="56"/>
  <c r="BY33" i="56"/>
  <c r="BX33" i="56"/>
  <c r="BW33" i="56"/>
  <c r="BV33" i="56"/>
  <c r="BU33" i="56"/>
  <c r="BT33" i="56"/>
  <c r="BS33" i="56"/>
  <c r="BR33" i="56"/>
  <c r="BQ33" i="56"/>
  <c r="BP33" i="56"/>
  <c r="BO33" i="56"/>
  <c r="BN33" i="56"/>
  <c r="BM33" i="56"/>
  <c r="BL33" i="56"/>
  <c r="BK33" i="56"/>
  <c r="BJ33" i="56"/>
  <c r="BI33" i="56"/>
  <c r="BH33" i="56"/>
  <c r="BG33" i="56"/>
  <c r="BF33" i="56"/>
  <c r="BE33" i="56"/>
  <c r="BD33" i="56"/>
  <c r="BC33" i="56"/>
  <c r="BB33" i="56"/>
  <c r="BA33" i="56"/>
  <c r="AZ33" i="56"/>
  <c r="AY33" i="56"/>
  <c r="AX33" i="56"/>
  <c r="AW33" i="56"/>
  <c r="AV33" i="56"/>
  <c r="AU33" i="56"/>
  <c r="AT33" i="56"/>
  <c r="AS33" i="56"/>
  <c r="AR33" i="56"/>
  <c r="AQ33" i="56"/>
  <c r="AP33" i="56"/>
  <c r="AO33" i="56"/>
  <c r="AN33" i="56"/>
  <c r="AM33" i="56"/>
  <c r="AL33" i="56"/>
  <c r="AK33" i="56"/>
  <c r="AJ33" i="56"/>
  <c r="AI33" i="56"/>
  <c r="AH33" i="56"/>
  <c r="AG33" i="56"/>
  <c r="AF33" i="56"/>
  <c r="AE33" i="56"/>
  <c r="AD33" i="56"/>
  <c r="AC33" i="56"/>
  <c r="AB33" i="56"/>
  <c r="AA33" i="56"/>
  <c r="Z33" i="56"/>
  <c r="Y33" i="56"/>
  <c r="X33" i="56"/>
  <c r="W33" i="56"/>
  <c r="V33" i="56"/>
  <c r="U33" i="56"/>
  <c r="T33" i="56"/>
  <c r="S33" i="56"/>
  <c r="R33" i="56"/>
  <c r="Q33" i="56"/>
  <c r="P33" i="56"/>
  <c r="O33" i="56"/>
  <c r="N33" i="56"/>
  <c r="M33" i="56"/>
  <c r="L33" i="56"/>
  <c r="K33" i="56"/>
  <c r="J33" i="56"/>
  <c r="I33" i="56"/>
  <c r="H33" i="56"/>
  <c r="G33" i="56"/>
  <c r="F33" i="56"/>
  <c r="E33" i="56"/>
  <c r="D33" i="56"/>
  <c r="C33" i="56"/>
  <c r="B33" i="56"/>
  <c r="DQ32" i="56"/>
  <c r="DP32" i="56"/>
  <c r="DO32" i="56"/>
  <c r="DN32" i="56"/>
  <c r="DM32" i="56"/>
  <c r="DL32" i="56"/>
  <c r="DK32" i="56"/>
  <c r="DJ32" i="56"/>
  <c r="DI32" i="56"/>
  <c r="DH32" i="56"/>
  <c r="DG32" i="56"/>
  <c r="DF32" i="56"/>
  <c r="DE32" i="56"/>
  <c r="DD32" i="56"/>
  <c r="DC32" i="56"/>
  <c r="DB32" i="56"/>
  <c r="DA32" i="56"/>
  <c r="CZ32" i="56"/>
  <c r="CY32" i="56"/>
  <c r="CX32" i="56"/>
  <c r="CW32" i="56"/>
  <c r="CV32" i="56"/>
  <c r="CU32" i="56"/>
  <c r="CT32" i="56"/>
  <c r="CS32" i="56"/>
  <c r="CR32" i="56"/>
  <c r="CQ32" i="56"/>
  <c r="CP32" i="56"/>
  <c r="CO32" i="56"/>
  <c r="CN32" i="56"/>
  <c r="CM32" i="56"/>
  <c r="CL32" i="56"/>
  <c r="CK32" i="56"/>
  <c r="CJ32" i="56"/>
  <c r="CI32" i="56"/>
  <c r="CH32" i="56"/>
  <c r="CG32" i="56"/>
  <c r="CF32" i="56"/>
  <c r="CE32" i="56"/>
  <c r="CD32" i="56"/>
  <c r="CC32" i="56"/>
  <c r="CB32" i="56"/>
  <c r="CA32" i="56"/>
  <c r="BZ32" i="56"/>
  <c r="BY32" i="56"/>
  <c r="BX32" i="56"/>
  <c r="BW32" i="56"/>
  <c r="BV32" i="56"/>
  <c r="BU32" i="56"/>
  <c r="BT32" i="56"/>
  <c r="BS32" i="56"/>
  <c r="BR32" i="56"/>
  <c r="BQ32" i="56"/>
  <c r="BP32" i="56"/>
  <c r="BO32" i="56"/>
  <c r="BN32" i="56"/>
  <c r="BM32" i="56"/>
  <c r="BL32" i="56"/>
  <c r="BK32" i="56"/>
  <c r="BJ32" i="56"/>
  <c r="BI32" i="56"/>
  <c r="BH32" i="56"/>
  <c r="BG32" i="56"/>
  <c r="BF32" i="56"/>
  <c r="BE32" i="56"/>
  <c r="BD32" i="56"/>
  <c r="BC32" i="56"/>
  <c r="BB32" i="56"/>
  <c r="BA32" i="56"/>
  <c r="AZ32" i="56"/>
  <c r="AY32" i="56"/>
  <c r="AX32" i="56"/>
  <c r="AW32" i="56"/>
  <c r="AV32" i="56"/>
  <c r="AU32" i="56"/>
  <c r="AT32" i="56"/>
  <c r="AS32" i="56"/>
  <c r="AR32" i="56"/>
  <c r="AQ32" i="56"/>
  <c r="AP32" i="56"/>
  <c r="AO32" i="56"/>
  <c r="AN32" i="56"/>
  <c r="AM32" i="56"/>
  <c r="AL32" i="56"/>
  <c r="AK32" i="56"/>
  <c r="AJ32" i="56"/>
  <c r="AI32" i="56"/>
  <c r="AH32" i="56"/>
  <c r="AG32" i="56"/>
  <c r="AF32" i="56"/>
  <c r="AE32" i="56"/>
  <c r="AD32" i="56"/>
  <c r="AC32" i="56"/>
  <c r="AB32" i="56"/>
  <c r="AA32" i="56"/>
  <c r="Z32" i="56"/>
  <c r="Y32" i="56"/>
  <c r="X32" i="56"/>
  <c r="W32" i="56"/>
  <c r="V32" i="56"/>
  <c r="U32" i="56"/>
  <c r="T32" i="56"/>
  <c r="S32" i="56"/>
  <c r="R32" i="56"/>
  <c r="Q32" i="56"/>
  <c r="P32" i="56"/>
  <c r="O32" i="56"/>
  <c r="N32" i="56"/>
  <c r="M32" i="56"/>
  <c r="L32" i="56"/>
  <c r="K32" i="56"/>
  <c r="J32" i="56"/>
  <c r="I32" i="56"/>
  <c r="H32" i="56"/>
  <c r="G32" i="56"/>
  <c r="F32" i="56"/>
  <c r="E32" i="56"/>
  <c r="D32" i="56"/>
  <c r="C32" i="56"/>
  <c r="B32" i="56"/>
  <c r="DQ31" i="56"/>
  <c r="DP31" i="56"/>
  <c r="DO31" i="56"/>
  <c r="DN31" i="56"/>
  <c r="DM31" i="56"/>
  <c r="DL31" i="56"/>
  <c r="DK31" i="56"/>
  <c r="DJ31" i="56"/>
  <c r="DI31" i="56"/>
  <c r="DH31" i="56"/>
  <c r="DG31" i="56"/>
  <c r="DF31" i="56"/>
  <c r="DE31" i="56"/>
  <c r="DD31" i="56"/>
  <c r="DC31" i="56"/>
  <c r="DB31" i="56"/>
  <c r="DA31" i="56"/>
  <c r="CZ31" i="56"/>
  <c r="CY31" i="56"/>
  <c r="CX31" i="56"/>
  <c r="CW31" i="56"/>
  <c r="CV31" i="56"/>
  <c r="CU31" i="56"/>
  <c r="CT31" i="56"/>
  <c r="CS31" i="56"/>
  <c r="CR31" i="56"/>
  <c r="CQ31" i="56"/>
  <c r="CP31" i="56"/>
  <c r="CO31" i="56"/>
  <c r="CN31" i="56"/>
  <c r="CM31" i="56"/>
  <c r="CL31" i="56"/>
  <c r="CK31" i="56"/>
  <c r="CJ31" i="56"/>
  <c r="CI31" i="56"/>
  <c r="CH31" i="56"/>
  <c r="CG31" i="56"/>
  <c r="CF31" i="56"/>
  <c r="CE31" i="56"/>
  <c r="CD31" i="56"/>
  <c r="CC31" i="56"/>
  <c r="CB31" i="56"/>
  <c r="CA31" i="56"/>
  <c r="BZ31" i="56"/>
  <c r="BY31" i="56"/>
  <c r="BX31" i="56"/>
  <c r="BW31" i="56"/>
  <c r="BV31" i="56"/>
  <c r="BU31" i="56"/>
  <c r="BT31" i="56"/>
  <c r="BS31" i="56"/>
  <c r="BR31" i="56"/>
  <c r="BQ31" i="56"/>
  <c r="BP31" i="56"/>
  <c r="BO31" i="56"/>
  <c r="BN31" i="56"/>
  <c r="BM31" i="56"/>
  <c r="BL31" i="56"/>
  <c r="BK31" i="56"/>
  <c r="BJ31" i="56"/>
  <c r="BI31" i="56"/>
  <c r="BH31" i="56"/>
  <c r="BG31" i="56"/>
  <c r="BF31" i="56"/>
  <c r="BE31" i="56"/>
  <c r="BD31" i="56"/>
  <c r="BC31" i="56"/>
  <c r="BB31" i="56"/>
  <c r="BA31" i="56"/>
  <c r="AZ31" i="56"/>
  <c r="AY31" i="56"/>
  <c r="AX31" i="56"/>
  <c r="AW31" i="56"/>
  <c r="AV31" i="56"/>
  <c r="AU31" i="56"/>
  <c r="AT31" i="56"/>
  <c r="AS31" i="56"/>
  <c r="AR31" i="56"/>
  <c r="AQ31" i="56"/>
  <c r="AP31" i="56"/>
  <c r="AO31" i="56"/>
  <c r="AN31" i="56"/>
  <c r="AM31" i="56"/>
  <c r="AL31" i="56"/>
  <c r="AK31" i="56"/>
  <c r="AJ31" i="56"/>
  <c r="AI31" i="56"/>
  <c r="AH31" i="56"/>
  <c r="AG31" i="56"/>
  <c r="AF31" i="56"/>
  <c r="AE31" i="56"/>
  <c r="AD31" i="56"/>
  <c r="AC31" i="56"/>
  <c r="AB31" i="56"/>
  <c r="AA31" i="56"/>
  <c r="Z31" i="56"/>
  <c r="Y31" i="56"/>
  <c r="X31" i="56"/>
  <c r="W31" i="56"/>
  <c r="V31" i="56"/>
  <c r="U31" i="56"/>
  <c r="T31" i="56"/>
  <c r="S31" i="56"/>
  <c r="R31" i="56"/>
  <c r="Q31" i="56"/>
  <c r="P31" i="56"/>
  <c r="O31" i="56"/>
  <c r="N31" i="56"/>
  <c r="M31" i="56"/>
  <c r="L31" i="56"/>
  <c r="K31" i="56"/>
  <c r="J31" i="56"/>
  <c r="I31" i="56"/>
  <c r="H31" i="56"/>
  <c r="G31" i="56"/>
  <c r="F31" i="56"/>
  <c r="E31" i="56"/>
  <c r="D31" i="56"/>
  <c r="C31" i="56"/>
  <c r="B31" i="56"/>
  <c r="DQ30" i="56"/>
  <c r="DP30" i="56"/>
  <c r="DO30" i="56"/>
  <c r="DN30" i="56"/>
  <c r="DM30" i="56"/>
  <c r="DL30" i="56"/>
  <c r="DK30" i="56"/>
  <c r="DJ30" i="56"/>
  <c r="DI30" i="56"/>
  <c r="DH30" i="56"/>
  <c r="DG30" i="56"/>
  <c r="DF30" i="56"/>
  <c r="DE30" i="56"/>
  <c r="DD30" i="56"/>
  <c r="DC30" i="56"/>
  <c r="DB30" i="56"/>
  <c r="DA30" i="56"/>
  <c r="CZ30" i="56"/>
  <c r="CY30" i="56"/>
  <c r="CX30" i="56"/>
  <c r="CW30" i="56"/>
  <c r="CV30" i="56"/>
  <c r="CU30" i="56"/>
  <c r="CT30" i="56"/>
  <c r="CS30" i="56"/>
  <c r="CR30" i="56"/>
  <c r="CQ30" i="56"/>
  <c r="CP30" i="56"/>
  <c r="CO30" i="56"/>
  <c r="CN30" i="56"/>
  <c r="CM30" i="56"/>
  <c r="CL30" i="56"/>
  <c r="CK30" i="56"/>
  <c r="CJ30" i="56"/>
  <c r="CI30" i="56"/>
  <c r="CH30" i="56"/>
  <c r="CG30" i="56"/>
  <c r="CF30" i="56"/>
  <c r="CE30" i="56"/>
  <c r="CD30" i="56"/>
  <c r="CC30" i="56"/>
  <c r="CB30" i="56"/>
  <c r="CA30" i="56"/>
  <c r="BZ30" i="56"/>
  <c r="BY30" i="56"/>
  <c r="BX30" i="56"/>
  <c r="BW30" i="56"/>
  <c r="BV30" i="56"/>
  <c r="BU30" i="56"/>
  <c r="BT30" i="56"/>
  <c r="BS30" i="56"/>
  <c r="BR30" i="56"/>
  <c r="BQ30" i="56"/>
  <c r="BP30" i="56"/>
  <c r="BO30" i="56"/>
  <c r="BN30" i="56"/>
  <c r="BM30" i="56"/>
  <c r="BL30" i="56"/>
  <c r="BK30" i="56"/>
  <c r="BJ30" i="56"/>
  <c r="BI30" i="56"/>
  <c r="BH30" i="56"/>
  <c r="BG30" i="56"/>
  <c r="BF30" i="56"/>
  <c r="BE30" i="56"/>
  <c r="BD30" i="56"/>
  <c r="BC30" i="56"/>
  <c r="BB30" i="56"/>
  <c r="BA30" i="56"/>
  <c r="AZ30" i="56"/>
  <c r="AY30" i="56"/>
  <c r="AX30" i="56"/>
  <c r="AW30" i="56"/>
  <c r="AV30" i="56"/>
  <c r="AU30" i="56"/>
  <c r="AT30" i="56"/>
  <c r="AS30" i="56"/>
  <c r="AR30" i="56"/>
  <c r="AQ30" i="56"/>
  <c r="AP30" i="56"/>
  <c r="AO30" i="56"/>
  <c r="AN30" i="56"/>
  <c r="AM30" i="56"/>
  <c r="AL30" i="56"/>
  <c r="AK30" i="56"/>
  <c r="AJ30" i="56"/>
  <c r="AI30" i="56"/>
  <c r="AH30" i="56"/>
  <c r="AG30" i="56"/>
  <c r="AF30" i="56"/>
  <c r="AE30" i="56"/>
  <c r="AD30" i="56"/>
  <c r="AC30" i="56"/>
  <c r="AB30" i="56"/>
  <c r="AA30" i="56"/>
  <c r="Z30" i="56"/>
  <c r="Y30" i="56"/>
  <c r="X30" i="56"/>
  <c r="W30" i="56"/>
  <c r="V30" i="56"/>
  <c r="U30" i="56"/>
  <c r="T30" i="56"/>
  <c r="S30" i="56"/>
  <c r="R30" i="56"/>
  <c r="Q30" i="56"/>
  <c r="P30" i="56"/>
  <c r="O30" i="56"/>
  <c r="N30" i="56"/>
  <c r="M30" i="56"/>
  <c r="L30" i="56"/>
  <c r="K30" i="56"/>
  <c r="J30" i="56"/>
  <c r="I30" i="56"/>
  <c r="H30" i="56"/>
  <c r="G30" i="56"/>
  <c r="F30" i="56"/>
  <c r="E30" i="56"/>
  <c r="D30" i="56"/>
  <c r="C30" i="56"/>
  <c r="B30" i="56"/>
  <c r="DQ29" i="56"/>
  <c r="DP29" i="56"/>
  <c r="DO29" i="56"/>
  <c r="DN29" i="56"/>
  <c r="DM29" i="56"/>
  <c r="DL29" i="56"/>
  <c r="DK29" i="56"/>
  <c r="DJ29" i="56"/>
  <c r="DI29" i="56"/>
  <c r="DH29" i="56"/>
  <c r="DG29" i="56"/>
  <c r="DF29" i="56"/>
  <c r="DE29" i="56"/>
  <c r="DD29" i="56"/>
  <c r="DC29" i="56"/>
  <c r="DB29" i="56"/>
  <c r="DA29" i="56"/>
  <c r="CZ29" i="56"/>
  <c r="CY29" i="56"/>
  <c r="CX29" i="56"/>
  <c r="CW29" i="56"/>
  <c r="CV29" i="56"/>
  <c r="CU29" i="56"/>
  <c r="CT29" i="56"/>
  <c r="CS29" i="56"/>
  <c r="CR29" i="56"/>
  <c r="CQ29" i="56"/>
  <c r="CP29" i="56"/>
  <c r="CO29" i="56"/>
  <c r="CN29" i="56"/>
  <c r="CM29" i="56"/>
  <c r="CL29" i="56"/>
  <c r="CK29" i="56"/>
  <c r="CJ29" i="56"/>
  <c r="CI29" i="56"/>
  <c r="CH29" i="56"/>
  <c r="CG29" i="56"/>
  <c r="CF29" i="56"/>
  <c r="CE29" i="56"/>
  <c r="CD29" i="56"/>
  <c r="CC29" i="56"/>
  <c r="CB29" i="56"/>
  <c r="CA29" i="56"/>
  <c r="BZ29" i="56"/>
  <c r="BY29" i="56"/>
  <c r="BX29" i="56"/>
  <c r="BW29" i="56"/>
  <c r="BV29" i="56"/>
  <c r="BU29" i="56"/>
  <c r="BT29" i="56"/>
  <c r="BS29" i="56"/>
  <c r="BR29" i="56"/>
  <c r="BQ29" i="56"/>
  <c r="BP29" i="56"/>
  <c r="BO29" i="56"/>
  <c r="BN29" i="56"/>
  <c r="BM29" i="56"/>
  <c r="BL29" i="56"/>
  <c r="BK29" i="56"/>
  <c r="BJ29" i="56"/>
  <c r="BI29" i="56"/>
  <c r="BH29" i="56"/>
  <c r="BG29" i="56"/>
  <c r="BF29" i="56"/>
  <c r="BE29" i="56"/>
  <c r="BD29" i="56"/>
  <c r="BC29" i="56"/>
  <c r="BB29" i="56"/>
  <c r="BA29" i="56"/>
  <c r="AZ29" i="56"/>
  <c r="AY29" i="56"/>
  <c r="AX29" i="56"/>
  <c r="AW29" i="56"/>
  <c r="AV29" i="56"/>
  <c r="AU29" i="56"/>
  <c r="AT29" i="56"/>
  <c r="AS29" i="56"/>
  <c r="AR29" i="56"/>
  <c r="AQ29" i="56"/>
  <c r="AP29" i="56"/>
  <c r="AO29" i="56"/>
  <c r="AN29" i="56"/>
  <c r="AM29" i="56"/>
  <c r="AL29" i="56"/>
  <c r="AK29" i="56"/>
  <c r="AJ29" i="56"/>
  <c r="AI29" i="56"/>
  <c r="AH29" i="56"/>
  <c r="AG29" i="56"/>
  <c r="AF29" i="56"/>
  <c r="AE29" i="56"/>
  <c r="AD29" i="56"/>
  <c r="AC29" i="56"/>
  <c r="AB29" i="56"/>
  <c r="AA29" i="56"/>
  <c r="Z29" i="56"/>
  <c r="Y29" i="56"/>
  <c r="X29" i="56"/>
  <c r="W29" i="56"/>
  <c r="V29" i="56"/>
  <c r="U29" i="56"/>
  <c r="T29" i="56"/>
  <c r="S29" i="56"/>
  <c r="R29" i="56"/>
  <c r="Q29" i="56"/>
  <c r="P29" i="56"/>
  <c r="O29" i="56"/>
  <c r="N29" i="56"/>
  <c r="M29" i="56"/>
  <c r="L29" i="56"/>
  <c r="K29" i="56"/>
  <c r="J29" i="56"/>
  <c r="I29" i="56"/>
  <c r="H29" i="56"/>
  <c r="G29" i="56"/>
  <c r="F29" i="56"/>
  <c r="E29" i="56"/>
  <c r="D29" i="56"/>
  <c r="C29" i="56"/>
  <c r="B29" i="56"/>
  <c r="DQ28" i="56"/>
  <c r="DP28" i="56"/>
  <c r="DO28" i="56"/>
  <c r="DN28" i="56"/>
  <c r="DM28" i="56"/>
  <c r="DL28" i="56"/>
  <c r="DK28" i="56"/>
  <c r="DJ28" i="56"/>
  <c r="DI28" i="56"/>
  <c r="DH28" i="56"/>
  <c r="DG28" i="56"/>
  <c r="DF28" i="56"/>
  <c r="DE28" i="56"/>
  <c r="DD28" i="56"/>
  <c r="DC28" i="56"/>
  <c r="DB28" i="56"/>
  <c r="DA28" i="56"/>
  <c r="CZ28" i="56"/>
  <c r="CY28" i="56"/>
  <c r="CX28" i="56"/>
  <c r="CW28" i="56"/>
  <c r="CV28" i="56"/>
  <c r="CU28" i="56"/>
  <c r="CT28" i="56"/>
  <c r="CS28" i="56"/>
  <c r="CR28" i="56"/>
  <c r="CQ28" i="56"/>
  <c r="CP28" i="56"/>
  <c r="CO28" i="56"/>
  <c r="CN28" i="56"/>
  <c r="CM28" i="56"/>
  <c r="CL28" i="56"/>
  <c r="CK28" i="56"/>
  <c r="CJ28" i="56"/>
  <c r="CI28" i="56"/>
  <c r="CH28" i="56"/>
  <c r="CG28" i="56"/>
  <c r="CF28" i="56"/>
  <c r="CE28" i="56"/>
  <c r="CD28" i="56"/>
  <c r="CC28" i="56"/>
  <c r="CB28" i="56"/>
  <c r="CA28" i="56"/>
  <c r="BZ28" i="56"/>
  <c r="BY28" i="56"/>
  <c r="BX28" i="56"/>
  <c r="BW28" i="56"/>
  <c r="BV28" i="56"/>
  <c r="BU28" i="56"/>
  <c r="BT28" i="56"/>
  <c r="BS28" i="56"/>
  <c r="BR28" i="56"/>
  <c r="BQ28" i="56"/>
  <c r="BP28" i="56"/>
  <c r="BO28" i="56"/>
  <c r="BN28" i="56"/>
  <c r="BM28" i="56"/>
  <c r="BL28" i="56"/>
  <c r="BK28" i="56"/>
  <c r="BJ28" i="56"/>
  <c r="BI28" i="56"/>
  <c r="BH28" i="56"/>
  <c r="BG28" i="56"/>
  <c r="BF28" i="56"/>
  <c r="BE28" i="56"/>
  <c r="BD28" i="56"/>
  <c r="BC28" i="56"/>
  <c r="BB28" i="56"/>
  <c r="BA28" i="56"/>
  <c r="AZ28" i="56"/>
  <c r="AY28" i="56"/>
  <c r="AX28" i="56"/>
  <c r="AW28" i="56"/>
  <c r="AV28" i="56"/>
  <c r="AU28" i="56"/>
  <c r="AT28" i="56"/>
  <c r="AS28" i="56"/>
  <c r="AR28" i="56"/>
  <c r="AQ28" i="56"/>
  <c r="AP28" i="56"/>
  <c r="AO28" i="56"/>
  <c r="AN28" i="56"/>
  <c r="AM28" i="56"/>
  <c r="AL28" i="56"/>
  <c r="AK28" i="56"/>
  <c r="AJ28" i="56"/>
  <c r="AI28" i="56"/>
  <c r="AH28" i="56"/>
  <c r="AG28" i="56"/>
  <c r="AF28" i="56"/>
  <c r="AE28" i="56"/>
  <c r="AD28" i="56"/>
  <c r="AC28" i="56"/>
  <c r="AB28" i="56"/>
  <c r="AA28" i="56"/>
  <c r="Z28" i="56"/>
  <c r="Y28" i="56"/>
  <c r="X28" i="56"/>
  <c r="W28" i="56"/>
  <c r="V28" i="56"/>
  <c r="U28" i="56"/>
  <c r="T28" i="56"/>
  <c r="S28" i="56"/>
  <c r="R28" i="56"/>
  <c r="Q28" i="56"/>
  <c r="P28" i="56"/>
  <c r="O28" i="56"/>
  <c r="N28" i="56"/>
  <c r="M28" i="56"/>
  <c r="L28" i="56"/>
  <c r="K28" i="56"/>
  <c r="J28" i="56"/>
  <c r="I28" i="56"/>
  <c r="H28" i="56"/>
  <c r="G28" i="56"/>
  <c r="F28" i="56"/>
  <c r="E28" i="56"/>
  <c r="D28" i="56"/>
  <c r="C28" i="56"/>
  <c r="B28" i="56"/>
  <c r="DQ27" i="56"/>
  <c r="DP27" i="56"/>
  <c r="DO27" i="56"/>
  <c r="DN27" i="56"/>
  <c r="DM27" i="56"/>
  <c r="DL27" i="56"/>
  <c r="DK27" i="56"/>
  <c r="DJ27" i="56"/>
  <c r="DI27" i="56"/>
  <c r="DH27" i="56"/>
  <c r="DG27" i="56"/>
  <c r="DF27" i="56"/>
  <c r="DE27" i="56"/>
  <c r="DD27" i="56"/>
  <c r="DC27" i="56"/>
  <c r="DB27" i="56"/>
  <c r="DA27" i="56"/>
  <c r="CZ27" i="56"/>
  <c r="CY27" i="56"/>
  <c r="CX27" i="56"/>
  <c r="CW27" i="56"/>
  <c r="CV27" i="56"/>
  <c r="CU27" i="56"/>
  <c r="CT27" i="56"/>
  <c r="CS27" i="56"/>
  <c r="CR27" i="56"/>
  <c r="CQ27" i="56"/>
  <c r="CP27" i="56"/>
  <c r="CO27" i="56"/>
  <c r="CN27" i="56"/>
  <c r="CM27" i="56"/>
  <c r="CL27" i="56"/>
  <c r="CK27" i="56"/>
  <c r="CJ27" i="56"/>
  <c r="CI27" i="56"/>
  <c r="CH27" i="56"/>
  <c r="CG27" i="56"/>
  <c r="CF27" i="56"/>
  <c r="CE27" i="56"/>
  <c r="CD27" i="56"/>
  <c r="CC27" i="56"/>
  <c r="CB27" i="56"/>
  <c r="CA27" i="56"/>
  <c r="BZ27" i="56"/>
  <c r="BY27" i="56"/>
  <c r="BX27" i="56"/>
  <c r="BW27" i="56"/>
  <c r="BV27" i="56"/>
  <c r="BU27" i="56"/>
  <c r="BT27" i="56"/>
  <c r="BS27" i="56"/>
  <c r="BR27" i="56"/>
  <c r="BQ27" i="56"/>
  <c r="BP27" i="56"/>
  <c r="BO27" i="56"/>
  <c r="BN27" i="56"/>
  <c r="BM27" i="56"/>
  <c r="BL27" i="56"/>
  <c r="BK27" i="56"/>
  <c r="BJ27" i="56"/>
  <c r="BI27" i="56"/>
  <c r="BH27" i="56"/>
  <c r="BG27" i="56"/>
  <c r="BF27" i="56"/>
  <c r="BE27" i="56"/>
  <c r="BD27" i="56"/>
  <c r="BC27" i="56"/>
  <c r="BB27" i="56"/>
  <c r="BA27" i="56"/>
  <c r="AZ27" i="56"/>
  <c r="AY27" i="56"/>
  <c r="AX27" i="56"/>
  <c r="AW27" i="56"/>
  <c r="AV27" i="56"/>
  <c r="AU27" i="56"/>
  <c r="AT27" i="56"/>
  <c r="AS27" i="56"/>
  <c r="AR27" i="56"/>
  <c r="AQ27" i="56"/>
  <c r="AP27" i="56"/>
  <c r="AO27" i="56"/>
  <c r="AN27" i="56"/>
  <c r="AM27" i="56"/>
  <c r="AL27" i="56"/>
  <c r="AK27" i="56"/>
  <c r="AJ27" i="56"/>
  <c r="AI27" i="56"/>
  <c r="AH27" i="56"/>
  <c r="AG27" i="56"/>
  <c r="AF27" i="56"/>
  <c r="AE27" i="56"/>
  <c r="AD27" i="56"/>
  <c r="AC27" i="56"/>
  <c r="AB27" i="56"/>
  <c r="AA27" i="56"/>
  <c r="Z27" i="56"/>
  <c r="Y27" i="56"/>
  <c r="X27" i="56"/>
  <c r="W27" i="56"/>
  <c r="V27" i="56"/>
  <c r="U27" i="56"/>
  <c r="T27" i="56"/>
  <c r="S27" i="56"/>
  <c r="R27" i="56"/>
  <c r="Q27" i="56"/>
  <c r="P27" i="56"/>
  <c r="O27" i="56"/>
  <c r="N27" i="56"/>
  <c r="M27" i="56"/>
  <c r="L27" i="56"/>
  <c r="K27" i="56"/>
  <c r="J27" i="56"/>
  <c r="I27" i="56"/>
  <c r="H27" i="56"/>
  <c r="G27" i="56"/>
  <c r="F27" i="56"/>
  <c r="E27" i="56"/>
  <c r="D27" i="56"/>
  <c r="C27" i="56"/>
  <c r="B27" i="56"/>
  <c r="DQ26" i="56"/>
  <c r="DP26" i="56"/>
  <c r="DO26" i="56"/>
  <c r="DN26" i="56"/>
  <c r="DM26" i="56"/>
  <c r="DL26" i="56"/>
  <c r="DK26" i="56"/>
  <c r="DJ26" i="56"/>
  <c r="DI26" i="56"/>
  <c r="DH26" i="56"/>
  <c r="DG26" i="56"/>
  <c r="DF26" i="56"/>
  <c r="DE26" i="56"/>
  <c r="DD26" i="56"/>
  <c r="DC26" i="56"/>
  <c r="DB26" i="56"/>
  <c r="DA26" i="56"/>
  <c r="CZ26" i="56"/>
  <c r="CY26" i="56"/>
  <c r="CX26" i="56"/>
  <c r="CW26" i="56"/>
  <c r="CV26" i="56"/>
  <c r="CU26" i="56"/>
  <c r="CT26" i="56"/>
  <c r="CS26" i="56"/>
  <c r="CR26" i="56"/>
  <c r="CQ26" i="56"/>
  <c r="CP26" i="56"/>
  <c r="CO26" i="56"/>
  <c r="CN26" i="56"/>
  <c r="CM26" i="56"/>
  <c r="CL26" i="56"/>
  <c r="CK26" i="56"/>
  <c r="CJ26" i="56"/>
  <c r="CI26" i="56"/>
  <c r="CH26" i="56"/>
  <c r="CG26" i="56"/>
  <c r="CF26" i="56"/>
  <c r="CE26" i="56"/>
  <c r="CD26" i="56"/>
  <c r="CC26" i="56"/>
  <c r="CB26" i="56"/>
  <c r="CA26" i="56"/>
  <c r="BZ26" i="56"/>
  <c r="BY26" i="56"/>
  <c r="BX26" i="56"/>
  <c r="BW26" i="56"/>
  <c r="BV26" i="56"/>
  <c r="BU26" i="56"/>
  <c r="BT26" i="56"/>
  <c r="BS26" i="56"/>
  <c r="BR26" i="56"/>
  <c r="BQ26" i="56"/>
  <c r="BP26" i="56"/>
  <c r="BO26" i="56"/>
  <c r="BN26" i="56"/>
  <c r="BM26" i="56"/>
  <c r="BL26" i="56"/>
  <c r="BK26" i="56"/>
  <c r="BJ26" i="56"/>
  <c r="BI26" i="56"/>
  <c r="BH26" i="56"/>
  <c r="BG26" i="56"/>
  <c r="BF26" i="56"/>
  <c r="BE26" i="56"/>
  <c r="BD26" i="56"/>
  <c r="BC26" i="56"/>
  <c r="BB26" i="56"/>
  <c r="BA26" i="56"/>
  <c r="AZ26" i="56"/>
  <c r="AY26" i="56"/>
  <c r="AX26" i="56"/>
  <c r="AW26" i="56"/>
  <c r="AV26" i="56"/>
  <c r="AU26" i="56"/>
  <c r="AT26" i="56"/>
  <c r="AS26" i="56"/>
  <c r="AR26" i="56"/>
  <c r="AQ26" i="56"/>
  <c r="AP26" i="56"/>
  <c r="AO26" i="56"/>
  <c r="AN26" i="56"/>
  <c r="AM26" i="56"/>
  <c r="AL26" i="56"/>
  <c r="AK26" i="56"/>
  <c r="AJ26" i="56"/>
  <c r="AI26" i="56"/>
  <c r="AH26" i="56"/>
  <c r="AG26" i="56"/>
  <c r="AF26" i="56"/>
  <c r="AE26" i="56"/>
  <c r="AD26" i="56"/>
  <c r="AC26" i="56"/>
  <c r="AB26" i="56"/>
  <c r="AA26" i="56"/>
  <c r="Z26" i="56"/>
  <c r="Y26" i="56"/>
  <c r="X26" i="56"/>
  <c r="W26" i="56"/>
  <c r="V26" i="56"/>
  <c r="U26" i="56"/>
  <c r="T26" i="56"/>
  <c r="S26" i="56"/>
  <c r="R26" i="56"/>
  <c r="Q26" i="56"/>
  <c r="P26" i="56"/>
  <c r="O26" i="56"/>
  <c r="N26" i="56"/>
  <c r="M26" i="56"/>
  <c r="L26" i="56"/>
  <c r="K26" i="56"/>
  <c r="J26" i="56"/>
  <c r="I26" i="56"/>
  <c r="H26" i="56"/>
  <c r="G26" i="56"/>
  <c r="F26" i="56"/>
  <c r="E26" i="56"/>
  <c r="D26" i="56"/>
  <c r="C26" i="56"/>
  <c r="B26" i="56"/>
  <c r="DQ25" i="56"/>
  <c r="DP25" i="56"/>
  <c r="DO25" i="56"/>
  <c r="DN25" i="56"/>
  <c r="DM25" i="56"/>
  <c r="DL25" i="56"/>
  <c r="DK25" i="56"/>
  <c r="DJ25" i="56"/>
  <c r="DI25" i="56"/>
  <c r="DH25" i="56"/>
  <c r="DG25" i="56"/>
  <c r="DF25" i="56"/>
  <c r="DE25" i="56"/>
  <c r="DD25" i="56"/>
  <c r="DC25" i="56"/>
  <c r="DB25" i="56"/>
  <c r="DA25" i="56"/>
  <c r="CZ25" i="56"/>
  <c r="CY25" i="56"/>
  <c r="CX25" i="56"/>
  <c r="CW25" i="56"/>
  <c r="CV25" i="56"/>
  <c r="CU25" i="56"/>
  <c r="CT25" i="56"/>
  <c r="CS25" i="56"/>
  <c r="CR25" i="56"/>
  <c r="CQ25" i="56"/>
  <c r="CP25" i="56"/>
  <c r="CO25" i="56"/>
  <c r="CN25" i="56"/>
  <c r="CM25" i="56"/>
  <c r="CL25" i="56"/>
  <c r="CK25" i="56"/>
  <c r="CJ25" i="56"/>
  <c r="CI25" i="56"/>
  <c r="CH25" i="56"/>
  <c r="CG25" i="56"/>
  <c r="CF25" i="56"/>
  <c r="CE25" i="56"/>
  <c r="CD25" i="56"/>
  <c r="CC25" i="56"/>
  <c r="CB25" i="56"/>
  <c r="CA25" i="56"/>
  <c r="BZ25" i="56"/>
  <c r="BY25" i="56"/>
  <c r="BX25" i="56"/>
  <c r="BW25" i="56"/>
  <c r="BV25" i="56"/>
  <c r="BU25" i="56"/>
  <c r="BT25" i="56"/>
  <c r="BS25" i="56"/>
  <c r="BR25" i="56"/>
  <c r="BQ25" i="56"/>
  <c r="BP25" i="56"/>
  <c r="BO25" i="56"/>
  <c r="BN25" i="56"/>
  <c r="BM25" i="56"/>
  <c r="BL25" i="56"/>
  <c r="BK25" i="56"/>
  <c r="BJ25" i="56"/>
  <c r="BI25" i="56"/>
  <c r="BH25" i="56"/>
  <c r="BG25" i="56"/>
  <c r="BF25" i="56"/>
  <c r="BE25" i="56"/>
  <c r="BD25" i="56"/>
  <c r="BC25" i="56"/>
  <c r="BB25" i="56"/>
  <c r="BA25" i="56"/>
  <c r="AZ25" i="56"/>
  <c r="AY25" i="56"/>
  <c r="AX25" i="56"/>
  <c r="AW25" i="56"/>
  <c r="AV25" i="56"/>
  <c r="AU25" i="56"/>
  <c r="AT25" i="56"/>
  <c r="AS25" i="56"/>
  <c r="AR25" i="56"/>
  <c r="AQ25" i="56"/>
  <c r="AP25" i="56"/>
  <c r="AO25" i="56"/>
  <c r="AN25" i="56"/>
  <c r="AM25" i="56"/>
  <c r="AL25" i="56"/>
  <c r="AK25" i="56"/>
  <c r="AJ25" i="56"/>
  <c r="AI25" i="56"/>
  <c r="AH25" i="56"/>
  <c r="AG25" i="56"/>
  <c r="AF25" i="56"/>
  <c r="AE25" i="56"/>
  <c r="AD25" i="56"/>
  <c r="AC25" i="56"/>
  <c r="AB25" i="56"/>
  <c r="AA25" i="56"/>
  <c r="Z25" i="56"/>
  <c r="Y25" i="56"/>
  <c r="X25" i="56"/>
  <c r="W25" i="56"/>
  <c r="V25" i="56"/>
  <c r="U25" i="56"/>
  <c r="T25" i="56"/>
  <c r="S25" i="56"/>
  <c r="R25" i="56"/>
  <c r="Q25" i="56"/>
  <c r="P25" i="56"/>
  <c r="O25" i="56"/>
  <c r="N25" i="56"/>
  <c r="M25" i="56"/>
  <c r="L25" i="56"/>
  <c r="K25" i="56"/>
  <c r="J25" i="56"/>
  <c r="I25" i="56"/>
  <c r="H25" i="56"/>
  <c r="G25" i="56"/>
  <c r="F25" i="56"/>
  <c r="E25" i="56"/>
  <c r="D25" i="56"/>
  <c r="C25" i="56"/>
  <c r="B25" i="56"/>
  <c r="DQ24" i="56"/>
  <c r="DP24" i="56"/>
  <c r="DO24" i="56"/>
  <c r="DN24" i="56"/>
  <c r="DM24" i="56"/>
  <c r="DL24" i="56"/>
  <c r="DK24" i="56"/>
  <c r="DJ24" i="56"/>
  <c r="DI24" i="56"/>
  <c r="DH24" i="56"/>
  <c r="DG24" i="56"/>
  <c r="DF24" i="56"/>
  <c r="DE24" i="56"/>
  <c r="DD24" i="56"/>
  <c r="DC24" i="56"/>
  <c r="DB24" i="56"/>
  <c r="DA24" i="56"/>
  <c r="CZ24" i="56"/>
  <c r="CY24" i="56"/>
  <c r="CX24" i="56"/>
  <c r="CW24" i="56"/>
  <c r="CV24" i="56"/>
  <c r="CU24" i="56"/>
  <c r="CT24" i="56"/>
  <c r="CS24" i="56"/>
  <c r="CR24" i="56"/>
  <c r="CQ24" i="56"/>
  <c r="CP24" i="56"/>
  <c r="CO24" i="56"/>
  <c r="CN24" i="56"/>
  <c r="CM24" i="56"/>
  <c r="CL24" i="56"/>
  <c r="CK24" i="56"/>
  <c r="CJ24" i="56"/>
  <c r="CI24" i="56"/>
  <c r="CH24" i="56"/>
  <c r="CG24" i="56"/>
  <c r="CF24" i="56"/>
  <c r="CE24" i="56"/>
  <c r="CD24" i="56"/>
  <c r="CC24" i="56"/>
  <c r="CB24" i="56"/>
  <c r="CA24" i="56"/>
  <c r="BZ24" i="56"/>
  <c r="BY24" i="56"/>
  <c r="BX24" i="56"/>
  <c r="BW24" i="56"/>
  <c r="BV24" i="56"/>
  <c r="BU24" i="56"/>
  <c r="BT24" i="56"/>
  <c r="BS24" i="56"/>
  <c r="BR24" i="56"/>
  <c r="BQ24" i="56"/>
  <c r="BP24" i="56"/>
  <c r="BO24" i="56"/>
  <c r="BN24" i="56"/>
  <c r="BM24" i="56"/>
  <c r="BL24" i="56"/>
  <c r="BK24" i="56"/>
  <c r="BJ24" i="56"/>
  <c r="BI24" i="56"/>
  <c r="BH24" i="56"/>
  <c r="BG24" i="56"/>
  <c r="BF24" i="56"/>
  <c r="BE24" i="56"/>
  <c r="BD24" i="56"/>
  <c r="BC24" i="56"/>
  <c r="BB24" i="56"/>
  <c r="BA24" i="56"/>
  <c r="AZ24" i="56"/>
  <c r="AY24" i="56"/>
  <c r="AX24" i="56"/>
  <c r="AW24" i="56"/>
  <c r="AV24" i="56"/>
  <c r="AU24" i="56"/>
  <c r="AT24" i="56"/>
  <c r="AS24" i="56"/>
  <c r="AR24" i="56"/>
  <c r="AQ24" i="56"/>
  <c r="AP24" i="56"/>
  <c r="AO24" i="56"/>
  <c r="AN24" i="56"/>
  <c r="AM24" i="56"/>
  <c r="AL24" i="56"/>
  <c r="AK24" i="56"/>
  <c r="AJ24" i="56"/>
  <c r="AI24" i="56"/>
  <c r="AH24" i="56"/>
  <c r="AG24" i="56"/>
  <c r="AF24" i="56"/>
  <c r="AE24" i="56"/>
  <c r="AD24" i="56"/>
  <c r="AC24" i="56"/>
  <c r="AB24" i="56"/>
  <c r="AA24" i="56"/>
  <c r="Z24" i="56"/>
  <c r="Y24" i="56"/>
  <c r="X24" i="56"/>
  <c r="W24" i="56"/>
  <c r="V24" i="56"/>
  <c r="U24" i="56"/>
  <c r="T24" i="56"/>
  <c r="S24" i="56"/>
  <c r="R24" i="56"/>
  <c r="Q24" i="56"/>
  <c r="P24" i="56"/>
  <c r="O24" i="56"/>
  <c r="N24" i="56"/>
  <c r="M24" i="56"/>
  <c r="L24" i="56"/>
  <c r="K24" i="56"/>
  <c r="J24" i="56"/>
  <c r="I24" i="56"/>
  <c r="H24" i="56"/>
  <c r="G24" i="56"/>
  <c r="F24" i="56"/>
  <c r="E24" i="56"/>
  <c r="D24" i="56"/>
  <c r="C24" i="56"/>
  <c r="B24" i="56"/>
  <c r="DQ23" i="56"/>
  <c r="DP23" i="56"/>
  <c r="DO23" i="56"/>
  <c r="DN23" i="56"/>
  <c r="DM23" i="56"/>
  <c r="DL23" i="56"/>
  <c r="DK23" i="56"/>
  <c r="DJ23" i="56"/>
  <c r="DI23" i="56"/>
  <c r="DH23" i="56"/>
  <c r="DG23" i="56"/>
  <c r="DF23" i="56"/>
  <c r="DE23" i="56"/>
  <c r="DD23" i="56"/>
  <c r="DC23" i="56"/>
  <c r="DB23" i="56"/>
  <c r="DA23" i="56"/>
  <c r="CZ23" i="56"/>
  <c r="CY23" i="56"/>
  <c r="CX23" i="56"/>
  <c r="CW23" i="56"/>
  <c r="CV23" i="56"/>
  <c r="CU23" i="56"/>
  <c r="CT23" i="56"/>
  <c r="CS23" i="56"/>
  <c r="CR23" i="56"/>
  <c r="CQ23" i="56"/>
  <c r="CP23" i="56"/>
  <c r="CO23" i="56"/>
  <c r="CN23" i="56"/>
  <c r="CM23" i="56"/>
  <c r="CL23" i="56"/>
  <c r="CK23" i="56"/>
  <c r="CJ23" i="56"/>
  <c r="CI23" i="56"/>
  <c r="CH23" i="56"/>
  <c r="CG23" i="56"/>
  <c r="CF23" i="56"/>
  <c r="CE23" i="56"/>
  <c r="CD23" i="56"/>
  <c r="CC23" i="56"/>
  <c r="CB23" i="56"/>
  <c r="CA23" i="56"/>
  <c r="BZ23" i="56"/>
  <c r="BY23" i="56"/>
  <c r="BX23" i="56"/>
  <c r="BW23" i="56"/>
  <c r="BV23" i="56"/>
  <c r="BU23" i="56"/>
  <c r="BT23" i="56"/>
  <c r="BS23" i="56"/>
  <c r="BR23" i="56"/>
  <c r="BQ23" i="56"/>
  <c r="BP23" i="56"/>
  <c r="BO23" i="56"/>
  <c r="BN23" i="56"/>
  <c r="BM23" i="56"/>
  <c r="BL23" i="56"/>
  <c r="BK23" i="56"/>
  <c r="BJ23" i="56"/>
  <c r="BI23" i="56"/>
  <c r="BH23" i="56"/>
  <c r="BG23" i="56"/>
  <c r="BF23" i="56"/>
  <c r="BE23" i="56"/>
  <c r="BD23" i="56"/>
  <c r="BC23" i="56"/>
  <c r="BB23" i="56"/>
  <c r="BA23" i="56"/>
  <c r="AZ23" i="56"/>
  <c r="AY23" i="56"/>
  <c r="AX23" i="56"/>
  <c r="AW23" i="56"/>
  <c r="AV23" i="56"/>
  <c r="AU23" i="56"/>
  <c r="AT23" i="56"/>
  <c r="AS23" i="56"/>
  <c r="AR23" i="56"/>
  <c r="AQ23" i="56"/>
  <c r="AP23" i="56"/>
  <c r="AO23" i="56"/>
  <c r="AN23" i="56"/>
  <c r="AM23" i="56"/>
  <c r="AL23" i="56"/>
  <c r="AK23" i="56"/>
  <c r="AJ23" i="56"/>
  <c r="AI23" i="56"/>
  <c r="AH23" i="56"/>
  <c r="AG23" i="56"/>
  <c r="AF23" i="56"/>
  <c r="AE23" i="56"/>
  <c r="AD23" i="56"/>
  <c r="AC23" i="56"/>
  <c r="AB23" i="56"/>
  <c r="AA23" i="56"/>
  <c r="Z23" i="56"/>
  <c r="Y23" i="56"/>
  <c r="X23" i="56"/>
  <c r="W23" i="56"/>
  <c r="V23" i="56"/>
  <c r="U23" i="56"/>
  <c r="T23" i="56"/>
  <c r="S23" i="56"/>
  <c r="R23" i="56"/>
  <c r="Q23" i="56"/>
  <c r="P23" i="56"/>
  <c r="O23" i="56"/>
  <c r="N23" i="56"/>
  <c r="M23" i="56"/>
  <c r="L23" i="56"/>
  <c r="K23" i="56"/>
  <c r="J23" i="56"/>
  <c r="I23" i="56"/>
  <c r="H23" i="56"/>
  <c r="G23" i="56"/>
  <c r="F23" i="56"/>
  <c r="E23" i="56"/>
  <c r="D23" i="56"/>
  <c r="C23" i="56"/>
  <c r="B23" i="56"/>
  <c r="DQ22" i="56"/>
  <c r="DP22" i="56"/>
  <c r="DO22" i="56"/>
  <c r="DN22" i="56"/>
  <c r="DM22" i="56"/>
  <c r="DL22" i="56"/>
  <c r="DK22" i="56"/>
  <c r="DJ22" i="56"/>
  <c r="DI22" i="56"/>
  <c r="DH22" i="56"/>
  <c r="DG22" i="56"/>
  <c r="DF22" i="56"/>
  <c r="DE22" i="56"/>
  <c r="DD22" i="56"/>
  <c r="DC22" i="56"/>
  <c r="DB22" i="56"/>
  <c r="DA22" i="56"/>
  <c r="CZ22" i="56"/>
  <c r="CY22" i="56"/>
  <c r="CX22" i="56"/>
  <c r="CW22" i="56"/>
  <c r="CV22" i="56"/>
  <c r="CU22" i="56"/>
  <c r="CT22" i="56"/>
  <c r="CS22" i="56"/>
  <c r="CR22" i="56"/>
  <c r="CQ22" i="56"/>
  <c r="CP22" i="56"/>
  <c r="CO22" i="56"/>
  <c r="CN22" i="56"/>
  <c r="CM22" i="56"/>
  <c r="CL22" i="56"/>
  <c r="CK22" i="56"/>
  <c r="CJ22" i="56"/>
  <c r="CI22" i="56"/>
  <c r="CH22" i="56"/>
  <c r="CG22" i="56"/>
  <c r="CF22" i="56"/>
  <c r="CE22" i="56"/>
  <c r="CD22" i="56"/>
  <c r="CC22" i="56"/>
  <c r="CB22" i="56"/>
  <c r="CA22" i="56"/>
  <c r="BZ22" i="56"/>
  <c r="BY22" i="56"/>
  <c r="BX22" i="56"/>
  <c r="BW22" i="56"/>
  <c r="BV22" i="56"/>
  <c r="BU22" i="56"/>
  <c r="BT22" i="56"/>
  <c r="BS22" i="56"/>
  <c r="BR22" i="56"/>
  <c r="BQ22" i="56"/>
  <c r="BP22" i="56"/>
  <c r="BO22" i="56"/>
  <c r="BN22" i="56"/>
  <c r="BM22" i="56"/>
  <c r="BL22" i="56"/>
  <c r="BK22" i="56"/>
  <c r="BJ22" i="56"/>
  <c r="BI22" i="56"/>
  <c r="BH22" i="56"/>
  <c r="BG22" i="56"/>
  <c r="BF22" i="56"/>
  <c r="BE22" i="56"/>
  <c r="BD22" i="56"/>
  <c r="BC22" i="56"/>
  <c r="BB22" i="56"/>
  <c r="BA22" i="56"/>
  <c r="AZ22" i="56"/>
  <c r="AY22" i="56"/>
  <c r="AX22" i="56"/>
  <c r="AW22" i="56"/>
  <c r="AV22" i="56"/>
  <c r="AU22" i="56"/>
  <c r="AT22" i="56"/>
  <c r="AS22" i="56"/>
  <c r="AR22" i="56"/>
  <c r="AQ22" i="56"/>
  <c r="AP22" i="56"/>
  <c r="AO22" i="56"/>
  <c r="AN22" i="56"/>
  <c r="AM22" i="56"/>
  <c r="AL22" i="56"/>
  <c r="AK22" i="56"/>
  <c r="AJ22" i="56"/>
  <c r="AI22" i="56"/>
  <c r="AH22" i="56"/>
  <c r="AG22" i="56"/>
  <c r="AF22" i="56"/>
  <c r="AE22" i="56"/>
  <c r="AD22" i="56"/>
  <c r="AC22" i="56"/>
  <c r="AB22" i="56"/>
  <c r="AA22" i="56"/>
  <c r="Z22" i="56"/>
  <c r="Y22" i="56"/>
  <c r="X22" i="56"/>
  <c r="W22" i="56"/>
  <c r="V22" i="56"/>
  <c r="U22" i="56"/>
  <c r="T22" i="56"/>
  <c r="S22" i="56"/>
  <c r="R22" i="56"/>
  <c r="Q22" i="56"/>
  <c r="P22" i="56"/>
  <c r="O22" i="56"/>
  <c r="N22" i="56"/>
  <c r="M22" i="56"/>
  <c r="L22" i="56"/>
  <c r="K22" i="56"/>
  <c r="J22" i="56"/>
  <c r="I22" i="56"/>
  <c r="H22" i="56"/>
  <c r="G22" i="56"/>
  <c r="F22" i="56"/>
  <c r="E22" i="56"/>
  <c r="D22" i="56"/>
  <c r="C22" i="56"/>
  <c r="B22" i="56"/>
  <c r="DQ21" i="56"/>
  <c r="DP21" i="56"/>
  <c r="DO21" i="56"/>
  <c r="DN21" i="56"/>
  <c r="DM21" i="56"/>
  <c r="DL21" i="56"/>
  <c r="DK21" i="56"/>
  <c r="DJ21" i="56"/>
  <c r="DI21" i="56"/>
  <c r="DH21" i="56"/>
  <c r="DG21" i="56"/>
  <c r="DF21" i="56"/>
  <c r="DE21" i="56"/>
  <c r="DD21" i="56"/>
  <c r="DC21" i="56"/>
  <c r="DB21" i="56"/>
  <c r="DA21" i="56"/>
  <c r="CZ21" i="56"/>
  <c r="CY21" i="56"/>
  <c r="CX21" i="56"/>
  <c r="CW21" i="56"/>
  <c r="CV21" i="56"/>
  <c r="CU21" i="56"/>
  <c r="CT21" i="56"/>
  <c r="CS21" i="56"/>
  <c r="CR21" i="56"/>
  <c r="CQ21" i="56"/>
  <c r="CP21" i="56"/>
  <c r="CO21" i="56"/>
  <c r="CN21" i="56"/>
  <c r="CM21" i="56"/>
  <c r="CL21" i="56"/>
  <c r="CK21" i="56"/>
  <c r="CJ21" i="56"/>
  <c r="CI21" i="56"/>
  <c r="CH21" i="56"/>
  <c r="CG21" i="56"/>
  <c r="CF21" i="56"/>
  <c r="CE21" i="56"/>
  <c r="CD21" i="56"/>
  <c r="CC21" i="56"/>
  <c r="CB21" i="56"/>
  <c r="CA21" i="56"/>
  <c r="BZ21" i="56"/>
  <c r="BY21" i="56"/>
  <c r="BX21" i="56"/>
  <c r="BW21" i="56"/>
  <c r="BV21" i="56"/>
  <c r="BU21" i="56"/>
  <c r="BT21" i="56"/>
  <c r="BS21" i="56"/>
  <c r="BR21" i="56"/>
  <c r="BQ21" i="56"/>
  <c r="BP21" i="56"/>
  <c r="BO21" i="56"/>
  <c r="BN21" i="56"/>
  <c r="BM21" i="56"/>
  <c r="BL21" i="56"/>
  <c r="BK21" i="56"/>
  <c r="BJ21" i="56"/>
  <c r="BI21" i="56"/>
  <c r="BH21" i="56"/>
  <c r="BG21" i="56"/>
  <c r="BF21" i="56"/>
  <c r="BE21" i="56"/>
  <c r="BD21" i="56"/>
  <c r="BC21" i="56"/>
  <c r="BB21" i="56"/>
  <c r="BA21" i="56"/>
  <c r="AZ21" i="56"/>
  <c r="AY21" i="56"/>
  <c r="AX21" i="56"/>
  <c r="AW21" i="56"/>
  <c r="AV21" i="56"/>
  <c r="AU21" i="56"/>
  <c r="AT21" i="56"/>
  <c r="AS21" i="56"/>
  <c r="AR21" i="56"/>
  <c r="AQ21" i="56"/>
  <c r="AP21" i="56"/>
  <c r="AO21" i="56"/>
  <c r="AN21" i="56"/>
  <c r="AM21" i="56"/>
  <c r="AL21" i="56"/>
  <c r="AK21" i="56"/>
  <c r="AJ21" i="56"/>
  <c r="AI21" i="56"/>
  <c r="AH21" i="56"/>
  <c r="AG21" i="56"/>
  <c r="AF21" i="56"/>
  <c r="AE21" i="56"/>
  <c r="AD21" i="56"/>
  <c r="AC21" i="56"/>
  <c r="AB21" i="56"/>
  <c r="AA21" i="56"/>
  <c r="Z21" i="56"/>
  <c r="Y21" i="56"/>
  <c r="X21" i="56"/>
  <c r="W21" i="56"/>
  <c r="V21" i="56"/>
  <c r="U21" i="56"/>
  <c r="T21" i="56"/>
  <c r="S21" i="56"/>
  <c r="R21" i="56"/>
  <c r="Q21" i="56"/>
  <c r="P21" i="56"/>
  <c r="O21" i="56"/>
  <c r="N21" i="56"/>
  <c r="M21" i="56"/>
  <c r="L21" i="56"/>
  <c r="K21" i="56"/>
  <c r="J21" i="56"/>
  <c r="I21" i="56"/>
  <c r="H21" i="56"/>
  <c r="G21" i="56"/>
  <c r="F21" i="56"/>
  <c r="E21" i="56"/>
  <c r="D21" i="56"/>
  <c r="C21" i="56"/>
  <c r="B21" i="56"/>
  <c r="DQ20" i="56"/>
  <c r="DP20" i="56"/>
  <c r="DO20" i="56"/>
  <c r="DN20" i="56"/>
  <c r="DM20" i="56"/>
  <c r="DL20" i="56"/>
  <c r="DK20" i="56"/>
  <c r="DJ20" i="56"/>
  <c r="DI20" i="56"/>
  <c r="DH20" i="56"/>
  <c r="DG20" i="56"/>
  <c r="DF20" i="56"/>
  <c r="DE20" i="56"/>
  <c r="DD20" i="56"/>
  <c r="DC20" i="56"/>
  <c r="DB20" i="56"/>
  <c r="DA20" i="56"/>
  <c r="CZ20" i="56"/>
  <c r="CY20" i="56"/>
  <c r="CX20" i="56"/>
  <c r="CW20" i="56"/>
  <c r="CV20" i="56"/>
  <c r="CU20" i="56"/>
  <c r="CT20" i="56"/>
  <c r="CS20" i="56"/>
  <c r="CR20" i="56"/>
  <c r="CQ20" i="56"/>
  <c r="CP20" i="56"/>
  <c r="CO20" i="56"/>
  <c r="CN20" i="56"/>
  <c r="CM20" i="56"/>
  <c r="CL20" i="56"/>
  <c r="CK20" i="56"/>
  <c r="CJ20" i="56"/>
  <c r="CI20" i="56"/>
  <c r="CH20" i="56"/>
  <c r="CG20" i="56"/>
  <c r="CF20" i="56"/>
  <c r="CE20" i="56"/>
  <c r="CD20" i="56"/>
  <c r="CC20" i="56"/>
  <c r="CB20" i="56"/>
  <c r="CA20" i="56"/>
  <c r="BZ20" i="56"/>
  <c r="BY20" i="56"/>
  <c r="BX20" i="56"/>
  <c r="BW20" i="56"/>
  <c r="BV20" i="56"/>
  <c r="BU20" i="56"/>
  <c r="BT20" i="56"/>
  <c r="BS20" i="56"/>
  <c r="BR20" i="56"/>
  <c r="BQ20" i="56"/>
  <c r="BP20" i="56"/>
  <c r="BO20" i="56"/>
  <c r="BN20" i="56"/>
  <c r="BM20" i="56"/>
  <c r="BL20" i="56"/>
  <c r="BK20" i="56"/>
  <c r="BJ20" i="56"/>
  <c r="BI20" i="56"/>
  <c r="BH20" i="56"/>
  <c r="BG20" i="56"/>
  <c r="BF20" i="56"/>
  <c r="BE20" i="56"/>
  <c r="BD20" i="56"/>
  <c r="BC20" i="56"/>
  <c r="BB20" i="56"/>
  <c r="BA20" i="56"/>
  <c r="AZ20" i="56"/>
  <c r="AY20" i="56"/>
  <c r="AX20" i="56"/>
  <c r="AW20" i="56"/>
  <c r="AV20" i="56"/>
  <c r="AU20" i="56"/>
  <c r="AT20" i="56"/>
  <c r="AS20" i="56"/>
  <c r="AR20" i="56"/>
  <c r="AQ20" i="56"/>
  <c r="AP20" i="56"/>
  <c r="AO20" i="56"/>
  <c r="AN20" i="56"/>
  <c r="AM20" i="56"/>
  <c r="AL20" i="56"/>
  <c r="AK20" i="56"/>
  <c r="AJ20" i="56"/>
  <c r="AI20" i="56"/>
  <c r="AH20" i="56"/>
  <c r="AG20" i="56"/>
  <c r="AF20" i="56"/>
  <c r="AE20" i="56"/>
  <c r="AD20" i="56"/>
  <c r="AC20" i="56"/>
  <c r="AB20" i="56"/>
  <c r="AA20" i="56"/>
  <c r="Z20" i="56"/>
  <c r="Y20" i="56"/>
  <c r="X20" i="56"/>
  <c r="W20" i="56"/>
  <c r="V20" i="56"/>
  <c r="U20" i="56"/>
  <c r="T20" i="56"/>
  <c r="S20" i="56"/>
  <c r="R20" i="56"/>
  <c r="Q20" i="56"/>
  <c r="P20" i="56"/>
  <c r="O20" i="56"/>
  <c r="N20" i="56"/>
  <c r="M20" i="56"/>
  <c r="L20" i="56"/>
  <c r="K20" i="56"/>
  <c r="J20" i="56"/>
  <c r="I20" i="56"/>
  <c r="H20" i="56"/>
  <c r="G20" i="56"/>
  <c r="F20" i="56"/>
  <c r="E20" i="56"/>
  <c r="D20" i="56"/>
  <c r="C20" i="56"/>
  <c r="B20" i="56"/>
  <c r="DQ19" i="56"/>
  <c r="DP19" i="56"/>
  <c r="DO19" i="56"/>
  <c r="DN19" i="56"/>
  <c r="DM19" i="56"/>
  <c r="DL19" i="56"/>
  <c r="DK19" i="56"/>
  <c r="DJ19" i="56"/>
  <c r="DI19" i="56"/>
  <c r="DH19" i="56"/>
  <c r="DG19" i="56"/>
  <c r="DF19" i="56"/>
  <c r="DE19" i="56"/>
  <c r="DD19" i="56"/>
  <c r="DC19" i="56"/>
  <c r="DB19" i="56"/>
  <c r="DA19" i="56"/>
  <c r="CZ19" i="56"/>
  <c r="CY19" i="56"/>
  <c r="CX19" i="56"/>
  <c r="CW19" i="56"/>
  <c r="CV19" i="56"/>
  <c r="CU19" i="56"/>
  <c r="CT19" i="56"/>
  <c r="CS19" i="56"/>
  <c r="CR19" i="56"/>
  <c r="CQ19" i="56"/>
  <c r="CP19" i="56"/>
  <c r="CO19" i="56"/>
  <c r="CN19" i="56"/>
  <c r="CM19" i="56"/>
  <c r="CL19" i="56"/>
  <c r="CK19" i="56"/>
  <c r="CJ19" i="56"/>
  <c r="CI19" i="56"/>
  <c r="CH19" i="56"/>
  <c r="CG19" i="56"/>
  <c r="CF19" i="56"/>
  <c r="CE19" i="56"/>
  <c r="CD19" i="56"/>
  <c r="CC19" i="56"/>
  <c r="CB19" i="56"/>
  <c r="CA19" i="56"/>
  <c r="BZ19" i="56"/>
  <c r="BY19" i="56"/>
  <c r="BX19" i="56"/>
  <c r="BW19" i="56"/>
  <c r="BV19" i="56"/>
  <c r="BU19" i="56"/>
  <c r="BT19" i="56"/>
  <c r="BS19" i="56"/>
  <c r="BR19" i="56"/>
  <c r="BQ19" i="56"/>
  <c r="BP19" i="56"/>
  <c r="BO19" i="56"/>
  <c r="BN19" i="56"/>
  <c r="BM19" i="56"/>
  <c r="BL19" i="56"/>
  <c r="BK19" i="56"/>
  <c r="BJ19" i="56"/>
  <c r="BI19" i="56"/>
  <c r="BH19" i="56"/>
  <c r="BG19" i="56"/>
  <c r="BF19" i="56"/>
  <c r="BE19" i="56"/>
  <c r="BD19" i="56"/>
  <c r="BC19" i="56"/>
  <c r="BB19" i="56"/>
  <c r="BA19" i="56"/>
  <c r="AZ19" i="56"/>
  <c r="AY19" i="56"/>
  <c r="AX19" i="56"/>
  <c r="AW19" i="56"/>
  <c r="AV19" i="56"/>
  <c r="AU19" i="56"/>
  <c r="AT19" i="56"/>
  <c r="AS19" i="56"/>
  <c r="AR19" i="56"/>
  <c r="AQ19" i="56"/>
  <c r="AP19" i="56"/>
  <c r="AO19" i="56"/>
  <c r="AN19" i="56"/>
  <c r="AM19" i="56"/>
  <c r="AL19" i="56"/>
  <c r="AK19" i="56"/>
  <c r="AJ19" i="56"/>
  <c r="AI19" i="56"/>
  <c r="AH19" i="56"/>
  <c r="AG19" i="56"/>
  <c r="AF19" i="56"/>
  <c r="AE19" i="56"/>
  <c r="AD19" i="56"/>
  <c r="AC19" i="56"/>
  <c r="AB19" i="56"/>
  <c r="AA19" i="56"/>
  <c r="Z19" i="56"/>
  <c r="Y19" i="56"/>
  <c r="X19" i="56"/>
  <c r="W19" i="56"/>
  <c r="V19" i="56"/>
  <c r="U19" i="56"/>
  <c r="T19" i="56"/>
  <c r="S19" i="56"/>
  <c r="R19" i="56"/>
  <c r="Q19" i="56"/>
  <c r="P19" i="56"/>
  <c r="O19" i="56"/>
  <c r="N19" i="56"/>
  <c r="M19" i="56"/>
  <c r="L19" i="56"/>
  <c r="K19" i="56"/>
  <c r="J19" i="56"/>
  <c r="I19" i="56"/>
  <c r="H19" i="56"/>
  <c r="G19" i="56"/>
  <c r="F19" i="56"/>
  <c r="E19" i="56"/>
  <c r="D19" i="56"/>
  <c r="C19" i="56"/>
  <c r="B19" i="56"/>
  <c r="DQ18" i="56"/>
  <c r="DP18" i="56"/>
  <c r="DO18" i="56"/>
  <c r="DN18" i="56"/>
  <c r="DM18" i="56"/>
  <c r="DL18" i="56"/>
  <c r="DK18" i="56"/>
  <c r="DJ18" i="56"/>
  <c r="DI18" i="56"/>
  <c r="DH18" i="56"/>
  <c r="DG18" i="56"/>
  <c r="DF18" i="56"/>
  <c r="DE18" i="56"/>
  <c r="DD18" i="56"/>
  <c r="DC18" i="56"/>
  <c r="DB18" i="56"/>
  <c r="DA18" i="56"/>
  <c r="CZ18" i="56"/>
  <c r="CY18" i="56"/>
  <c r="CX18" i="56"/>
  <c r="CW18" i="56"/>
  <c r="CV18" i="56"/>
  <c r="CU18" i="56"/>
  <c r="CT18" i="56"/>
  <c r="CS18" i="56"/>
  <c r="CR18" i="56"/>
  <c r="CQ18" i="56"/>
  <c r="CP18" i="56"/>
  <c r="CO18" i="56"/>
  <c r="CN18" i="56"/>
  <c r="CM18" i="56"/>
  <c r="CL18" i="56"/>
  <c r="CK18" i="56"/>
  <c r="CJ18" i="56"/>
  <c r="CI18" i="56"/>
  <c r="CH18" i="56"/>
  <c r="CG18" i="56"/>
  <c r="CF18" i="56"/>
  <c r="CE18" i="56"/>
  <c r="CD18" i="56"/>
  <c r="CC18" i="56"/>
  <c r="CB18" i="56"/>
  <c r="CA18" i="56"/>
  <c r="BZ18" i="56"/>
  <c r="BY18" i="56"/>
  <c r="BX18" i="56"/>
  <c r="BW18" i="56"/>
  <c r="BV18" i="56"/>
  <c r="BU18" i="56"/>
  <c r="BT18" i="56"/>
  <c r="BS18" i="56"/>
  <c r="BR18" i="56"/>
  <c r="BQ18" i="56"/>
  <c r="BP18" i="56"/>
  <c r="BO18" i="56"/>
  <c r="BN18" i="56"/>
  <c r="BM18" i="56"/>
  <c r="BL18" i="56"/>
  <c r="BK18" i="56"/>
  <c r="BJ18" i="56"/>
  <c r="BI18" i="56"/>
  <c r="BH18" i="56"/>
  <c r="BG18" i="56"/>
  <c r="BF18" i="56"/>
  <c r="BE18" i="56"/>
  <c r="BD18" i="56"/>
  <c r="BC18" i="56"/>
  <c r="BB18" i="56"/>
  <c r="BA18" i="56"/>
  <c r="AZ18" i="56"/>
  <c r="AY18" i="56"/>
  <c r="AX18" i="56"/>
  <c r="AW18" i="56"/>
  <c r="AV18" i="56"/>
  <c r="AU18" i="56"/>
  <c r="AT18" i="56"/>
  <c r="AS18" i="56"/>
  <c r="AR18" i="56"/>
  <c r="AQ18" i="56"/>
  <c r="AP18" i="56"/>
  <c r="AO18" i="56"/>
  <c r="AN18" i="56"/>
  <c r="AM18" i="56"/>
  <c r="AL18" i="56"/>
  <c r="AK18" i="56"/>
  <c r="AJ18" i="56"/>
  <c r="AI18" i="56"/>
  <c r="AH18" i="56"/>
  <c r="AG18" i="56"/>
  <c r="AF18" i="56"/>
  <c r="AE18" i="56"/>
  <c r="AD18" i="56"/>
  <c r="AC18" i="56"/>
  <c r="AB18" i="56"/>
  <c r="AA18" i="56"/>
  <c r="Z18" i="56"/>
  <c r="Y18" i="56"/>
  <c r="X18" i="56"/>
  <c r="W18" i="56"/>
  <c r="V18" i="56"/>
  <c r="U18" i="56"/>
  <c r="T18" i="56"/>
  <c r="S18" i="56"/>
  <c r="R18" i="56"/>
  <c r="Q18" i="56"/>
  <c r="P18" i="56"/>
  <c r="O18" i="56"/>
  <c r="N18" i="56"/>
  <c r="M18" i="56"/>
  <c r="L18" i="56"/>
  <c r="K18" i="56"/>
  <c r="J18" i="56"/>
  <c r="I18" i="56"/>
  <c r="H18" i="56"/>
  <c r="G18" i="56"/>
  <c r="F18" i="56"/>
  <c r="E18" i="56"/>
  <c r="D18" i="56"/>
  <c r="C18" i="56"/>
  <c r="B18" i="56"/>
  <c r="DQ17" i="56"/>
  <c r="DP17" i="56"/>
  <c r="DO17" i="56"/>
  <c r="DN17" i="56"/>
  <c r="DM17" i="56"/>
  <c r="DL17" i="56"/>
  <c r="DK17" i="56"/>
  <c r="DJ17" i="56"/>
  <c r="DI17" i="56"/>
  <c r="DH17" i="56"/>
  <c r="DG17" i="56"/>
  <c r="DF17" i="56"/>
  <c r="DE17" i="56"/>
  <c r="DD17" i="56"/>
  <c r="DC17" i="56"/>
  <c r="DB17" i="56"/>
  <c r="DA17" i="56"/>
  <c r="CZ17" i="56"/>
  <c r="CY17" i="56"/>
  <c r="CX17" i="56"/>
  <c r="CW17" i="56"/>
  <c r="CV17" i="56"/>
  <c r="CU17" i="56"/>
  <c r="CT17" i="56"/>
  <c r="CS17" i="56"/>
  <c r="CR17" i="56"/>
  <c r="CQ17" i="56"/>
  <c r="CP17" i="56"/>
  <c r="CO17" i="56"/>
  <c r="CN17" i="56"/>
  <c r="CM17" i="56"/>
  <c r="CL17" i="56"/>
  <c r="CK17" i="56"/>
  <c r="CJ17" i="56"/>
  <c r="CI17" i="56"/>
  <c r="CH17" i="56"/>
  <c r="CG17" i="56"/>
  <c r="CF17" i="56"/>
  <c r="CE17" i="56"/>
  <c r="CD17" i="56"/>
  <c r="CC17" i="56"/>
  <c r="CB17" i="56"/>
  <c r="CA17" i="56"/>
  <c r="BZ17" i="56"/>
  <c r="BY17" i="56"/>
  <c r="BX17" i="56"/>
  <c r="BW17" i="56"/>
  <c r="BV17" i="56"/>
  <c r="BU17" i="56"/>
  <c r="BT17" i="56"/>
  <c r="BS17" i="56"/>
  <c r="BR17" i="56"/>
  <c r="BQ17" i="56"/>
  <c r="BP17" i="56"/>
  <c r="BO17" i="56"/>
  <c r="BN17" i="56"/>
  <c r="BM17" i="56"/>
  <c r="BL17" i="56"/>
  <c r="BK17" i="56"/>
  <c r="BJ17" i="56"/>
  <c r="BI17" i="56"/>
  <c r="BH17" i="56"/>
  <c r="BG17" i="56"/>
  <c r="BF17" i="56"/>
  <c r="BE17" i="56"/>
  <c r="BD17" i="56"/>
  <c r="BC17" i="56"/>
  <c r="BB17" i="56"/>
  <c r="BA17" i="56"/>
  <c r="AZ17" i="56"/>
  <c r="AY17" i="56"/>
  <c r="AX17" i="56"/>
  <c r="AW17" i="56"/>
  <c r="AV17" i="56"/>
  <c r="AU17" i="56"/>
  <c r="AT17" i="56"/>
  <c r="AS17" i="56"/>
  <c r="AR17" i="56"/>
  <c r="AQ17" i="56"/>
  <c r="AP17" i="56"/>
  <c r="AO17" i="56"/>
  <c r="AN17" i="56"/>
  <c r="AM17" i="56"/>
  <c r="AL17" i="56"/>
  <c r="AK17" i="56"/>
  <c r="AJ17" i="56"/>
  <c r="AI17" i="56"/>
  <c r="AH17" i="56"/>
  <c r="AG17" i="56"/>
  <c r="AF17" i="56"/>
  <c r="AE17" i="56"/>
  <c r="AD17" i="56"/>
  <c r="AC17" i="56"/>
  <c r="AB17" i="56"/>
  <c r="AA17" i="56"/>
  <c r="Z17" i="56"/>
  <c r="Y17" i="56"/>
  <c r="X17" i="56"/>
  <c r="W17" i="56"/>
  <c r="V17" i="56"/>
  <c r="U17" i="56"/>
  <c r="T17" i="56"/>
  <c r="S17" i="56"/>
  <c r="R17" i="56"/>
  <c r="Q17" i="56"/>
  <c r="P17" i="56"/>
  <c r="O17" i="56"/>
  <c r="N17" i="56"/>
  <c r="M17" i="56"/>
  <c r="L17" i="56"/>
  <c r="K17" i="56"/>
  <c r="J17" i="56"/>
  <c r="I17" i="56"/>
  <c r="H17" i="56"/>
  <c r="G17" i="56"/>
  <c r="F17" i="56"/>
  <c r="E17" i="56"/>
  <c r="D17" i="56"/>
  <c r="C17" i="56"/>
  <c r="B17" i="56"/>
  <c r="DQ16" i="56"/>
  <c r="DP16" i="56"/>
  <c r="DO16" i="56"/>
  <c r="DN16" i="56"/>
  <c r="DM16" i="56"/>
  <c r="DL16" i="56"/>
  <c r="DK16" i="56"/>
  <c r="DJ16" i="56"/>
  <c r="DI16" i="56"/>
  <c r="DH16" i="56"/>
  <c r="DG16" i="56"/>
  <c r="DF16" i="56"/>
  <c r="DE16" i="56"/>
  <c r="DD16" i="56"/>
  <c r="DC16" i="56"/>
  <c r="DB16" i="56"/>
  <c r="DA16" i="56"/>
  <c r="CZ16" i="56"/>
  <c r="CY16" i="56"/>
  <c r="CX16" i="56"/>
  <c r="CW16" i="56"/>
  <c r="CV16" i="56"/>
  <c r="CU16" i="56"/>
  <c r="CT16" i="56"/>
  <c r="CS16" i="56"/>
  <c r="CR16" i="56"/>
  <c r="CQ16" i="56"/>
  <c r="CP16" i="56"/>
  <c r="CO16" i="56"/>
  <c r="CN16" i="56"/>
  <c r="CM16" i="56"/>
  <c r="CL16" i="56"/>
  <c r="CK16" i="56"/>
  <c r="CJ16" i="56"/>
  <c r="CI16" i="56"/>
  <c r="CH16" i="56"/>
  <c r="CG16" i="56"/>
  <c r="CF16" i="56"/>
  <c r="CE16" i="56"/>
  <c r="CD16" i="56"/>
  <c r="CC16" i="56"/>
  <c r="CB16" i="56"/>
  <c r="CA16" i="56"/>
  <c r="BZ16" i="56"/>
  <c r="BY16" i="56"/>
  <c r="BX16" i="56"/>
  <c r="BW16" i="56"/>
  <c r="BV16" i="56"/>
  <c r="BU16" i="56"/>
  <c r="BT16" i="56"/>
  <c r="BS16" i="56"/>
  <c r="BR16" i="56"/>
  <c r="BQ16" i="56"/>
  <c r="BP16" i="56"/>
  <c r="BO16" i="56"/>
  <c r="BN16" i="56"/>
  <c r="BM16" i="56"/>
  <c r="BL16" i="56"/>
  <c r="BK16" i="56"/>
  <c r="BJ16" i="56"/>
  <c r="BI16" i="56"/>
  <c r="BH16" i="56"/>
  <c r="BG16" i="56"/>
  <c r="BF16" i="56"/>
  <c r="BE16" i="56"/>
  <c r="BD16" i="56"/>
  <c r="BC16" i="56"/>
  <c r="BB16" i="56"/>
  <c r="BA16" i="56"/>
  <c r="AZ16" i="56"/>
  <c r="AY16" i="56"/>
  <c r="AX16" i="56"/>
  <c r="AW16" i="56"/>
  <c r="AV16" i="56"/>
  <c r="AU16" i="56"/>
  <c r="AT16" i="56"/>
  <c r="AS16" i="56"/>
  <c r="AR16" i="56"/>
  <c r="AQ16" i="56"/>
  <c r="AP16" i="56"/>
  <c r="AO16" i="56"/>
  <c r="AN16" i="56"/>
  <c r="AM16" i="56"/>
  <c r="AL16" i="56"/>
  <c r="AK16" i="56"/>
  <c r="AJ16" i="56"/>
  <c r="AI16" i="56"/>
  <c r="AH16" i="56"/>
  <c r="AG16" i="56"/>
  <c r="AF16" i="56"/>
  <c r="AE16" i="56"/>
  <c r="AD16" i="56"/>
  <c r="AC16" i="56"/>
  <c r="AB16" i="56"/>
  <c r="AA16" i="56"/>
  <c r="Z16" i="56"/>
  <c r="Y16" i="56"/>
  <c r="X16" i="56"/>
  <c r="W16" i="56"/>
  <c r="V16" i="56"/>
  <c r="U16" i="56"/>
  <c r="T16" i="56"/>
  <c r="S16" i="56"/>
  <c r="R16" i="56"/>
  <c r="Q16" i="56"/>
  <c r="P16" i="56"/>
  <c r="O16" i="56"/>
  <c r="N16" i="56"/>
  <c r="M16" i="56"/>
  <c r="L16" i="56"/>
  <c r="K16" i="56"/>
  <c r="J16" i="56"/>
  <c r="I16" i="56"/>
  <c r="H16" i="56"/>
  <c r="G16" i="56"/>
  <c r="F16" i="56"/>
  <c r="E16" i="56"/>
  <c r="D16" i="56"/>
  <c r="C16" i="56"/>
  <c r="B16" i="56"/>
  <c r="DQ15" i="56"/>
  <c r="DP15" i="56"/>
  <c r="DO15" i="56"/>
  <c r="DN15" i="56"/>
  <c r="DM15" i="56"/>
  <c r="DL15" i="56"/>
  <c r="DK15" i="56"/>
  <c r="DJ15" i="56"/>
  <c r="DI15" i="56"/>
  <c r="DH15" i="56"/>
  <c r="DG15" i="56"/>
  <c r="DF15" i="56"/>
  <c r="DE15" i="56"/>
  <c r="DD15" i="56"/>
  <c r="DC15" i="56"/>
  <c r="DB15" i="56"/>
  <c r="DA15" i="56"/>
  <c r="CZ15" i="56"/>
  <c r="CY15" i="56"/>
  <c r="CX15" i="56"/>
  <c r="CW15" i="56"/>
  <c r="CV15" i="56"/>
  <c r="CU15" i="56"/>
  <c r="CT15" i="56"/>
  <c r="CS15" i="56"/>
  <c r="CR15" i="56"/>
  <c r="CQ15" i="56"/>
  <c r="CP15" i="56"/>
  <c r="CO15" i="56"/>
  <c r="CN15" i="56"/>
  <c r="CM15" i="56"/>
  <c r="CL15" i="56"/>
  <c r="CK15" i="56"/>
  <c r="CJ15" i="56"/>
  <c r="CI15" i="56"/>
  <c r="CH15" i="56"/>
  <c r="CG15" i="56"/>
  <c r="CF15" i="56"/>
  <c r="CE15" i="56"/>
  <c r="CD15" i="56"/>
  <c r="CC15" i="56"/>
  <c r="CB15" i="56"/>
  <c r="CA15" i="56"/>
  <c r="BZ15" i="56"/>
  <c r="BY15" i="56"/>
  <c r="BX15" i="56"/>
  <c r="BW15" i="56"/>
  <c r="BV15" i="56"/>
  <c r="BU15" i="56"/>
  <c r="BT15" i="56"/>
  <c r="BS15" i="56"/>
  <c r="BR15" i="56"/>
  <c r="BQ15" i="56"/>
  <c r="BP15" i="56"/>
  <c r="BO15" i="56"/>
  <c r="BN15" i="56"/>
  <c r="BM15" i="56"/>
  <c r="BL15" i="56"/>
  <c r="BK15" i="56"/>
  <c r="BJ15" i="56"/>
  <c r="BI15" i="56"/>
  <c r="BH15" i="56"/>
  <c r="BG15" i="56"/>
  <c r="BF15" i="56"/>
  <c r="BE15" i="56"/>
  <c r="BD15" i="56"/>
  <c r="BC15" i="56"/>
  <c r="BB15" i="56"/>
  <c r="BA15" i="56"/>
  <c r="AZ15" i="56"/>
  <c r="AY15" i="56"/>
  <c r="AX15" i="56"/>
  <c r="AW15" i="56"/>
  <c r="AV15" i="56"/>
  <c r="AU15" i="56"/>
  <c r="AT15" i="56"/>
  <c r="AS15" i="56"/>
  <c r="AR15" i="56"/>
  <c r="AQ15" i="56"/>
  <c r="AP15" i="56"/>
  <c r="AO15" i="56"/>
  <c r="AN15" i="56"/>
  <c r="AM15" i="56"/>
  <c r="AL15" i="56"/>
  <c r="AK15" i="56"/>
  <c r="AJ15" i="56"/>
  <c r="AI15" i="56"/>
  <c r="AH15" i="56"/>
  <c r="AG15" i="56"/>
  <c r="AF15" i="56"/>
  <c r="AE15" i="56"/>
  <c r="AD15" i="56"/>
  <c r="AC15" i="56"/>
  <c r="AB15" i="56"/>
  <c r="AA15" i="56"/>
  <c r="Z15" i="56"/>
  <c r="Y15" i="56"/>
  <c r="X15" i="56"/>
  <c r="W15" i="56"/>
  <c r="V15" i="56"/>
  <c r="U15" i="56"/>
  <c r="T15" i="56"/>
  <c r="S15" i="56"/>
  <c r="R15" i="56"/>
  <c r="Q15" i="56"/>
  <c r="P15" i="56"/>
  <c r="O15" i="56"/>
  <c r="N15" i="56"/>
  <c r="M15" i="56"/>
  <c r="L15" i="56"/>
  <c r="K15" i="56"/>
  <c r="J15" i="56"/>
  <c r="I15" i="56"/>
  <c r="H15" i="56"/>
  <c r="G15" i="56"/>
  <c r="F15" i="56"/>
  <c r="E15" i="56"/>
  <c r="D15" i="56"/>
  <c r="C15" i="56"/>
  <c r="B15" i="56"/>
  <c r="DQ14" i="56"/>
  <c r="DP14" i="56"/>
  <c r="DO14" i="56"/>
  <c r="DN14" i="56"/>
  <c r="DM14" i="56"/>
  <c r="DL14" i="56"/>
  <c r="DK14" i="56"/>
  <c r="DJ14" i="56"/>
  <c r="DI14" i="56"/>
  <c r="DH14" i="56"/>
  <c r="DG14" i="56"/>
  <c r="DF14" i="56"/>
  <c r="DE14" i="56"/>
  <c r="DD14" i="56"/>
  <c r="DC14" i="56"/>
  <c r="DB14" i="56"/>
  <c r="DA14" i="56"/>
  <c r="CZ14" i="56"/>
  <c r="CY14" i="56"/>
  <c r="CX14" i="56"/>
  <c r="CW14" i="56"/>
  <c r="CV14" i="56"/>
  <c r="CU14" i="56"/>
  <c r="CT14" i="56"/>
  <c r="CS14" i="56"/>
  <c r="CR14" i="56"/>
  <c r="CQ14" i="56"/>
  <c r="CP14" i="56"/>
  <c r="CO14" i="56"/>
  <c r="CN14" i="56"/>
  <c r="CM14" i="56"/>
  <c r="CL14" i="56"/>
  <c r="CK14" i="56"/>
  <c r="CJ14" i="56"/>
  <c r="CI14" i="56"/>
  <c r="CH14" i="56"/>
  <c r="CG14" i="56"/>
  <c r="CF14" i="56"/>
  <c r="CE14" i="56"/>
  <c r="CD14" i="56"/>
  <c r="CC14" i="56"/>
  <c r="CB14" i="56"/>
  <c r="CA14" i="56"/>
  <c r="BZ14" i="56"/>
  <c r="BY14" i="56"/>
  <c r="BX14" i="56"/>
  <c r="BW14" i="56"/>
  <c r="BV14" i="56"/>
  <c r="BU14" i="56"/>
  <c r="BT14" i="56"/>
  <c r="BS14" i="56"/>
  <c r="BR14" i="56"/>
  <c r="BQ14" i="56"/>
  <c r="BP14" i="56"/>
  <c r="BO14" i="56"/>
  <c r="BN14" i="56"/>
  <c r="BM14" i="56"/>
  <c r="BL14" i="56"/>
  <c r="BK14" i="56"/>
  <c r="BJ14" i="56"/>
  <c r="BI14" i="56"/>
  <c r="BH14" i="56"/>
  <c r="BG14" i="56"/>
  <c r="BF14" i="56"/>
  <c r="BE14" i="56"/>
  <c r="BD14" i="56"/>
  <c r="BC14" i="56"/>
  <c r="BB14" i="56"/>
  <c r="BA14" i="56"/>
  <c r="AZ14" i="56"/>
  <c r="AY14" i="56"/>
  <c r="AX14" i="56"/>
  <c r="AW14" i="56"/>
  <c r="AV14" i="56"/>
  <c r="AU14" i="56"/>
  <c r="AT14" i="56"/>
  <c r="AS14" i="56"/>
  <c r="AR14" i="56"/>
  <c r="AQ14" i="56"/>
  <c r="AP14" i="56"/>
  <c r="AO14" i="56"/>
  <c r="AN14" i="56"/>
  <c r="AM14" i="56"/>
  <c r="AL14" i="56"/>
  <c r="AK14" i="56"/>
  <c r="AJ14" i="56"/>
  <c r="AI14" i="56"/>
  <c r="AH14" i="56"/>
  <c r="AG14" i="56"/>
  <c r="AF14" i="56"/>
  <c r="AE14" i="56"/>
  <c r="AD14" i="56"/>
  <c r="AC14" i="56"/>
  <c r="AB14" i="56"/>
  <c r="AA14" i="56"/>
  <c r="Z14" i="56"/>
  <c r="Y14" i="56"/>
  <c r="X14" i="56"/>
  <c r="W14" i="56"/>
  <c r="V14" i="56"/>
  <c r="U14" i="56"/>
  <c r="T14" i="56"/>
  <c r="S14" i="56"/>
  <c r="R14" i="56"/>
  <c r="Q14" i="56"/>
  <c r="P14" i="56"/>
  <c r="O14" i="56"/>
  <c r="N14" i="56"/>
  <c r="M14" i="56"/>
  <c r="L14" i="56"/>
  <c r="K14" i="56"/>
  <c r="J14" i="56"/>
  <c r="I14" i="56"/>
  <c r="H14" i="56"/>
  <c r="G14" i="56"/>
  <c r="F14" i="56"/>
  <c r="E14" i="56"/>
  <c r="D14" i="56"/>
  <c r="C14" i="56"/>
  <c r="B14" i="56"/>
  <c r="DQ13" i="56"/>
  <c r="DP13" i="56"/>
  <c r="DO13" i="56"/>
  <c r="DN13" i="56"/>
  <c r="DM13" i="56"/>
  <c r="DL13" i="56"/>
  <c r="DK13" i="56"/>
  <c r="DJ13" i="56"/>
  <c r="DI13" i="56"/>
  <c r="DH13" i="56"/>
  <c r="DG13" i="56"/>
  <c r="DF13" i="56"/>
  <c r="DE13" i="56"/>
  <c r="DD13" i="56"/>
  <c r="DC13" i="56"/>
  <c r="DB13" i="56"/>
  <c r="DA13" i="56"/>
  <c r="CZ13" i="56"/>
  <c r="CY13" i="56"/>
  <c r="CX13" i="56"/>
  <c r="CW13" i="56"/>
  <c r="CV13" i="56"/>
  <c r="CU13" i="56"/>
  <c r="CT13" i="56"/>
  <c r="CS13" i="56"/>
  <c r="CR13" i="56"/>
  <c r="CQ13" i="56"/>
  <c r="CP13" i="56"/>
  <c r="CO13" i="56"/>
  <c r="CN13" i="56"/>
  <c r="CM13" i="56"/>
  <c r="CL13" i="56"/>
  <c r="CK13" i="56"/>
  <c r="CJ13" i="56"/>
  <c r="CI13" i="56"/>
  <c r="CH13" i="56"/>
  <c r="CG13" i="56"/>
  <c r="CF13" i="56"/>
  <c r="CE13" i="56"/>
  <c r="CD13" i="56"/>
  <c r="CC13" i="56"/>
  <c r="CB13" i="56"/>
  <c r="CA13" i="56"/>
  <c r="BZ13" i="56"/>
  <c r="BY13" i="56"/>
  <c r="BX13" i="56"/>
  <c r="BW13" i="56"/>
  <c r="BV13" i="56"/>
  <c r="BU13" i="56"/>
  <c r="BT13" i="56"/>
  <c r="BS13" i="56"/>
  <c r="BR13" i="56"/>
  <c r="BQ13" i="56"/>
  <c r="BP13" i="56"/>
  <c r="BO13" i="56"/>
  <c r="BN13" i="56"/>
  <c r="BM13" i="56"/>
  <c r="BL13" i="56"/>
  <c r="BK13" i="56"/>
  <c r="BJ13" i="56"/>
  <c r="BI13" i="56"/>
  <c r="BH13" i="56"/>
  <c r="BG13" i="56"/>
  <c r="BF13" i="56"/>
  <c r="BE13" i="56"/>
  <c r="BD13" i="56"/>
  <c r="BC13" i="56"/>
  <c r="BB13" i="56"/>
  <c r="BA13" i="56"/>
  <c r="AZ13" i="56"/>
  <c r="AY13" i="56"/>
  <c r="AX13" i="56"/>
  <c r="AW13" i="56"/>
  <c r="AV13" i="56"/>
  <c r="AU13" i="56"/>
  <c r="AT13" i="56"/>
  <c r="AS13" i="56"/>
  <c r="AR13" i="56"/>
  <c r="AQ13" i="56"/>
  <c r="AP13" i="56"/>
  <c r="AO13" i="56"/>
  <c r="AN13" i="56"/>
  <c r="AM13" i="56"/>
  <c r="AL13" i="56"/>
  <c r="AK13" i="56"/>
  <c r="AJ13" i="56"/>
  <c r="AI13" i="56"/>
  <c r="AH13" i="56"/>
  <c r="AG13" i="56"/>
  <c r="AF13" i="56"/>
  <c r="AE13" i="56"/>
  <c r="AD13" i="56"/>
  <c r="AC13" i="56"/>
  <c r="AB13" i="56"/>
  <c r="AA13" i="56"/>
  <c r="Z13" i="56"/>
  <c r="Y13" i="56"/>
  <c r="X13" i="56"/>
  <c r="W13" i="56"/>
  <c r="V13" i="56"/>
  <c r="U13" i="56"/>
  <c r="T13" i="56"/>
  <c r="S13" i="56"/>
  <c r="R13" i="56"/>
  <c r="Q13" i="56"/>
  <c r="P13" i="56"/>
  <c r="O13" i="56"/>
  <c r="N13" i="56"/>
  <c r="M13" i="56"/>
  <c r="L13" i="56"/>
  <c r="K13" i="56"/>
  <c r="J13" i="56"/>
  <c r="I13" i="56"/>
  <c r="H13" i="56"/>
  <c r="G13" i="56"/>
  <c r="F13" i="56"/>
  <c r="E13" i="56"/>
  <c r="D13" i="56"/>
  <c r="C13" i="56"/>
  <c r="B13" i="56"/>
  <c r="DQ12" i="56"/>
  <c r="DP12" i="56"/>
  <c r="DO12" i="56"/>
  <c r="DN12" i="56"/>
  <c r="DM12" i="56"/>
  <c r="DL12" i="56"/>
  <c r="DK12" i="56"/>
  <c r="DJ12" i="56"/>
  <c r="DI12" i="56"/>
  <c r="DH12" i="56"/>
  <c r="DG12" i="56"/>
  <c r="DF12" i="56"/>
  <c r="DE12" i="56"/>
  <c r="DD12" i="56"/>
  <c r="DC12" i="56"/>
  <c r="DB12" i="56"/>
  <c r="DA12" i="56"/>
  <c r="CZ12" i="56"/>
  <c r="CY12" i="56"/>
  <c r="CX12" i="56"/>
  <c r="CW12" i="56"/>
  <c r="CV12" i="56"/>
  <c r="CU12" i="56"/>
  <c r="CT12" i="56"/>
  <c r="CS12" i="56"/>
  <c r="CR12" i="56"/>
  <c r="CQ12" i="56"/>
  <c r="CP12" i="56"/>
  <c r="CO12" i="56"/>
  <c r="CN12" i="56"/>
  <c r="CM12" i="56"/>
  <c r="CL12" i="56"/>
  <c r="CK12" i="56"/>
  <c r="CJ12" i="56"/>
  <c r="CI12" i="56"/>
  <c r="CH12" i="56"/>
  <c r="CG12" i="56"/>
  <c r="CF12" i="56"/>
  <c r="CE12" i="56"/>
  <c r="CD12" i="56"/>
  <c r="CC12" i="56"/>
  <c r="CB12" i="56"/>
  <c r="CA12" i="56"/>
  <c r="BZ12" i="56"/>
  <c r="BY12" i="56"/>
  <c r="BX12" i="56"/>
  <c r="BW12" i="56"/>
  <c r="BV12" i="56"/>
  <c r="BU12" i="56"/>
  <c r="BT12" i="56"/>
  <c r="BS12" i="56"/>
  <c r="BR12" i="56"/>
  <c r="BQ12" i="56"/>
  <c r="BP12" i="56"/>
  <c r="BO12" i="56"/>
  <c r="BN12" i="56"/>
  <c r="BM12" i="56"/>
  <c r="BL12" i="56"/>
  <c r="BK12" i="56"/>
  <c r="BJ12" i="56"/>
  <c r="BI12" i="56"/>
  <c r="BH12" i="56"/>
  <c r="BG12" i="56"/>
  <c r="BF12" i="56"/>
  <c r="BE12" i="56"/>
  <c r="BD12" i="56"/>
  <c r="BC12" i="56"/>
  <c r="BB12" i="56"/>
  <c r="BA12" i="56"/>
  <c r="AZ12" i="56"/>
  <c r="AY12" i="56"/>
  <c r="AX12" i="56"/>
  <c r="AW12" i="56"/>
  <c r="AV12" i="56"/>
  <c r="AU12" i="56"/>
  <c r="AT12" i="56"/>
  <c r="AS12" i="56"/>
  <c r="AR12" i="56"/>
  <c r="AQ12" i="56"/>
  <c r="AP12" i="56"/>
  <c r="AO12" i="56"/>
  <c r="AN12" i="56"/>
  <c r="AM12" i="56"/>
  <c r="AL12" i="56"/>
  <c r="AK12" i="56"/>
  <c r="AJ12" i="56"/>
  <c r="AI12" i="56"/>
  <c r="AH12" i="56"/>
  <c r="AG12" i="56"/>
  <c r="AF12" i="56"/>
  <c r="AE12" i="56"/>
  <c r="AD12" i="56"/>
  <c r="AC12" i="56"/>
  <c r="AB12" i="56"/>
  <c r="AA12" i="56"/>
  <c r="Z12" i="56"/>
  <c r="Y12" i="56"/>
  <c r="X12" i="56"/>
  <c r="W12" i="56"/>
  <c r="V12" i="56"/>
  <c r="U12" i="56"/>
  <c r="T12" i="56"/>
  <c r="S12" i="56"/>
  <c r="R12" i="56"/>
  <c r="Q12" i="56"/>
  <c r="P12" i="56"/>
  <c r="O12" i="56"/>
  <c r="N12" i="56"/>
  <c r="M12" i="56"/>
  <c r="L12" i="56"/>
  <c r="K12" i="56"/>
  <c r="J12" i="56"/>
  <c r="I12" i="56"/>
  <c r="H12" i="56"/>
  <c r="G12" i="56"/>
  <c r="F12" i="56"/>
  <c r="E12" i="56"/>
  <c r="D12" i="56"/>
  <c r="C12" i="56"/>
  <c r="B12" i="56"/>
  <c r="DQ11" i="56"/>
  <c r="DP11" i="56"/>
  <c r="DO11" i="56"/>
  <c r="DN11" i="56"/>
  <c r="DM11" i="56"/>
  <c r="DL11" i="56"/>
  <c r="DK11" i="56"/>
  <c r="DJ11" i="56"/>
  <c r="DI11" i="56"/>
  <c r="DH11" i="56"/>
  <c r="DG11" i="56"/>
  <c r="DF11" i="56"/>
  <c r="DE11" i="56"/>
  <c r="DD11" i="56"/>
  <c r="DC11" i="56"/>
  <c r="DB11" i="56"/>
  <c r="DA11" i="56"/>
  <c r="CZ11" i="56"/>
  <c r="CY11" i="56"/>
  <c r="CX11" i="56"/>
  <c r="CW11" i="56"/>
  <c r="CV11" i="56"/>
  <c r="CU11" i="56"/>
  <c r="CT11" i="56"/>
  <c r="CS11" i="56"/>
  <c r="CR11" i="56"/>
  <c r="CQ11" i="56"/>
  <c r="CP11" i="56"/>
  <c r="CO11" i="56"/>
  <c r="CN11" i="56"/>
  <c r="CM11" i="56"/>
  <c r="CL11" i="56"/>
  <c r="CK11" i="56"/>
  <c r="CJ11" i="56"/>
  <c r="CI11" i="56"/>
  <c r="CH11" i="56"/>
  <c r="CG11" i="56"/>
  <c r="CF11" i="56"/>
  <c r="CE11" i="56"/>
  <c r="CD11" i="56"/>
  <c r="CC11" i="56"/>
  <c r="CB11" i="56"/>
  <c r="CA11" i="56"/>
  <c r="BZ11" i="56"/>
  <c r="BY11" i="56"/>
  <c r="BX11" i="56"/>
  <c r="BW11" i="56"/>
  <c r="BV11" i="56"/>
  <c r="BU11" i="56"/>
  <c r="BT11" i="56"/>
  <c r="BS11" i="56"/>
  <c r="BR11" i="56"/>
  <c r="BQ11" i="56"/>
  <c r="BP11" i="56"/>
  <c r="BO11" i="56"/>
  <c r="BN11" i="56"/>
  <c r="BM11" i="56"/>
  <c r="BL11" i="56"/>
  <c r="BK11" i="56"/>
  <c r="BJ11" i="56"/>
  <c r="BI11" i="56"/>
  <c r="BH11" i="56"/>
  <c r="BG11" i="56"/>
  <c r="BF11" i="56"/>
  <c r="BE11" i="56"/>
  <c r="BD11" i="56"/>
  <c r="BC11" i="56"/>
  <c r="BB11" i="56"/>
  <c r="BA11" i="56"/>
  <c r="AZ11" i="56"/>
  <c r="AY11" i="56"/>
  <c r="AX11" i="56"/>
  <c r="AW11" i="56"/>
  <c r="AV11" i="56"/>
  <c r="AU11" i="56"/>
  <c r="AT11" i="56"/>
  <c r="AS11" i="56"/>
  <c r="AR11" i="56"/>
  <c r="AQ11" i="56"/>
  <c r="AP11" i="56"/>
  <c r="AO11" i="56"/>
  <c r="AN11" i="56"/>
  <c r="AM11" i="56"/>
  <c r="AL11" i="56"/>
  <c r="AK11" i="56"/>
  <c r="AJ11" i="56"/>
  <c r="AI11" i="56"/>
  <c r="AH11" i="56"/>
  <c r="AG11" i="56"/>
  <c r="AF11" i="56"/>
  <c r="AE11" i="56"/>
  <c r="AD11" i="56"/>
  <c r="AC11" i="56"/>
  <c r="AB11" i="56"/>
  <c r="AA11" i="56"/>
  <c r="Z11" i="56"/>
  <c r="Y11" i="56"/>
  <c r="X11" i="56"/>
  <c r="W11" i="56"/>
  <c r="V11" i="56"/>
  <c r="U11" i="56"/>
  <c r="T11" i="56"/>
  <c r="S11" i="56"/>
  <c r="R11" i="56"/>
  <c r="Q11" i="56"/>
  <c r="P11" i="56"/>
  <c r="O11" i="56"/>
  <c r="N11" i="56"/>
  <c r="M11" i="56"/>
  <c r="L11" i="56"/>
  <c r="K11" i="56"/>
  <c r="J11" i="56"/>
  <c r="I11" i="56"/>
  <c r="H11" i="56"/>
  <c r="G11" i="56"/>
  <c r="F11" i="56"/>
  <c r="E11" i="56"/>
  <c r="D11" i="56"/>
  <c r="C11" i="56"/>
  <c r="B11" i="56"/>
  <c r="DQ10" i="56"/>
  <c r="DP10" i="56"/>
  <c r="DO10" i="56"/>
  <c r="DN10" i="56"/>
  <c r="DM10" i="56"/>
  <c r="DL10" i="56"/>
  <c r="DK10" i="56"/>
  <c r="DJ10" i="56"/>
  <c r="DI10" i="56"/>
  <c r="DH10" i="56"/>
  <c r="DG10" i="56"/>
  <c r="DF10" i="56"/>
  <c r="DE10" i="56"/>
  <c r="DD10" i="56"/>
  <c r="DC10" i="56"/>
  <c r="DB10" i="56"/>
  <c r="DA10" i="56"/>
  <c r="CZ10" i="56"/>
  <c r="CY10" i="56"/>
  <c r="CX10" i="56"/>
  <c r="CW10" i="56"/>
  <c r="CV10" i="56"/>
  <c r="CU10" i="56"/>
  <c r="CT10" i="56"/>
  <c r="CS10" i="56"/>
  <c r="CR10" i="56"/>
  <c r="CQ10" i="56"/>
  <c r="CP10" i="56"/>
  <c r="CO10" i="56"/>
  <c r="CN10" i="56"/>
  <c r="CM10" i="56"/>
  <c r="CL10" i="56"/>
  <c r="CK10" i="56"/>
  <c r="CJ10" i="56"/>
  <c r="CI10" i="56"/>
  <c r="CH10" i="56"/>
  <c r="CG10" i="56"/>
  <c r="CF10" i="56"/>
  <c r="CE10" i="56"/>
  <c r="CD10" i="56"/>
  <c r="CC10" i="56"/>
  <c r="CB10" i="56"/>
  <c r="CA10" i="56"/>
  <c r="BZ10" i="56"/>
  <c r="BY10" i="56"/>
  <c r="BX10" i="56"/>
  <c r="BW10" i="56"/>
  <c r="BV10" i="56"/>
  <c r="BU10" i="56"/>
  <c r="BT10" i="56"/>
  <c r="BS10" i="56"/>
  <c r="BR10" i="56"/>
  <c r="BQ10" i="56"/>
  <c r="BP10" i="56"/>
  <c r="BO10" i="56"/>
  <c r="BN10" i="56"/>
  <c r="BM10" i="56"/>
  <c r="BL10" i="56"/>
  <c r="BK10" i="56"/>
  <c r="BJ10" i="56"/>
  <c r="BI10" i="56"/>
  <c r="BH10" i="56"/>
  <c r="BG10" i="56"/>
  <c r="BF10" i="56"/>
  <c r="BE10" i="56"/>
  <c r="BD10" i="56"/>
  <c r="BC10" i="56"/>
  <c r="BB10" i="56"/>
  <c r="BA10" i="56"/>
  <c r="AZ10" i="56"/>
  <c r="AY10" i="56"/>
  <c r="AX10" i="56"/>
  <c r="AW10" i="56"/>
  <c r="AV10" i="56"/>
  <c r="AU10" i="56"/>
  <c r="AT10" i="56"/>
  <c r="AS10" i="56"/>
  <c r="AR10" i="56"/>
  <c r="AQ10" i="56"/>
  <c r="AP10" i="56"/>
  <c r="AO10" i="56"/>
  <c r="AN10" i="56"/>
  <c r="AM10" i="56"/>
  <c r="AL10" i="56"/>
  <c r="AK10" i="56"/>
  <c r="AJ10" i="56"/>
  <c r="AI10" i="56"/>
  <c r="AH10" i="56"/>
  <c r="AG10" i="56"/>
  <c r="AF10" i="56"/>
  <c r="AE10" i="56"/>
  <c r="AD10" i="56"/>
  <c r="AC10" i="56"/>
  <c r="AB10" i="56"/>
  <c r="AA10" i="56"/>
  <c r="Z10" i="56"/>
  <c r="Y10" i="56"/>
  <c r="X10" i="56"/>
  <c r="W10" i="56"/>
  <c r="V10" i="56"/>
  <c r="U10" i="56"/>
  <c r="T10" i="56"/>
  <c r="S10" i="56"/>
  <c r="R10" i="56"/>
  <c r="Q10" i="56"/>
  <c r="P10" i="56"/>
  <c r="O10" i="56"/>
  <c r="N10" i="56"/>
  <c r="M10" i="56"/>
  <c r="L10" i="56"/>
  <c r="K10" i="56"/>
  <c r="J10" i="56"/>
  <c r="I10" i="56"/>
  <c r="H10" i="56"/>
  <c r="G10" i="56"/>
  <c r="F10" i="56"/>
  <c r="E10" i="56"/>
  <c r="D10" i="56"/>
  <c r="C10" i="56"/>
  <c r="B10" i="56"/>
  <c r="DQ9" i="56"/>
  <c r="DP9" i="56"/>
  <c r="DO9" i="56"/>
  <c r="DN9" i="56"/>
  <c r="DM9" i="56"/>
  <c r="DL9" i="56"/>
  <c r="DK9" i="56"/>
  <c r="DJ9" i="56"/>
  <c r="DI9" i="56"/>
  <c r="DH9" i="56"/>
  <c r="DG9" i="56"/>
  <c r="DF9" i="56"/>
  <c r="DE9" i="56"/>
  <c r="DD9" i="56"/>
  <c r="DC9" i="56"/>
  <c r="DB9" i="56"/>
  <c r="DA9" i="56"/>
  <c r="CZ9" i="56"/>
  <c r="CY9" i="56"/>
  <c r="CX9" i="56"/>
  <c r="CW9" i="56"/>
  <c r="CV9" i="56"/>
  <c r="CU9" i="56"/>
  <c r="CT9" i="56"/>
  <c r="CS9" i="56"/>
  <c r="CR9" i="56"/>
  <c r="CQ9" i="56"/>
  <c r="CP9" i="56"/>
  <c r="CO9" i="56"/>
  <c r="CN9" i="56"/>
  <c r="CM9" i="56"/>
  <c r="CL9" i="56"/>
  <c r="CK9" i="56"/>
  <c r="CJ9" i="56"/>
  <c r="CI9" i="56"/>
  <c r="CH9" i="56"/>
  <c r="CG9" i="56"/>
  <c r="CF9" i="56"/>
  <c r="CE9" i="56"/>
  <c r="CD9" i="56"/>
  <c r="CC9" i="56"/>
  <c r="CB9" i="56"/>
  <c r="CA9" i="56"/>
  <c r="BZ9" i="56"/>
  <c r="BY9" i="56"/>
  <c r="BX9" i="56"/>
  <c r="BW9" i="56"/>
  <c r="BV9" i="56"/>
  <c r="BU9" i="56"/>
  <c r="BT9" i="56"/>
  <c r="BS9" i="56"/>
  <c r="BR9" i="56"/>
  <c r="BQ9" i="56"/>
  <c r="BP9" i="56"/>
  <c r="BO9" i="56"/>
  <c r="BN9" i="56"/>
  <c r="BM9" i="56"/>
  <c r="BL9" i="56"/>
  <c r="BK9" i="56"/>
  <c r="BJ9" i="56"/>
  <c r="BI9" i="56"/>
  <c r="BH9" i="56"/>
  <c r="BG9" i="56"/>
  <c r="BF9" i="56"/>
  <c r="BE9" i="56"/>
  <c r="BD9" i="56"/>
  <c r="BC9" i="56"/>
  <c r="BB9" i="56"/>
  <c r="BA9" i="56"/>
  <c r="AZ9" i="56"/>
  <c r="AY9" i="56"/>
  <c r="AX9" i="56"/>
  <c r="AW9" i="56"/>
  <c r="AV9" i="56"/>
  <c r="AU9" i="56"/>
  <c r="AT9" i="56"/>
  <c r="AS9" i="56"/>
  <c r="AR9" i="56"/>
  <c r="AQ9" i="56"/>
  <c r="AP9" i="56"/>
  <c r="AO9" i="56"/>
  <c r="AN9" i="56"/>
  <c r="AM9" i="56"/>
  <c r="AL9" i="56"/>
  <c r="AK9" i="56"/>
  <c r="AJ9" i="56"/>
  <c r="AI9" i="56"/>
  <c r="AH9" i="56"/>
  <c r="AG9" i="56"/>
  <c r="AF9" i="56"/>
  <c r="AE9" i="56"/>
  <c r="AD9" i="56"/>
  <c r="AC9" i="56"/>
  <c r="AB9" i="56"/>
  <c r="AA9" i="56"/>
  <c r="Z9" i="56"/>
  <c r="Y9" i="56"/>
  <c r="X9" i="56"/>
  <c r="W9" i="56"/>
  <c r="V9" i="56"/>
  <c r="U9" i="56"/>
  <c r="T9" i="56"/>
  <c r="S9" i="56"/>
  <c r="R9" i="56"/>
  <c r="Q9" i="56"/>
  <c r="P9" i="56"/>
  <c r="O9" i="56"/>
  <c r="N9" i="56"/>
  <c r="M9" i="56"/>
  <c r="L9" i="56"/>
  <c r="K9" i="56"/>
  <c r="J9" i="56"/>
  <c r="I9" i="56"/>
  <c r="H9" i="56"/>
  <c r="G9" i="56"/>
  <c r="F9" i="56"/>
  <c r="E9" i="56"/>
  <c r="D9" i="56"/>
  <c r="C9" i="56"/>
  <c r="B9" i="56"/>
  <c r="DQ8" i="56"/>
  <c r="DP8" i="56"/>
  <c r="DO8" i="56"/>
  <c r="DN8" i="56"/>
  <c r="DM8" i="56"/>
  <c r="DL8" i="56"/>
  <c r="DK8" i="56"/>
  <c r="DJ8" i="56"/>
  <c r="DI8" i="56"/>
  <c r="DH8" i="56"/>
  <c r="DG8" i="56"/>
  <c r="DF8" i="56"/>
  <c r="DE8" i="56"/>
  <c r="DD8" i="56"/>
  <c r="DC8" i="56"/>
  <c r="DB8" i="56"/>
  <c r="DA8" i="56"/>
  <c r="CZ8" i="56"/>
  <c r="CY8" i="56"/>
  <c r="CX8" i="56"/>
  <c r="CW8" i="56"/>
  <c r="CV8" i="56"/>
  <c r="CU8" i="56"/>
  <c r="CT8" i="56"/>
  <c r="CS8" i="56"/>
  <c r="CR8" i="56"/>
  <c r="CQ8" i="56"/>
  <c r="CP8" i="56"/>
  <c r="CO8" i="56"/>
  <c r="CN8" i="56"/>
  <c r="CM8" i="56"/>
  <c r="CL8" i="56"/>
  <c r="CK8" i="56"/>
  <c r="CJ8" i="56"/>
  <c r="CI8" i="56"/>
  <c r="CH8" i="56"/>
  <c r="CG8" i="56"/>
  <c r="CF8" i="56"/>
  <c r="CE8" i="56"/>
  <c r="CD8" i="56"/>
  <c r="CC8" i="56"/>
  <c r="CB8" i="56"/>
  <c r="CA8" i="56"/>
  <c r="BZ8" i="56"/>
  <c r="BY8" i="56"/>
  <c r="BX8" i="56"/>
  <c r="BW8" i="56"/>
  <c r="BV8" i="56"/>
  <c r="BU8" i="56"/>
  <c r="BT8" i="56"/>
  <c r="BS8" i="56"/>
  <c r="BR8" i="56"/>
  <c r="BQ8" i="56"/>
  <c r="BP8" i="56"/>
  <c r="BO8" i="56"/>
  <c r="BN8" i="56"/>
  <c r="BM8" i="56"/>
  <c r="BL8" i="56"/>
  <c r="BK8" i="56"/>
  <c r="BJ8" i="56"/>
  <c r="BI8" i="56"/>
  <c r="BH8" i="56"/>
  <c r="BG8" i="56"/>
  <c r="BF8" i="56"/>
  <c r="BE8" i="56"/>
  <c r="BD8" i="56"/>
  <c r="BC8" i="56"/>
  <c r="BB8" i="56"/>
  <c r="BA8" i="56"/>
  <c r="AZ8" i="56"/>
  <c r="AY8" i="56"/>
  <c r="AX8" i="56"/>
  <c r="AW8" i="56"/>
  <c r="AV8" i="56"/>
  <c r="AU8" i="56"/>
  <c r="AT8" i="56"/>
  <c r="AS8" i="56"/>
  <c r="AR8" i="56"/>
  <c r="AQ8" i="56"/>
  <c r="AP8" i="56"/>
  <c r="AO8" i="56"/>
  <c r="AN8" i="56"/>
  <c r="AM8" i="56"/>
  <c r="AL8" i="56"/>
  <c r="AK8" i="56"/>
  <c r="AJ8" i="56"/>
  <c r="AI8" i="56"/>
  <c r="AH8" i="56"/>
  <c r="AG8" i="56"/>
  <c r="AF8" i="56"/>
  <c r="AE8" i="56"/>
  <c r="AD8" i="56"/>
  <c r="AC8" i="56"/>
  <c r="AB8" i="56"/>
  <c r="AA8" i="56"/>
  <c r="Z8" i="56"/>
  <c r="Y8" i="56"/>
  <c r="X8" i="56"/>
  <c r="W8" i="56"/>
  <c r="V8" i="56"/>
  <c r="U8" i="56"/>
  <c r="T8" i="56"/>
  <c r="S8" i="56"/>
  <c r="R8" i="56"/>
  <c r="Q8" i="56"/>
  <c r="P8" i="56"/>
  <c r="O8" i="56"/>
  <c r="N8" i="56"/>
  <c r="M8" i="56"/>
  <c r="L8" i="56"/>
  <c r="K8" i="56"/>
  <c r="J8" i="56"/>
  <c r="I8" i="56"/>
  <c r="H8" i="56"/>
  <c r="G8" i="56"/>
  <c r="F8" i="56"/>
  <c r="E8" i="56"/>
  <c r="D8" i="56"/>
  <c r="C8" i="56"/>
  <c r="B8" i="56"/>
  <c r="DQ7" i="56"/>
  <c r="DP7" i="56"/>
  <c r="DO7" i="56"/>
  <c r="DN7" i="56"/>
  <c r="DM7" i="56"/>
  <c r="DL7" i="56"/>
  <c r="DK7" i="56"/>
  <c r="DJ7" i="56"/>
  <c r="DI7" i="56"/>
  <c r="DH7" i="56"/>
  <c r="DG7" i="56"/>
  <c r="DF7" i="56"/>
  <c r="DE7" i="56"/>
  <c r="DD7" i="56"/>
  <c r="DC7" i="56"/>
  <c r="DB7" i="56"/>
  <c r="DA7" i="56"/>
  <c r="CZ7" i="56"/>
  <c r="CY7" i="56"/>
  <c r="CX7" i="56"/>
  <c r="CW7" i="56"/>
  <c r="CV7" i="56"/>
  <c r="CU7" i="56"/>
  <c r="CT7" i="56"/>
  <c r="CS7" i="56"/>
  <c r="CR7" i="56"/>
  <c r="CQ7" i="56"/>
  <c r="CP7" i="56"/>
  <c r="CO7" i="56"/>
  <c r="CN7" i="56"/>
  <c r="CM7" i="56"/>
  <c r="CL7" i="56"/>
  <c r="CK7" i="56"/>
  <c r="CJ7" i="56"/>
  <c r="CI7" i="56"/>
  <c r="CH7" i="56"/>
  <c r="CG7" i="56"/>
  <c r="CF7" i="56"/>
  <c r="CE7" i="56"/>
  <c r="CD7" i="56"/>
  <c r="CC7" i="56"/>
  <c r="CB7" i="56"/>
  <c r="CA7" i="56"/>
  <c r="BZ7" i="56"/>
  <c r="BY7" i="56"/>
  <c r="BX7" i="56"/>
  <c r="BW7" i="56"/>
  <c r="BV7" i="56"/>
  <c r="BU7" i="56"/>
  <c r="BT7" i="56"/>
  <c r="BS7" i="56"/>
  <c r="BR7" i="56"/>
  <c r="BQ7" i="56"/>
  <c r="BP7" i="56"/>
  <c r="BO7" i="56"/>
  <c r="BN7" i="56"/>
  <c r="BM7" i="56"/>
  <c r="BL7" i="56"/>
  <c r="BK7" i="56"/>
  <c r="BJ7" i="56"/>
  <c r="BI7" i="56"/>
  <c r="BH7" i="56"/>
  <c r="BG7" i="56"/>
  <c r="BF7" i="56"/>
  <c r="BE7" i="56"/>
  <c r="BD7" i="56"/>
  <c r="BC7" i="56"/>
  <c r="BB7" i="56"/>
  <c r="BA7" i="56"/>
  <c r="AZ7" i="56"/>
  <c r="AY7" i="56"/>
  <c r="AX7" i="56"/>
  <c r="AW7" i="56"/>
  <c r="AV7" i="56"/>
  <c r="AU7" i="56"/>
  <c r="AT7" i="56"/>
  <c r="AS7" i="56"/>
  <c r="AR7" i="56"/>
  <c r="AQ7" i="56"/>
  <c r="AP7" i="56"/>
  <c r="AO7" i="56"/>
  <c r="AN7" i="56"/>
  <c r="AM7" i="56"/>
  <c r="AL7" i="56"/>
  <c r="AK7" i="56"/>
  <c r="AJ7" i="56"/>
  <c r="AI7" i="56"/>
  <c r="AH7" i="56"/>
  <c r="AG7" i="56"/>
  <c r="AF7" i="56"/>
  <c r="AE7" i="56"/>
  <c r="AD7" i="56"/>
  <c r="AC7" i="56"/>
  <c r="AB7" i="56"/>
  <c r="AA7" i="56"/>
  <c r="Z7" i="56"/>
  <c r="Y7" i="56"/>
  <c r="X7" i="56"/>
  <c r="W7" i="56"/>
  <c r="V7" i="56"/>
  <c r="U7" i="56"/>
  <c r="T7" i="56"/>
  <c r="S7" i="56"/>
  <c r="R7" i="56"/>
  <c r="Q7" i="56"/>
  <c r="P7" i="56"/>
  <c r="O7" i="56"/>
  <c r="N7" i="56"/>
  <c r="M7" i="56"/>
  <c r="L7" i="56"/>
  <c r="K7" i="56"/>
  <c r="J7" i="56"/>
  <c r="I7" i="56"/>
  <c r="H7" i="56"/>
  <c r="G7" i="56"/>
  <c r="F7" i="56"/>
  <c r="E7" i="56"/>
  <c r="D7" i="56"/>
  <c r="C7" i="56"/>
  <c r="B7" i="56"/>
  <c r="DQ6" i="56"/>
  <c r="DP6" i="56"/>
  <c r="DO6" i="56"/>
  <c r="DN6" i="56"/>
  <c r="DM6" i="56"/>
  <c r="DL6" i="56"/>
  <c r="DK6" i="56"/>
  <c r="DJ6" i="56"/>
  <c r="DI6" i="56"/>
  <c r="DH6" i="56"/>
  <c r="DG6" i="56"/>
  <c r="DF6" i="56"/>
  <c r="DE6" i="56"/>
  <c r="DD6" i="56"/>
  <c r="DC6" i="56"/>
  <c r="DB6" i="56"/>
  <c r="DA6" i="56"/>
  <c r="CZ6" i="56"/>
  <c r="CY6" i="56"/>
  <c r="CX6" i="56"/>
  <c r="CW6" i="56"/>
  <c r="CV6" i="56"/>
  <c r="CU6" i="56"/>
  <c r="CT6" i="56"/>
  <c r="CS6" i="56"/>
  <c r="CR6" i="56"/>
  <c r="CQ6" i="56"/>
  <c r="CP6" i="56"/>
  <c r="CO6" i="56"/>
  <c r="CN6" i="56"/>
  <c r="CM6" i="56"/>
  <c r="CL6" i="56"/>
  <c r="CK6" i="56"/>
  <c r="CJ6" i="56"/>
  <c r="CI6" i="56"/>
  <c r="CH6" i="56"/>
  <c r="CG6" i="56"/>
  <c r="CF6" i="56"/>
  <c r="CE6" i="56"/>
  <c r="CD6" i="56"/>
  <c r="CC6" i="56"/>
  <c r="CB6" i="56"/>
  <c r="CA6" i="56"/>
  <c r="BZ6" i="56"/>
  <c r="BY6" i="56"/>
  <c r="BX6" i="56"/>
  <c r="BW6" i="56"/>
  <c r="BV6" i="56"/>
  <c r="BU6" i="56"/>
  <c r="BT6" i="56"/>
  <c r="BS6" i="56"/>
  <c r="BR6" i="56"/>
  <c r="BQ6" i="56"/>
  <c r="BP6" i="56"/>
  <c r="BO6" i="56"/>
  <c r="BN6" i="56"/>
  <c r="BM6" i="56"/>
  <c r="BL6" i="56"/>
  <c r="BK6" i="56"/>
  <c r="BJ6" i="56"/>
  <c r="BI6" i="56"/>
  <c r="BH6" i="56"/>
  <c r="BG6" i="56"/>
  <c r="BF6" i="56"/>
  <c r="BE6" i="56"/>
  <c r="BD6" i="56"/>
  <c r="BC6" i="56"/>
  <c r="BB6" i="56"/>
  <c r="BA6" i="56"/>
  <c r="AZ6" i="56"/>
  <c r="AY6" i="56"/>
  <c r="AX6" i="56"/>
  <c r="AW6" i="56"/>
  <c r="AV6" i="56"/>
  <c r="AU6" i="56"/>
  <c r="AT6" i="56"/>
  <c r="AS6" i="56"/>
  <c r="AR6" i="56"/>
  <c r="AQ6" i="56"/>
  <c r="AP6" i="56"/>
  <c r="AO6" i="56"/>
  <c r="AN6" i="56"/>
  <c r="AM6" i="56"/>
  <c r="AL6" i="56"/>
  <c r="AK6" i="56"/>
  <c r="AJ6" i="56"/>
  <c r="AI6" i="56"/>
  <c r="AH6" i="56"/>
  <c r="AG6" i="56"/>
  <c r="AF6" i="56"/>
  <c r="AE6" i="56"/>
  <c r="AD6" i="56"/>
  <c r="AC6" i="56"/>
  <c r="AB6" i="56"/>
  <c r="AA6" i="56"/>
  <c r="Z6" i="56"/>
  <c r="Y6" i="56"/>
  <c r="X6" i="56"/>
  <c r="W6" i="56"/>
  <c r="V6" i="56"/>
  <c r="U6" i="56"/>
  <c r="T6" i="56"/>
  <c r="S6" i="56"/>
  <c r="R6" i="56"/>
  <c r="Q6" i="56"/>
  <c r="P6" i="56"/>
  <c r="O6" i="56"/>
  <c r="N6" i="56"/>
  <c r="M6" i="56"/>
  <c r="L6" i="56"/>
  <c r="K6" i="56"/>
  <c r="J6" i="56"/>
  <c r="I6" i="56"/>
  <c r="H6" i="56"/>
  <c r="G6" i="56"/>
  <c r="F6" i="56"/>
  <c r="E6" i="56"/>
  <c r="D6" i="56"/>
  <c r="C6" i="56"/>
  <c r="B6" i="56"/>
  <c r="DQ5" i="56"/>
  <c r="DP5" i="56"/>
  <c r="DO5" i="56"/>
  <c r="DN5" i="56"/>
  <c r="DM5" i="56"/>
  <c r="DL5" i="56"/>
  <c r="DK5" i="56"/>
  <c r="DJ5" i="56"/>
  <c r="DI5" i="56"/>
  <c r="DH5" i="56"/>
  <c r="DG5" i="56"/>
  <c r="DF5" i="56"/>
  <c r="DE5" i="56"/>
  <c r="DD5" i="56"/>
  <c r="DC5" i="56"/>
  <c r="DB5" i="56"/>
  <c r="DA5" i="56"/>
  <c r="CZ5" i="56"/>
  <c r="CY5" i="56"/>
  <c r="CX5" i="56"/>
  <c r="CW5" i="56"/>
  <c r="CV5" i="56"/>
  <c r="CU5" i="56"/>
  <c r="CT5" i="56"/>
  <c r="CS5" i="56"/>
  <c r="CR5" i="56"/>
  <c r="CQ5" i="56"/>
  <c r="CP5" i="56"/>
  <c r="CO5" i="56"/>
  <c r="CN5" i="56"/>
  <c r="CM5" i="56"/>
  <c r="CL5" i="56"/>
  <c r="CK5" i="56"/>
  <c r="CJ5" i="56"/>
  <c r="CI5" i="56"/>
  <c r="CH5" i="56"/>
  <c r="CG5" i="56"/>
  <c r="CF5" i="56"/>
  <c r="CE5" i="56"/>
  <c r="CD5" i="56"/>
  <c r="CC5" i="56"/>
  <c r="CB5" i="56"/>
  <c r="CA5" i="56"/>
  <c r="BZ5" i="56"/>
  <c r="BY5" i="56"/>
  <c r="BX5" i="56"/>
  <c r="BW5" i="56"/>
  <c r="BV5" i="56"/>
  <c r="BU5" i="56"/>
  <c r="BT5" i="56"/>
  <c r="BS5" i="56"/>
  <c r="BR5" i="56"/>
  <c r="BQ5" i="56"/>
  <c r="BP5" i="56"/>
  <c r="BO5" i="56"/>
  <c r="BN5" i="56"/>
  <c r="BM5" i="56"/>
  <c r="BL5" i="56"/>
  <c r="BK5" i="56"/>
  <c r="BJ5" i="56"/>
  <c r="BI5" i="56"/>
  <c r="BH5" i="56"/>
  <c r="BG5" i="56"/>
  <c r="BF5" i="56"/>
  <c r="BE5" i="56"/>
  <c r="BD5" i="56"/>
  <c r="BC5" i="56"/>
  <c r="BB5" i="56"/>
  <c r="BA5" i="56"/>
  <c r="AZ5" i="56"/>
  <c r="AY5" i="56"/>
  <c r="AX5" i="56"/>
  <c r="AW5" i="56"/>
  <c r="AV5" i="56"/>
  <c r="AU5" i="56"/>
  <c r="AT5" i="56"/>
  <c r="AS5" i="56"/>
  <c r="AR5" i="56"/>
  <c r="AQ5" i="56"/>
  <c r="AP5" i="56"/>
  <c r="AO5" i="56"/>
  <c r="AN5" i="56"/>
  <c r="AM5" i="56"/>
  <c r="AL5" i="56"/>
  <c r="AK5" i="56"/>
  <c r="AJ5" i="56"/>
  <c r="AI5" i="56"/>
  <c r="AH5" i="56"/>
  <c r="AG5" i="56"/>
  <c r="AF5" i="56"/>
  <c r="AE5" i="56"/>
  <c r="AD5" i="56"/>
  <c r="AC5" i="56"/>
  <c r="AB5" i="56"/>
  <c r="AA5" i="56"/>
  <c r="Z5" i="56"/>
  <c r="Y5" i="56"/>
  <c r="X5" i="56"/>
  <c r="W5" i="56"/>
  <c r="V5" i="56"/>
  <c r="U5" i="56"/>
  <c r="T5" i="56"/>
  <c r="S5" i="56"/>
  <c r="R5" i="56"/>
  <c r="Q5" i="56"/>
  <c r="P5" i="56"/>
  <c r="O5" i="56"/>
  <c r="N5" i="56"/>
  <c r="M5" i="56"/>
  <c r="L5" i="56"/>
  <c r="K5" i="56"/>
  <c r="J5" i="56"/>
  <c r="I5" i="56"/>
  <c r="H5" i="56"/>
  <c r="G5" i="56"/>
  <c r="F5" i="56"/>
  <c r="E5" i="56"/>
  <c r="D5" i="56"/>
  <c r="C5" i="56"/>
  <c r="B5" i="56"/>
  <c r="DQ4" i="56"/>
  <c r="DP4" i="56"/>
  <c r="DO4" i="56"/>
  <c r="DN4" i="56"/>
  <c r="DM4" i="56"/>
  <c r="DL4" i="56"/>
  <c r="DK4" i="56"/>
  <c r="DJ4" i="56"/>
  <c r="DI4" i="56"/>
  <c r="DH4" i="56"/>
  <c r="DG4" i="56"/>
  <c r="DF4" i="56"/>
  <c r="DE4" i="56"/>
  <c r="DD4" i="56"/>
  <c r="DC4" i="56"/>
  <c r="DB4" i="56"/>
  <c r="DA4" i="56"/>
  <c r="CZ4" i="56"/>
  <c r="CY4" i="56"/>
  <c r="CX4" i="56"/>
  <c r="CW4" i="56"/>
  <c r="CV4" i="56"/>
  <c r="CU4" i="56"/>
  <c r="CT4" i="56"/>
  <c r="CS4" i="56"/>
  <c r="CR4" i="56"/>
  <c r="CQ4" i="56"/>
  <c r="CP4" i="56"/>
  <c r="CO4" i="56"/>
  <c r="CN4" i="56"/>
  <c r="CM4" i="56"/>
  <c r="CL4" i="56"/>
  <c r="CK4" i="56"/>
  <c r="CJ4" i="56"/>
  <c r="CI4" i="56"/>
  <c r="CH4" i="56"/>
  <c r="CG4" i="56"/>
  <c r="CF4" i="56"/>
  <c r="CE4" i="56"/>
  <c r="CD4" i="56"/>
  <c r="CC4" i="56"/>
  <c r="CB4" i="56"/>
  <c r="CA4" i="56"/>
  <c r="BZ4" i="56"/>
  <c r="BY4" i="56"/>
  <c r="BX4" i="56"/>
  <c r="BW4" i="56"/>
  <c r="BV4" i="56"/>
  <c r="BU4" i="56"/>
  <c r="BT4" i="56"/>
  <c r="BS4" i="56"/>
  <c r="BR4" i="56"/>
  <c r="BQ4" i="56"/>
  <c r="BP4" i="56"/>
  <c r="BO4" i="56"/>
  <c r="BN4" i="56"/>
  <c r="BM4" i="56"/>
  <c r="BL4" i="56"/>
  <c r="BK4" i="56"/>
  <c r="BJ4" i="56"/>
  <c r="BI4" i="56"/>
  <c r="BH4" i="56"/>
  <c r="BG4" i="56"/>
  <c r="BF4" i="56"/>
  <c r="BE4" i="56"/>
  <c r="BD4" i="56"/>
  <c r="BC4" i="56"/>
  <c r="BB4" i="56"/>
  <c r="BA4" i="56"/>
  <c r="AZ4" i="56"/>
  <c r="AY4" i="56"/>
  <c r="AX4" i="56"/>
  <c r="AW4" i="56"/>
  <c r="AV4" i="56"/>
  <c r="AU4" i="56"/>
  <c r="AT4" i="56"/>
  <c r="AS4" i="56"/>
  <c r="AR4" i="56"/>
  <c r="AQ4" i="56"/>
  <c r="AP4" i="56"/>
  <c r="AO4" i="56"/>
  <c r="AN4" i="56"/>
  <c r="AM4" i="56"/>
  <c r="AL4" i="56"/>
  <c r="AK4" i="56"/>
  <c r="AJ4" i="56"/>
  <c r="AI4" i="56"/>
  <c r="AH4" i="56"/>
  <c r="AG4" i="56"/>
  <c r="AF4" i="56"/>
  <c r="AE4" i="56"/>
  <c r="AD4" i="56"/>
  <c r="AC4" i="56"/>
  <c r="AB4" i="56"/>
  <c r="AA4" i="56"/>
  <c r="Z4" i="56"/>
  <c r="Y4" i="56"/>
  <c r="X4" i="56"/>
  <c r="W4" i="56"/>
  <c r="V4" i="56"/>
  <c r="U4" i="56"/>
  <c r="T4" i="56"/>
  <c r="S4" i="56"/>
  <c r="R4" i="56"/>
  <c r="Q4" i="56"/>
  <c r="P4" i="56"/>
  <c r="O4" i="56"/>
  <c r="N4" i="56"/>
  <c r="M4" i="56"/>
  <c r="L4" i="56"/>
  <c r="K4" i="56"/>
  <c r="J4" i="56"/>
  <c r="I4" i="56"/>
  <c r="H4" i="56"/>
  <c r="G4" i="56"/>
  <c r="F4" i="56"/>
  <c r="E4" i="56"/>
  <c r="D4" i="56"/>
  <c r="C4" i="56"/>
  <c r="B4" i="56"/>
  <c r="DQ3" i="56"/>
  <c r="DP3" i="56"/>
  <c r="DO3" i="56"/>
  <c r="DN3" i="56"/>
  <c r="DM3" i="56"/>
  <c r="DL3" i="56"/>
  <c r="DK3" i="56"/>
  <c r="DJ3" i="56"/>
  <c r="DI3" i="56"/>
  <c r="DH3" i="56"/>
  <c r="DG3" i="56"/>
  <c r="DF3" i="56"/>
  <c r="DE3" i="56"/>
  <c r="DD3" i="56"/>
  <c r="DC3" i="56"/>
  <c r="DB3" i="56"/>
  <c r="DA3" i="56"/>
  <c r="CZ3" i="56"/>
  <c r="CY3" i="56"/>
  <c r="CX3" i="56"/>
  <c r="CW3" i="56"/>
  <c r="CV3" i="56"/>
  <c r="CU3" i="56"/>
  <c r="CT3" i="56"/>
  <c r="CS3" i="56"/>
  <c r="CR3" i="56"/>
  <c r="CQ3" i="56"/>
  <c r="CP3" i="56"/>
  <c r="CO3" i="56"/>
  <c r="CN3" i="56"/>
  <c r="CM3" i="56"/>
  <c r="CL3" i="56"/>
  <c r="CK3" i="56"/>
  <c r="CJ3" i="56"/>
  <c r="CI3" i="56"/>
  <c r="CH3" i="56"/>
  <c r="CG3" i="56"/>
  <c r="CF3" i="56"/>
  <c r="CE3" i="56"/>
  <c r="CD3" i="56"/>
  <c r="CC3" i="56"/>
  <c r="CB3" i="56"/>
  <c r="CA3" i="56"/>
  <c r="BZ3" i="56"/>
  <c r="BY3" i="56"/>
  <c r="BX3" i="56"/>
  <c r="BW3" i="56"/>
  <c r="BV3" i="56"/>
  <c r="BU3" i="56"/>
  <c r="BT3" i="56"/>
  <c r="BS3" i="56"/>
  <c r="BR3" i="56"/>
  <c r="BQ3" i="56"/>
  <c r="BP3" i="56"/>
  <c r="BO3" i="56"/>
  <c r="BN3" i="56"/>
  <c r="BM3" i="56"/>
  <c r="BL3" i="56"/>
  <c r="BK3" i="56"/>
  <c r="BJ3" i="56"/>
  <c r="BI3" i="56"/>
  <c r="BH3" i="56"/>
  <c r="BG3" i="56"/>
  <c r="BF3" i="56"/>
  <c r="BE3" i="56"/>
  <c r="BD3" i="56"/>
  <c r="BC3" i="56"/>
  <c r="BB3" i="56"/>
  <c r="BA3" i="56"/>
  <c r="AZ3" i="56"/>
  <c r="AY3" i="56"/>
  <c r="AX3" i="56"/>
  <c r="AW3" i="56"/>
  <c r="AV3" i="56"/>
  <c r="AU3" i="56"/>
  <c r="AT3" i="56"/>
  <c r="AS3" i="56"/>
  <c r="AR3" i="56"/>
  <c r="AQ3" i="56"/>
  <c r="AP3" i="56"/>
  <c r="AO3" i="56"/>
  <c r="AN3" i="56"/>
  <c r="AM3" i="56"/>
  <c r="AL3" i="56"/>
  <c r="AK3" i="56"/>
  <c r="AJ3" i="56"/>
  <c r="AI3" i="56"/>
  <c r="AH3" i="56"/>
  <c r="AG3" i="56"/>
  <c r="AF3" i="56"/>
  <c r="AE3" i="56"/>
  <c r="AD3" i="56"/>
  <c r="AC3" i="56"/>
  <c r="AB3" i="56"/>
  <c r="AA3" i="56"/>
  <c r="Z3" i="56"/>
  <c r="Y3" i="56"/>
  <c r="X3" i="56"/>
  <c r="W3" i="56"/>
  <c r="V3" i="56"/>
  <c r="U3" i="56"/>
  <c r="T3" i="56"/>
  <c r="S3" i="56"/>
  <c r="R3" i="56"/>
  <c r="Q3" i="56"/>
  <c r="P3" i="56"/>
  <c r="O3" i="56"/>
  <c r="N3" i="56"/>
  <c r="M3" i="56"/>
  <c r="L3" i="56"/>
  <c r="K3" i="56"/>
  <c r="J3" i="56"/>
  <c r="I3" i="56"/>
  <c r="H3" i="56"/>
  <c r="G3" i="56"/>
  <c r="F3" i="56"/>
  <c r="E3" i="56"/>
  <c r="D3" i="56"/>
  <c r="C3" i="56"/>
  <c r="B3" i="56"/>
  <c r="DJ1" i="56"/>
  <c r="DB1" i="56"/>
  <c r="CT1" i="56"/>
  <c r="CL1" i="56"/>
  <c r="CD1" i="56"/>
  <c r="BV1" i="56"/>
  <c r="BN1" i="56"/>
  <c r="BF1" i="56"/>
  <c r="AX1" i="56"/>
  <c r="AP1" i="56"/>
  <c r="AH1" i="56"/>
  <c r="Z1" i="56"/>
  <c r="R1" i="56"/>
  <c r="J1" i="56"/>
  <c r="B1" i="56"/>
  <c r="A1" i="56"/>
  <c r="E4" i="52" l="1"/>
  <c r="C13" i="32"/>
  <c r="N67" i="32" l="1"/>
  <c r="O47" i="29" l="1"/>
  <c r="O46" i="29"/>
  <c r="O45" i="29"/>
  <c r="O44" i="29"/>
  <c r="O43" i="29"/>
  <c r="O42" i="29"/>
  <c r="O41" i="29"/>
  <c r="K18" i="42" l="1"/>
  <c r="K17" i="42"/>
  <c r="K16" i="42"/>
  <c r="K15" i="42"/>
  <c r="K14" i="42"/>
  <c r="K18" i="43"/>
  <c r="K17" i="43"/>
  <c r="K16" i="43"/>
  <c r="K15" i="43"/>
  <c r="K14" i="43"/>
  <c r="K18" i="44"/>
  <c r="K17" i="44"/>
  <c r="K16" i="44"/>
  <c r="K15" i="44"/>
  <c r="K14" i="44"/>
  <c r="K18" i="45"/>
  <c r="K17" i="45"/>
  <c r="K16" i="45"/>
  <c r="K15" i="45"/>
  <c r="K14" i="45"/>
  <c r="K18" i="46"/>
  <c r="K17" i="46"/>
  <c r="K16" i="46"/>
  <c r="K15" i="46"/>
  <c r="K14" i="46"/>
  <c r="K18" i="47"/>
  <c r="K17" i="47"/>
  <c r="K16" i="47"/>
  <c r="K15" i="47"/>
  <c r="K14" i="47"/>
  <c r="K18" i="48"/>
  <c r="K17" i="48"/>
  <c r="K16" i="48"/>
  <c r="K15" i="48"/>
  <c r="K14" i="48"/>
  <c r="K18" i="49"/>
  <c r="K17" i="49"/>
  <c r="K16" i="49"/>
  <c r="K15" i="49"/>
  <c r="K14" i="49"/>
  <c r="K18" i="50"/>
  <c r="K17" i="50"/>
  <c r="K16" i="50"/>
  <c r="K15" i="50"/>
  <c r="K14" i="50"/>
  <c r="K18" i="41"/>
  <c r="K17" i="41"/>
  <c r="K16" i="41"/>
  <c r="K15" i="41"/>
  <c r="K14" i="41"/>
  <c r="K18" i="29"/>
  <c r="K17" i="29"/>
  <c r="K16" i="29"/>
  <c r="K15" i="29"/>
  <c r="K14" i="29"/>
  <c r="K18" i="33"/>
  <c r="K17" i="33"/>
  <c r="K16" i="33"/>
  <c r="K15" i="33"/>
  <c r="K14" i="33"/>
  <c r="K18" i="34"/>
  <c r="K17" i="34"/>
  <c r="K16" i="34"/>
  <c r="K15" i="34"/>
  <c r="K14" i="34"/>
  <c r="K18" i="35"/>
  <c r="K17" i="35"/>
  <c r="K16" i="35"/>
  <c r="K15" i="35"/>
  <c r="K14" i="35"/>
  <c r="K18" i="36"/>
  <c r="K17" i="36"/>
  <c r="K16" i="36"/>
  <c r="K15" i="36"/>
  <c r="K14" i="36"/>
  <c r="K18" i="37"/>
  <c r="K17" i="37"/>
  <c r="K16" i="37"/>
  <c r="K15" i="37"/>
  <c r="K14" i="37"/>
  <c r="K18" i="28"/>
  <c r="K17" i="28"/>
  <c r="K16" i="28"/>
  <c r="K15" i="28"/>
  <c r="K14" i="28"/>
  <c r="K18" i="11"/>
  <c r="K17" i="11"/>
  <c r="K16" i="11"/>
  <c r="K15" i="11"/>
  <c r="K14" i="11"/>
  <c r="K18" i="30"/>
  <c r="K17" i="30"/>
  <c r="K16" i="30"/>
  <c r="K15" i="30"/>
  <c r="K14" i="30"/>
  <c r="K18" i="38"/>
  <c r="K17" i="38"/>
  <c r="K16" i="38"/>
  <c r="K15" i="38"/>
  <c r="K14" i="38"/>
  <c r="K18" i="39"/>
  <c r="K17" i="39"/>
  <c r="K16" i="39"/>
  <c r="K15" i="39"/>
  <c r="K14" i="39"/>
  <c r="K18" i="31"/>
  <c r="K17" i="31"/>
  <c r="K16" i="31"/>
  <c r="K15" i="31"/>
  <c r="K14" i="31"/>
  <c r="K14" i="32"/>
  <c r="K15" i="32"/>
  <c r="K16" i="32"/>
  <c r="K17" i="32"/>
  <c r="K18" i="32"/>
  <c r="B18" i="32"/>
  <c r="C7" i="50" l="1"/>
  <c r="C6" i="50"/>
  <c r="C7" i="49"/>
  <c r="C6" i="49"/>
  <c r="C7" i="48"/>
  <c r="C6" i="48"/>
  <c r="C7" i="47"/>
  <c r="C6" i="47"/>
  <c r="C7" i="46"/>
  <c r="C6" i="46"/>
  <c r="C7" i="45"/>
  <c r="C6" i="45"/>
  <c r="C7" i="44"/>
  <c r="C6" i="44"/>
  <c r="C7" i="43"/>
  <c r="C6" i="43"/>
  <c r="C7" i="42"/>
  <c r="C6" i="42"/>
  <c r="C7" i="41"/>
  <c r="C6" i="41"/>
  <c r="C7" i="29"/>
  <c r="C6" i="29"/>
  <c r="C7" i="39"/>
  <c r="C6" i="39"/>
  <c r="C7" i="38"/>
  <c r="C6" i="38"/>
  <c r="C7" i="30"/>
  <c r="C6" i="30"/>
  <c r="C7" i="11"/>
  <c r="C6" i="11"/>
  <c r="C7" i="28"/>
  <c r="C6" i="28"/>
  <c r="C7" i="37"/>
  <c r="C6" i="37"/>
  <c r="C7" i="36"/>
  <c r="C6" i="36"/>
  <c r="C7" i="35"/>
  <c r="C6" i="35"/>
  <c r="C7" i="34"/>
  <c r="C6" i="34"/>
  <c r="C7" i="33"/>
  <c r="C6" i="33"/>
  <c r="C7" i="31"/>
  <c r="C6" i="31"/>
  <c r="C7" i="32"/>
  <c r="C6" i="32"/>
  <c r="F4" i="52" l="1"/>
  <c r="G4" i="52" s="1"/>
  <c r="H4" i="52" s="1"/>
  <c r="I4" i="52" s="1"/>
  <c r="J4" i="52" s="1"/>
  <c r="K4" i="52" s="1"/>
  <c r="L4" i="52" s="1"/>
  <c r="M4" i="52" s="1"/>
  <c r="N4" i="52" s="1"/>
  <c r="O4" i="52" s="1"/>
  <c r="P4" i="52" s="1"/>
  <c r="Q4" i="52" s="1"/>
  <c r="R4" i="52" s="1"/>
  <c r="A1" i="52" s="1"/>
  <c r="A58" i="52" l="1"/>
  <c r="Y18" i="29"/>
  <c r="X18" i="29"/>
  <c r="W18" i="29"/>
  <c r="V18" i="29"/>
  <c r="U18" i="29"/>
  <c r="T18" i="29"/>
  <c r="Y17" i="29"/>
  <c r="X17" i="29"/>
  <c r="W17" i="29"/>
  <c r="V17" i="29"/>
  <c r="U17" i="29"/>
  <c r="T17" i="29"/>
  <c r="Y16" i="29"/>
  <c r="X16" i="29"/>
  <c r="W16" i="29"/>
  <c r="V16" i="29"/>
  <c r="U16" i="29"/>
  <c r="T16" i="29"/>
  <c r="Y15" i="29"/>
  <c r="X15" i="29"/>
  <c r="W15" i="29"/>
  <c r="V15" i="29"/>
  <c r="U15" i="29"/>
  <c r="T15" i="29"/>
  <c r="Y14" i="29"/>
  <c r="X14" i="29"/>
  <c r="W14" i="29"/>
  <c r="V14" i="29"/>
  <c r="U14" i="29"/>
  <c r="T14" i="29"/>
  <c r="Y13" i="29"/>
  <c r="X13" i="29"/>
  <c r="W13" i="29"/>
  <c r="V13" i="29"/>
  <c r="U13" i="29"/>
  <c r="T13" i="29"/>
  <c r="W18" i="32"/>
  <c r="V18" i="32"/>
  <c r="U18" i="32"/>
  <c r="T18" i="32"/>
  <c r="S18" i="32"/>
  <c r="R18" i="32"/>
  <c r="W17" i="32"/>
  <c r="V17" i="32"/>
  <c r="U17" i="32"/>
  <c r="T17" i="32"/>
  <c r="S17" i="32"/>
  <c r="R17" i="32"/>
  <c r="W16" i="32"/>
  <c r="V16" i="32"/>
  <c r="U16" i="32"/>
  <c r="T16" i="32"/>
  <c r="S16" i="32"/>
  <c r="R16" i="32"/>
  <c r="W15" i="32"/>
  <c r="V15" i="32"/>
  <c r="U15" i="32"/>
  <c r="T15" i="32"/>
  <c r="S15" i="32"/>
  <c r="R15" i="32"/>
  <c r="O15" i="32" s="1"/>
  <c r="W14" i="32"/>
  <c r="V14" i="32"/>
  <c r="U14" i="32"/>
  <c r="T14" i="32"/>
  <c r="S14" i="32"/>
  <c r="R14" i="32"/>
  <c r="O14" i="32" s="1"/>
  <c r="W13" i="32"/>
  <c r="V13" i="32"/>
  <c r="U13" i="32"/>
  <c r="T13" i="32"/>
  <c r="S13" i="32"/>
  <c r="R13" i="32"/>
  <c r="W18" i="31"/>
  <c r="V18" i="31"/>
  <c r="U18" i="31"/>
  <c r="T18" i="31"/>
  <c r="S18" i="31"/>
  <c r="R18" i="31"/>
  <c r="W17" i="31"/>
  <c r="V17" i="31"/>
  <c r="U17" i="31"/>
  <c r="T17" i="31"/>
  <c r="S17" i="31"/>
  <c r="R17" i="31"/>
  <c r="W16" i="31"/>
  <c r="V16" i="31"/>
  <c r="U16" i="31"/>
  <c r="T16" i="31"/>
  <c r="S16" i="31"/>
  <c r="R16" i="31"/>
  <c r="W15" i="31"/>
  <c r="V15" i="31"/>
  <c r="U15" i="31"/>
  <c r="T15" i="31"/>
  <c r="S15" i="31"/>
  <c r="R15" i="31"/>
  <c r="W14" i="31"/>
  <c r="V14" i="31"/>
  <c r="U14" i="31"/>
  <c r="T14" i="31"/>
  <c r="S14" i="31"/>
  <c r="R14" i="31"/>
  <c r="W13" i="31"/>
  <c r="V13" i="31"/>
  <c r="U13" i="31"/>
  <c r="T13" i="31"/>
  <c r="S13" i="31"/>
  <c r="R13" i="31"/>
  <c r="W18" i="33"/>
  <c r="V18" i="33"/>
  <c r="U18" i="33"/>
  <c r="T18" i="33"/>
  <c r="S18" i="33"/>
  <c r="R18" i="33"/>
  <c r="W17" i="33"/>
  <c r="V17" i="33"/>
  <c r="U17" i="33"/>
  <c r="T17" i="33"/>
  <c r="S17" i="33"/>
  <c r="R17" i="33"/>
  <c r="W16" i="33"/>
  <c r="V16" i="33"/>
  <c r="U16" i="33"/>
  <c r="T16" i="33"/>
  <c r="S16" i="33"/>
  <c r="R16" i="33"/>
  <c r="W15" i="33"/>
  <c r="V15" i="33"/>
  <c r="U15" i="33"/>
  <c r="T15" i="33"/>
  <c r="S15" i="33"/>
  <c r="R15" i="33"/>
  <c r="W14" i="33"/>
  <c r="V14" i="33"/>
  <c r="U14" i="33"/>
  <c r="T14" i="33"/>
  <c r="S14" i="33"/>
  <c r="R14" i="33"/>
  <c r="W13" i="33"/>
  <c r="V13" i="33"/>
  <c r="U13" i="33"/>
  <c r="T13" i="33"/>
  <c r="S13" i="33"/>
  <c r="R13" i="33"/>
  <c r="W18" i="34"/>
  <c r="V18" i="34"/>
  <c r="U18" i="34"/>
  <c r="T18" i="34"/>
  <c r="U41" i="34" s="1"/>
  <c r="S18" i="34"/>
  <c r="T41" i="34" s="1"/>
  <c r="R18" i="34"/>
  <c r="S41" i="34" s="1"/>
  <c r="W17" i="34"/>
  <c r="V17" i="34"/>
  <c r="U17" i="34"/>
  <c r="T17" i="34"/>
  <c r="S17" i="34"/>
  <c r="R17" i="34"/>
  <c r="W16" i="34"/>
  <c r="V16" i="34"/>
  <c r="U16" i="34"/>
  <c r="T16" i="34"/>
  <c r="S16" i="34"/>
  <c r="R16" i="34"/>
  <c r="W15" i="34"/>
  <c r="V15" i="34"/>
  <c r="U15" i="34"/>
  <c r="T15" i="34"/>
  <c r="S15" i="34"/>
  <c r="R15" i="34"/>
  <c r="W14" i="34"/>
  <c r="V14" i="34"/>
  <c r="U14" i="34"/>
  <c r="T14" i="34"/>
  <c r="S14" i="34"/>
  <c r="R14" i="34"/>
  <c r="W13" i="34"/>
  <c r="V13" i="34"/>
  <c r="U13" i="34"/>
  <c r="T13" i="34"/>
  <c r="S13" i="34"/>
  <c r="R13" i="34"/>
  <c r="W18" i="35"/>
  <c r="V18" i="35"/>
  <c r="U18" i="35"/>
  <c r="T18" i="35"/>
  <c r="S18" i="35"/>
  <c r="R18" i="35"/>
  <c r="W17" i="35"/>
  <c r="V17" i="35"/>
  <c r="U17" i="35"/>
  <c r="T17" i="35"/>
  <c r="S17" i="35"/>
  <c r="R17" i="35"/>
  <c r="W16" i="35"/>
  <c r="V16" i="35"/>
  <c r="U16" i="35"/>
  <c r="T16" i="35"/>
  <c r="S16" i="35"/>
  <c r="R16" i="35"/>
  <c r="W15" i="35"/>
  <c r="V15" i="35"/>
  <c r="U15" i="35"/>
  <c r="T15" i="35"/>
  <c r="S15" i="35"/>
  <c r="R15" i="35"/>
  <c r="W14" i="35"/>
  <c r="V14" i="35"/>
  <c r="U14" i="35"/>
  <c r="T14" i="35"/>
  <c r="S14" i="35"/>
  <c r="R14" i="35"/>
  <c r="W13" i="35"/>
  <c r="V13" i="35"/>
  <c r="U13" i="35"/>
  <c r="T13" i="35"/>
  <c r="S13" i="35"/>
  <c r="R13" i="35"/>
  <c r="W18" i="36"/>
  <c r="V18" i="36"/>
  <c r="U18" i="36"/>
  <c r="T18" i="36"/>
  <c r="S18" i="36"/>
  <c r="R18" i="36"/>
  <c r="W17" i="36"/>
  <c r="V17" i="36"/>
  <c r="U17" i="36"/>
  <c r="T17" i="36"/>
  <c r="S17" i="36"/>
  <c r="R17" i="36"/>
  <c r="W16" i="36"/>
  <c r="V16" i="36"/>
  <c r="U16" i="36"/>
  <c r="T16" i="36"/>
  <c r="S16" i="36"/>
  <c r="R16" i="36"/>
  <c r="W15" i="36"/>
  <c r="V15" i="36"/>
  <c r="U15" i="36"/>
  <c r="T15" i="36"/>
  <c r="S15" i="36"/>
  <c r="R15" i="36"/>
  <c r="W14" i="36"/>
  <c r="V14" i="36"/>
  <c r="U14" i="36"/>
  <c r="T14" i="36"/>
  <c r="S14" i="36"/>
  <c r="R14" i="36"/>
  <c r="W13" i="36"/>
  <c r="V13" i="36"/>
  <c r="U13" i="36"/>
  <c r="T13" i="36"/>
  <c r="S13" i="36"/>
  <c r="R13" i="36"/>
  <c r="W18" i="37"/>
  <c r="V18" i="37"/>
  <c r="U18" i="37"/>
  <c r="T18" i="37"/>
  <c r="S18" i="37"/>
  <c r="R18" i="37"/>
  <c r="W17" i="37"/>
  <c r="V17" i="37"/>
  <c r="U17" i="37"/>
  <c r="T17" i="37"/>
  <c r="S17" i="37"/>
  <c r="R17" i="37"/>
  <c r="W16" i="37"/>
  <c r="V16" i="37"/>
  <c r="U16" i="37"/>
  <c r="T16" i="37"/>
  <c r="S16" i="37"/>
  <c r="R16" i="37"/>
  <c r="W15" i="37"/>
  <c r="V15" i="37"/>
  <c r="U15" i="37"/>
  <c r="T15" i="37"/>
  <c r="S15" i="37"/>
  <c r="R15" i="37"/>
  <c r="W14" i="37"/>
  <c r="V14" i="37"/>
  <c r="U14" i="37"/>
  <c r="T14" i="37"/>
  <c r="S14" i="37"/>
  <c r="R14" i="37"/>
  <c r="W13" i="37"/>
  <c r="V13" i="37"/>
  <c r="U13" i="37"/>
  <c r="T13" i="37"/>
  <c r="S13" i="37"/>
  <c r="R13" i="37"/>
  <c r="W18" i="28"/>
  <c r="V18" i="28"/>
  <c r="U18" i="28"/>
  <c r="T18" i="28"/>
  <c r="S18" i="28"/>
  <c r="R18" i="28"/>
  <c r="W17" i="28"/>
  <c r="V17" i="28"/>
  <c r="U17" i="28"/>
  <c r="T17" i="28"/>
  <c r="S17" i="28"/>
  <c r="R17" i="28"/>
  <c r="W16" i="28"/>
  <c r="V16" i="28"/>
  <c r="U16" i="28"/>
  <c r="T16" i="28"/>
  <c r="S16" i="28"/>
  <c r="R16" i="28"/>
  <c r="W15" i="28"/>
  <c r="V15" i="28"/>
  <c r="U15" i="28"/>
  <c r="T15" i="28"/>
  <c r="S15" i="28"/>
  <c r="R15" i="28"/>
  <c r="W14" i="28"/>
  <c r="V14" i="28"/>
  <c r="U14" i="28"/>
  <c r="T14" i="28"/>
  <c r="S14" i="28"/>
  <c r="R14" i="28"/>
  <c r="W13" i="28"/>
  <c r="V13" i="28"/>
  <c r="U13" i="28"/>
  <c r="T13" i="28"/>
  <c r="S13" i="28"/>
  <c r="R13" i="28"/>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8" i="30"/>
  <c r="V18" i="30"/>
  <c r="U18" i="30"/>
  <c r="T18" i="30"/>
  <c r="S18" i="30"/>
  <c r="R18" i="30"/>
  <c r="W17" i="30"/>
  <c r="V17" i="30"/>
  <c r="U17" i="30"/>
  <c r="T17" i="30"/>
  <c r="S17" i="30"/>
  <c r="R17" i="30"/>
  <c r="W16" i="30"/>
  <c r="V16" i="30"/>
  <c r="U16" i="30"/>
  <c r="T16" i="30"/>
  <c r="S16" i="30"/>
  <c r="R16" i="30"/>
  <c r="W15" i="30"/>
  <c r="V15" i="30"/>
  <c r="U15" i="30"/>
  <c r="T15" i="30"/>
  <c r="S15" i="30"/>
  <c r="R15" i="30"/>
  <c r="W14" i="30"/>
  <c r="V14" i="30"/>
  <c r="U14" i="30"/>
  <c r="T14" i="30"/>
  <c r="S14" i="30"/>
  <c r="R14" i="30"/>
  <c r="W13" i="30"/>
  <c r="V13" i="30"/>
  <c r="U13" i="30"/>
  <c r="T13" i="30"/>
  <c r="S13" i="30"/>
  <c r="R13" i="30"/>
  <c r="W18" i="38"/>
  <c r="V18" i="38"/>
  <c r="U18" i="38"/>
  <c r="T18" i="38"/>
  <c r="S18" i="38"/>
  <c r="R18" i="38"/>
  <c r="W17" i="38"/>
  <c r="V17" i="38"/>
  <c r="U17" i="38"/>
  <c r="T17" i="38"/>
  <c r="S17" i="38"/>
  <c r="R17" i="38"/>
  <c r="W16" i="38"/>
  <c r="V16" i="38"/>
  <c r="U16" i="38"/>
  <c r="T16" i="38"/>
  <c r="S16" i="38"/>
  <c r="R16" i="38"/>
  <c r="W15" i="38"/>
  <c r="V15" i="38"/>
  <c r="U15" i="38"/>
  <c r="T15" i="38"/>
  <c r="S15" i="38"/>
  <c r="R15" i="38"/>
  <c r="W14" i="38"/>
  <c r="V14" i="38"/>
  <c r="U14" i="38"/>
  <c r="T14" i="38"/>
  <c r="S14" i="38"/>
  <c r="R14" i="38"/>
  <c r="W13" i="38"/>
  <c r="V13" i="38"/>
  <c r="U13" i="38"/>
  <c r="T13" i="38"/>
  <c r="S13" i="38"/>
  <c r="R13" i="38"/>
  <c r="W18" i="39"/>
  <c r="V18" i="39"/>
  <c r="U18" i="39"/>
  <c r="T18" i="39"/>
  <c r="S18" i="39"/>
  <c r="R18" i="39"/>
  <c r="W17" i="39"/>
  <c r="V17" i="39"/>
  <c r="U17" i="39"/>
  <c r="T17" i="39"/>
  <c r="S17" i="39"/>
  <c r="R17" i="39"/>
  <c r="W16" i="39"/>
  <c r="V16" i="39"/>
  <c r="U16" i="39"/>
  <c r="T16" i="39"/>
  <c r="S16" i="39"/>
  <c r="R16" i="39"/>
  <c r="W15" i="39"/>
  <c r="V15" i="39"/>
  <c r="U15" i="39"/>
  <c r="T15" i="39"/>
  <c r="S15" i="39"/>
  <c r="R15" i="39"/>
  <c r="W14" i="39"/>
  <c r="V14" i="39"/>
  <c r="U14" i="39"/>
  <c r="T14" i="39"/>
  <c r="S14" i="39"/>
  <c r="R14" i="39"/>
  <c r="W13" i="39"/>
  <c r="V13" i="39"/>
  <c r="U13" i="39"/>
  <c r="T13" i="39"/>
  <c r="S13" i="39"/>
  <c r="R13" i="39"/>
  <c r="W18" i="41"/>
  <c r="V18" i="41"/>
  <c r="U18" i="41"/>
  <c r="T18" i="41"/>
  <c r="S18" i="41"/>
  <c r="R18" i="41"/>
  <c r="W17" i="41"/>
  <c r="V17" i="41"/>
  <c r="U17" i="41"/>
  <c r="T17" i="41"/>
  <c r="S17" i="41"/>
  <c r="R17" i="41"/>
  <c r="W16" i="41"/>
  <c r="V16" i="41"/>
  <c r="U16" i="41"/>
  <c r="T16" i="41"/>
  <c r="S16" i="41"/>
  <c r="R16" i="41"/>
  <c r="W15" i="41"/>
  <c r="V15" i="41"/>
  <c r="U15" i="41"/>
  <c r="T15" i="41"/>
  <c r="S15" i="41"/>
  <c r="R15" i="41"/>
  <c r="W14" i="41"/>
  <c r="V14" i="41"/>
  <c r="U14" i="41"/>
  <c r="T14" i="41"/>
  <c r="S14" i="41"/>
  <c r="R14" i="41"/>
  <c r="W13" i="41"/>
  <c r="V13" i="41"/>
  <c r="U13" i="41"/>
  <c r="T13" i="41"/>
  <c r="S13" i="41"/>
  <c r="R13" i="41"/>
  <c r="W18" i="42"/>
  <c r="V18" i="42"/>
  <c r="U18" i="42"/>
  <c r="T18" i="42"/>
  <c r="S18" i="42"/>
  <c r="R18" i="42"/>
  <c r="W17" i="42"/>
  <c r="V17" i="42"/>
  <c r="U17" i="42"/>
  <c r="T17" i="42"/>
  <c r="S17" i="42"/>
  <c r="R17" i="42"/>
  <c r="W16" i="42"/>
  <c r="V16" i="42"/>
  <c r="U16" i="42"/>
  <c r="T16" i="42"/>
  <c r="S16" i="42"/>
  <c r="R16" i="42"/>
  <c r="W15" i="42"/>
  <c r="V15" i="42"/>
  <c r="U15" i="42"/>
  <c r="T15" i="42"/>
  <c r="S15" i="42"/>
  <c r="R15" i="42"/>
  <c r="W14" i="42"/>
  <c r="V14" i="42"/>
  <c r="U14" i="42"/>
  <c r="T14" i="42"/>
  <c r="S14" i="42"/>
  <c r="R14" i="42"/>
  <c r="W13" i="42"/>
  <c r="V13" i="42"/>
  <c r="U13" i="42"/>
  <c r="T13" i="42"/>
  <c r="S13" i="42"/>
  <c r="R13" i="42"/>
  <c r="W18" i="43"/>
  <c r="V18" i="43"/>
  <c r="U18" i="43"/>
  <c r="T18" i="43"/>
  <c r="S18" i="43"/>
  <c r="R18" i="43"/>
  <c r="W17" i="43"/>
  <c r="V17" i="43"/>
  <c r="U17" i="43"/>
  <c r="T17" i="43"/>
  <c r="S17" i="43"/>
  <c r="R17" i="43"/>
  <c r="W16" i="43"/>
  <c r="V16" i="43"/>
  <c r="U16" i="43"/>
  <c r="T16" i="43"/>
  <c r="S16" i="43"/>
  <c r="R16" i="43"/>
  <c r="W15" i="43"/>
  <c r="V15" i="43"/>
  <c r="U15" i="43"/>
  <c r="T15" i="43"/>
  <c r="S15" i="43"/>
  <c r="R15" i="43"/>
  <c r="W14" i="43"/>
  <c r="V14" i="43"/>
  <c r="U14" i="43"/>
  <c r="T14" i="43"/>
  <c r="S14" i="43"/>
  <c r="R14" i="43"/>
  <c r="W13" i="43"/>
  <c r="V13" i="43"/>
  <c r="U13" i="43"/>
  <c r="T13" i="43"/>
  <c r="S13" i="43"/>
  <c r="R13" i="43"/>
  <c r="W18" i="44"/>
  <c r="V18" i="44"/>
  <c r="U18" i="44"/>
  <c r="T18" i="44"/>
  <c r="S18" i="44"/>
  <c r="R18" i="44"/>
  <c r="W17" i="44"/>
  <c r="V17" i="44"/>
  <c r="U17" i="44"/>
  <c r="T17" i="44"/>
  <c r="S17" i="44"/>
  <c r="R17" i="44"/>
  <c r="W16" i="44"/>
  <c r="V16" i="44"/>
  <c r="U16" i="44"/>
  <c r="T16" i="44"/>
  <c r="S16" i="44"/>
  <c r="R16" i="44"/>
  <c r="W15" i="44"/>
  <c r="V15" i="44"/>
  <c r="U15" i="44"/>
  <c r="T15" i="44"/>
  <c r="S15" i="44"/>
  <c r="R15" i="44"/>
  <c r="W14" i="44"/>
  <c r="V14" i="44"/>
  <c r="U14" i="44"/>
  <c r="T14" i="44"/>
  <c r="S14" i="44"/>
  <c r="R14" i="44"/>
  <c r="W13" i="44"/>
  <c r="V13" i="44"/>
  <c r="U13" i="44"/>
  <c r="T13" i="44"/>
  <c r="S13" i="44"/>
  <c r="R13" i="44"/>
  <c r="W18" i="45"/>
  <c r="V18" i="45"/>
  <c r="U18" i="45"/>
  <c r="T18" i="45"/>
  <c r="S18" i="45"/>
  <c r="R18" i="45"/>
  <c r="W17" i="45"/>
  <c r="V17" i="45"/>
  <c r="U17" i="45"/>
  <c r="T17" i="45"/>
  <c r="S17" i="45"/>
  <c r="R17" i="45"/>
  <c r="W16" i="45"/>
  <c r="V16" i="45"/>
  <c r="U16" i="45"/>
  <c r="T16" i="45"/>
  <c r="S16" i="45"/>
  <c r="R16" i="45"/>
  <c r="W15" i="45"/>
  <c r="V15" i="45"/>
  <c r="U15" i="45"/>
  <c r="T15" i="45"/>
  <c r="S15" i="45"/>
  <c r="R15" i="45"/>
  <c r="W14" i="45"/>
  <c r="V14" i="45"/>
  <c r="U14" i="45"/>
  <c r="T14" i="45"/>
  <c r="S14" i="45"/>
  <c r="R14" i="45"/>
  <c r="W13" i="45"/>
  <c r="V13" i="45"/>
  <c r="U13" i="45"/>
  <c r="T13" i="45"/>
  <c r="S13" i="45"/>
  <c r="R13" i="45"/>
  <c r="W18" i="46"/>
  <c r="V18" i="46"/>
  <c r="U18" i="46"/>
  <c r="T18" i="46"/>
  <c r="S18" i="46"/>
  <c r="R18" i="46"/>
  <c r="W17" i="46"/>
  <c r="V17" i="46"/>
  <c r="U17" i="46"/>
  <c r="T17" i="46"/>
  <c r="S17" i="46"/>
  <c r="R17" i="46"/>
  <c r="W16" i="46"/>
  <c r="V16" i="46"/>
  <c r="U16" i="46"/>
  <c r="T16" i="46"/>
  <c r="S16" i="46"/>
  <c r="R16" i="46"/>
  <c r="W15" i="46"/>
  <c r="V15" i="46"/>
  <c r="U15" i="46"/>
  <c r="T15" i="46"/>
  <c r="S15" i="46"/>
  <c r="R15" i="46"/>
  <c r="W14" i="46"/>
  <c r="V14" i="46"/>
  <c r="U14" i="46"/>
  <c r="T14" i="46"/>
  <c r="S14" i="46"/>
  <c r="R14" i="46"/>
  <c r="W13" i="46"/>
  <c r="V13" i="46"/>
  <c r="U13" i="46"/>
  <c r="T13" i="46"/>
  <c r="S13" i="46"/>
  <c r="R13" i="46"/>
  <c r="W18" i="47"/>
  <c r="V18" i="47"/>
  <c r="U18" i="47"/>
  <c r="T18" i="47"/>
  <c r="S18" i="47"/>
  <c r="R18" i="47"/>
  <c r="W17" i="47"/>
  <c r="V17" i="47"/>
  <c r="U17" i="47"/>
  <c r="T17" i="47"/>
  <c r="S17" i="47"/>
  <c r="R17" i="47"/>
  <c r="W16" i="47"/>
  <c r="V16" i="47"/>
  <c r="U16" i="47"/>
  <c r="T16" i="47"/>
  <c r="S16" i="47"/>
  <c r="R16" i="47"/>
  <c r="W15" i="47"/>
  <c r="V15" i="47"/>
  <c r="U15" i="47"/>
  <c r="T15" i="47"/>
  <c r="S15" i="47"/>
  <c r="R15" i="47"/>
  <c r="W14" i="47"/>
  <c r="V14" i="47"/>
  <c r="U14" i="47"/>
  <c r="T14" i="47"/>
  <c r="S14" i="47"/>
  <c r="R14" i="47"/>
  <c r="W13" i="47"/>
  <c r="V13" i="47"/>
  <c r="U13" i="47"/>
  <c r="T13" i="47"/>
  <c r="S13" i="47"/>
  <c r="R13" i="47"/>
  <c r="W18" i="48"/>
  <c r="V18" i="48"/>
  <c r="U18" i="48"/>
  <c r="T18" i="48"/>
  <c r="S18" i="48"/>
  <c r="R18" i="48"/>
  <c r="W17" i="48"/>
  <c r="V17" i="48"/>
  <c r="U17" i="48"/>
  <c r="T17" i="48"/>
  <c r="S17" i="48"/>
  <c r="R17" i="48"/>
  <c r="W16" i="48"/>
  <c r="V16" i="48"/>
  <c r="U16" i="48"/>
  <c r="T16" i="48"/>
  <c r="S16" i="48"/>
  <c r="R16" i="48"/>
  <c r="W15" i="48"/>
  <c r="V15" i="48"/>
  <c r="U15" i="48"/>
  <c r="T15" i="48"/>
  <c r="S15" i="48"/>
  <c r="R15" i="48"/>
  <c r="W14" i="48"/>
  <c r="V14" i="48"/>
  <c r="U14" i="48"/>
  <c r="T14" i="48"/>
  <c r="S14" i="48"/>
  <c r="R14" i="48"/>
  <c r="W13" i="48"/>
  <c r="V13" i="48"/>
  <c r="U13" i="48"/>
  <c r="T13" i="48"/>
  <c r="S13" i="48"/>
  <c r="R13" i="48"/>
  <c r="W18" i="49"/>
  <c r="V18" i="49"/>
  <c r="U18" i="49"/>
  <c r="T18" i="49"/>
  <c r="S18" i="49"/>
  <c r="R18" i="49"/>
  <c r="W17" i="49"/>
  <c r="V17" i="49"/>
  <c r="U17" i="49"/>
  <c r="T17" i="49"/>
  <c r="S17" i="49"/>
  <c r="R17" i="49"/>
  <c r="W16" i="49"/>
  <c r="V16" i="49"/>
  <c r="U16" i="49"/>
  <c r="T16" i="49"/>
  <c r="S16" i="49"/>
  <c r="R16" i="49"/>
  <c r="W15" i="49"/>
  <c r="V15" i="49"/>
  <c r="U15" i="49"/>
  <c r="T15" i="49"/>
  <c r="S15" i="49"/>
  <c r="R15" i="49"/>
  <c r="W14" i="49"/>
  <c r="V14" i="49"/>
  <c r="U14" i="49"/>
  <c r="T14" i="49"/>
  <c r="S14" i="49"/>
  <c r="R14" i="49"/>
  <c r="W13" i="49"/>
  <c r="V13" i="49"/>
  <c r="U13" i="49"/>
  <c r="T13" i="49"/>
  <c r="S13" i="49"/>
  <c r="R13" i="49"/>
  <c r="C14" i="50"/>
  <c r="A72" i="52" l="1"/>
  <c r="A59" i="52"/>
  <c r="I18" i="35"/>
  <c r="H18" i="35"/>
  <c r="G18" i="35"/>
  <c r="F18" i="35"/>
  <c r="E18" i="35"/>
  <c r="D18" i="35"/>
  <c r="C18" i="35"/>
  <c r="B18" i="35"/>
  <c r="A18" i="35"/>
  <c r="I17" i="35"/>
  <c r="H17" i="35"/>
  <c r="G17" i="35"/>
  <c r="F17" i="35"/>
  <c r="E17" i="35"/>
  <c r="D17" i="35"/>
  <c r="C17" i="35"/>
  <c r="B17" i="35"/>
  <c r="A17" i="35"/>
  <c r="Q17" i="35" s="1"/>
  <c r="I16" i="35"/>
  <c r="H16" i="35"/>
  <c r="G16" i="35"/>
  <c r="F16" i="35"/>
  <c r="E16" i="35"/>
  <c r="D16" i="35"/>
  <c r="C16" i="35"/>
  <c r="B16" i="35"/>
  <c r="A16" i="35"/>
  <c r="Q16" i="35" s="1"/>
  <c r="I15" i="35"/>
  <c r="H15" i="35"/>
  <c r="G15" i="35"/>
  <c r="F15" i="35"/>
  <c r="E15" i="35"/>
  <c r="D15" i="35"/>
  <c r="C15" i="35"/>
  <c r="B15" i="35"/>
  <c r="A15" i="35"/>
  <c r="Q15" i="35" s="1"/>
  <c r="I14" i="35"/>
  <c r="H14" i="35"/>
  <c r="G14" i="35"/>
  <c r="F14" i="35"/>
  <c r="E14" i="35"/>
  <c r="D14" i="35"/>
  <c r="C14" i="35"/>
  <c r="B14" i="35"/>
  <c r="A14" i="35"/>
  <c r="Q14" i="35" s="1"/>
  <c r="I13" i="35"/>
  <c r="H13" i="35"/>
  <c r="G13" i="35"/>
  <c r="F13" i="35"/>
  <c r="E13" i="35"/>
  <c r="D13" i="35"/>
  <c r="C13" i="35"/>
  <c r="B13" i="35"/>
  <c r="A13" i="35"/>
  <c r="Q13" i="35" s="1"/>
  <c r="I18" i="36"/>
  <c r="H18" i="36"/>
  <c r="G18" i="36"/>
  <c r="F18" i="36"/>
  <c r="E18" i="36"/>
  <c r="D18" i="36"/>
  <c r="C18" i="36"/>
  <c r="B18" i="36"/>
  <c r="A18" i="36"/>
  <c r="I17" i="36"/>
  <c r="H17" i="36"/>
  <c r="G17" i="36"/>
  <c r="F17" i="36"/>
  <c r="E17" i="36"/>
  <c r="D17" i="36"/>
  <c r="C17" i="36"/>
  <c r="B17" i="36"/>
  <c r="A17" i="36"/>
  <c r="Q17" i="36" s="1"/>
  <c r="I16" i="36"/>
  <c r="H16" i="36"/>
  <c r="G16" i="36"/>
  <c r="F16" i="36"/>
  <c r="E16" i="36"/>
  <c r="D16" i="36"/>
  <c r="C16" i="36"/>
  <c r="B16" i="36"/>
  <c r="A16" i="36"/>
  <c r="Q16" i="36" s="1"/>
  <c r="I15" i="36"/>
  <c r="H15" i="36"/>
  <c r="G15" i="36"/>
  <c r="F15" i="36"/>
  <c r="E15" i="36"/>
  <c r="D15" i="36"/>
  <c r="C15" i="36"/>
  <c r="B15" i="36"/>
  <c r="A15" i="36"/>
  <c r="Q15" i="36" s="1"/>
  <c r="I14" i="36"/>
  <c r="H14" i="36"/>
  <c r="G14" i="36"/>
  <c r="F14" i="36"/>
  <c r="E14" i="36"/>
  <c r="D14" i="36"/>
  <c r="C14" i="36"/>
  <c r="B14" i="36"/>
  <c r="A14" i="36"/>
  <c r="Q14" i="36" s="1"/>
  <c r="I13" i="36"/>
  <c r="H13" i="36"/>
  <c r="G13" i="36"/>
  <c r="F13" i="36"/>
  <c r="E13" i="36"/>
  <c r="D13" i="36"/>
  <c r="C13" i="36"/>
  <c r="B13" i="36"/>
  <c r="A13" i="36"/>
  <c r="Q13" i="36" s="1"/>
  <c r="I18" i="37"/>
  <c r="H18" i="37"/>
  <c r="G18" i="37"/>
  <c r="F18" i="37"/>
  <c r="E18" i="37"/>
  <c r="D18" i="37"/>
  <c r="C18" i="37"/>
  <c r="B18" i="37"/>
  <c r="A18" i="37"/>
  <c r="I17" i="37"/>
  <c r="H17" i="37"/>
  <c r="G17" i="37"/>
  <c r="F17" i="37"/>
  <c r="E17" i="37"/>
  <c r="D17" i="37"/>
  <c r="C17" i="37"/>
  <c r="B17" i="37"/>
  <c r="A17" i="37"/>
  <c r="Q17" i="37" s="1"/>
  <c r="I16" i="37"/>
  <c r="H16" i="37"/>
  <c r="G16" i="37"/>
  <c r="F16" i="37"/>
  <c r="E16" i="37"/>
  <c r="D16" i="37"/>
  <c r="C16" i="37"/>
  <c r="B16" i="37"/>
  <c r="A16" i="37"/>
  <c r="Q16" i="37" s="1"/>
  <c r="I15" i="37"/>
  <c r="H15" i="37"/>
  <c r="G15" i="37"/>
  <c r="F15" i="37"/>
  <c r="E15" i="37"/>
  <c r="D15" i="37"/>
  <c r="C15" i="37"/>
  <c r="B15" i="37"/>
  <c r="A15" i="37"/>
  <c r="Q15" i="37" s="1"/>
  <c r="I14" i="37"/>
  <c r="H14" i="37"/>
  <c r="G14" i="37"/>
  <c r="F14" i="37"/>
  <c r="E14" i="37"/>
  <c r="D14" i="37"/>
  <c r="C14" i="37"/>
  <c r="B14" i="37"/>
  <c r="A14" i="37"/>
  <c r="Q14" i="37" s="1"/>
  <c r="I13" i="37"/>
  <c r="H13" i="37"/>
  <c r="G13" i="37"/>
  <c r="F13" i="37"/>
  <c r="E13" i="37"/>
  <c r="D13" i="37"/>
  <c r="C13" i="37"/>
  <c r="B13" i="37"/>
  <c r="A13" i="37"/>
  <c r="Q13" i="37" s="1"/>
  <c r="I18" i="28"/>
  <c r="H18" i="28"/>
  <c r="G18" i="28"/>
  <c r="F18" i="28"/>
  <c r="E18" i="28"/>
  <c r="D18" i="28"/>
  <c r="C18" i="28"/>
  <c r="B18" i="28"/>
  <c r="A18" i="28"/>
  <c r="I17" i="28"/>
  <c r="H17" i="28"/>
  <c r="G17" i="28"/>
  <c r="F17" i="28"/>
  <c r="E17" i="28"/>
  <c r="D17" i="28"/>
  <c r="C17" i="28"/>
  <c r="B17" i="28"/>
  <c r="A17" i="28"/>
  <c r="Q17" i="28" s="1"/>
  <c r="I16" i="28"/>
  <c r="H16" i="28"/>
  <c r="G16" i="28"/>
  <c r="F16" i="28"/>
  <c r="E16" i="28"/>
  <c r="D16" i="28"/>
  <c r="C16" i="28"/>
  <c r="B16" i="28"/>
  <c r="A16" i="28"/>
  <c r="Q16" i="28" s="1"/>
  <c r="I15" i="28"/>
  <c r="H15" i="28"/>
  <c r="G15" i="28"/>
  <c r="F15" i="28"/>
  <c r="E15" i="28"/>
  <c r="D15" i="28"/>
  <c r="C15" i="28"/>
  <c r="B15" i="28"/>
  <c r="A15" i="28"/>
  <c r="Q15" i="28" s="1"/>
  <c r="I14" i="28"/>
  <c r="H14" i="28"/>
  <c r="G14" i="28"/>
  <c r="F14" i="28"/>
  <c r="E14" i="28"/>
  <c r="D14" i="28"/>
  <c r="C14" i="28"/>
  <c r="B14" i="28"/>
  <c r="A14" i="28"/>
  <c r="Q14" i="28" s="1"/>
  <c r="I13" i="28"/>
  <c r="H13" i="28"/>
  <c r="G13" i="28"/>
  <c r="F13" i="28"/>
  <c r="E13" i="28"/>
  <c r="D13" i="28"/>
  <c r="C13" i="28"/>
  <c r="B13" i="28"/>
  <c r="A13" i="28"/>
  <c r="Q13" i="28" s="1"/>
  <c r="I18" i="11"/>
  <c r="H18" i="11"/>
  <c r="G18" i="11"/>
  <c r="F18" i="11"/>
  <c r="E18" i="11"/>
  <c r="D18" i="11"/>
  <c r="C18" i="11"/>
  <c r="B18" i="11"/>
  <c r="A18" i="11"/>
  <c r="I17" i="11"/>
  <c r="H17" i="11"/>
  <c r="G17" i="11"/>
  <c r="F17" i="11"/>
  <c r="E17" i="11"/>
  <c r="D17" i="11"/>
  <c r="C17" i="11"/>
  <c r="B17" i="11"/>
  <c r="A17" i="11"/>
  <c r="Q17" i="11" s="1"/>
  <c r="I16" i="11"/>
  <c r="H16" i="11"/>
  <c r="G16" i="11"/>
  <c r="F16" i="11"/>
  <c r="E16" i="11"/>
  <c r="D16" i="11"/>
  <c r="C16" i="11"/>
  <c r="B16" i="11"/>
  <c r="A16" i="11"/>
  <c r="Q16" i="11" s="1"/>
  <c r="I15" i="11"/>
  <c r="H15" i="11"/>
  <c r="G15" i="11"/>
  <c r="F15" i="11"/>
  <c r="E15" i="11"/>
  <c r="D15" i="11"/>
  <c r="C15" i="11"/>
  <c r="B15" i="11"/>
  <c r="A15" i="11"/>
  <c r="Q15" i="11" s="1"/>
  <c r="I14" i="11"/>
  <c r="H14" i="11"/>
  <c r="G14" i="11"/>
  <c r="F14" i="11"/>
  <c r="E14" i="11"/>
  <c r="D14" i="11"/>
  <c r="C14" i="11"/>
  <c r="B14" i="11"/>
  <c r="A14" i="11"/>
  <c r="Q14" i="11" s="1"/>
  <c r="I13" i="11"/>
  <c r="H13" i="11"/>
  <c r="G13" i="11"/>
  <c r="F13" i="11"/>
  <c r="E13" i="11"/>
  <c r="D13" i="11"/>
  <c r="C13" i="11"/>
  <c r="B13" i="11"/>
  <c r="A13" i="11"/>
  <c r="Q13" i="11" s="1"/>
  <c r="I18" i="30"/>
  <c r="H18" i="30"/>
  <c r="G18" i="30"/>
  <c r="F18" i="30"/>
  <c r="E18" i="30"/>
  <c r="D18" i="30"/>
  <c r="C18" i="30"/>
  <c r="B18" i="30"/>
  <c r="A18" i="30"/>
  <c r="I17" i="30"/>
  <c r="H17" i="30"/>
  <c r="G17" i="30"/>
  <c r="F17" i="30"/>
  <c r="E17" i="30"/>
  <c r="D17" i="30"/>
  <c r="C17" i="30"/>
  <c r="B17" i="30"/>
  <c r="A17" i="30"/>
  <c r="Q17" i="30" s="1"/>
  <c r="I16" i="30"/>
  <c r="H16" i="30"/>
  <c r="G16" i="30"/>
  <c r="F16" i="30"/>
  <c r="E16" i="30"/>
  <c r="D16" i="30"/>
  <c r="C16" i="30"/>
  <c r="B16" i="30"/>
  <c r="A16" i="30"/>
  <c r="Q16" i="30" s="1"/>
  <c r="I15" i="30"/>
  <c r="H15" i="30"/>
  <c r="G15" i="30"/>
  <c r="F15" i="30"/>
  <c r="E15" i="30"/>
  <c r="D15" i="30"/>
  <c r="C15" i="30"/>
  <c r="B15" i="30"/>
  <c r="A15" i="30"/>
  <c r="Q15" i="30" s="1"/>
  <c r="I14" i="30"/>
  <c r="H14" i="30"/>
  <c r="G14" i="30"/>
  <c r="F14" i="30"/>
  <c r="E14" i="30"/>
  <c r="D14" i="30"/>
  <c r="C14" i="30"/>
  <c r="B14" i="30"/>
  <c r="A14" i="30"/>
  <c r="Q14" i="30" s="1"/>
  <c r="I13" i="30"/>
  <c r="H13" i="30"/>
  <c r="G13" i="30"/>
  <c r="F13" i="30"/>
  <c r="E13" i="30"/>
  <c r="D13" i="30"/>
  <c r="C13" i="30"/>
  <c r="B13" i="30"/>
  <c r="A13" i="30"/>
  <c r="Q13" i="30" s="1"/>
  <c r="I18" i="38"/>
  <c r="H18" i="38"/>
  <c r="G18" i="38"/>
  <c r="F18" i="38"/>
  <c r="E18" i="38"/>
  <c r="D18" i="38"/>
  <c r="C18" i="38"/>
  <c r="B18" i="38"/>
  <c r="A18" i="38"/>
  <c r="I17" i="38"/>
  <c r="H17" i="38"/>
  <c r="G17" i="38"/>
  <c r="F17" i="38"/>
  <c r="E17" i="38"/>
  <c r="D17" i="38"/>
  <c r="C17" i="38"/>
  <c r="B17" i="38"/>
  <c r="A17" i="38"/>
  <c r="Q17" i="38" s="1"/>
  <c r="I16" i="38"/>
  <c r="H16" i="38"/>
  <c r="G16" i="38"/>
  <c r="F16" i="38"/>
  <c r="E16" i="38"/>
  <c r="D16" i="38"/>
  <c r="C16" i="38"/>
  <c r="B16" i="38"/>
  <c r="A16" i="38"/>
  <c r="Q16" i="38" s="1"/>
  <c r="I15" i="38"/>
  <c r="H15" i="38"/>
  <c r="G15" i="38"/>
  <c r="F15" i="38"/>
  <c r="E15" i="38"/>
  <c r="D15" i="38"/>
  <c r="C15" i="38"/>
  <c r="B15" i="38"/>
  <c r="A15" i="38"/>
  <c r="Q15" i="38" s="1"/>
  <c r="I14" i="38"/>
  <c r="H14" i="38"/>
  <c r="G14" i="38"/>
  <c r="F14" i="38"/>
  <c r="E14" i="38"/>
  <c r="D14" i="38"/>
  <c r="C14" i="38"/>
  <c r="B14" i="38"/>
  <c r="A14" i="38"/>
  <c r="Q14" i="38" s="1"/>
  <c r="I13" i="38"/>
  <c r="H13" i="38"/>
  <c r="G13" i="38"/>
  <c r="F13" i="38"/>
  <c r="E13" i="38"/>
  <c r="D13" i="38"/>
  <c r="C13" i="38"/>
  <c r="B13" i="38"/>
  <c r="A13" i="38"/>
  <c r="Q13" i="38" s="1"/>
  <c r="I18" i="39"/>
  <c r="H18" i="39"/>
  <c r="G18" i="39"/>
  <c r="F18" i="39"/>
  <c r="E18" i="39"/>
  <c r="D18" i="39"/>
  <c r="C18" i="39"/>
  <c r="B18" i="39"/>
  <c r="A18" i="39"/>
  <c r="I17" i="39"/>
  <c r="H17" i="39"/>
  <c r="G17" i="39"/>
  <c r="F17" i="39"/>
  <c r="E17" i="39"/>
  <c r="D17" i="39"/>
  <c r="C17" i="39"/>
  <c r="B17" i="39"/>
  <c r="A17" i="39"/>
  <c r="Q17" i="39" s="1"/>
  <c r="I16" i="39"/>
  <c r="H16" i="39"/>
  <c r="G16" i="39"/>
  <c r="F16" i="39"/>
  <c r="E16" i="39"/>
  <c r="D16" i="39"/>
  <c r="C16" i="39"/>
  <c r="B16" i="39"/>
  <c r="A16" i="39"/>
  <c r="Q16" i="39" s="1"/>
  <c r="I15" i="39"/>
  <c r="H15" i="39"/>
  <c r="G15" i="39"/>
  <c r="F15" i="39"/>
  <c r="E15" i="39"/>
  <c r="D15" i="39"/>
  <c r="C15" i="39"/>
  <c r="B15" i="39"/>
  <c r="A15" i="39"/>
  <c r="Q15" i="39" s="1"/>
  <c r="I14" i="39"/>
  <c r="H14" i="39"/>
  <c r="G14" i="39"/>
  <c r="F14" i="39"/>
  <c r="E14" i="39"/>
  <c r="D14" i="39"/>
  <c r="C14" i="39"/>
  <c r="B14" i="39"/>
  <c r="A14" i="39"/>
  <c r="Q14" i="39" s="1"/>
  <c r="I13" i="39"/>
  <c r="H13" i="39"/>
  <c r="G13" i="39"/>
  <c r="F13" i="39"/>
  <c r="E13" i="39"/>
  <c r="D13" i="39"/>
  <c r="C13" i="39"/>
  <c r="B13" i="39"/>
  <c r="A13" i="39"/>
  <c r="Q13" i="39" s="1"/>
  <c r="I18" i="29"/>
  <c r="H18" i="29"/>
  <c r="G18" i="29"/>
  <c r="F18" i="29"/>
  <c r="E18" i="29"/>
  <c r="D18" i="29"/>
  <c r="C18" i="29"/>
  <c r="B18" i="29"/>
  <c r="A18" i="29"/>
  <c r="O60" i="29" s="1"/>
  <c r="I17" i="29"/>
  <c r="H17" i="29"/>
  <c r="G17" i="29"/>
  <c r="F17" i="29"/>
  <c r="E17" i="29"/>
  <c r="D17" i="29"/>
  <c r="C17" i="29"/>
  <c r="B17" i="29"/>
  <c r="A17" i="29"/>
  <c r="S17" i="29" s="1"/>
  <c r="I16" i="29"/>
  <c r="H16" i="29"/>
  <c r="G16" i="29"/>
  <c r="F16" i="29"/>
  <c r="E16" i="29"/>
  <c r="D16" i="29"/>
  <c r="C16" i="29"/>
  <c r="B16" i="29"/>
  <c r="A16" i="29"/>
  <c r="S16" i="29" s="1"/>
  <c r="I15" i="29"/>
  <c r="H15" i="29"/>
  <c r="G15" i="29"/>
  <c r="F15" i="29"/>
  <c r="E15" i="29"/>
  <c r="D15" i="29"/>
  <c r="C15" i="29"/>
  <c r="B15" i="29"/>
  <c r="A15" i="29"/>
  <c r="S15" i="29" s="1"/>
  <c r="I14" i="29"/>
  <c r="H14" i="29"/>
  <c r="G14" i="29"/>
  <c r="F14" i="29"/>
  <c r="E14" i="29"/>
  <c r="D14" i="29"/>
  <c r="C14" i="29"/>
  <c r="B14" i="29"/>
  <c r="A14" i="29"/>
  <c r="S14" i="29" s="1"/>
  <c r="I13" i="29"/>
  <c r="H13" i="29"/>
  <c r="G13" i="29"/>
  <c r="F13" i="29"/>
  <c r="E13" i="29"/>
  <c r="D13" i="29"/>
  <c r="C13" i="29"/>
  <c r="B13" i="29"/>
  <c r="A13" i="29"/>
  <c r="S13" i="29" s="1"/>
  <c r="I18" i="41"/>
  <c r="H18" i="41"/>
  <c r="G18" i="41"/>
  <c r="F18" i="41"/>
  <c r="E18" i="41"/>
  <c r="D18" i="41"/>
  <c r="C18" i="41"/>
  <c r="B18" i="41"/>
  <c r="A18" i="41"/>
  <c r="Q18" i="41" s="1"/>
  <c r="I17" i="41"/>
  <c r="H17" i="41"/>
  <c r="G17" i="41"/>
  <c r="F17" i="41"/>
  <c r="E17" i="41"/>
  <c r="D17" i="41"/>
  <c r="C17" i="41"/>
  <c r="B17" i="41"/>
  <c r="A17" i="41"/>
  <c r="Q17" i="41" s="1"/>
  <c r="I16" i="41"/>
  <c r="H16" i="41"/>
  <c r="G16" i="41"/>
  <c r="F16" i="41"/>
  <c r="E16" i="41"/>
  <c r="D16" i="41"/>
  <c r="C16" i="41"/>
  <c r="B16" i="41"/>
  <c r="A16" i="41"/>
  <c r="Q16" i="41" s="1"/>
  <c r="I15" i="41"/>
  <c r="H15" i="41"/>
  <c r="G15" i="41"/>
  <c r="F15" i="41"/>
  <c r="E15" i="41"/>
  <c r="D15" i="41"/>
  <c r="C15" i="41"/>
  <c r="B15" i="41"/>
  <c r="A15" i="41"/>
  <c r="Q15" i="41" s="1"/>
  <c r="I14" i="41"/>
  <c r="H14" i="41"/>
  <c r="G14" i="41"/>
  <c r="F14" i="41"/>
  <c r="E14" i="41"/>
  <c r="D14" i="41"/>
  <c r="C14" i="41"/>
  <c r="B14" i="41"/>
  <c r="A14" i="41"/>
  <c r="Q14" i="41" s="1"/>
  <c r="I13" i="41"/>
  <c r="H13" i="41"/>
  <c r="G13" i="41"/>
  <c r="F13" i="41"/>
  <c r="E13" i="41"/>
  <c r="D13" i="41"/>
  <c r="C13" i="41"/>
  <c r="B13" i="41"/>
  <c r="A13" i="41"/>
  <c r="Q13" i="41" s="1"/>
  <c r="I18" i="42"/>
  <c r="H18" i="42"/>
  <c r="G18" i="42"/>
  <c r="F18" i="42"/>
  <c r="E18" i="42"/>
  <c r="D18" i="42"/>
  <c r="C18" i="42"/>
  <c r="B18" i="42"/>
  <c r="A18" i="42"/>
  <c r="I17" i="42"/>
  <c r="H17" i="42"/>
  <c r="G17" i="42"/>
  <c r="F17" i="42"/>
  <c r="E17" i="42"/>
  <c r="D17" i="42"/>
  <c r="C17" i="42"/>
  <c r="B17" i="42"/>
  <c r="A17" i="42"/>
  <c r="Q17" i="42" s="1"/>
  <c r="I16" i="42"/>
  <c r="H16" i="42"/>
  <c r="G16" i="42"/>
  <c r="F16" i="42"/>
  <c r="E16" i="42"/>
  <c r="D16" i="42"/>
  <c r="C16" i="42"/>
  <c r="B16" i="42"/>
  <c r="A16" i="42"/>
  <c r="Q16" i="42" s="1"/>
  <c r="I15" i="42"/>
  <c r="H15" i="42"/>
  <c r="G15" i="42"/>
  <c r="F15" i="42"/>
  <c r="E15" i="42"/>
  <c r="D15" i="42"/>
  <c r="C15" i="42"/>
  <c r="B15" i="42"/>
  <c r="A15" i="42"/>
  <c r="Q15" i="42" s="1"/>
  <c r="I14" i="42"/>
  <c r="H14" i="42"/>
  <c r="G14" i="42"/>
  <c r="F14" i="42"/>
  <c r="E14" i="42"/>
  <c r="D14" i="42"/>
  <c r="C14" i="42"/>
  <c r="B14" i="42"/>
  <c r="A14" i="42"/>
  <c r="Q14" i="42" s="1"/>
  <c r="I13" i="42"/>
  <c r="H13" i="42"/>
  <c r="G13" i="42"/>
  <c r="F13" i="42"/>
  <c r="E13" i="42"/>
  <c r="D13" i="42"/>
  <c r="C13" i="42"/>
  <c r="B13" i="42"/>
  <c r="A13" i="42"/>
  <c r="Q13" i="42" s="1"/>
  <c r="I18" i="43"/>
  <c r="H18" i="43"/>
  <c r="G18" i="43"/>
  <c r="F18" i="43"/>
  <c r="E18" i="43"/>
  <c r="D18" i="43"/>
  <c r="C18" i="43"/>
  <c r="B18" i="43"/>
  <c r="A18" i="43"/>
  <c r="Q18" i="43" s="1"/>
  <c r="I17" i="43"/>
  <c r="H17" i="43"/>
  <c r="G17" i="43"/>
  <c r="F17" i="43"/>
  <c r="E17" i="43"/>
  <c r="D17" i="43"/>
  <c r="C17" i="43"/>
  <c r="B17" i="43"/>
  <c r="A17" i="43"/>
  <c r="Q17" i="43" s="1"/>
  <c r="I16" i="43"/>
  <c r="H16" i="43"/>
  <c r="G16" i="43"/>
  <c r="F16" i="43"/>
  <c r="E16" i="43"/>
  <c r="D16" i="43"/>
  <c r="C16" i="43"/>
  <c r="B16" i="43"/>
  <c r="A16" i="43"/>
  <c r="Q16" i="43" s="1"/>
  <c r="I15" i="43"/>
  <c r="H15" i="43"/>
  <c r="G15" i="43"/>
  <c r="F15" i="43"/>
  <c r="E15" i="43"/>
  <c r="D15" i="43"/>
  <c r="C15" i="43"/>
  <c r="B15" i="43"/>
  <c r="A15" i="43"/>
  <c r="Q15" i="43" s="1"/>
  <c r="I14" i="43"/>
  <c r="H14" i="43"/>
  <c r="G14" i="43"/>
  <c r="F14" i="43"/>
  <c r="E14" i="43"/>
  <c r="D14" i="43"/>
  <c r="C14" i="43"/>
  <c r="B14" i="43"/>
  <c r="A14" i="43"/>
  <c r="Q14" i="43" s="1"/>
  <c r="I13" i="43"/>
  <c r="H13" i="43"/>
  <c r="G13" i="43"/>
  <c r="F13" i="43"/>
  <c r="E13" i="43"/>
  <c r="D13" i="43"/>
  <c r="C13" i="43"/>
  <c r="B13" i="43"/>
  <c r="A13" i="43"/>
  <c r="Q13" i="43" s="1"/>
  <c r="I18" i="44"/>
  <c r="H18" i="44"/>
  <c r="G18" i="44"/>
  <c r="F18" i="44"/>
  <c r="E18" i="44"/>
  <c r="D18" i="44"/>
  <c r="C18" i="44"/>
  <c r="B18" i="44"/>
  <c r="A18" i="44"/>
  <c r="Q18" i="44" s="1"/>
  <c r="I17" i="44"/>
  <c r="H17" i="44"/>
  <c r="G17" i="44"/>
  <c r="F17" i="44"/>
  <c r="E17" i="44"/>
  <c r="D17" i="44"/>
  <c r="C17" i="44"/>
  <c r="B17" i="44"/>
  <c r="A17" i="44"/>
  <c r="Q17" i="44" s="1"/>
  <c r="I16" i="44"/>
  <c r="H16" i="44"/>
  <c r="G16" i="44"/>
  <c r="F16" i="44"/>
  <c r="E16" i="44"/>
  <c r="D16" i="44"/>
  <c r="C16" i="44"/>
  <c r="B16" i="44"/>
  <c r="A16" i="44"/>
  <c r="Q16" i="44" s="1"/>
  <c r="I15" i="44"/>
  <c r="H15" i="44"/>
  <c r="G15" i="44"/>
  <c r="F15" i="44"/>
  <c r="E15" i="44"/>
  <c r="D15" i="44"/>
  <c r="C15" i="44"/>
  <c r="B15" i="44"/>
  <c r="A15" i="44"/>
  <c r="Q15" i="44" s="1"/>
  <c r="I14" i="44"/>
  <c r="H14" i="44"/>
  <c r="G14" i="44"/>
  <c r="F14" i="44"/>
  <c r="E14" i="44"/>
  <c r="D14" i="44"/>
  <c r="C14" i="44"/>
  <c r="B14" i="44"/>
  <c r="A14" i="44"/>
  <c r="Q14" i="44" s="1"/>
  <c r="I13" i="44"/>
  <c r="H13" i="44"/>
  <c r="G13" i="44"/>
  <c r="F13" i="44"/>
  <c r="E13" i="44"/>
  <c r="D13" i="44"/>
  <c r="C13" i="44"/>
  <c r="B13" i="44"/>
  <c r="A13" i="44"/>
  <c r="Q13" i="44" s="1"/>
  <c r="I18" i="45"/>
  <c r="H18" i="45"/>
  <c r="G18" i="45"/>
  <c r="F18" i="45"/>
  <c r="E18" i="45"/>
  <c r="D18" i="45"/>
  <c r="C18" i="45"/>
  <c r="B18" i="45"/>
  <c r="A18" i="45"/>
  <c r="Q18" i="45" s="1"/>
  <c r="I17" i="45"/>
  <c r="H17" i="45"/>
  <c r="G17" i="45"/>
  <c r="F17" i="45"/>
  <c r="E17" i="45"/>
  <c r="D17" i="45"/>
  <c r="C17" i="45"/>
  <c r="B17" i="45"/>
  <c r="A17" i="45"/>
  <c r="Q17" i="45" s="1"/>
  <c r="I16" i="45"/>
  <c r="H16" i="45"/>
  <c r="G16" i="45"/>
  <c r="F16" i="45"/>
  <c r="E16" i="45"/>
  <c r="D16" i="45"/>
  <c r="C16" i="45"/>
  <c r="B16" i="45"/>
  <c r="A16" i="45"/>
  <c r="Q16" i="45" s="1"/>
  <c r="I15" i="45"/>
  <c r="H15" i="45"/>
  <c r="G15" i="45"/>
  <c r="F15" i="45"/>
  <c r="E15" i="45"/>
  <c r="D15" i="45"/>
  <c r="C15" i="45"/>
  <c r="B15" i="45"/>
  <c r="A15" i="45"/>
  <c r="Q15" i="45" s="1"/>
  <c r="I14" i="45"/>
  <c r="H14" i="45"/>
  <c r="G14" i="45"/>
  <c r="F14" i="45"/>
  <c r="E14" i="45"/>
  <c r="D14" i="45"/>
  <c r="C14" i="45"/>
  <c r="B14" i="45"/>
  <c r="A14" i="45"/>
  <c r="Q14" i="45" s="1"/>
  <c r="I13" i="45"/>
  <c r="H13" i="45"/>
  <c r="G13" i="45"/>
  <c r="F13" i="45"/>
  <c r="E13" i="45"/>
  <c r="D13" i="45"/>
  <c r="C13" i="45"/>
  <c r="B13" i="45"/>
  <c r="A13" i="45"/>
  <c r="Q13" i="45" s="1"/>
  <c r="I18" i="46"/>
  <c r="H18" i="46"/>
  <c r="G18" i="46"/>
  <c r="F18" i="46"/>
  <c r="E18" i="46"/>
  <c r="D18" i="46"/>
  <c r="C18" i="46"/>
  <c r="B18" i="46"/>
  <c r="A18" i="46"/>
  <c r="I17" i="46"/>
  <c r="H17" i="46"/>
  <c r="G17" i="46"/>
  <c r="F17" i="46"/>
  <c r="E17" i="46"/>
  <c r="D17" i="46"/>
  <c r="C17" i="46"/>
  <c r="B17" i="46"/>
  <c r="A17" i="46"/>
  <c r="Q17" i="46" s="1"/>
  <c r="I16" i="46"/>
  <c r="H16" i="46"/>
  <c r="G16" i="46"/>
  <c r="F16" i="46"/>
  <c r="E16" i="46"/>
  <c r="D16" i="46"/>
  <c r="C16" i="46"/>
  <c r="B16" i="46"/>
  <c r="A16" i="46"/>
  <c r="Q16" i="46" s="1"/>
  <c r="I15" i="46"/>
  <c r="H15" i="46"/>
  <c r="G15" i="46"/>
  <c r="F15" i="46"/>
  <c r="E15" i="46"/>
  <c r="D15" i="46"/>
  <c r="C15" i="46"/>
  <c r="B15" i="46"/>
  <c r="A15" i="46"/>
  <c r="Q15" i="46" s="1"/>
  <c r="I14" i="46"/>
  <c r="H14" i="46"/>
  <c r="G14" i="46"/>
  <c r="F14" i="46"/>
  <c r="E14" i="46"/>
  <c r="D14" i="46"/>
  <c r="C14" i="46"/>
  <c r="B14" i="46"/>
  <c r="A14" i="46"/>
  <c r="Q14" i="46" s="1"/>
  <c r="I13" i="46"/>
  <c r="H13" i="46"/>
  <c r="G13" i="46"/>
  <c r="F13" i="46"/>
  <c r="E13" i="46"/>
  <c r="D13" i="46"/>
  <c r="C13" i="46"/>
  <c r="B13" i="46"/>
  <c r="A13" i="46"/>
  <c r="Q13" i="46" s="1"/>
  <c r="I18" i="47"/>
  <c r="H18" i="47"/>
  <c r="G18" i="47"/>
  <c r="F18" i="47"/>
  <c r="E18" i="47"/>
  <c r="D18" i="47"/>
  <c r="C18" i="47"/>
  <c r="B18" i="47"/>
  <c r="A18" i="47"/>
  <c r="I17" i="47"/>
  <c r="H17" i="47"/>
  <c r="G17" i="47"/>
  <c r="F17" i="47"/>
  <c r="E17" i="47"/>
  <c r="D17" i="47"/>
  <c r="C17" i="47"/>
  <c r="B17" i="47"/>
  <c r="A17" i="47"/>
  <c r="Q17" i="47" s="1"/>
  <c r="I16" i="47"/>
  <c r="H16" i="47"/>
  <c r="G16" i="47"/>
  <c r="F16" i="47"/>
  <c r="E16" i="47"/>
  <c r="D16" i="47"/>
  <c r="C16" i="47"/>
  <c r="B16" i="47"/>
  <c r="A16" i="47"/>
  <c r="Q16" i="47" s="1"/>
  <c r="I15" i="47"/>
  <c r="H15" i="47"/>
  <c r="G15" i="47"/>
  <c r="F15" i="47"/>
  <c r="E15" i="47"/>
  <c r="D15" i="47"/>
  <c r="C15" i="47"/>
  <c r="B15" i="47"/>
  <c r="A15" i="47"/>
  <c r="Q15" i="47" s="1"/>
  <c r="I14" i="47"/>
  <c r="H14" i="47"/>
  <c r="G14" i="47"/>
  <c r="F14" i="47"/>
  <c r="E14" i="47"/>
  <c r="D14" i="47"/>
  <c r="C14" i="47"/>
  <c r="B14" i="47"/>
  <c r="A14" i="47"/>
  <c r="Q14" i="47" s="1"/>
  <c r="I13" i="47"/>
  <c r="H13" i="47"/>
  <c r="G13" i="47"/>
  <c r="F13" i="47"/>
  <c r="E13" i="47"/>
  <c r="D13" i="47"/>
  <c r="C13" i="47"/>
  <c r="B13" i="47"/>
  <c r="A13" i="47"/>
  <c r="Q13" i="47" s="1"/>
  <c r="I18" i="48"/>
  <c r="H18" i="48"/>
  <c r="G18" i="48"/>
  <c r="F18" i="48"/>
  <c r="E18" i="48"/>
  <c r="D18" i="48"/>
  <c r="C18" i="48"/>
  <c r="B18" i="48"/>
  <c r="A18" i="48"/>
  <c r="Q18" i="48" s="1"/>
  <c r="I17" i="48"/>
  <c r="H17" i="48"/>
  <c r="G17" i="48"/>
  <c r="F17" i="48"/>
  <c r="E17" i="48"/>
  <c r="D17" i="48"/>
  <c r="C17" i="48"/>
  <c r="B17" i="48"/>
  <c r="A17" i="48"/>
  <c r="Q17" i="48" s="1"/>
  <c r="I16" i="48"/>
  <c r="H16" i="48"/>
  <c r="G16" i="48"/>
  <c r="F16" i="48"/>
  <c r="E16" i="48"/>
  <c r="D16" i="48"/>
  <c r="C16" i="48"/>
  <c r="B16" i="48"/>
  <c r="A16" i="48"/>
  <c r="Q16" i="48" s="1"/>
  <c r="I15" i="48"/>
  <c r="H15" i="48"/>
  <c r="G15" i="48"/>
  <c r="F15" i="48"/>
  <c r="E15" i="48"/>
  <c r="D15" i="48"/>
  <c r="C15" i="48"/>
  <c r="B15" i="48"/>
  <c r="A15" i="48"/>
  <c r="Q15" i="48" s="1"/>
  <c r="I14" i="48"/>
  <c r="H14" i="48"/>
  <c r="G14" i="48"/>
  <c r="F14" i="48"/>
  <c r="E14" i="48"/>
  <c r="D14" i="48"/>
  <c r="C14" i="48"/>
  <c r="B14" i="48"/>
  <c r="A14" i="48"/>
  <c r="Q14" i="48" s="1"/>
  <c r="I13" i="48"/>
  <c r="H13" i="48"/>
  <c r="G13" i="48"/>
  <c r="F13" i="48"/>
  <c r="E13" i="48"/>
  <c r="D13" i="48"/>
  <c r="C13" i="48"/>
  <c r="B13" i="48"/>
  <c r="A13" i="48"/>
  <c r="Q13" i="48" s="1"/>
  <c r="I18" i="49"/>
  <c r="H18" i="49"/>
  <c r="G18" i="49"/>
  <c r="F18" i="49"/>
  <c r="E18" i="49"/>
  <c r="D18" i="49"/>
  <c r="C18" i="49"/>
  <c r="B18" i="49"/>
  <c r="A18" i="49"/>
  <c r="Q18" i="49" s="1"/>
  <c r="I17" i="49"/>
  <c r="H17" i="49"/>
  <c r="G17" i="49"/>
  <c r="F17" i="49"/>
  <c r="E17" i="49"/>
  <c r="D17" i="49"/>
  <c r="C17" i="49"/>
  <c r="B17" i="49"/>
  <c r="A17" i="49"/>
  <c r="Q17" i="49" s="1"/>
  <c r="I16" i="49"/>
  <c r="H16" i="49"/>
  <c r="G16" i="49"/>
  <c r="F16" i="49"/>
  <c r="E16" i="49"/>
  <c r="D16" i="49"/>
  <c r="C16" i="49"/>
  <c r="B16" i="49"/>
  <c r="A16" i="49"/>
  <c r="Q16" i="49" s="1"/>
  <c r="I15" i="49"/>
  <c r="H15" i="49"/>
  <c r="G15" i="49"/>
  <c r="F15" i="49"/>
  <c r="E15" i="49"/>
  <c r="D15" i="49"/>
  <c r="C15" i="49"/>
  <c r="B15" i="49"/>
  <c r="A15" i="49"/>
  <c r="Q15" i="49" s="1"/>
  <c r="I14" i="49"/>
  <c r="H14" i="49"/>
  <c r="G14" i="49"/>
  <c r="F14" i="49"/>
  <c r="E14" i="49"/>
  <c r="D14" i="49"/>
  <c r="C14" i="49"/>
  <c r="B14" i="49"/>
  <c r="A14" i="49"/>
  <c r="Q14" i="49" s="1"/>
  <c r="I13" i="49"/>
  <c r="H13" i="49"/>
  <c r="G13" i="49"/>
  <c r="F13" i="49"/>
  <c r="E13" i="49"/>
  <c r="D13" i="49"/>
  <c r="C13" i="49"/>
  <c r="B13" i="49"/>
  <c r="A13" i="49"/>
  <c r="Q13" i="49" s="1"/>
  <c r="I18" i="34"/>
  <c r="H18" i="34"/>
  <c r="G18" i="34"/>
  <c r="F18" i="34"/>
  <c r="E18" i="34"/>
  <c r="D18" i="34"/>
  <c r="C18" i="34"/>
  <c r="B18" i="34"/>
  <c r="A18" i="34"/>
  <c r="I17" i="34"/>
  <c r="H17" i="34"/>
  <c r="G17" i="34"/>
  <c r="F17" i="34"/>
  <c r="E17" i="34"/>
  <c r="D17" i="34"/>
  <c r="C17" i="34"/>
  <c r="B17" i="34"/>
  <c r="A17" i="34"/>
  <c r="Q17" i="34" s="1"/>
  <c r="I16" i="34"/>
  <c r="H16" i="34"/>
  <c r="G16" i="34"/>
  <c r="F16" i="34"/>
  <c r="E16" i="34"/>
  <c r="D16" i="34"/>
  <c r="C16" i="34"/>
  <c r="B16" i="34"/>
  <c r="A16" i="34"/>
  <c r="Q16" i="34" s="1"/>
  <c r="I15" i="34"/>
  <c r="H15" i="34"/>
  <c r="G15" i="34"/>
  <c r="F15" i="34"/>
  <c r="E15" i="34"/>
  <c r="D15" i="34"/>
  <c r="C15" i="34"/>
  <c r="B15" i="34"/>
  <c r="A15" i="34"/>
  <c r="Q15" i="34" s="1"/>
  <c r="I14" i="34"/>
  <c r="H14" i="34"/>
  <c r="G14" i="34"/>
  <c r="F14" i="34"/>
  <c r="E14" i="34"/>
  <c r="D14" i="34"/>
  <c r="C14" i="34"/>
  <c r="B14" i="34"/>
  <c r="A14" i="34"/>
  <c r="Q14" i="34" s="1"/>
  <c r="I13" i="34"/>
  <c r="H13" i="34"/>
  <c r="G13" i="34"/>
  <c r="F13" i="34"/>
  <c r="E13" i="34"/>
  <c r="D13" i="34"/>
  <c r="C13" i="34"/>
  <c r="B13" i="34"/>
  <c r="A13" i="34"/>
  <c r="Q13" i="34" s="1"/>
  <c r="I18" i="32"/>
  <c r="H18" i="32"/>
  <c r="G18" i="32"/>
  <c r="F18" i="32"/>
  <c r="E18" i="32"/>
  <c r="D18" i="32"/>
  <c r="C18" i="32"/>
  <c r="A18" i="32"/>
  <c r="I17" i="32"/>
  <c r="H17" i="32"/>
  <c r="G17" i="32"/>
  <c r="F17" i="32"/>
  <c r="E17" i="32"/>
  <c r="D17" i="32"/>
  <c r="C17" i="32"/>
  <c r="B17" i="32"/>
  <c r="A17" i="32"/>
  <c r="Q17" i="32" s="1"/>
  <c r="I16" i="32"/>
  <c r="H16" i="32"/>
  <c r="G16" i="32"/>
  <c r="F16" i="32"/>
  <c r="E16" i="32"/>
  <c r="D16" i="32"/>
  <c r="C16" i="32"/>
  <c r="B16" i="32"/>
  <c r="A16" i="32"/>
  <c r="Q16" i="32" s="1"/>
  <c r="I15" i="32"/>
  <c r="H15" i="32"/>
  <c r="G15" i="32"/>
  <c r="F15" i="32"/>
  <c r="E15" i="32"/>
  <c r="D15" i="32"/>
  <c r="C15" i="32"/>
  <c r="B15" i="32"/>
  <c r="A15" i="32"/>
  <c r="Q15" i="32" s="1"/>
  <c r="I14" i="32"/>
  <c r="H14" i="32"/>
  <c r="G14" i="32"/>
  <c r="F14" i="32"/>
  <c r="E14" i="32"/>
  <c r="D14" i="32"/>
  <c r="C14" i="32"/>
  <c r="B14" i="32"/>
  <c r="A14" i="32"/>
  <c r="Q14" i="32" s="1"/>
  <c r="I13" i="32"/>
  <c r="H13" i="32"/>
  <c r="G13" i="32"/>
  <c r="F13" i="32"/>
  <c r="E13" i="32"/>
  <c r="D13" i="32"/>
  <c r="B13" i="32"/>
  <c r="A13" i="32"/>
  <c r="Q13" i="32" s="1"/>
  <c r="I18" i="31"/>
  <c r="H18" i="31"/>
  <c r="G18" i="31"/>
  <c r="F18" i="31"/>
  <c r="E18" i="31"/>
  <c r="D18" i="31"/>
  <c r="C18" i="31"/>
  <c r="B18" i="31"/>
  <c r="A18" i="31"/>
  <c r="I17" i="31"/>
  <c r="H17" i="31"/>
  <c r="G17" i="31"/>
  <c r="F17" i="31"/>
  <c r="E17" i="31"/>
  <c r="D17" i="31"/>
  <c r="C17" i="31"/>
  <c r="B17" i="31"/>
  <c r="A17" i="31"/>
  <c r="Q17" i="31" s="1"/>
  <c r="I16" i="31"/>
  <c r="H16" i="31"/>
  <c r="G16" i="31"/>
  <c r="F16" i="31"/>
  <c r="E16" i="31"/>
  <c r="D16" i="31"/>
  <c r="C16" i="31"/>
  <c r="B16" i="31"/>
  <c r="A16" i="31"/>
  <c r="Q16" i="31" s="1"/>
  <c r="I15" i="31"/>
  <c r="H15" i="31"/>
  <c r="G15" i="31"/>
  <c r="F15" i="31"/>
  <c r="E15" i="31"/>
  <c r="D15" i="31"/>
  <c r="C15" i="31"/>
  <c r="B15" i="31"/>
  <c r="A15" i="31"/>
  <c r="Q15" i="31" s="1"/>
  <c r="I14" i="31"/>
  <c r="H14" i="31"/>
  <c r="G14" i="31"/>
  <c r="F14" i="31"/>
  <c r="E14" i="31"/>
  <c r="D14" i="31"/>
  <c r="C14" i="31"/>
  <c r="B14" i="31"/>
  <c r="A14" i="31"/>
  <c r="Q14" i="31" s="1"/>
  <c r="I13" i="31"/>
  <c r="H13" i="31"/>
  <c r="G13" i="31"/>
  <c r="F13" i="31"/>
  <c r="E13" i="31"/>
  <c r="D13" i="31"/>
  <c r="C13" i="31"/>
  <c r="B13" i="31"/>
  <c r="A13" i="31"/>
  <c r="Q13" i="31" s="1"/>
  <c r="I18" i="33"/>
  <c r="H18" i="33"/>
  <c r="G18" i="33"/>
  <c r="F18" i="33"/>
  <c r="E18" i="33"/>
  <c r="D18" i="33"/>
  <c r="C18" i="33"/>
  <c r="B18" i="33"/>
  <c r="A18" i="33"/>
  <c r="I17" i="33"/>
  <c r="H17" i="33"/>
  <c r="G17" i="33"/>
  <c r="F17" i="33"/>
  <c r="E17" i="33"/>
  <c r="D17" i="33"/>
  <c r="C17" i="33"/>
  <c r="B17" i="33"/>
  <c r="A17" i="33"/>
  <c r="Q17" i="33" s="1"/>
  <c r="I16" i="33"/>
  <c r="H16" i="33"/>
  <c r="G16" i="33"/>
  <c r="F16" i="33"/>
  <c r="E16" i="33"/>
  <c r="D16" i="33"/>
  <c r="C16" i="33"/>
  <c r="B16" i="33"/>
  <c r="A16" i="33"/>
  <c r="Q16" i="33" s="1"/>
  <c r="I15" i="33"/>
  <c r="H15" i="33"/>
  <c r="G15" i="33"/>
  <c r="F15" i="33"/>
  <c r="E15" i="33"/>
  <c r="D15" i="33"/>
  <c r="C15" i="33"/>
  <c r="B15" i="33"/>
  <c r="A15" i="33"/>
  <c r="Q15" i="33" s="1"/>
  <c r="I14" i="33"/>
  <c r="H14" i="33"/>
  <c r="G14" i="33"/>
  <c r="F14" i="33"/>
  <c r="E14" i="33"/>
  <c r="D14" i="33"/>
  <c r="C14" i="33"/>
  <c r="B14" i="33"/>
  <c r="A14" i="33"/>
  <c r="Q14" i="33" s="1"/>
  <c r="I13" i="33"/>
  <c r="H13" i="33"/>
  <c r="G13" i="33"/>
  <c r="F13" i="33"/>
  <c r="E13" i="33"/>
  <c r="D13" i="33"/>
  <c r="C13" i="33"/>
  <c r="B13" i="33"/>
  <c r="A13" i="33"/>
  <c r="Q13" i="33" s="1"/>
  <c r="A73" i="52" l="1"/>
  <c r="A60" i="52"/>
  <c r="A24" i="31"/>
  <c r="A41" i="31" s="1"/>
  <c r="Q41" i="31" s="1"/>
  <c r="Q18" i="31"/>
  <c r="A24" i="34"/>
  <c r="A25" i="34" s="1"/>
  <c r="A26" i="34" s="1"/>
  <c r="Q18" i="34"/>
  <c r="A24" i="46"/>
  <c r="A25" i="46" s="1"/>
  <c r="Q18" i="46"/>
  <c r="A24" i="42"/>
  <c r="A41" i="42" s="1"/>
  <c r="Q41" i="42" s="1"/>
  <c r="Q18" i="42"/>
  <c r="A24" i="29"/>
  <c r="A25" i="29" s="1"/>
  <c r="S18" i="29"/>
  <c r="A24" i="38"/>
  <c r="A25" i="38" s="1"/>
  <c r="Q18" i="38"/>
  <c r="A24" i="11"/>
  <c r="A25" i="11" s="1"/>
  <c r="Q18" i="11"/>
  <c r="A24" i="37"/>
  <c r="A25" i="37" s="1"/>
  <c r="Q18" i="37"/>
  <c r="A24" i="35"/>
  <c r="A41" i="35" s="1"/>
  <c r="Q41" i="35" s="1"/>
  <c r="Q18" i="35"/>
  <c r="A24" i="33"/>
  <c r="A25" i="33" s="1"/>
  <c r="Q18" i="33"/>
  <c r="A24" i="32"/>
  <c r="A25" i="32" s="1"/>
  <c r="Q18" i="32"/>
  <c r="A24" i="47"/>
  <c r="A41" i="47" s="1"/>
  <c r="Q41" i="47" s="1"/>
  <c r="Q18" i="47"/>
  <c r="A24" i="39"/>
  <c r="A41" i="39" s="1"/>
  <c r="Q41" i="39" s="1"/>
  <c r="Q18" i="39"/>
  <c r="A24" i="30"/>
  <c r="A41" i="30" s="1"/>
  <c r="Q41" i="30" s="1"/>
  <c r="Q18" i="30"/>
  <c r="A24" i="28"/>
  <c r="A41" i="28" s="1"/>
  <c r="Q41" i="28" s="1"/>
  <c r="Q18" i="28"/>
  <c r="A24" i="36"/>
  <c r="A25" i="36" s="1"/>
  <c r="Q18" i="36"/>
  <c r="A24" i="48"/>
  <c r="A41" i="48" s="1"/>
  <c r="Q41" i="48" s="1"/>
  <c r="A24" i="44"/>
  <c r="A25" i="44" s="1"/>
  <c r="A25" i="47"/>
  <c r="A24" i="45"/>
  <c r="A24" i="43"/>
  <c r="A24" i="41"/>
  <c r="A41" i="38"/>
  <c r="Q41" i="38" s="1"/>
  <c r="A24" i="49"/>
  <c r="A41" i="11"/>
  <c r="Q41" i="11" s="1"/>
  <c r="A25" i="42"/>
  <c r="A41" i="37"/>
  <c r="Q41" i="37" s="1"/>
  <c r="A13" i="50"/>
  <c r="Q13" i="50" s="1"/>
  <c r="A14" i="50"/>
  <c r="Q14" i="50" s="1"/>
  <c r="A15" i="50"/>
  <c r="Q15" i="50" s="1"/>
  <c r="A16" i="50"/>
  <c r="Q16" i="50" s="1"/>
  <c r="A17" i="50"/>
  <c r="Q17" i="50" s="1"/>
  <c r="A18" i="50"/>
  <c r="I18" i="50"/>
  <c r="I13" i="50"/>
  <c r="I14" i="50"/>
  <c r="I15" i="50"/>
  <c r="I16" i="50"/>
  <c r="I17" i="50"/>
  <c r="H18" i="50"/>
  <c r="W13" i="50"/>
  <c r="V13" i="50"/>
  <c r="U13" i="50"/>
  <c r="T13" i="50"/>
  <c r="S13" i="50"/>
  <c r="R13" i="50"/>
  <c r="W14" i="50"/>
  <c r="V14" i="50"/>
  <c r="U14" i="50"/>
  <c r="T14" i="50"/>
  <c r="S14" i="50"/>
  <c r="R14" i="50"/>
  <c r="W15" i="50"/>
  <c r="V15" i="50"/>
  <c r="U15" i="50"/>
  <c r="T15" i="50"/>
  <c r="S15" i="50"/>
  <c r="R15" i="50"/>
  <c r="W16" i="50"/>
  <c r="V16" i="50"/>
  <c r="U16" i="50"/>
  <c r="T16" i="50"/>
  <c r="S16" i="50"/>
  <c r="R16" i="50"/>
  <c r="W17" i="50"/>
  <c r="V17" i="50"/>
  <c r="U17" i="50"/>
  <c r="T17" i="50"/>
  <c r="S17" i="50"/>
  <c r="R17" i="50"/>
  <c r="R18" i="50"/>
  <c r="W18" i="50"/>
  <c r="V18" i="50"/>
  <c r="U18" i="50"/>
  <c r="T18" i="50"/>
  <c r="S18" i="50"/>
  <c r="B18" i="50"/>
  <c r="AK26" i="59"/>
  <c r="AL26" i="59"/>
  <c r="AM26" i="59"/>
  <c r="AN26" i="59"/>
  <c r="AO26" i="59"/>
  <c r="AP26" i="59"/>
  <c r="AQ26" i="59"/>
  <c r="AR26" i="59"/>
  <c r="AS26" i="59"/>
  <c r="AT26" i="59"/>
  <c r="AU26" i="59"/>
  <c r="AV26" i="59"/>
  <c r="AW26" i="59"/>
  <c r="AX26" i="59"/>
  <c r="D16" i="50"/>
  <c r="C16" i="50"/>
  <c r="B16" i="50"/>
  <c r="B17" i="50"/>
  <c r="C17" i="50"/>
  <c r="D17" i="50"/>
  <c r="H13" i="50"/>
  <c r="G13" i="50"/>
  <c r="F13" i="50"/>
  <c r="E13" i="50"/>
  <c r="D13" i="50"/>
  <c r="C13" i="50"/>
  <c r="B13" i="50"/>
  <c r="H14" i="50"/>
  <c r="G14" i="50"/>
  <c r="F14" i="50"/>
  <c r="E14" i="50"/>
  <c r="D14" i="50"/>
  <c r="B14" i="50"/>
  <c r="H15" i="50"/>
  <c r="G15" i="50"/>
  <c r="F15" i="50"/>
  <c r="E15" i="50"/>
  <c r="D15" i="50"/>
  <c r="C15" i="50"/>
  <c r="B15" i="50"/>
  <c r="H16" i="50"/>
  <c r="G16" i="50"/>
  <c r="F16" i="50"/>
  <c r="E16" i="50"/>
  <c r="H17" i="50"/>
  <c r="G17" i="50"/>
  <c r="F17" i="50"/>
  <c r="E17" i="50"/>
  <c r="G18" i="50"/>
  <c r="F18" i="50"/>
  <c r="E18" i="50"/>
  <c r="D18" i="50"/>
  <c r="C18" i="50"/>
  <c r="O3" i="54"/>
  <c r="V3" i="54"/>
  <c r="P3" i="54" s="1"/>
  <c r="O4" i="54"/>
  <c r="V4" i="54"/>
  <c r="P4" i="54" s="1"/>
  <c r="O5" i="54"/>
  <c r="V5" i="54"/>
  <c r="O6" i="54"/>
  <c r="V6" i="54"/>
  <c r="O7" i="54"/>
  <c r="V7" i="54"/>
  <c r="O8" i="54"/>
  <c r="V8" i="54"/>
  <c r="O9" i="54"/>
  <c r="V9" i="54"/>
  <c r="O10" i="54"/>
  <c r="V10" i="54"/>
  <c r="O11" i="54"/>
  <c r="V11" i="54"/>
  <c r="O12" i="54"/>
  <c r="V12" i="54"/>
  <c r="O13" i="54"/>
  <c r="I13" i="54" s="1"/>
  <c r="V13" i="54"/>
  <c r="O14" i="54"/>
  <c r="I14" i="54" s="1"/>
  <c r="V14" i="54"/>
  <c r="O15" i="54"/>
  <c r="V15" i="54"/>
  <c r="O16" i="54"/>
  <c r="V16" i="54"/>
  <c r="P16" i="54" s="1"/>
  <c r="O17" i="54"/>
  <c r="V17" i="54"/>
  <c r="O18" i="54"/>
  <c r="V18" i="54"/>
  <c r="O19" i="54"/>
  <c r="V19" i="54"/>
  <c r="O20" i="54"/>
  <c r="V20" i="54"/>
  <c r="O21" i="54"/>
  <c r="I21" i="54" s="1"/>
  <c r="V21" i="54"/>
  <c r="P21" i="54" s="1"/>
  <c r="O22" i="54"/>
  <c r="V22" i="54"/>
  <c r="O23" i="54"/>
  <c r="V23" i="54"/>
  <c r="O24" i="54"/>
  <c r="V24" i="54"/>
  <c r="P24" i="54" s="1"/>
  <c r="O25" i="54"/>
  <c r="V25" i="54"/>
  <c r="A25" i="39" l="1"/>
  <c r="A26" i="39" s="1"/>
  <c r="A42" i="34"/>
  <c r="Q42" i="34" s="1"/>
  <c r="A25" i="30"/>
  <c r="A26" i="30" s="1"/>
  <c r="A41" i="34"/>
  <c r="Q41" i="34" s="1"/>
  <c r="A25" i="28"/>
  <c r="A42" i="28" s="1"/>
  <c r="Q42" i="28" s="1"/>
  <c r="A41" i="46"/>
  <c r="Q41" i="46" s="1"/>
  <c r="A41" i="33"/>
  <c r="Q41" i="33" s="1"/>
  <c r="A41" i="32"/>
  <c r="Q41" i="32" s="1"/>
  <c r="A25" i="31"/>
  <c r="A42" i="31" s="1"/>
  <c r="Q42" i="31" s="1"/>
  <c r="A41" i="29"/>
  <c r="S41" i="29" s="1"/>
  <c r="A25" i="35"/>
  <c r="A26" i="35" s="1"/>
  <c r="A61" i="52"/>
  <c r="A74" i="52"/>
  <c r="A24" i="50"/>
  <c r="A25" i="50" s="1"/>
  <c r="Q18" i="50"/>
  <c r="A41" i="36"/>
  <c r="Q41" i="36" s="1"/>
  <c r="A41" i="44"/>
  <c r="Q41" i="44" s="1"/>
  <c r="A25" i="48"/>
  <c r="A26" i="48" s="1"/>
  <c r="A26" i="29"/>
  <c r="A42" i="29"/>
  <c r="S42" i="29" s="1"/>
  <c r="A25" i="49"/>
  <c r="A41" i="49"/>
  <c r="Q41" i="49" s="1"/>
  <c r="A25" i="43"/>
  <c r="A41" i="43"/>
  <c r="Q41" i="43" s="1"/>
  <c r="A26" i="42"/>
  <c r="A42" i="42"/>
  <c r="Q42" i="42" s="1"/>
  <c r="A26" i="44"/>
  <c r="A42" i="44"/>
  <c r="Q42" i="44" s="1"/>
  <c r="A26" i="36"/>
  <c r="A42" i="36"/>
  <c r="Q42" i="36" s="1"/>
  <c r="A42" i="39"/>
  <c r="Q42" i="39" s="1"/>
  <c r="A26" i="47"/>
  <c r="A42" i="47"/>
  <c r="Q42" i="47" s="1"/>
  <c r="A25" i="41"/>
  <c r="A41" i="41"/>
  <c r="Q41" i="41" s="1"/>
  <c r="A26" i="37"/>
  <c r="A42" i="37"/>
  <c r="Q42" i="37" s="1"/>
  <c r="A43" i="34"/>
  <c r="Q43" i="34" s="1"/>
  <c r="A27" i="34"/>
  <c r="A26" i="11"/>
  <c r="A42" i="11"/>
  <c r="Q42" i="11" s="1"/>
  <c r="A26" i="46"/>
  <c r="A42" i="46"/>
  <c r="Q42" i="46" s="1"/>
  <c r="A26" i="38"/>
  <c r="A42" i="38"/>
  <c r="Q42" i="38" s="1"/>
  <c r="A25" i="45"/>
  <c r="A41" i="45"/>
  <c r="Q41" i="45" s="1"/>
  <c r="A26" i="32"/>
  <c r="A42" i="32"/>
  <c r="Q42" i="32" s="1"/>
  <c r="A26" i="33"/>
  <c r="A42" i="33"/>
  <c r="Q42" i="33" s="1"/>
  <c r="Q24" i="54"/>
  <c r="R24" i="54" s="1"/>
  <c r="S24" i="54" s="1"/>
  <c r="I17" i="54"/>
  <c r="I5" i="54"/>
  <c r="J5" i="54" s="1"/>
  <c r="K5" i="54" s="1"/>
  <c r="L5" i="54" s="1"/>
  <c r="P12" i="54"/>
  <c r="Q12" i="54" s="1"/>
  <c r="I25" i="54"/>
  <c r="J25" i="54" s="1"/>
  <c r="I4" i="54"/>
  <c r="J4" i="54" s="1"/>
  <c r="K4" i="54" s="1"/>
  <c r="L4" i="54" s="1"/>
  <c r="M4" i="54" s="1"/>
  <c r="Q4" i="54"/>
  <c r="R4" i="54" s="1"/>
  <c r="J21" i="54"/>
  <c r="K21" i="54" s="1"/>
  <c r="L21" i="54" s="1"/>
  <c r="M21" i="54" s="1"/>
  <c r="P20" i="54"/>
  <c r="Q20" i="54" s="1"/>
  <c r="I9" i="54"/>
  <c r="P8" i="54"/>
  <c r="Q16" i="54"/>
  <c r="R16" i="54" s="1"/>
  <c r="J13" i="54"/>
  <c r="K13" i="54" s="1"/>
  <c r="L13" i="54" s="1"/>
  <c r="P22" i="54"/>
  <c r="I15" i="54"/>
  <c r="P25" i="54"/>
  <c r="P19" i="54"/>
  <c r="Q19" i="54" s="1"/>
  <c r="I18" i="54"/>
  <c r="J18" i="54" s="1"/>
  <c r="I12" i="54"/>
  <c r="P6" i="54"/>
  <c r="P23" i="54"/>
  <c r="Q23" i="54" s="1"/>
  <c r="I19" i="54"/>
  <c r="I16" i="54"/>
  <c r="J16" i="54" s="1"/>
  <c r="P10" i="54"/>
  <c r="P9" i="54"/>
  <c r="P7" i="54"/>
  <c r="I6" i="54"/>
  <c r="J6" i="54" s="1"/>
  <c r="Q3" i="54"/>
  <c r="R3" i="54" s="1"/>
  <c r="I3" i="54"/>
  <c r="J3" i="54" s="1"/>
  <c r="K3" i="54" s="1"/>
  <c r="I23" i="54"/>
  <c r="I22" i="54"/>
  <c r="I20" i="54"/>
  <c r="P14" i="54"/>
  <c r="Q14" i="54" s="1"/>
  <c r="P13" i="54"/>
  <c r="Q13" i="54" s="1"/>
  <c r="P11" i="54"/>
  <c r="I7" i="54"/>
  <c r="J7" i="54" s="1"/>
  <c r="P5" i="54"/>
  <c r="I24" i="54"/>
  <c r="Q21" i="54"/>
  <c r="R21" i="54" s="1"/>
  <c r="P18" i="54"/>
  <c r="P17" i="54"/>
  <c r="P15" i="54"/>
  <c r="Q15" i="54" s="1"/>
  <c r="J14" i="54"/>
  <c r="I11" i="54"/>
  <c r="I10" i="54"/>
  <c r="J10" i="54" s="1"/>
  <c r="I8" i="54"/>
  <c r="J8" i="54" s="1"/>
  <c r="AC9" i="54"/>
  <c r="W9" i="54" s="1"/>
  <c r="AJ9" i="54"/>
  <c r="AQ9" i="54"/>
  <c r="AK9" i="54" s="1"/>
  <c r="AX9" i="54"/>
  <c r="BE9" i="54"/>
  <c r="AY9" i="54" s="1"/>
  <c r="BL9" i="54"/>
  <c r="BS9" i="54"/>
  <c r="BM9" i="54" s="1"/>
  <c r="BZ9" i="54"/>
  <c r="CG9" i="54"/>
  <c r="CA9" i="54" s="1"/>
  <c r="CN9" i="54"/>
  <c r="CH9" i="54" s="1"/>
  <c r="CU9" i="54"/>
  <c r="DB9" i="54"/>
  <c r="A26" i="28" l="1"/>
  <c r="A42" i="30"/>
  <c r="Q42" i="30" s="1"/>
  <c r="A26" i="31"/>
  <c r="A27" i="31" s="1"/>
  <c r="A42" i="35"/>
  <c r="Q42" i="35" s="1"/>
  <c r="A41" i="50"/>
  <c r="Q41" i="50" s="1"/>
  <c r="A62" i="52"/>
  <c r="A75" i="52"/>
  <c r="A42" i="48"/>
  <c r="Q42" i="48" s="1"/>
  <c r="A27" i="33"/>
  <c r="A43" i="33"/>
  <c r="Q43" i="33" s="1"/>
  <c r="A26" i="45"/>
  <c r="A42" i="45"/>
  <c r="Q42" i="45" s="1"/>
  <c r="A27" i="38"/>
  <c r="A43" i="38"/>
  <c r="Q43" i="38" s="1"/>
  <c r="A27" i="11"/>
  <c r="A43" i="11"/>
  <c r="Q43" i="11" s="1"/>
  <c r="A27" i="37"/>
  <c r="A43" i="37"/>
  <c r="Q43" i="37" s="1"/>
  <c r="A27" i="48"/>
  <c r="A43" i="48"/>
  <c r="Q43" i="48" s="1"/>
  <c r="A27" i="47"/>
  <c r="A43" i="47"/>
  <c r="Q43" i="47" s="1"/>
  <c r="A27" i="36"/>
  <c r="A43" i="36"/>
  <c r="Q43" i="36" s="1"/>
  <c r="A27" i="35"/>
  <c r="A43" i="35"/>
  <c r="Q43" i="35" s="1"/>
  <c r="A26" i="49"/>
  <c r="A42" i="49"/>
  <c r="Q42" i="49" s="1"/>
  <c r="A42" i="50"/>
  <c r="Q42" i="50" s="1"/>
  <c r="A26" i="50"/>
  <c r="A28" i="34"/>
  <c r="A44" i="34"/>
  <c r="Q44" i="34" s="1"/>
  <c r="A27" i="32"/>
  <c r="A43" i="32"/>
  <c r="Q43" i="32" s="1"/>
  <c r="A27" i="30"/>
  <c r="A43" i="30"/>
  <c r="Q43" i="30" s="1"/>
  <c r="A27" i="46"/>
  <c r="A43" i="46"/>
  <c r="Q43" i="46" s="1"/>
  <c r="A26" i="41"/>
  <c r="A42" i="41"/>
  <c r="Q42" i="41" s="1"/>
  <c r="A27" i="28"/>
  <c r="A43" i="28"/>
  <c r="Q43" i="28" s="1"/>
  <c r="A27" i="39"/>
  <c r="A43" i="39"/>
  <c r="Q43" i="39" s="1"/>
  <c r="A27" i="44"/>
  <c r="A43" i="44"/>
  <c r="Q43" i="44" s="1"/>
  <c r="A27" i="42"/>
  <c r="A43" i="42"/>
  <c r="Q43" i="42" s="1"/>
  <c r="A26" i="43"/>
  <c r="A42" i="43"/>
  <c r="Q42" i="43" s="1"/>
  <c r="A27" i="29"/>
  <c r="A43" i="29"/>
  <c r="S43" i="29" s="1"/>
  <c r="J17" i="54"/>
  <c r="K17" i="54" s="1"/>
  <c r="L17" i="54" s="1"/>
  <c r="M17" i="54" s="1"/>
  <c r="R19" i="54"/>
  <c r="S19" i="54" s="1"/>
  <c r="T19" i="54" s="1"/>
  <c r="U19" i="54" s="1"/>
  <c r="R20" i="54"/>
  <c r="S20" i="54" s="1"/>
  <c r="R12" i="54"/>
  <c r="S12" i="54" s="1"/>
  <c r="T12" i="54" s="1"/>
  <c r="U12" i="54" s="1"/>
  <c r="T24" i="54"/>
  <c r="U24" i="54" s="1"/>
  <c r="S21" i="54"/>
  <c r="T21" i="54" s="1"/>
  <c r="N21" i="54"/>
  <c r="J9" i="54"/>
  <c r="Q8" i="54"/>
  <c r="R8" i="54" s="1"/>
  <c r="K18" i="54"/>
  <c r="L18" i="54" s="1"/>
  <c r="M18" i="54" s="1"/>
  <c r="K25" i="54"/>
  <c r="M13" i="54"/>
  <c r="N13" i="54" s="1"/>
  <c r="S16" i="54"/>
  <c r="T16" i="54" s="1"/>
  <c r="Q5" i="54"/>
  <c r="S3" i="54"/>
  <c r="T3" i="54" s="1"/>
  <c r="J22" i="54"/>
  <c r="Q9" i="54"/>
  <c r="J12" i="54"/>
  <c r="J11" i="54"/>
  <c r="K11" i="54" s="1"/>
  <c r="Q18" i="54"/>
  <c r="J24" i="54"/>
  <c r="K24" i="54" s="1"/>
  <c r="M5" i="54"/>
  <c r="N5" i="54" s="1"/>
  <c r="K7" i="54"/>
  <c r="L7" i="54" s="1"/>
  <c r="Q11" i="54"/>
  <c r="Q17" i="54"/>
  <c r="R17" i="54" s="1"/>
  <c r="K6" i="54"/>
  <c r="L6" i="54" s="1"/>
  <c r="Q10" i="54"/>
  <c r="R10" i="54" s="1"/>
  <c r="J19" i="54"/>
  <c r="K19" i="54" s="1"/>
  <c r="Q6" i="54"/>
  <c r="J15" i="54"/>
  <c r="Q22" i="54"/>
  <c r="N4" i="54"/>
  <c r="S4" i="54"/>
  <c r="K8" i="54"/>
  <c r="L8" i="54" s="1"/>
  <c r="K10" i="54"/>
  <c r="L10" i="54" s="1"/>
  <c r="M10" i="54" s="1"/>
  <c r="R15" i="54"/>
  <c r="S15" i="54" s="1"/>
  <c r="T15" i="54" s="1"/>
  <c r="L3" i="54"/>
  <c r="R13" i="54"/>
  <c r="S13" i="54" s="1"/>
  <c r="R14" i="54"/>
  <c r="S14" i="54" s="1"/>
  <c r="J20" i="54"/>
  <c r="J23" i="54"/>
  <c r="Q7" i="54"/>
  <c r="R7" i="54" s="1"/>
  <c r="K16" i="54"/>
  <c r="R23" i="54"/>
  <c r="K14" i="54"/>
  <c r="L14" i="54" s="1"/>
  <c r="Q25" i="54"/>
  <c r="R25" i="54" s="1"/>
  <c r="BN9" i="54"/>
  <c r="BO9" i="54" s="1"/>
  <c r="BP9" i="54" s="1"/>
  <c r="BQ9" i="54" s="1"/>
  <c r="BR9" i="54" s="1"/>
  <c r="CO9" i="54"/>
  <c r="CP9" i="54" s="1"/>
  <c r="AD9" i="54"/>
  <c r="CI9" i="54"/>
  <c r="CJ9" i="54" s="1"/>
  <c r="BF9" i="54"/>
  <c r="BG9" i="54" s="1"/>
  <c r="AL9" i="54"/>
  <c r="CV9" i="54"/>
  <c r="CB9" i="54"/>
  <c r="BT9" i="54"/>
  <c r="BU9" i="54" s="1"/>
  <c r="AZ9" i="54"/>
  <c r="BA9" i="54" s="1"/>
  <c r="AR9" i="54"/>
  <c r="X9" i="54"/>
  <c r="Y9" i="54" s="1"/>
  <c r="A43" i="31" l="1"/>
  <c r="Q43" i="31" s="1"/>
  <c r="A63" i="52"/>
  <c r="A76" i="52"/>
  <c r="A28" i="29"/>
  <c r="A44" i="29"/>
  <c r="S44" i="29" s="1"/>
  <c r="A28" i="42"/>
  <c r="A44" i="42"/>
  <c r="Q44" i="42" s="1"/>
  <c r="A28" i="39"/>
  <c r="A44" i="39"/>
  <c r="Q44" i="39" s="1"/>
  <c r="A27" i="41"/>
  <c r="A43" i="41"/>
  <c r="Q43" i="41" s="1"/>
  <c r="A28" i="30"/>
  <c r="A44" i="30"/>
  <c r="Q44" i="30" s="1"/>
  <c r="A29" i="34"/>
  <c r="A45" i="34"/>
  <c r="Q45" i="34" s="1"/>
  <c r="A27" i="49"/>
  <c r="A43" i="49"/>
  <c r="Q43" i="49" s="1"/>
  <c r="A28" i="31"/>
  <c r="A44" i="31"/>
  <c r="Q44" i="31" s="1"/>
  <c r="A28" i="47"/>
  <c r="A44" i="47"/>
  <c r="Q44" i="47" s="1"/>
  <c r="A28" i="37"/>
  <c r="A44" i="37"/>
  <c r="Q44" i="37" s="1"/>
  <c r="A28" i="38"/>
  <c r="A44" i="38"/>
  <c r="Q44" i="38" s="1"/>
  <c r="A28" i="33"/>
  <c r="A44" i="33"/>
  <c r="Q44" i="33" s="1"/>
  <c r="A27" i="43"/>
  <c r="A43" i="43"/>
  <c r="Q43" i="43" s="1"/>
  <c r="A28" i="44"/>
  <c r="A44" i="44"/>
  <c r="Q44" i="44" s="1"/>
  <c r="A28" i="28"/>
  <c r="A44" i="28"/>
  <c r="Q44" i="28" s="1"/>
  <c r="A28" i="46"/>
  <c r="A44" i="46"/>
  <c r="Q44" i="46" s="1"/>
  <c r="A28" i="32"/>
  <c r="A44" i="32"/>
  <c r="Q44" i="32" s="1"/>
  <c r="A43" i="50"/>
  <c r="Q43" i="50" s="1"/>
  <c r="A27" i="50"/>
  <c r="A28" i="35"/>
  <c r="A44" i="35"/>
  <c r="Q44" i="35" s="1"/>
  <c r="A28" i="36"/>
  <c r="A44" i="36"/>
  <c r="Q44" i="36" s="1"/>
  <c r="A28" i="48"/>
  <c r="A44" i="48"/>
  <c r="Q44" i="48" s="1"/>
  <c r="A28" i="11"/>
  <c r="A44" i="11"/>
  <c r="Q44" i="11" s="1"/>
  <c r="A27" i="45"/>
  <c r="A43" i="45"/>
  <c r="Q43" i="45" s="1"/>
  <c r="T20" i="54"/>
  <c r="U20" i="54" s="1"/>
  <c r="N18" i="54"/>
  <c r="S23" i="54"/>
  <c r="T23" i="54" s="1"/>
  <c r="U23" i="54" s="1"/>
  <c r="L19" i="54"/>
  <c r="M19" i="54" s="1"/>
  <c r="N19" i="54" s="1"/>
  <c r="T4" i="54"/>
  <c r="U4" i="54" s="1"/>
  <c r="L25" i="54"/>
  <c r="M25" i="54" s="1"/>
  <c r="S8" i="54"/>
  <c r="T8" i="54" s="1"/>
  <c r="M7" i="54"/>
  <c r="N7" i="54" s="1"/>
  <c r="R18" i="54"/>
  <c r="U21" i="54"/>
  <c r="M6" i="54"/>
  <c r="N6" i="54" s="1"/>
  <c r="M3" i="54"/>
  <c r="N3" i="54" s="1"/>
  <c r="R5" i="54"/>
  <c r="N17" i="54"/>
  <c r="K9" i="54"/>
  <c r="M14" i="54"/>
  <c r="N14" i="54" s="1"/>
  <c r="S17" i="54"/>
  <c r="T17" i="54" s="1"/>
  <c r="R11" i="54"/>
  <c r="S11" i="54" s="1"/>
  <c r="S25" i="54"/>
  <c r="T25" i="54" s="1"/>
  <c r="R22" i="54"/>
  <c r="S22" i="54" s="1"/>
  <c r="R6" i="54"/>
  <c r="S6" i="54" s="1"/>
  <c r="K20" i="54"/>
  <c r="L20" i="54" s="1"/>
  <c r="S10" i="54"/>
  <c r="T10" i="54" s="1"/>
  <c r="U10" i="54" s="1"/>
  <c r="L24" i="54"/>
  <c r="M24" i="54" s="1"/>
  <c r="N24" i="54" s="1"/>
  <c r="T14" i="54"/>
  <c r="U14" i="54" s="1"/>
  <c r="N10" i="54"/>
  <c r="K15" i="54"/>
  <c r="L15" i="54" s="1"/>
  <c r="R9" i="54"/>
  <c r="S9" i="54" s="1"/>
  <c r="T9" i="54" s="1"/>
  <c r="K23" i="54"/>
  <c r="L11" i="54"/>
  <c r="M11" i="54" s="1"/>
  <c r="N11" i="54" s="1"/>
  <c r="U16" i="54"/>
  <c r="K12" i="54"/>
  <c r="L12" i="54" s="1"/>
  <c r="U3" i="54"/>
  <c r="U15" i="54"/>
  <c r="M8" i="54"/>
  <c r="N8" i="54" s="1"/>
  <c r="S7" i="54"/>
  <c r="K22" i="54"/>
  <c r="L16" i="54"/>
  <c r="T13" i="54"/>
  <c r="U13" i="54" s="1"/>
  <c r="CQ9" i="54"/>
  <c r="CR9" i="54" s="1"/>
  <c r="AE9" i="54"/>
  <c r="CC9" i="54"/>
  <c r="AM9" i="54"/>
  <c r="AN9" i="54" s="1"/>
  <c r="BH9" i="54"/>
  <c r="BI9" i="54" s="1"/>
  <c r="CK9" i="54"/>
  <c r="CL9" i="54" s="1"/>
  <c r="CM9" i="54" s="1"/>
  <c r="AS9" i="54"/>
  <c r="AT9" i="54" s="1"/>
  <c r="AU9" i="54" s="1"/>
  <c r="BV9" i="54"/>
  <c r="BW9" i="54" s="1"/>
  <c r="BB9" i="54"/>
  <c r="BC9" i="54" s="1"/>
  <c r="Z9" i="54"/>
  <c r="AA9" i="54" s="1"/>
  <c r="CW9" i="54"/>
  <c r="A64" i="52" l="1"/>
  <c r="A77" i="52"/>
  <c r="A28" i="45"/>
  <c r="A44" i="45"/>
  <c r="Q44" i="45" s="1"/>
  <c r="A29" i="48"/>
  <c r="A45" i="48"/>
  <c r="Q45" i="48" s="1"/>
  <c r="A29" i="35"/>
  <c r="A45" i="35"/>
  <c r="Q45" i="35" s="1"/>
  <c r="A44" i="50"/>
  <c r="Q44" i="50" s="1"/>
  <c r="A28" i="50"/>
  <c r="A29" i="32"/>
  <c r="A45" i="32"/>
  <c r="Q45" i="32" s="1"/>
  <c r="A29" i="28"/>
  <c r="A45" i="28"/>
  <c r="Q45" i="28" s="1"/>
  <c r="A28" i="43"/>
  <c r="A44" i="43"/>
  <c r="Q44" i="43" s="1"/>
  <c r="A45" i="38"/>
  <c r="Q45" i="38" s="1"/>
  <c r="A29" i="38"/>
  <c r="A29" i="47"/>
  <c r="A45" i="47"/>
  <c r="Q45" i="47" s="1"/>
  <c r="A28" i="49"/>
  <c r="A44" i="49"/>
  <c r="Q44" i="49" s="1"/>
  <c r="A29" i="30"/>
  <c r="A45" i="30"/>
  <c r="Q45" i="30" s="1"/>
  <c r="A29" i="39"/>
  <c r="A45" i="39"/>
  <c r="Q45" i="39" s="1"/>
  <c r="A29" i="29"/>
  <c r="A45" i="29"/>
  <c r="S45" i="29" s="1"/>
  <c r="A29" i="11"/>
  <c r="A45" i="11"/>
  <c r="Q45" i="11" s="1"/>
  <c r="A29" i="36"/>
  <c r="A45" i="36"/>
  <c r="Q45" i="36" s="1"/>
  <c r="A29" i="46"/>
  <c r="A45" i="46"/>
  <c r="Q45" i="46" s="1"/>
  <c r="A29" i="44"/>
  <c r="A45" i="44"/>
  <c r="Q45" i="44" s="1"/>
  <c r="A29" i="33"/>
  <c r="A45" i="33"/>
  <c r="Q45" i="33" s="1"/>
  <c r="A29" i="37"/>
  <c r="A45" i="37"/>
  <c r="Q45" i="37" s="1"/>
  <c r="A29" i="31"/>
  <c r="A45" i="31"/>
  <c r="Q45" i="31" s="1"/>
  <c r="A30" i="34"/>
  <c r="A46" i="34"/>
  <c r="Q46" i="34" s="1"/>
  <c r="A28" i="41"/>
  <c r="A44" i="41"/>
  <c r="Q44" i="41" s="1"/>
  <c r="A29" i="42"/>
  <c r="A45" i="42"/>
  <c r="Q45" i="42" s="1"/>
  <c r="N25" i="54"/>
  <c r="T11" i="54"/>
  <c r="U11" i="54" s="1"/>
  <c r="S5" i="54"/>
  <c r="T5" i="54" s="1"/>
  <c r="U5" i="54" s="1"/>
  <c r="M15" i="54"/>
  <c r="N15" i="54" s="1"/>
  <c r="U8" i="54"/>
  <c r="T22" i="54"/>
  <c r="U22" i="54" s="1"/>
  <c r="L9" i="54"/>
  <c r="M9" i="54" s="1"/>
  <c r="S18" i="54"/>
  <c r="T18" i="54" s="1"/>
  <c r="U18" i="54" s="1"/>
  <c r="T7" i="54"/>
  <c r="U7" i="54" s="1"/>
  <c r="U25" i="54"/>
  <c r="L23" i="54"/>
  <c r="M23" i="54" s="1"/>
  <c r="U17" i="54"/>
  <c r="U9" i="54"/>
  <c r="L22" i="54"/>
  <c r="M22" i="54" s="1"/>
  <c r="M16" i="54"/>
  <c r="N16" i="54" s="1"/>
  <c r="M12" i="54"/>
  <c r="N12" i="54" s="1"/>
  <c r="T6" i="54"/>
  <c r="U6" i="54" s="1"/>
  <c r="M20" i="54"/>
  <c r="N20" i="54" s="1"/>
  <c r="CS9" i="54"/>
  <c r="CT9" i="54" s="1"/>
  <c r="BJ9" i="54"/>
  <c r="BK9" i="54" s="1"/>
  <c r="AO9" i="54"/>
  <c r="AP9" i="54" s="1"/>
  <c r="AF9" i="54"/>
  <c r="AG9" i="54" s="1"/>
  <c r="AH9" i="54" s="1"/>
  <c r="AI9" i="54" s="1"/>
  <c r="BX9" i="54"/>
  <c r="BY9" i="54" s="1"/>
  <c r="CD9" i="54"/>
  <c r="CE9" i="54" s="1"/>
  <c r="CF9" i="54" s="1"/>
  <c r="AV9" i="54"/>
  <c r="AW9" i="54" s="1"/>
  <c r="CX9" i="54"/>
  <c r="BD9" i="54"/>
  <c r="AB9" i="54"/>
  <c r="A65" i="52" l="1"/>
  <c r="A78" i="52"/>
  <c r="A30" i="42"/>
  <c r="A46" i="42"/>
  <c r="Q46" i="42" s="1"/>
  <c r="A31" i="34"/>
  <c r="A47" i="34"/>
  <c r="Q47" i="34" s="1"/>
  <c r="A30" i="37"/>
  <c r="A46" i="37"/>
  <c r="Q46" i="37" s="1"/>
  <c r="A30" i="44"/>
  <c r="A46" i="44"/>
  <c r="Q46" i="44" s="1"/>
  <c r="A30" i="36"/>
  <c r="A46" i="36"/>
  <c r="Q46" i="36" s="1"/>
  <c r="A30" i="29"/>
  <c r="A46" i="29"/>
  <c r="S46" i="29" s="1"/>
  <c r="A30" i="30"/>
  <c r="A46" i="30"/>
  <c r="Q46" i="30" s="1"/>
  <c r="A30" i="47"/>
  <c r="A46" i="47"/>
  <c r="Q46" i="47" s="1"/>
  <c r="A29" i="43"/>
  <c r="A45" i="43"/>
  <c r="Q45" i="43" s="1"/>
  <c r="A30" i="32"/>
  <c r="A46" i="32"/>
  <c r="Q46" i="32" s="1"/>
  <c r="A30" i="38"/>
  <c r="A46" i="38"/>
  <c r="Q46" i="38" s="1"/>
  <c r="A29" i="50"/>
  <c r="A45" i="50"/>
  <c r="Q45" i="50" s="1"/>
  <c r="A30" i="35"/>
  <c r="A46" i="35"/>
  <c r="Q46" i="35" s="1"/>
  <c r="A29" i="45"/>
  <c r="A45" i="45"/>
  <c r="Q45" i="45" s="1"/>
  <c r="A29" i="41"/>
  <c r="A45" i="41"/>
  <c r="Q45" i="41" s="1"/>
  <c r="A30" i="31"/>
  <c r="A46" i="31"/>
  <c r="Q46" i="31" s="1"/>
  <c r="A30" i="33"/>
  <c r="A46" i="33"/>
  <c r="Q46" i="33" s="1"/>
  <c r="A30" i="46"/>
  <c r="A46" i="46"/>
  <c r="Q46" i="46" s="1"/>
  <c r="A30" i="11"/>
  <c r="A46" i="11"/>
  <c r="Q46" i="11" s="1"/>
  <c r="A30" i="39"/>
  <c r="A46" i="39"/>
  <c r="Q46" i="39" s="1"/>
  <c r="A29" i="49"/>
  <c r="A45" i="49"/>
  <c r="Q45" i="49" s="1"/>
  <c r="A30" i="28"/>
  <c r="A46" i="28"/>
  <c r="Q46" i="28" s="1"/>
  <c r="A30" i="48"/>
  <c r="A46" i="48"/>
  <c r="Q46" i="48" s="1"/>
  <c r="N23" i="54"/>
  <c r="N9" i="54"/>
  <c r="N22" i="54"/>
  <c r="CY9" i="54"/>
  <c r="A79" i="52" l="1"/>
  <c r="A66" i="52"/>
  <c r="A31" i="48"/>
  <c r="A47" i="48"/>
  <c r="Q47" i="48" s="1"/>
  <c r="A31" i="11"/>
  <c r="A47" i="11"/>
  <c r="Q47" i="11" s="1"/>
  <c r="A31" i="33"/>
  <c r="A47" i="33"/>
  <c r="Q47" i="33" s="1"/>
  <c r="A31" i="35"/>
  <c r="A47" i="35"/>
  <c r="Q47" i="35" s="1"/>
  <c r="A31" i="28"/>
  <c r="A47" i="28"/>
  <c r="Q47" i="28" s="1"/>
  <c r="A31" i="39"/>
  <c r="A47" i="39"/>
  <c r="Q47" i="39" s="1"/>
  <c r="A31" i="46"/>
  <c r="A47" i="46"/>
  <c r="Q47" i="46" s="1"/>
  <c r="A31" i="31"/>
  <c r="A47" i="31"/>
  <c r="Q47" i="31" s="1"/>
  <c r="A30" i="45"/>
  <c r="A46" i="45"/>
  <c r="Q46" i="45" s="1"/>
  <c r="A30" i="50"/>
  <c r="A46" i="50"/>
  <c r="Q46" i="50" s="1"/>
  <c r="A31" i="32"/>
  <c r="A47" i="32"/>
  <c r="Q47" i="32" s="1"/>
  <c r="A31" i="47"/>
  <c r="A47" i="47"/>
  <c r="Q47" i="47" s="1"/>
  <c r="A31" i="29"/>
  <c r="A47" i="29"/>
  <c r="S47" i="29" s="1"/>
  <c r="A31" i="44"/>
  <c r="A47" i="44"/>
  <c r="Q47" i="44" s="1"/>
  <c r="A32" i="34"/>
  <c r="A48" i="34"/>
  <c r="Q48" i="34" s="1"/>
  <c r="A30" i="49"/>
  <c r="A46" i="49"/>
  <c r="Q46" i="49" s="1"/>
  <c r="A30" i="41"/>
  <c r="A46" i="41"/>
  <c r="Q46" i="41" s="1"/>
  <c r="A31" i="38"/>
  <c r="A47" i="38"/>
  <c r="Q47" i="38" s="1"/>
  <c r="A30" i="43"/>
  <c r="A46" i="43"/>
  <c r="Q46" i="43" s="1"/>
  <c r="A47" i="30"/>
  <c r="Q47" i="30" s="1"/>
  <c r="A31" i="30"/>
  <c r="A31" i="36"/>
  <c r="A47" i="36"/>
  <c r="Q47" i="36" s="1"/>
  <c r="A31" i="37"/>
  <c r="A47" i="37"/>
  <c r="Q47" i="37" s="1"/>
  <c r="A31" i="42"/>
  <c r="A47" i="42"/>
  <c r="Q47" i="42" s="1"/>
  <c r="CZ9" i="54"/>
  <c r="DA9" i="54" s="1"/>
  <c r="A67" i="52" l="1"/>
  <c r="A81" i="52" s="1"/>
  <c r="A80" i="52"/>
  <c r="A32" i="42"/>
  <c r="A48" i="42"/>
  <c r="Q48" i="42" s="1"/>
  <c r="A32" i="36"/>
  <c r="A48" i="36"/>
  <c r="Q48" i="36" s="1"/>
  <c r="A31" i="43"/>
  <c r="A47" i="43"/>
  <c r="Q47" i="43" s="1"/>
  <c r="A31" i="41"/>
  <c r="A47" i="41"/>
  <c r="Q47" i="41" s="1"/>
  <c r="A33" i="34"/>
  <c r="A49" i="34"/>
  <c r="Q49" i="34" s="1"/>
  <c r="A32" i="29"/>
  <c r="A48" i="29"/>
  <c r="S48" i="29" s="1"/>
  <c r="A32" i="32"/>
  <c r="A48" i="32"/>
  <c r="Q48" i="32" s="1"/>
  <c r="A32" i="30"/>
  <c r="A48" i="30"/>
  <c r="Q48" i="30" s="1"/>
  <c r="A31" i="45"/>
  <c r="A47" i="45"/>
  <c r="Q47" i="45" s="1"/>
  <c r="A32" i="46"/>
  <c r="A48" i="46"/>
  <c r="Q48" i="46" s="1"/>
  <c r="A32" i="28"/>
  <c r="A48" i="28"/>
  <c r="Q48" i="28" s="1"/>
  <c r="A32" i="33"/>
  <c r="A48" i="33"/>
  <c r="Q48" i="33" s="1"/>
  <c r="A32" i="48"/>
  <c r="A48" i="48"/>
  <c r="Q48" i="48" s="1"/>
  <c r="A32" i="37"/>
  <c r="A48" i="37"/>
  <c r="Q48" i="37" s="1"/>
  <c r="A32" i="38"/>
  <c r="A48" i="38"/>
  <c r="Q48" i="38" s="1"/>
  <c r="A31" i="49"/>
  <c r="A47" i="49"/>
  <c r="Q47" i="49" s="1"/>
  <c r="A32" i="44"/>
  <c r="A48" i="44"/>
  <c r="Q48" i="44" s="1"/>
  <c r="A32" i="47"/>
  <c r="A48" i="47"/>
  <c r="Q48" i="47" s="1"/>
  <c r="A31" i="50"/>
  <c r="A47" i="50"/>
  <c r="Q47" i="50" s="1"/>
  <c r="A32" i="31"/>
  <c r="A48" i="31"/>
  <c r="Q48" i="31" s="1"/>
  <c r="A32" i="39"/>
  <c r="A48" i="39"/>
  <c r="Q48" i="39" s="1"/>
  <c r="A32" i="35"/>
  <c r="A48" i="35"/>
  <c r="Q48" i="35" s="1"/>
  <c r="A32" i="11"/>
  <c r="A48" i="11"/>
  <c r="Q48" i="11" s="1"/>
  <c r="B1" i="54"/>
  <c r="B96" i="56"/>
  <c r="B101" i="56"/>
  <c r="CV1" i="54"/>
  <c r="CO1" i="54"/>
  <c r="CH1" i="54"/>
  <c r="CA1" i="54"/>
  <c r="BT1" i="54"/>
  <c r="BM1" i="54"/>
  <c r="BF1" i="54"/>
  <c r="AY1" i="54"/>
  <c r="AR1" i="54"/>
  <c r="AK1" i="54"/>
  <c r="AD1" i="54"/>
  <c r="W1" i="54"/>
  <c r="P1" i="54"/>
  <c r="I1" i="54"/>
  <c r="B98" i="56" l="1"/>
  <c r="J94" i="56"/>
  <c r="AP94" i="56"/>
  <c r="A1" i="54"/>
  <c r="A94" i="56"/>
  <c r="BV94" i="56"/>
  <c r="B100" i="56"/>
  <c r="B108" i="56"/>
  <c r="B97" i="56"/>
  <c r="DB94" i="56"/>
  <c r="A33" i="35"/>
  <c r="A49" i="35"/>
  <c r="Q49" i="35" s="1"/>
  <c r="A33" i="31"/>
  <c r="A49" i="31"/>
  <c r="Q49" i="31" s="1"/>
  <c r="A33" i="47"/>
  <c r="A49" i="47"/>
  <c r="Q49" i="47" s="1"/>
  <c r="A32" i="49"/>
  <c r="A48" i="49"/>
  <c r="Q48" i="49" s="1"/>
  <c r="A33" i="37"/>
  <c r="A49" i="37"/>
  <c r="Q49" i="37" s="1"/>
  <c r="A33" i="33"/>
  <c r="A49" i="33"/>
  <c r="Q49" i="33" s="1"/>
  <c r="A33" i="46"/>
  <c r="A49" i="46"/>
  <c r="Q49" i="46" s="1"/>
  <c r="A33" i="30"/>
  <c r="A49" i="30"/>
  <c r="Q49" i="30" s="1"/>
  <c r="A33" i="29"/>
  <c r="A49" i="29"/>
  <c r="S49" i="29" s="1"/>
  <c r="A32" i="41"/>
  <c r="A48" i="41"/>
  <c r="Q48" i="41" s="1"/>
  <c r="A33" i="36"/>
  <c r="A49" i="36"/>
  <c r="Q49" i="36" s="1"/>
  <c r="A33" i="11"/>
  <c r="A49" i="11"/>
  <c r="Q49" i="11" s="1"/>
  <c r="A33" i="39"/>
  <c r="A49" i="39"/>
  <c r="Q49" i="39" s="1"/>
  <c r="A32" i="50"/>
  <c r="A48" i="50"/>
  <c r="Q48" i="50" s="1"/>
  <c r="A33" i="44"/>
  <c r="A49" i="44"/>
  <c r="Q49" i="44" s="1"/>
  <c r="A33" i="38"/>
  <c r="A49" i="38"/>
  <c r="Q49" i="38" s="1"/>
  <c r="A33" i="48"/>
  <c r="A49" i="48"/>
  <c r="Q49" i="48" s="1"/>
  <c r="A33" i="28"/>
  <c r="A49" i="28"/>
  <c r="Q49" i="28" s="1"/>
  <c r="A32" i="45"/>
  <c r="A48" i="45"/>
  <c r="Q48" i="45" s="1"/>
  <c r="A33" i="32"/>
  <c r="A49" i="32"/>
  <c r="Q49" i="32" s="1"/>
  <c r="A34" i="34"/>
  <c r="A50" i="34"/>
  <c r="Q50" i="34" s="1"/>
  <c r="A32" i="43"/>
  <c r="A48" i="43"/>
  <c r="Q48" i="43" s="1"/>
  <c r="A33" i="42"/>
  <c r="A49" i="42"/>
  <c r="Q49" i="42" s="1"/>
  <c r="R94" i="56"/>
  <c r="AX94" i="56"/>
  <c r="CD94" i="56"/>
  <c r="DJ94" i="56"/>
  <c r="Z94" i="56"/>
  <c r="BF94" i="56"/>
  <c r="CL94" i="56"/>
  <c r="B94" i="56"/>
  <c r="AH94" i="56"/>
  <c r="BN94" i="56"/>
  <c r="CT94" i="56"/>
  <c r="A35" i="34" l="1"/>
  <c r="A51" i="34"/>
  <c r="Q51" i="34" s="1"/>
  <c r="A34" i="48"/>
  <c r="A50" i="48"/>
  <c r="Q50" i="48" s="1"/>
  <c r="A33" i="43"/>
  <c r="A49" i="43"/>
  <c r="Q49" i="43" s="1"/>
  <c r="A34" i="32"/>
  <c r="A50" i="32"/>
  <c r="Q50" i="32" s="1"/>
  <c r="A34" i="28"/>
  <c r="A50" i="28"/>
  <c r="Q50" i="28" s="1"/>
  <c r="A34" i="38"/>
  <c r="A50" i="38"/>
  <c r="Q50" i="38" s="1"/>
  <c r="A33" i="50"/>
  <c r="A49" i="50"/>
  <c r="Q49" i="50" s="1"/>
  <c r="A34" i="11"/>
  <c r="A50" i="11"/>
  <c r="Q50" i="11" s="1"/>
  <c r="A33" i="41"/>
  <c r="A49" i="41"/>
  <c r="Q49" i="41" s="1"/>
  <c r="A34" i="30"/>
  <c r="A50" i="30"/>
  <c r="Q50" i="30" s="1"/>
  <c r="A34" i="33"/>
  <c r="A50" i="33"/>
  <c r="Q50" i="33" s="1"/>
  <c r="A33" i="49"/>
  <c r="A49" i="49"/>
  <c r="Q49" i="49" s="1"/>
  <c r="A34" i="31"/>
  <c r="A50" i="31"/>
  <c r="Q50" i="31" s="1"/>
  <c r="A34" i="42"/>
  <c r="A50" i="42"/>
  <c r="Q50" i="42" s="1"/>
  <c r="A33" i="45"/>
  <c r="A49" i="45"/>
  <c r="Q49" i="45" s="1"/>
  <c r="A34" i="44"/>
  <c r="A50" i="44"/>
  <c r="Q50" i="44" s="1"/>
  <c r="A34" i="39"/>
  <c r="A50" i="39"/>
  <c r="Q50" i="39" s="1"/>
  <c r="A34" i="36"/>
  <c r="A50" i="36"/>
  <c r="Q50" i="36" s="1"/>
  <c r="A34" i="29"/>
  <c r="A50" i="29"/>
  <c r="S50" i="29" s="1"/>
  <c r="A34" i="46"/>
  <c r="A50" i="46"/>
  <c r="Q50" i="46" s="1"/>
  <c r="A34" i="37"/>
  <c r="A50" i="37"/>
  <c r="Q50" i="37" s="1"/>
  <c r="A34" i="47"/>
  <c r="A50" i="47"/>
  <c r="Q50" i="47" s="1"/>
  <c r="A34" i="35"/>
  <c r="A50" i="35"/>
  <c r="Q50" i="35" s="1"/>
  <c r="A35" i="35" l="1"/>
  <c r="A51" i="35"/>
  <c r="Q51" i="35" s="1"/>
  <c r="A35" i="29"/>
  <c r="A51" i="29"/>
  <c r="S51" i="29" s="1"/>
  <c r="A35" i="39"/>
  <c r="A51" i="39"/>
  <c r="Q51" i="39" s="1"/>
  <c r="A34" i="45"/>
  <c r="A50" i="45"/>
  <c r="Q50" i="45" s="1"/>
  <c r="A35" i="31"/>
  <c r="A51" i="31"/>
  <c r="Q51" i="31" s="1"/>
  <c r="A35" i="33"/>
  <c r="A51" i="33"/>
  <c r="Q51" i="33" s="1"/>
  <c r="A34" i="41"/>
  <c r="A50" i="41"/>
  <c r="Q50" i="41" s="1"/>
  <c r="A35" i="47"/>
  <c r="A51" i="47"/>
  <c r="Q51" i="47" s="1"/>
  <c r="A35" i="46"/>
  <c r="A51" i="46"/>
  <c r="Q51" i="46" s="1"/>
  <c r="A35" i="36"/>
  <c r="A51" i="36"/>
  <c r="Q51" i="36" s="1"/>
  <c r="A35" i="44"/>
  <c r="A51" i="44"/>
  <c r="Q51" i="44" s="1"/>
  <c r="A35" i="42"/>
  <c r="A51" i="42"/>
  <c r="Q51" i="42" s="1"/>
  <c r="A34" i="49"/>
  <c r="A50" i="49"/>
  <c r="Q50" i="49" s="1"/>
  <c r="A35" i="30"/>
  <c r="A51" i="30"/>
  <c r="Q51" i="30" s="1"/>
  <c r="A35" i="11"/>
  <c r="A51" i="11"/>
  <c r="Q51" i="11" s="1"/>
  <c r="A35" i="38"/>
  <c r="A51" i="38"/>
  <c r="Q51" i="38" s="1"/>
  <c r="A35" i="32"/>
  <c r="A51" i="32"/>
  <c r="Q51" i="32" s="1"/>
  <c r="A35" i="48"/>
  <c r="A51" i="48"/>
  <c r="Q51" i="48" s="1"/>
  <c r="A35" i="37"/>
  <c r="A51" i="37"/>
  <c r="Q51" i="37" s="1"/>
  <c r="A34" i="50"/>
  <c r="A50" i="50"/>
  <c r="Q50" i="50" s="1"/>
  <c r="A35" i="28"/>
  <c r="A51" i="28"/>
  <c r="Q51" i="28" s="1"/>
  <c r="A34" i="43"/>
  <c r="A50" i="43"/>
  <c r="Q50" i="43" s="1"/>
  <c r="A52" i="34"/>
  <c r="Q52" i="34" s="1"/>
  <c r="A36" i="34"/>
  <c r="V6" i="57"/>
  <c r="U6" i="57"/>
  <c r="T6" i="57"/>
  <c r="S6" i="57"/>
  <c r="R6" i="57"/>
  <c r="Q6" i="57"/>
  <c r="P6" i="57"/>
  <c r="O6" i="57"/>
  <c r="N6" i="57"/>
  <c r="M6" i="57"/>
  <c r="L6" i="57"/>
  <c r="K6" i="57"/>
  <c r="J6" i="57"/>
  <c r="I6" i="57"/>
  <c r="H6" i="57"/>
  <c r="G6" i="57"/>
  <c r="F6" i="57"/>
  <c r="C20" i="44"/>
  <c r="A52" i="28" l="1"/>
  <c r="Q52" i="28" s="1"/>
  <c r="A36" i="28"/>
  <c r="A52" i="37"/>
  <c r="Q52" i="37" s="1"/>
  <c r="A36" i="37"/>
  <c r="A36" i="32"/>
  <c r="A52" i="32"/>
  <c r="Q52" i="32" s="1"/>
  <c r="A52" i="11"/>
  <c r="Q52" i="11" s="1"/>
  <c r="A36" i="11"/>
  <c r="A35" i="49"/>
  <c r="A51" i="49"/>
  <c r="Q51" i="49" s="1"/>
  <c r="A52" i="44"/>
  <c r="Q52" i="44" s="1"/>
  <c r="A36" i="44"/>
  <c r="A52" i="46"/>
  <c r="Q52" i="46" s="1"/>
  <c r="A36" i="46"/>
  <c r="A35" i="41"/>
  <c r="A51" i="41"/>
  <c r="Q51" i="41" s="1"/>
  <c r="A52" i="31"/>
  <c r="Q52" i="31" s="1"/>
  <c r="A36" i="31"/>
  <c r="A52" i="39"/>
  <c r="Q52" i="39" s="1"/>
  <c r="A36" i="39"/>
  <c r="A52" i="35"/>
  <c r="Q52" i="35" s="1"/>
  <c r="A36" i="35"/>
  <c r="A35" i="43"/>
  <c r="A51" i="43"/>
  <c r="Q51" i="43" s="1"/>
  <c r="A37" i="34"/>
  <c r="A54" i="34" s="1"/>
  <c r="Q54" i="34" s="1"/>
  <c r="A53" i="34"/>
  <c r="Q53" i="34" s="1"/>
  <c r="A35" i="50"/>
  <c r="A51" i="50"/>
  <c r="Q51" i="50" s="1"/>
  <c r="A52" i="48"/>
  <c r="Q52" i="48" s="1"/>
  <c r="A36" i="48"/>
  <c r="A52" i="38"/>
  <c r="Q52" i="38" s="1"/>
  <c r="A36" i="38"/>
  <c r="A52" i="30"/>
  <c r="Q52" i="30" s="1"/>
  <c r="A36" i="30"/>
  <c r="A52" i="42"/>
  <c r="Q52" i="42" s="1"/>
  <c r="A36" i="42"/>
  <c r="A52" i="36"/>
  <c r="Q52" i="36" s="1"/>
  <c r="A36" i="36"/>
  <c r="A52" i="47"/>
  <c r="Q52" i="47" s="1"/>
  <c r="A36" i="47"/>
  <c r="A52" i="33"/>
  <c r="Q52" i="33" s="1"/>
  <c r="A36" i="33"/>
  <c r="A35" i="45"/>
  <c r="A51" i="45"/>
  <c r="Q51" i="45" s="1"/>
  <c r="A52" i="29"/>
  <c r="S52" i="29" s="1"/>
  <c r="A36" i="29"/>
  <c r="C66" i="50"/>
  <c r="C66" i="49"/>
  <c r="C66" i="48"/>
  <c r="C66" i="47"/>
  <c r="C66" i="46"/>
  <c r="C66" i="45"/>
  <c r="C64" i="44"/>
  <c r="C66" i="43"/>
  <c r="C66" i="42"/>
  <c r="C66" i="41"/>
  <c r="C66" i="29"/>
  <c r="C67" i="39"/>
  <c r="C66" i="38"/>
  <c r="C66" i="30"/>
  <c r="C66" i="11"/>
  <c r="C66" i="28"/>
  <c r="C66" i="37"/>
  <c r="C66" i="36"/>
  <c r="C66" i="35"/>
  <c r="C66" i="34"/>
  <c r="C66" i="33"/>
  <c r="C66" i="31"/>
  <c r="Q18" i="29"/>
  <c r="Y41" i="29"/>
  <c r="W41" i="29"/>
  <c r="V41" i="29"/>
  <c r="U41" i="29"/>
  <c r="W20" i="50"/>
  <c r="V20" i="50"/>
  <c r="W20" i="49"/>
  <c r="V20" i="49"/>
  <c r="W20" i="48"/>
  <c r="V20" i="48"/>
  <c r="W20" i="47"/>
  <c r="V20" i="47"/>
  <c r="W20" i="46"/>
  <c r="V20" i="46"/>
  <c r="W20" i="45"/>
  <c r="V20" i="45"/>
  <c r="W20" i="44"/>
  <c r="V20" i="44"/>
  <c r="W20" i="43"/>
  <c r="V20" i="43"/>
  <c r="W20" i="42"/>
  <c r="V20" i="42"/>
  <c r="W20" i="41"/>
  <c r="V20" i="41"/>
  <c r="Y20" i="29"/>
  <c r="X20" i="29"/>
  <c r="X41" i="29" s="1"/>
  <c r="W20" i="39"/>
  <c r="V20" i="39"/>
  <c r="W20" i="38"/>
  <c r="V20" i="38"/>
  <c r="W20" i="30"/>
  <c r="V20" i="30"/>
  <c r="W20" i="11"/>
  <c r="V20" i="11"/>
  <c r="W20" i="28"/>
  <c r="V20" i="28"/>
  <c r="W20" i="37"/>
  <c r="V20" i="37"/>
  <c r="W20" i="36"/>
  <c r="V20" i="36"/>
  <c r="W20" i="35"/>
  <c r="V20" i="35"/>
  <c r="W20" i="34"/>
  <c r="W41" i="34" s="1"/>
  <c r="V20" i="34"/>
  <c r="V41" i="34" s="1"/>
  <c r="W20" i="33"/>
  <c r="V20" i="33"/>
  <c r="W20" i="31"/>
  <c r="V20" i="31"/>
  <c r="W20" i="32"/>
  <c r="V20" i="32"/>
  <c r="O16" i="32"/>
  <c r="O17" i="32"/>
  <c r="O18" i="32"/>
  <c r="D20" i="44"/>
  <c r="E20" i="44"/>
  <c r="F20" i="44"/>
  <c r="G20" i="44"/>
  <c r="H20" i="44"/>
  <c r="I20" i="44"/>
  <c r="I20" i="50"/>
  <c r="H20" i="50"/>
  <c r="G20" i="50"/>
  <c r="F20" i="50"/>
  <c r="E20" i="50"/>
  <c r="D20" i="50"/>
  <c r="C20" i="50"/>
  <c r="I20" i="49"/>
  <c r="H20" i="49"/>
  <c r="G20" i="49"/>
  <c r="F20" i="49"/>
  <c r="E20" i="49"/>
  <c r="D20" i="49"/>
  <c r="C20" i="49"/>
  <c r="I20" i="48"/>
  <c r="H20" i="48"/>
  <c r="G20" i="48"/>
  <c r="F20" i="48"/>
  <c r="E20" i="48"/>
  <c r="D20" i="48"/>
  <c r="C20" i="48"/>
  <c r="I20" i="47"/>
  <c r="H20" i="47"/>
  <c r="G20" i="47"/>
  <c r="F20" i="47"/>
  <c r="E20" i="47"/>
  <c r="D20" i="47"/>
  <c r="C20" i="47"/>
  <c r="I20" i="46"/>
  <c r="H20" i="46"/>
  <c r="G20" i="46"/>
  <c r="F20" i="46"/>
  <c r="E20" i="46"/>
  <c r="D20" i="46"/>
  <c r="C20" i="46"/>
  <c r="I20" i="45"/>
  <c r="H20" i="45"/>
  <c r="G20" i="45"/>
  <c r="F20" i="45"/>
  <c r="E20" i="45"/>
  <c r="D20" i="45"/>
  <c r="C20" i="45"/>
  <c r="I20" i="43"/>
  <c r="H20" i="43"/>
  <c r="G20" i="43"/>
  <c r="F20" i="43"/>
  <c r="E20" i="43"/>
  <c r="D20" i="43"/>
  <c r="C20" i="43"/>
  <c r="I20" i="42"/>
  <c r="H20" i="42"/>
  <c r="G20" i="42"/>
  <c r="F20" i="42"/>
  <c r="E20" i="42"/>
  <c r="D20" i="42"/>
  <c r="C20" i="42"/>
  <c r="I20" i="41"/>
  <c r="H20" i="41"/>
  <c r="G20" i="41"/>
  <c r="F20" i="41"/>
  <c r="E20" i="41"/>
  <c r="D20" i="41"/>
  <c r="C20" i="41"/>
  <c r="I20" i="29"/>
  <c r="H20" i="29"/>
  <c r="G20" i="29"/>
  <c r="F20" i="29"/>
  <c r="E20" i="29"/>
  <c r="D20" i="29"/>
  <c r="C20" i="29"/>
  <c r="I20" i="39"/>
  <c r="H20" i="39"/>
  <c r="G20" i="39"/>
  <c r="F20" i="39"/>
  <c r="E20" i="39"/>
  <c r="D20" i="39"/>
  <c r="C20" i="39"/>
  <c r="I20" i="38"/>
  <c r="H20" i="38"/>
  <c r="G20" i="38"/>
  <c r="F20" i="38"/>
  <c r="E20" i="38"/>
  <c r="D20" i="38"/>
  <c r="C20" i="38"/>
  <c r="I20" i="30"/>
  <c r="H20" i="30"/>
  <c r="G20" i="30"/>
  <c r="F20" i="30"/>
  <c r="E20" i="30"/>
  <c r="D20" i="30"/>
  <c r="C20" i="30"/>
  <c r="I20" i="11"/>
  <c r="H20" i="11"/>
  <c r="G20" i="11"/>
  <c r="F20" i="11"/>
  <c r="E20" i="11"/>
  <c r="D20" i="11"/>
  <c r="C20" i="11"/>
  <c r="I20" i="28"/>
  <c r="H20" i="28"/>
  <c r="G20" i="28"/>
  <c r="F20" i="28"/>
  <c r="E20" i="28"/>
  <c r="D20" i="28"/>
  <c r="C20" i="28"/>
  <c r="I20" i="37"/>
  <c r="H20" i="37"/>
  <c r="G20" i="37"/>
  <c r="F20" i="37"/>
  <c r="E20" i="37"/>
  <c r="D20" i="37"/>
  <c r="C20" i="37"/>
  <c r="I20" i="36"/>
  <c r="H20" i="36"/>
  <c r="G20" i="36"/>
  <c r="F20" i="36"/>
  <c r="E20" i="36"/>
  <c r="D20" i="36"/>
  <c r="C20" i="36"/>
  <c r="I20" i="35"/>
  <c r="H20" i="35"/>
  <c r="G20" i="35"/>
  <c r="F20" i="35"/>
  <c r="E20" i="35"/>
  <c r="D20" i="35"/>
  <c r="C20" i="35"/>
  <c r="H20" i="34"/>
  <c r="G20" i="34"/>
  <c r="F20" i="34"/>
  <c r="E20" i="34"/>
  <c r="D20" i="34"/>
  <c r="C20" i="34"/>
  <c r="I20" i="33"/>
  <c r="H20" i="33"/>
  <c r="G20" i="33"/>
  <c r="F20" i="33"/>
  <c r="E20" i="33"/>
  <c r="D20" i="33"/>
  <c r="C20" i="33"/>
  <c r="I20" i="31"/>
  <c r="H20" i="31"/>
  <c r="G20" i="31"/>
  <c r="F20" i="31"/>
  <c r="E20" i="31"/>
  <c r="D20" i="31"/>
  <c r="C20" i="31"/>
  <c r="I20" i="32"/>
  <c r="H20" i="32"/>
  <c r="G20" i="32"/>
  <c r="F20" i="32"/>
  <c r="E20" i="32"/>
  <c r="D20" i="32"/>
  <c r="C20" i="32"/>
  <c r="A37" i="35" l="1"/>
  <c r="A54" i="35" s="1"/>
  <c r="Q54" i="35" s="1"/>
  <c r="A53" i="35"/>
  <c r="Q53" i="35" s="1"/>
  <c r="A52" i="45"/>
  <c r="Q52" i="45" s="1"/>
  <c r="A36" i="45"/>
  <c r="A37" i="39"/>
  <c r="A54" i="39" s="1"/>
  <c r="Q54" i="39" s="1"/>
  <c r="A53" i="39"/>
  <c r="Q53" i="39" s="1"/>
  <c r="A37" i="44"/>
  <c r="A54" i="44" s="1"/>
  <c r="Q54" i="44" s="1"/>
  <c r="A53" i="44"/>
  <c r="Q53" i="44" s="1"/>
  <c r="A37" i="11"/>
  <c r="A54" i="11" s="1"/>
  <c r="Q54" i="11" s="1"/>
  <c r="A53" i="11"/>
  <c r="Q53" i="11" s="1"/>
  <c r="A37" i="37"/>
  <c r="A54" i="37" s="1"/>
  <c r="Q54" i="37" s="1"/>
  <c r="A53" i="37"/>
  <c r="Q53" i="37" s="1"/>
  <c r="A37" i="29"/>
  <c r="A54" i="29" s="1"/>
  <c r="S54" i="29" s="1"/>
  <c r="A53" i="29"/>
  <c r="S53" i="29" s="1"/>
  <c r="A37" i="33"/>
  <c r="A54" i="33" s="1"/>
  <c r="Q54" i="33" s="1"/>
  <c r="A53" i="33"/>
  <c r="Q53" i="33" s="1"/>
  <c r="A37" i="36"/>
  <c r="A54" i="36" s="1"/>
  <c r="Q54" i="36" s="1"/>
  <c r="A53" i="36"/>
  <c r="Q53" i="36" s="1"/>
  <c r="A37" i="30"/>
  <c r="A54" i="30" s="1"/>
  <c r="Q54" i="30" s="1"/>
  <c r="A53" i="30"/>
  <c r="Q53" i="30" s="1"/>
  <c r="A37" i="48"/>
  <c r="A54" i="48" s="1"/>
  <c r="Q54" i="48" s="1"/>
  <c r="A53" i="48"/>
  <c r="Q53" i="48" s="1"/>
  <c r="A36" i="50"/>
  <c r="A52" i="50"/>
  <c r="Q52" i="50" s="1"/>
  <c r="A52" i="43"/>
  <c r="Q52" i="43" s="1"/>
  <c r="A36" i="43"/>
  <c r="A52" i="41"/>
  <c r="Q52" i="41" s="1"/>
  <c r="A36" i="41"/>
  <c r="A37" i="31"/>
  <c r="A54" i="31" s="1"/>
  <c r="Q54" i="31" s="1"/>
  <c r="A53" i="31"/>
  <c r="Q53" i="31" s="1"/>
  <c r="A37" i="46"/>
  <c r="A54" i="46" s="1"/>
  <c r="Q54" i="46" s="1"/>
  <c r="A53" i="46"/>
  <c r="Q53" i="46" s="1"/>
  <c r="A37" i="28"/>
  <c r="A54" i="28" s="1"/>
  <c r="Q54" i="28" s="1"/>
  <c r="A53" i="28"/>
  <c r="Q53" i="28" s="1"/>
  <c r="A37" i="47"/>
  <c r="A54" i="47" s="1"/>
  <c r="Q54" i="47" s="1"/>
  <c r="A53" i="47"/>
  <c r="Q53" i="47" s="1"/>
  <c r="A37" i="42"/>
  <c r="A54" i="42" s="1"/>
  <c r="Q54" i="42" s="1"/>
  <c r="A53" i="42"/>
  <c r="Q53" i="42" s="1"/>
  <c r="A37" i="38"/>
  <c r="A54" i="38" s="1"/>
  <c r="Q54" i="38" s="1"/>
  <c r="A53" i="38"/>
  <c r="Q53" i="38" s="1"/>
  <c r="A52" i="49"/>
  <c r="Q52" i="49" s="1"/>
  <c r="A36" i="49"/>
  <c r="A37" i="32"/>
  <c r="A54" i="32" s="1"/>
  <c r="Q54" i="32" s="1"/>
  <c r="A53" i="32"/>
  <c r="Q53" i="32" s="1"/>
  <c r="O20" i="32"/>
  <c r="E24" i="44"/>
  <c r="I41" i="44"/>
  <c r="W41" i="42"/>
  <c r="V41" i="42"/>
  <c r="U41" i="42"/>
  <c r="T41" i="42"/>
  <c r="S41" i="42"/>
  <c r="W41" i="43"/>
  <c r="V41" i="43"/>
  <c r="U41" i="43"/>
  <c r="T41" i="43"/>
  <c r="S41" i="43"/>
  <c r="W41" i="44"/>
  <c r="V41" i="44"/>
  <c r="U41" i="44"/>
  <c r="T41" i="44"/>
  <c r="S41" i="44"/>
  <c r="W41" i="45"/>
  <c r="V41" i="45"/>
  <c r="U41" i="45"/>
  <c r="T41" i="45"/>
  <c r="S41" i="45"/>
  <c r="W41" i="46"/>
  <c r="V41" i="46"/>
  <c r="U41" i="46"/>
  <c r="T41" i="46"/>
  <c r="S41" i="46"/>
  <c r="W41" i="47"/>
  <c r="V41" i="47"/>
  <c r="U41" i="47"/>
  <c r="T41" i="47"/>
  <c r="S41" i="47"/>
  <c r="W41" i="48"/>
  <c r="V41" i="48"/>
  <c r="U41" i="48"/>
  <c r="T41" i="48"/>
  <c r="S41" i="48"/>
  <c r="W41" i="49"/>
  <c r="V41" i="49"/>
  <c r="U41" i="49"/>
  <c r="T41" i="49"/>
  <c r="S41" i="49"/>
  <c r="W41" i="50"/>
  <c r="V41" i="50"/>
  <c r="U41" i="50"/>
  <c r="T41" i="50"/>
  <c r="S41" i="50"/>
  <c r="W41" i="41"/>
  <c r="V41" i="41"/>
  <c r="U41" i="41"/>
  <c r="T41" i="41"/>
  <c r="S41" i="41"/>
  <c r="W41" i="33"/>
  <c r="V41" i="33"/>
  <c r="U41" i="33"/>
  <c r="T41" i="33"/>
  <c r="S41" i="33"/>
  <c r="W41" i="35"/>
  <c r="V41" i="35"/>
  <c r="U41" i="35"/>
  <c r="T41" i="35"/>
  <c r="S41" i="35"/>
  <c r="W41" i="36"/>
  <c r="V41" i="36"/>
  <c r="U41" i="36"/>
  <c r="T41" i="36"/>
  <c r="S41" i="36"/>
  <c r="W41" i="37"/>
  <c r="V41" i="37"/>
  <c r="U41" i="37"/>
  <c r="T41" i="37"/>
  <c r="S41" i="37"/>
  <c r="W41" i="28"/>
  <c r="V41" i="28"/>
  <c r="U41" i="28"/>
  <c r="T41" i="28"/>
  <c r="S41" i="28"/>
  <c r="W41" i="11"/>
  <c r="V41" i="11"/>
  <c r="U41" i="11"/>
  <c r="T41" i="11"/>
  <c r="S41" i="11"/>
  <c r="W41" i="30"/>
  <c r="V41" i="30"/>
  <c r="U41" i="30"/>
  <c r="T41" i="30"/>
  <c r="S41" i="30"/>
  <c r="W41" i="38"/>
  <c r="V41" i="38"/>
  <c r="U41" i="38"/>
  <c r="T41" i="38"/>
  <c r="S41" i="38"/>
  <c r="W41" i="39"/>
  <c r="V41" i="39"/>
  <c r="U41" i="39"/>
  <c r="T41" i="39"/>
  <c r="S41" i="39"/>
  <c r="W41" i="31"/>
  <c r="V41" i="31"/>
  <c r="U41" i="31"/>
  <c r="T41" i="31"/>
  <c r="S41" i="31"/>
  <c r="W41" i="32"/>
  <c r="V41" i="32"/>
  <c r="U41" i="32"/>
  <c r="T41" i="32"/>
  <c r="S41" i="32"/>
  <c r="I41" i="33"/>
  <c r="I41" i="34"/>
  <c r="I41" i="35"/>
  <c r="I41" i="36"/>
  <c r="I41" i="37"/>
  <c r="I41" i="28"/>
  <c r="I41" i="11"/>
  <c r="I41" i="30"/>
  <c r="I41" i="38"/>
  <c r="I41" i="39"/>
  <c r="I41" i="29"/>
  <c r="I41" i="41"/>
  <c r="I41" i="42"/>
  <c r="I41" i="43"/>
  <c r="I41" i="45"/>
  <c r="I41" i="46"/>
  <c r="I41" i="47"/>
  <c r="I41" i="48"/>
  <c r="I41" i="49"/>
  <c r="I41" i="50"/>
  <c r="I41" i="31"/>
  <c r="I41" i="32"/>
  <c r="I24" i="33"/>
  <c r="H24" i="33"/>
  <c r="G24" i="33"/>
  <c r="F24" i="33"/>
  <c r="E24" i="33"/>
  <c r="D24" i="33"/>
  <c r="C24" i="33"/>
  <c r="I24" i="34"/>
  <c r="H24" i="34"/>
  <c r="G24" i="34"/>
  <c r="F24" i="34"/>
  <c r="E24" i="34"/>
  <c r="D24" i="34"/>
  <c r="C24" i="34"/>
  <c r="I24" i="35"/>
  <c r="H24" i="35"/>
  <c r="G24" i="35"/>
  <c r="F24" i="35"/>
  <c r="E24" i="35"/>
  <c r="D24" i="35"/>
  <c r="C24" i="35"/>
  <c r="I24" i="36"/>
  <c r="H24" i="36"/>
  <c r="G24" i="36"/>
  <c r="F24" i="36"/>
  <c r="E24" i="36"/>
  <c r="D24" i="36"/>
  <c r="C24" i="36"/>
  <c r="I24" i="37"/>
  <c r="H24" i="37"/>
  <c r="G24" i="37"/>
  <c r="F24" i="37"/>
  <c r="E24" i="37"/>
  <c r="D24" i="37"/>
  <c r="C24" i="37"/>
  <c r="I24" i="28"/>
  <c r="H24" i="28"/>
  <c r="G24" i="28"/>
  <c r="F24" i="28"/>
  <c r="E24" i="28"/>
  <c r="D24" i="28"/>
  <c r="C24" i="28"/>
  <c r="I24" i="11"/>
  <c r="H24" i="11"/>
  <c r="G24" i="11"/>
  <c r="F24" i="11"/>
  <c r="E24" i="11"/>
  <c r="D24" i="11"/>
  <c r="C24" i="11"/>
  <c r="I24" i="30"/>
  <c r="H24" i="30"/>
  <c r="G24" i="30"/>
  <c r="F24" i="30"/>
  <c r="E24" i="30"/>
  <c r="D24" i="30"/>
  <c r="C24" i="30"/>
  <c r="I24" i="38"/>
  <c r="H24" i="38"/>
  <c r="G24" i="38"/>
  <c r="F24" i="38"/>
  <c r="E24" i="38"/>
  <c r="D24" i="38"/>
  <c r="C24" i="38"/>
  <c r="I24" i="39"/>
  <c r="H24" i="39"/>
  <c r="G24" i="39"/>
  <c r="F24" i="39"/>
  <c r="E24" i="39"/>
  <c r="D24" i="39"/>
  <c r="C24" i="39"/>
  <c r="I24" i="29"/>
  <c r="H24" i="29"/>
  <c r="G24" i="29"/>
  <c r="F24" i="29"/>
  <c r="E24" i="29"/>
  <c r="D24" i="29"/>
  <c r="C24" i="29"/>
  <c r="I24" i="41"/>
  <c r="H24" i="41"/>
  <c r="G24" i="41"/>
  <c r="F24" i="41"/>
  <c r="E24" i="41"/>
  <c r="D24" i="41"/>
  <c r="C24" i="41"/>
  <c r="I24" i="42"/>
  <c r="H24" i="42"/>
  <c r="G24" i="42"/>
  <c r="F24" i="42"/>
  <c r="E24" i="42"/>
  <c r="D24" i="42"/>
  <c r="C24" i="42"/>
  <c r="I24" i="43"/>
  <c r="H24" i="43"/>
  <c r="G24" i="43"/>
  <c r="F24" i="43"/>
  <c r="E24" i="43"/>
  <c r="D24" i="43"/>
  <c r="C24" i="43"/>
  <c r="H24" i="44"/>
  <c r="G24" i="44"/>
  <c r="F24" i="44"/>
  <c r="D24" i="44"/>
  <c r="C24" i="44"/>
  <c r="I24" i="45"/>
  <c r="H24" i="45"/>
  <c r="G24" i="45"/>
  <c r="F24" i="45"/>
  <c r="E24" i="45"/>
  <c r="D24" i="45"/>
  <c r="C24" i="45"/>
  <c r="I24" i="46"/>
  <c r="H24" i="46"/>
  <c r="G24" i="46"/>
  <c r="F24" i="46"/>
  <c r="E24" i="46"/>
  <c r="D24" i="46"/>
  <c r="C24" i="46"/>
  <c r="I24" i="47"/>
  <c r="H24" i="47"/>
  <c r="G24" i="47"/>
  <c r="F24" i="47"/>
  <c r="E24" i="47"/>
  <c r="D24" i="47"/>
  <c r="C24" i="47"/>
  <c r="I24" i="48"/>
  <c r="H24" i="48"/>
  <c r="G24" i="48"/>
  <c r="F24" i="48"/>
  <c r="E24" i="48"/>
  <c r="D24" i="48"/>
  <c r="C24" i="48"/>
  <c r="I24" i="49"/>
  <c r="H24" i="49"/>
  <c r="G24" i="49"/>
  <c r="F24" i="49"/>
  <c r="E24" i="49"/>
  <c r="D24" i="49"/>
  <c r="C24" i="49"/>
  <c r="I24" i="50"/>
  <c r="H24" i="50"/>
  <c r="G24" i="50"/>
  <c r="F24" i="50"/>
  <c r="E24" i="50"/>
  <c r="D24" i="50"/>
  <c r="C24" i="50"/>
  <c r="I24" i="31"/>
  <c r="H24" i="31"/>
  <c r="G24" i="31"/>
  <c r="F24" i="31"/>
  <c r="E24" i="31"/>
  <c r="D24" i="31"/>
  <c r="C24" i="31"/>
  <c r="I24" i="32"/>
  <c r="H24" i="32"/>
  <c r="G24" i="32"/>
  <c r="F24" i="32"/>
  <c r="E24" i="32"/>
  <c r="D24" i="32"/>
  <c r="C24" i="32"/>
  <c r="M18" i="50"/>
  <c r="O18" i="50"/>
  <c r="M18" i="49"/>
  <c r="O18" i="49"/>
  <c r="M18" i="48"/>
  <c r="O18" i="48"/>
  <c r="M18" i="47"/>
  <c r="O18" i="47"/>
  <c r="M18" i="46"/>
  <c r="O18" i="46"/>
  <c r="M18" i="45"/>
  <c r="O18" i="45"/>
  <c r="M18" i="44"/>
  <c r="O18" i="44"/>
  <c r="M18" i="43"/>
  <c r="O18" i="43"/>
  <c r="M18" i="42"/>
  <c r="O18" i="42"/>
  <c r="M18" i="41"/>
  <c r="O18" i="41"/>
  <c r="M18" i="29"/>
  <c r="M18" i="39"/>
  <c r="O18" i="39"/>
  <c r="M18" i="38"/>
  <c r="O18" i="38"/>
  <c r="M18" i="30"/>
  <c r="O18" i="30"/>
  <c r="M18" i="11"/>
  <c r="O18" i="11"/>
  <c r="M18" i="28"/>
  <c r="O18" i="28"/>
  <c r="M18" i="37"/>
  <c r="O18" i="37"/>
  <c r="M18" i="36"/>
  <c r="O18" i="36"/>
  <c r="M18" i="35"/>
  <c r="O18" i="35"/>
  <c r="M18" i="34"/>
  <c r="O18" i="34"/>
  <c r="M18" i="33"/>
  <c r="O18" i="33"/>
  <c r="M18" i="31"/>
  <c r="O18" i="31"/>
  <c r="M18" i="32"/>
  <c r="Z18" i="29"/>
  <c r="X18" i="33"/>
  <c r="X18" i="34"/>
  <c r="X18" i="35"/>
  <c r="X18" i="36"/>
  <c r="X18" i="37"/>
  <c r="X18" i="28"/>
  <c r="X18" i="11"/>
  <c r="X18" i="30"/>
  <c r="X18" i="38"/>
  <c r="X18" i="39"/>
  <c r="X18" i="41"/>
  <c r="X18" i="42"/>
  <c r="X18" i="43"/>
  <c r="X18" i="44"/>
  <c r="X18" i="45"/>
  <c r="X18" i="46"/>
  <c r="X18" i="47"/>
  <c r="X18" i="48"/>
  <c r="X18" i="49"/>
  <c r="X18" i="50"/>
  <c r="X18" i="31"/>
  <c r="X18" i="32"/>
  <c r="A37" i="45" l="1"/>
  <c r="A54" i="45" s="1"/>
  <c r="Q54" i="45" s="1"/>
  <c r="A53" i="45"/>
  <c r="Q53" i="45" s="1"/>
  <c r="A37" i="49"/>
  <c r="A54" i="49" s="1"/>
  <c r="Q54" i="49" s="1"/>
  <c r="A53" i="49"/>
  <c r="Q53" i="49" s="1"/>
  <c r="A37" i="43"/>
  <c r="A54" i="43" s="1"/>
  <c r="Q54" i="43" s="1"/>
  <c r="A53" i="43"/>
  <c r="Q53" i="43" s="1"/>
  <c r="A37" i="50"/>
  <c r="A53" i="50"/>
  <c r="Q53" i="50" s="1"/>
  <c r="A37" i="41"/>
  <c r="A54" i="41" s="1"/>
  <c r="Q54" i="41" s="1"/>
  <c r="A53" i="41"/>
  <c r="Q53" i="41" s="1"/>
  <c r="E72" i="52"/>
  <c r="E58" i="52"/>
  <c r="G58" i="52"/>
  <c r="I24" i="44"/>
  <c r="A54" i="50" l="1"/>
  <c r="Q54" i="50" s="1"/>
  <c r="C107" i="56"/>
  <c r="D107" i="56"/>
  <c r="E107" i="56"/>
  <c r="F107" i="56"/>
  <c r="G107" i="56"/>
  <c r="H107" i="56"/>
  <c r="I107" i="56"/>
  <c r="B107" i="56"/>
  <c r="C91" i="56"/>
  <c r="D91" i="56"/>
  <c r="E91" i="56"/>
  <c r="F91" i="56"/>
  <c r="G91" i="56"/>
  <c r="H91" i="56"/>
  <c r="I91" i="56"/>
  <c r="B91" i="56"/>
  <c r="C96" i="56"/>
  <c r="D96" i="56"/>
  <c r="E96" i="56"/>
  <c r="F96" i="56"/>
  <c r="G96" i="56"/>
  <c r="H96" i="56"/>
  <c r="I96" i="56"/>
  <c r="C97" i="56"/>
  <c r="D97" i="56"/>
  <c r="E97" i="56"/>
  <c r="F97" i="56"/>
  <c r="G97" i="56"/>
  <c r="H97" i="56"/>
  <c r="I97" i="56"/>
  <c r="C98" i="56"/>
  <c r="D98" i="56"/>
  <c r="E98" i="56"/>
  <c r="F98" i="56"/>
  <c r="G98" i="56"/>
  <c r="H98" i="56"/>
  <c r="I98" i="56"/>
  <c r="C99" i="56"/>
  <c r="D99" i="56"/>
  <c r="E99" i="56"/>
  <c r="F99" i="56"/>
  <c r="G99" i="56"/>
  <c r="H99" i="56"/>
  <c r="I99" i="56"/>
  <c r="C100" i="56"/>
  <c r="D100" i="56"/>
  <c r="E100" i="56"/>
  <c r="F100" i="56"/>
  <c r="G100" i="56"/>
  <c r="H100" i="56"/>
  <c r="I100" i="56"/>
  <c r="C101" i="56"/>
  <c r="D101" i="56"/>
  <c r="E101" i="56"/>
  <c r="F101" i="56"/>
  <c r="G101" i="56"/>
  <c r="H101" i="56"/>
  <c r="I101" i="56"/>
  <c r="C102" i="56"/>
  <c r="D102" i="56"/>
  <c r="E102" i="56"/>
  <c r="F102" i="56"/>
  <c r="G102" i="56"/>
  <c r="H102" i="56"/>
  <c r="I102" i="56"/>
  <c r="C103" i="56"/>
  <c r="D103" i="56"/>
  <c r="E103" i="56"/>
  <c r="F103" i="56"/>
  <c r="G103" i="56"/>
  <c r="H103" i="56"/>
  <c r="I103" i="56"/>
  <c r="C104" i="56"/>
  <c r="D104" i="56"/>
  <c r="E104" i="56"/>
  <c r="F104" i="56"/>
  <c r="G104" i="56"/>
  <c r="H104" i="56"/>
  <c r="I104" i="56"/>
  <c r="C105" i="56"/>
  <c r="D105" i="56"/>
  <c r="E105" i="56"/>
  <c r="F105" i="56"/>
  <c r="G105" i="56"/>
  <c r="H105" i="56"/>
  <c r="I105" i="56"/>
  <c r="C106" i="56"/>
  <c r="D106" i="56"/>
  <c r="E106" i="56"/>
  <c r="F106" i="56"/>
  <c r="G106" i="56"/>
  <c r="H106" i="56"/>
  <c r="I106" i="56"/>
  <c r="C108" i="56"/>
  <c r="D108" i="56"/>
  <c r="E108" i="56"/>
  <c r="F108" i="56"/>
  <c r="G108" i="56"/>
  <c r="H108" i="56"/>
  <c r="I108" i="56"/>
  <c r="C109" i="56"/>
  <c r="D109" i="56"/>
  <c r="E109" i="56"/>
  <c r="F109" i="56"/>
  <c r="G109" i="56"/>
  <c r="H109" i="56"/>
  <c r="I109" i="56"/>
  <c r="C110" i="56"/>
  <c r="D110" i="56"/>
  <c r="E110" i="56"/>
  <c r="F110" i="56"/>
  <c r="G110" i="56"/>
  <c r="H110" i="56"/>
  <c r="I110" i="56"/>
  <c r="C111" i="56"/>
  <c r="D111" i="56"/>
  <c r="E111" i="56"/>
  <c r="F111" i="56"/>
  <c r="G111" i="56"/>
  <c r="H111" i="56"/>
  <c r="I111" i="56"/>
  <c r="C112" i="56"/>
  <c r="D112" i="56"/>
  <c r="E112" i="56"/>
  <c r="F112" i="56"/>
  <c r="G112" i="56"/>
  <c r="H112" i="56"/>
  <c r="I112" i="56"/>
  <c r="C113" i="56"/>
  <c r="D113" i="56"/>
  <c r="E113" i="56"/>
  <c r="F113" i="56"/>
  <c r="G113" i="56"/>
  <c r="H113" i="56"/>
  <c r="I113" i="56"/>
  <c r="C114" i="56"/>
  <c r="D114" i="56"/>
  <c r="E114" i="56"/>
  <c r="F114" i="56"/>
  <c r="G114" i="56"/>
  <c r="H114" i="56"/>
  <c r="I114" i="56"/>
  <c r="C115" i="56"/>
  <c r="D115" i="56"/>
  <c r="E115" i="56"/>
  <c r="F115" i="56"/>
  <c r="G115" i="56"/>
  <c r="H115" i="56"/>
  <c r="I115" i="56"/>
  <c r="C116" i="56"/>
  <c r="D116" i="56"/>
  <c r="E116" i="56"/>
  <c r="F116" i="56"/>
  <c r="G116" i="56"/>
  <c r="H116" i="56"/>
  <c r="I116" i="56"/>
  <c r="C117" i="56"/>
  <c r="D117" i="56"/>
  <c r="E117" i="56"/>
  <c r="F117" i="56"/>
  <c r="G117" i="56"/>
  <c r="H117" i="56"/>
  <c r="I117" i="56"/>
  <c r="C118" i="56"/>
  <c r="D118" i="56"/>
  <c r="E118" i="56"/>
  <c r="F118" i="56"/>
  <c r="G118" i="56"/>
  <c r="H118" i="56"/>
  <c r="I118" i="56"/>
  <c r="B118" i="56"/>
  <c r="B117" i="56"/>
  <c r="B116" i="56"/>
  <c r="B115" i="56"/>
  <c r="B114" i="56"/>
  <c r="B113" i="56"/>
  <c r="B112" i="56"/>
  <c r="B111" i="56"/>
  <c r="B110" i="56"/>
  <c r="B109" i="56"/>
  <c r="B106" i="56"/>
  <c r="B105" i="56"/>
  <c r="B104" i="56"/>
  <c r="B103" i="56"/>
  <c r="B102" i="56"/>
  <c r="B99" i="56"/>
  <c r="DI106" i="56"/>
  <c r="CS106" i="56"/>
  <c r="CC106" i="56"/>
  <c r="BM106" i="56"/>
  <c r="AW106" i="56"/>
  <c r="AG106" i="56"/>
  <c r="Q106" i="56"/>
  <c r="DQ109" i="56"/>
  <c r="DA109" i="56"/>
  <c r="CK109" i="56"/>
  <c r="BU109" i="56"/>
  <c r="BE109" i="56"/>
  <c r="AO109" i="56"/>
  <c r="Y109" i="56"/>
  <c r="AG105" i="56" l="1"/>
  <c r="BM105" i="56"/>
  <c r="CS105" i="56"/>
  <c r="Q102" i="56"/>
  <c r="AW102" i="56"/>
  <c r="CC102" i="56"/>
  <c r="DI102" i="56"/>
  <c r="AG112" i="56"/>
  <c r="BM112" i="56"/>
  <c r="CS112" i="56"/>
  <c r="Q96" i="56"/>
  <c r="AW96" i="56"/>
  <c r="CC96" i="56"/>
  <c r="DI96" i="56"/>
  <c r="Y105" i="56"/>
  <c r="BE105" i="56"/>
  <c r="CK105" i="56"/>
  <c r="DQ105" i="56"/>
  <c r="CT96" i="56"/>
  <c r="AW117" i="56"/>
  <c r="DI117" i="56"/>
  <c r="Y104" i="56"/>
  <c r="BE104" i="56"/>
  <c r="CK104" i="56"/>
  <c r="DQ104" i="56"/>
  <c r="AO105" i="56"/>
  <c r="BU105" i="56"/>
  <c r="DA105" i="56"/>
  <c r="BE113" i="56"/>
  <c r="CK113" i="56"/>
  <c r="DQ113" i="56"/>
  <c r="AO114" i="56"/>
  <c r="BU114" i="56"/>
  <c r="DA114" i="56"/>
  <c r="AO116" i="56"/>
  <c r="BU116" i="56"/>
  <c r="DA116" i="56"/>
  <c r="Q117" i="56"/>
  <c r="CC117" i="56"/>
  <c r="Q105" i="56"/>
  <c r="AW105" i="56"/>
  <c r="CC105" i="56"/>
  <c r="DI105" i="56"/>
  <c r="AG118" i="56"/>
  <c r="BM118" i="56"/>
  <c r="CS118" i="56"/>
  <c r="AG102" i="56"/>
  <c r="AW112" i="56"/>
  <c r="CC112" i="56"/>
  <c r="DI112" i="56"/>
  <c r="AG96" i="56"/>
  <c r="BM96" i="56"/>
  <c r="CS96" i="56"/>
  <c r="AW107" i="56"/>
  <c r="Y113" i="56"/>
  <c r="AO117" i="56"/>
  <c r="DA117" i="56"/>
  <c r="BE115" i="56"/>
  <c r="AO104" i="56"/>
  <c r="DA104" i="56"/>
  <c r="Y111" i="56"/>
  <c r="CK111" i="56"/>
  <c r="BU118" i="56"/>
  <c r="BN101" i="56"/>
  <c r="CS107" i="56"/>
  <c r="Y114" i="56"/>
  <c r="BE114" i="56"/>
  <c r="CK114" i="56"/>
  <c r="DQ114" i="56"/>
  <c r="Y116" i="56"/>
  <c r="BE116" i="56"/>
  <c r="CK116" i="56"/>
  <c r="DQ116" i="56"/>
  <c r="DQ91" i="56"/>
  <c r="BU117" i="56"/>
  <c r="Y115" i="56"/>
  <c r="CK115" i="56"/>
  <c r="DQ115" i="56"/>
  <c r="BU104" i="56"/>
  <c r="BE111" i="56"/>
  <c r="DQ111" i="56"/>
  <c r="AO118" i="56"/>
  <c r="DA118" i="56"/>
  <c r="AG117" i="56"/>
  <c r="BM117" i="56"/>
  <c r="CS91" i="56"/>
  <c r="Q115" i="56"/>
  <c r="AW115" i="56"/>
  <c r="CC115" i="56"/>
  <c r="DI115" i="56"/>
  <c r="AG104" i="56"/>
  <c r="BM104" i="56"/>
  <c r="CS104" i="56"/>
  <c r="BM103" i="56"/>
  <c r="Q111" i="56"/>
  <c r="AW111" i="56"/>
  <c r="CC111" i="56"/>
  <c r="DI111" i="56"/>
  <c r="AG99" i="56"/>
  <c r="Q109" i="56"/>
  <c r="AW109" i="56"/>
  <c r="CC109" i="56"/>
  <c r="DI109" i="56"/>
  <c r="Q110" i="56"/>
  <c r="AW110" i="56"/>
  <c r="CC110" i="56"/>
  <c r="DI110" i="56"/>
  <c r="AG101" i="56"/>
  <c r="BM101" i="56"/>
  <c r="CS101" i="56"/>
  <c r="AG109" i="56"/>
  <c r="BM109" i="56"/>
  <c r="CS109" i="56"/>
  <c r="Q100" i="56"/>
  <c r="AW100" i="56"/>
  <c r="CC100" i="56"/>
  <c r="DI100" i="56"/>
  <c r="CS102" i="56"/>
  <c r="AO113" i="56"/>
  <c r="BU113" i="56"/>
  <c r="DA113" i="56"/>
  <c r="AG113" i="56"/>
  <c r="CS113" i="56"/>
  <c r="AW114" i="56"/>
  <c r="DI114" i="56"/>
  <c r="Q98" i="56"/>
  <c r="AW98" i="56"/>
  <c r="CC98" i="56"/>
  <c r="DI98" i="56"/>
  <c r="Q116" i="56"/>
  <c r="AW116" i="56"/>
  <c r="CC116" i="56"/>
  <c r="DI116" i="56"/>
  <c r="DA96" i="56"/>
  <c r="I119" i="56"/>
  <c r="E119" i="56"/>
  <c r="Y91" i="56"/>
  <c r="Y103" i="56"/>
  <c r="AW103" i="56"/>
  <c r="AW91" i="56"/>
  <c r="DI91" i="56"/>
  <c r="DI103" i="56"/>
  <c r="R102" i="56"/>
  <c r="Y102" i="56"/>
  <c r="CK102" i="56"/>
  <c r="AO112" i="56"/>
  <c r="DA112" i="56"/>
  <c r="R96" i="56"/>
  <c r="Y96" i="56"/>
  <c r="CD96" i="56"/>
  <c r="CK96" i="56"/>
  <c r="AO108" i="56"/>
  <c r="DA108" i="56"/>
  <c r="AO97" i="56"/>
  <c r="DA97" i="56"/>
  <c r="BE107" i="56"/>
  <c r="DQ107" i="56"/>
  <c r="BU91" i="56"/>
  <c r="BU103" i="56"/>
  <c r="AH110" i="56"/>
  <c r="AO110" i="56"/>
  <c r="CT110" i="56"/>
  <c r="DA110" i="56"/>
  <c r="BE101" i="56"/>
  <c r="AO106" i="56"/>
  <c r="DA106" i="56"/>
  <c r="AO100" i="56"/>
  <c r="DA100" i="56"/>
  <c r="CS99" i="56"/>
  <c r="AO99" i="56"/>
  <c r="DA99" i="56"/>
  <c r="DQ117" i="56"/>
  <c r="Y117" i="56"/>
  <c r="BM113" i="56"/>
  <c r="CD110" i="56"/>
  <c r="R110" i="56"/>
  <c r="DQ103" i="56"/>
  <c r="BU97" i="56"/>
  <c r="AG91" i="56"/>
  <c r="AO115" i="56"/>
  <c r="DA115" i="56"/>
  <c r="AO111" i="56"/>
  <c r="DA111" i="56"/>
  <c r="Y118" i="56"/>
  <c r="CK118" i="56"/>
  <c r="AG108" i="56"/>
  <c r="CS108" i="56"/>
  <c r="BM97" i="56"/>
  <c r="Q107" i="56"/>
  <c r="DI107" i="56"/>
  <c r="AO98" i="56"/>
  <c r="Q118" i="56"/>
  <c r="AW118" i="56"/>
  <c r="CC118" i="56"/>
  <c r="DI118" i="56"/>
  <c r="AG110" i="56"/>
  <c r="BM110" i="56"/>
  <c r="CS110" i="56"/>
  <c r="CS117" i="56"/>
  <c r="DI113" i="56"/>
  <c r="CC113" i="56"/>
  <c r="AW113" i="56"/>
  <c r="Q113" i="56"/>
  <c r="DQ101" i="56"/>
  <c r="BE91" i="56"/>
  <c r="BE103" i="56"/>
  <c r="CK91" i="56"/>
  <c r="CK103" i="56"/>
  <c r="Q91" i="56"/>
  <c r="Q103" i="56"/>
  <c r="CC91" i="56"/>
  <c r="CC103" i="56"/>
  <c r="AX102" i="56"/>
  <c r="BE102" i="56"/>
  <c r="DJ102" i="56"/>
  <c r="DQ102" i="56"/>
  <c r="BU112" i="56"/>
  <c r="AX96" i="56"/>
  <c r="BE96" i="56"/>
  <c r="DJ96" i="56"/>
  <c r="DQ96" i="56"/>
  <c r="BU99" i="56"/>
  <c r="BU108" i="56"/>
  <c r="Y107" i="56"/>
  <c r="Q114" i="56"/>
  <c r="CC114" i="56"/>
  <c r="AO103" i="56"/>
  <c r="AO91" i="56"/>
  <c r="DA91" i="56"/>
  <c r="DA103" i="56"/>
  <c r="BN110" i="56"/>
  <c r="BU110" i="56"/>
  <c r="Y101" i="56"/>
  <c r="CD101" i="56"/>
  <c r="CK101" i="56"/>
  <c r="BU106" i="56"/>
  <c r="BU100" i="56"/>
  <c r="BM99" i="56"/>
  <c r="CK117" i="56"/>
  <c r="BE117" i="56"/>
  <c r="DJ110" i="56"/>
  <c r="AX110" i="56"/>
  <c r="G119" i="56"/>
  <c r="BU115" i="56"/>
  <c r="BU111" i="56"/>
  <c r="BE118" i="56"/>
  <c r="DQ118" i="56"/>
  <c r="CS100" i="56"/>
  <c r="BM108" i="56"/>
  <c r="AG97" i="56"/>
  <c r="CS97" i="56"/>
  <c r="CC107" i="56"/>
  <c r="CK107" i="56"/>
  <c r="AO102" i="56"/>
  <c r="BN102" i="56"/>
  <c r="BU102" i="56"/>
  <c r="DA102" i="56"/>
  <c r="Y112" i="56"/>
  <c r="BE112" i="56"/>
  <c r="CK112" i="56"/>
  <c r="DQ112" i="56"/>
  <c r="AH96" i="56"/>
  <c r="AO96" i="56"/>
  <c r="BN96" i="56"/>
  <c r="BU96" i="56"/>
  <c r="BE99" i="56"/>
  <c r="CK99" i="56"/>
  <c r="DQ99" i="56"/>
  <c r="Y108" i="56"/>
  <c r="BE108" i="56"/>
  <c r="CK108" i="56"/>
  <c r="DQ108" i="56"/>
  <c r="Y97" i="56"/>
  <c r="BE97" i="56"/>
  <c r="CK97" i="56"/>
  <c r="BU107" i="56"/>
  <c r="AG103" i="56"/>
  <c r="BM91" i="56"/>
  <c r="CS103" i="56"/>
  <c r="AG115" i="56"/>
  <c r="BM115" i="56"/>
  <c r="CS115" i="56"/>
  <c r="Q104" i="56"/>
  <c r="AW104" i="56"/>
  <c r="CC104" i="56"/>
  <c r="DI104" i="56"/>
  <c r="AG111" i="56"/>
  <c r="BM111" i="56"/>
  <c r="CS111" i="56"/>
  <c r="Q101" i="56"/>
  <c r="AW101" i="56"/>
  <c r="CC101" i="56"/>
  <c r="DI101" i="56"/>
  <c r="AG100" i="56"/>
  <c r="BM100" i="56"/>
  <c r="Y99" i="56"/>
  <c r="AG98" i="56"/>
  <c r="BM98" i="56"/>
  <c r="CS98" i="56"/>
  <c r="AG116" i="56"/>
  <c r="BM116" i="56"/>
  <c r="CS116" i="56"/>
  <c r="BU101" i="56"/>
  <c r="H119" i="56"/>
  <c r="DQ97" i="56"/>
  <c r="AO107" i="56"/>
  <c r="AH101" i="56"/>
  <c r="AO101" i="56"/>
  <c r="DA101" i="56"/>
  <c r="Y106" i="56"/>
  <c r="BE106" i="56"/>
  <c r="CK106" i="56"/>
  <c r="DQ106" i="56"/>
  <c r="Y100" i="56"/>
  <c r="BE100" i="56"/>
  <c r="CK100" i="56"/>
  <c r="DQ100" i="56"/>
  <c r="CC99" i="56"/>
  <c r="DI99" i="56"/>
  <c r="BM102" i="56"/>
  <c r="Q112" i="56"/>
  <c r="Q99" i="56"/>
  <c r="AW99" i="56"/>
  <c r="Q108" i="56"/>
  <c r="AW108" i="56"/>
  <c r="CC108" i="56"/>
  <c r="DI108" i="56"/>
  <c r="Q97" i="56"/>
  <c r="AW97" i="56"/>
  <c r="CC97" i="56"/>
  <c r="DI97" i="56"/>
  <c r="AG107" i="56"/>
  <c r="BM107" i="56"/>
  <c r="Y98" i="56"/>
  <c r="BE98" i="56"/>
  <c r="CK98" i="56"/>
  <c r="DQ98" i="56"/>
  <c r="CS114" i="56"/>
  <c r="BM114" i="56"/>
  <c r="AG114" i="56"/>
  <c r="DQ110" i="56"/>
  <c r="CK110" i="56"/>
  <c r="BE110" i="56"/>
  <c r="Y110" i="56"/>
  <c r="DA107" i="56"/>
  <c r="BU98" i="56"/>
  <c r="DA98" i="56"/>
  <c r="C119" i="56"/>
  <c r="D119" i="56"/>
  <c r="F119" i="56"/>
  <c r="B119" i="56"/>
  <c r="Z99" i="56"/>
  <c r="CL106" i="56"/>
  <c r="AP106" i="56"/>
  <c r="BF106" i="56"/>
  <c r="Z106" i="56"/>
  <c r="DB106" i="56"/>
  <c r="J106" i="56"/>
  <c r="BV106" i="56"/>
  <c r="CL114" i="56"/>
  <c r="R109" i="56"/>
  <c r="AH109" i="56"/>
  <c r="AX109" i="56"/>
  <c r="BN109" i="56"/>
  <c r="CD109" i="56"/>
  <c r="CT109" i="56"/>
  <c r="DJ109" i="56"/>
  <c r="AH98" i="56"/>
  <c r="AZ102" i="56" l="1"/>
  <c r="DC106" i="56"/>
  <c r="BO96" i="56"/>
  <c r="Z114" i="56"/>
  <c r="CE101" i="56"/>
  <c r="BO110" i="56"/>
  <c r="CE102" i="56"/>
  <c r="AH116" i="56"/>
  <c r="CE96" i="56"/>
  <c r="BV97" i="56"/>
  <c r="J100" i="56"/>
  <c r="CT105" i="56"/>
  <c r="BN115" i="56"/>
  <c r="AX117" i="56"/>
  <c r="Z96" i="56"/>
  <c r="AI110" i="56"/>
  <c r="Z98" i="56"/>
  <c r="CD107" i="56"/>
  <c r="AP114" i="56"/>
  <c r="CD104" i="56"/>
  <c r="CT104" i="56"/>
  <c r="AY99" i="56"/>
  <c r="BV98" i="56"/>
  <c r="DL96" i="56"/>
  <c r="S102" i="56"/>
  <c r="DK101" i="56"/>
  <c r="BV114" i="56"/>
  <c r="DA119" i="56"/>
  <c r="DB101" i="56"/>
  <c r="Z102" i="56"/>
  <c r="BF99" i="56"/>
  <c r="R113" i="56"/>
  <c r="CC119" i="56"/>
  <c r="Z113" i="56"/>
  <c r="BF97" i="56"/>
  <c r="AH107" i="56"/>
  <c r="CM106" i="56"/>
  <c r="CU110" i="56"/>
  <c r="Z116" i="56"/>
  <c r="CL98" i="56"/>
  <c r="BF98" i="56"/>
  <c r="BF107" i="56"/>
  <c r="BN97" i="56"/>
  <c r="AX111" i="56"/>
  <c r="CD105" i="56"/>
  <c r="R105" i="56"/>
  <c r="DJ115" i="56"/>
  <c r="AX115" i="56"/>
  <c r="CT117" i="56"/>
  <c r="CL100" i="56"/>
  <c r="AI96" i="56"/>
  <c r="DK110" i="56"/>
  <c r="AY110" i="56"/>
  <c r="J112" i="56"/>
  <c r="BV102" i="56"/>
  <c r="AP101" i="56"/>
  <c r="BV111" i="56"/>
  <c r="DB105" i="56"/>
  <c r="CT101" i="56"/>
  <c r="AX101" i="56"/>
  <c r="CD102" i="56"/>
  <c r="AW119" i="56"/>
  <c r="CT107" i="56"/>
  <c r="R108" i="56"/>
  <c r="CD99" i="56"/>
  <c r="CT102" i="56"/>
  <c r="DI119" i="56"/>
  <c r="Q119" i="56"/>
  <c r="CS119" i="56"/>
  <c r="BM119" i="56"/>
  <c r="AG119" i="56"/>
  <c r="AY98" i="56"/>
  <c r="AX98" i="56"/>
  <c r="J108" i="56"/>
  <c r="BF116" i="56"/>
  <c r="AP107" i="56"/>
  <c r="CD91" i="56"/>
  <c r="CD103" i="56"/>
  <c r="R91" i="56"/>
  <c r="R103" i="56"/>
  <c r="BG112" i="56"/>
  <c r="BF112" i="56"/>
  <c r="AP118" i="56"/>
  <c r="CL105" i="56"/>
  <c r="BV104" i="56"/>
  <c r="DB117" i="56"/>
  <c r="CL91" i="56"/>
  <c r="CL103" i="56"/>
  <c r="Z91" i="56"/>
  <c r="Z103" i="56"/>
  <c r="CD106" i="56"/>
  <c r="AY112" i="56"/>
  <c r="AX112" i="56"/>
  <c r="BO106" i="56"/>
  <c r="BN106" i="56"/>
  <c r="BN99" i="56"/>
  <c r="CU98" i="56"/>
  <c r="CT98" i="56"/>
  <c r="BV108" i="56"/>
  <c r="J97" i="56"/>
  <c r="DK117" i="56"/>
  <c r="DJ117" i="56"/>
  <c r="CT91" i="56"/>
  <c r="CT103" i="56"/>
  <c r="AH91" i="56"/>
  <c r="AH103" i="56"/>
  <c r="BV112" i="56"/>
  <c r="AP105" i="56"/>
  <c r="CM104" i="56"/>
  <c r="CL104" i="56"/>
  <c r="BV115" i="56"/>
  <c r="J115" i="56"/>
  <c r="CT100" i="56"/>
  <c r="DK98" i="56"/>
  <c r="DJ98" i="56"/>
  <c r="CU116" i="56"/>
  <c r="CT116" i="56"/>
  <c r="R114" i="56"/>
  <c r="CE116" i="56"/>
  <c r="CD116" i="56"/>
  <c r="S98" i="56"/>
  <c r="R98" i="56"/>
  <c r="CD98" i="56"/>
  <c r="BF114" i="56"/>
  <c r="Z108" i="56"/>
  <c r="BV113" i="56"/>
  <c r="BN113" i="56"/>
  <c r="R118" i="56"/>
  <c r="CT111" i="56"/>
  <c r="BN105" i="56"/>
  <c r="AX104" i="56"/>
  <c r="AH115" i="56"/>
  <c r="R117" i="56"/>
  <c r="BN91" i="56"/>
  <c r="BN103" i="56"/>
  <c r="K102" i="56"/>
  <c r="C41" i="37" s="1"/>
  <c r="J102" i="56"/>
  <c r="AP109" i="56"/>
  <c r="BV105" i="56"/>
  <c r="CL117" i="56"/>
  <c r="BV91" i="56"/>
  <c r="BV103" i="56"/>
  <c r="J91" i="56"/>
  <c r="J103" i="56"/>
  <c r="BH113" i="56"/>
  <c r="BG113" i="56"/>
  <c r="AI99" i="56"/>
  <c r="AH99" i="56"/>
  <c r="AP99" i="56"/>
  <c r="AH100" i="56"/>
  <c r="AH106" i="56"/>
  <c r="AH112" i="56"/>
  <c r="BV116" i="56"/>
  <c r="DB108" i="56"/>
  <c r="CT118" i="56"/>
  <c r="CL101" i="56"/>
  <c r="DB112" i="56"/>
  <c r="BV99" i="56"/>
  <c r="CD108" i="56"/>
  <c r="AH102" i="56"/>
  <c r="R101" i="56"/>
  <c r="AP116" i="56"/>
  <c r="AX113" i="56"/>
  <c r="CD113" i="56"/>
  <c r="CL108" i="56"/>
  <c r="R116" i="56"/>
  <c r="CM107" i="56"/>
  <c r="DJ118" i="56"/>
  <c r="BW99" i="56"/>
  <c r="BV100" i="56"/>
  <c r="CU102" i="56"/>
  <c r="AI102" i="56"/>
  <c r="AP96" i="56"/>
  <c r="BF100" i="56"/>
  <c r="DB100" i="56"/>
  <c r="J110" i="56"/>
  <c r="BF118" i="56"/>
  <c r="BU119" i="56"/>
  <c r="CL116" i="56"/>
  <c r="DB116" i="56"/>
  <c r="AP98" i="56"/>
  <c r="BN116" i="56"/>
  <c r="CT114" i="56"/>
  <c r="DJ114" i="56"/>
  <c r="J113" i="56"/>
  <c r="BV107" i="56"/>
  <c r="DB107" i="56"/>
  <c r="Z107" i="56"/>
  <c r="Z97" i="56"/>
  <c r="CD118" i="56"/>
  <c r="AH111" i="56"/>
  <c r="DJ104" i="56"/>
  <c r="CT115" i="56"/>
  <c r="CD117" i="56"/>
  <c r="DB96" i="56"/>
  <c r="CU101" i="56"/>
  <c r="AI101" i="56"/>
  <c r="CE110" i="56"/>
  <c r="S110" i="56"/>
  <c r="CL96" i="56"/>
  <c r="AA101" i="56"/>
  <c r="DB102" i="56"/>
  <c r="BV101" i="56"/>
  <c r="BF102" i="56"/>
  <c r="Z101" i="56"/>
  <c r="CL110" i="56"/>
  <c r="AP112" i="56"/>
  <c r="AP110" i="56"/>
  <c r="DB109" i="56"/>
  <c r="CL118" i="56"/>
  <c r="Z118" i="56"/>
  <c r="DB111" i="56"/>
  <c r="AP111" i="56"/>
  <c r="J105" i="56"/>
  <c r="BF104" i="56"/>
  <c r="DB115" i="56"/>
  <c r="AP115" i="56"/>
  <c r="Z117" i="56"/>
  <c r="AP113" i="56"/>
  <c r="AO119" i="56"/>
  <c r="DQ119" i="56"/>
  <c r="BF113" i="56"/>
  <c r="CL99" i="56"/>
  <c r="AX107" i="56"/>
  <c r="AH97" i="56"/>
  <c r="AH108" i="56"/>
  <c r="DK97" i="56"/>
  <c r="AP97" i="56"/>
  <c r="BN104" i="56"/>
  <c r="AH117" i="56"/>
  <c r="J96" i="56"/>
  <c r="BF109" i="56"/>
  <c r="J109" i="56"/>
  <c r="BF111" i="56"/>
  <c r="Z105" i="56"/>
  <c r="J104" i="56"/>
  <c r="BF115" i="56"/>
  <c r="AP117" i="56"/>
  <c r="DB113" i="56"/>
  <c r="CT99" i="56"/>
  <c r="CD100" i="56"/>
  <c r="R100" i="56"/>
  <c r="R106" i="56"/>
  <c r="DK112" i="56"/>
  <c r="DJ112" i="56"/>
  <c r="AI108" i="56"/>
  <c r="DB97" i="56"/>
  <c r="CL97" i="56"/>
  <c r="AI105" i="56"/>
  <c r="AH105" i="56"/>
  <c r="R104" i="56"/>
  <c r="BF110" i="56"/>
  <c r="AA112" i="56"/>
  <c r="Z112" i="56"/>
  <c r="BV109" i="56"/>
  <c r="Z109" i="56"/>
  <c r="DB91" i="56"/>
  <c r="DB103" i="56"/>
  <c r="AP91" i="56"/>
  <c r="AP103" i="56"/>
  <c r="CT106" i="56"/>
  <c r="CT112" i="56"/>
  <c r="BO98" i="56"/>
  <c r="BN98" i="56"/>
  <c r="K98" i="56"/>
  <c r="C41" i="33" s="1"/>
  <c r="J98" i="56"/>
  <c r="K107" i="56"/>
  <c r="C41" i="39" s="1"/>
  <c r="J107" i="56"/>
  <c r="BF108" i="56"/>
  <c r="CD111" i="56"/>
  <c r="DJ91" i="56"/>
  <c r="DJ103" i="56"/>
  <c r="AX91" i="56"/>
  <c r="AX103" i="56"/>
  <c r="AP102" i="56"/>
  <c r="J101" i="56"/>
  <c r="BW110" i="56"/>
  <c r="BV110" i="56"/>
  <c r="CL112" i="56"/>
  <c r="Z110" i="56"/>
  <c r="CL102" i="56"/>
  <c r="CL109" i="56"/>
  <c r="J118" i="56"/>
  <c r="CL111" i="56"/>
  <c r="Z111" i="56"/>
  <c r="BF105" i="56"/>
  <c r="DB104" i="56"/>
  <c r="AP104" i="56"/>
  <c r="CL115" i="56"/>
  <c r="Z115" i="56"/>
  <c r="BV117" i="56"/>
  <c r="J117" i="56"/>
  <c r="BF91" i="56"/>
  <c r="BF103" i="56"/>
  <c r="K99" i="56"/>
  <c r="C41" i="34" s="1"/>
  <c r="J99" i="56"/>
  <c r="DB99" i="56"/>
  <c r="DJ100" i="56"/>
  <c r="AX100" i="56"/>
  <c r="DJ106" i="56"/>
  <c r="AX106" i="56"/>
  <c r="CD112" i="56"/>
  <c r="R112" i="56"/>
  <c r="BN100" i="56"/>
  <c r="BN112" i="56"/>
  <c r="DJ116" i="56"/>
  <c r="CD114" i="56"/>
  <c r="AH118" i="56"/>
  <c r="DJ111" i="56"/>
  <c r="DB110" i="56"/>
  <c r="DB118" i="56"/>
  <c r="CD97" i="56"/>
  <c r="R97" i="56"/>
  <c r="R107" i="56"/>
  <c r="Y119" i="56"/>
  <c r="DB98" i="56"/>
  <c r="AH113" i="56"/>
  <c r="BN114" i="56"/>
  <c r="AP108" i="56"/>
  <c r="DB114" i="56"/>
  <c r="AX118" i="56"/>
  <c r="BN111" i="56"/>
  <c r="BO101" i="56"/>
  <c r="BF101" i="56"/>
  <c r="J111" i="56"/>
  <c r="Z104" i="56"/>
  <c r="BF117" i="56"/>
  <c r="BE119" i="56"/>
  <c r="DJ107" i="56"/>
  <c r="CT97" i="56"/>
  <c r="CT108" i="56"/>
  <c r="AX116" i="56"/>
  <c r="J116" i="56"/>
  <c r="AH114" i="56"/>
  <c r="CT113" i="56"/>
  <c r="DK108" i="56"/>
  <c r="AX114" i="56"/>
  <c r="DJ113" i="56"/>
  <c r="CL107" i="56"/>
  <c r="BN118" i="56"/>
  <c r="R111" i="56"/>
  <c r="DJ105" i="56"/>
  <c r="AX105" i="56"/>
  <c r="AH104" i="56"/>
  <c r="CD115" i="56"/>
  <c r="R115" i="56"/>
  <c r="BN117" i="56"/>
  <c r="BV96" i="56"/>
  <c r="DC96" i="56"/>
  <c r="AP100" i="56"/>
  <c r="CU96" i="56"/>
  <c r="BF96" i="56"/>
  <c r="Z100" i="56"/>
  <c r="BV118" i="56"/>
  <c r="R99" i="56"/>
  <c r="DJ97" i="56"/>
  <c r="BN107" i="56"/>
  <c r="AX97" i="56"/>
  <c r="DJ108" i="56"/>
  <c r="AX108" i="56"/>
  <c r="DJ99" i="56"/>
  <c r="AX99" i="56"/>
  <c r="CL113" i="56"/>
  <c r="J114" i="56"/>
  <c r="BN108" i="56"/>
  <c r="DJ101" i="56"/>
  <c r="CK119" i="56"/>
  <c r="DC109" i="56"/>
  <c r="BG96" i="56"/>
  <c r="BW96" i="56"/>
  <c r="BO118" i="56"/>
  <c r="S108" i="56"/>
  <c r="AY108" i="56"/>
  <c r="BG107" i="56"/>
  <c r="AY109" i="56"/>
  <c r="AA106" i="56"/>
  <c r="CU108" i="56"/>
  <c r="CM114" i="56"/>
  <c r="AY116" i="56"/>
  <c r="AQ114" i="56"/>
  <c r="CE109" i="56"/>
  <c r="K114" i="56"/>
  <c r="C41" i="46" s="1"/>
  <c r="BG106" i="56"/>
  <c r="AQ101" i="56"/>
  <c r="CM99" i="56"/>
  <c r="AA97" i="56"/>
  <c r="CE108" i="56"/>
  <c r="CM96" i="56"/>
  <c r="S109" i="56"/>
  <c r="AZ110" i="56"/>
  <c r="DC100" i="56"/>
  <c r="AQ106" i="56"/>
  <c r="BG97" i="56"/>
  <c r="AA104" i="56"/>
  <c r="K110" i="56"/>
  <c r="C41" i="42" s="1"/>
  <c r="CU109" i="56"/>
  <c r="BO109" i="56"/>
  <c r="AI109" i="56"/>
  <c r="K106" i="56"/>
  <c r="C41" i="38" s="1"/>
  <c r="CU115" i="56"/>
  <c r="CF110" i="56"/>
  <c r="BO115" i="56"/>
  <c r="DK99" i="56"/>
  <c r="DD106" i="56" l="1"/>
  <c r="AY102" i="56"/>
  <c r="S115" i="56"/>
  <c r="BA110" i="56"/>
  <c r="CF96" i="56"/>
  <c r="CF101" i="56"/>
  <c r="CN106" i="56"/>
  <c r="T97" i="56"/>
  <c r="BW98" i="56"/>
  <c r="AK105" i="56"/>
  <c r="CE114" i="56"/>
  <c r="CV110" i="56"/>
  <c r="U102" i="56"/>
  <c r="AZ98" i="56"/>
  <c r="BG114" i="56"/>
  <c r="BW111" i="56"/>
  <c r="DK115" i="56"/>
  <c r="CE118" i="56"/>
  <c r="DC110" i="56"/>
  <c r="BW101" i="56"/>
  <c r="AI107" i="56"/>
  <c r="BO102" i="56"/>
  <c r="DL98" i="56"/>
  <c r="AQ110" i="56"/>
  <c r="CV102" i="56"/>
  <c r="CE117" i="56"/>
  <c r="DL101" i="56"/>
  <c r="AY111" i="56"/>
  <c r="S107" i="56"/>
  <c r="L99" i="56"/>
  <c r="D41" i="34" s="1"/>
  <c r="CU107" i="56"/>
  <c r="DM96" i="56"/>
  <c r="DL112" i="56"/>
  <c r="DK96" i="56"/>
  <c r="CE97" i="56"/>
  <c r="L102" i="56"/>
  <c r="D41" i="37" s="1"/>
  <c r="T98" i="56"/>
  <c r="L107" i="56"/>
  <c r="D41" i="39" s="1"/>
  <c r="AB112" i="56"/>
  <c r="AA98" i="56"/>
  <c r="CM115" i="56"/>
  <c r="BP110" i="56"/>
  <c r="CE99" i="56"/>
  <c r="T96" i="56"/>
  <c r="U96" i="56"/>
  <c r="AI116" i="56"/>
  <c r="CM108" i="56"/>
  <c r="BW115" i="56"/>
  <c r="K100" i="56"/>
  <c r="C41" i="35" s="1"/>
  <c r="DK118" i="56"/>
  <c r="CF99" i="56"/>
  <c r="CU114" i="56"/>
  <c r="CN96" i="56"/>
  <c r="AA113" i="56"/>
  <c r="K111" i="56"/>
  <c r="C41" i="43" s="1"/>
  <c r="BO97" i="56"/>
  <c r="S116" i="56"/>
  <c r="CV116" i="56"/>
  <c r="CM98" i="56"/>
  <c r="AY97" i="56"/>
  <c r="BO107" i="56"/>
  <c r="S96" i="56"/>
  <c r="BG111" i="56"/>
  <c r="AQ97" i="56"/>
  <c r="AH119" i="56"/>
  <c r="AA108" i="56"/>
  <c r="BW104" i="56"/>
  <c r="AQ118" i="56"/>
  <c r="R119" i="56"/>
  <c r="CU97" i="56"/>
  <c r="DD104" i="56"/>
  <c r="CV101" i="56"/>
  <c r="AZ101" i="56"/>
  <c r="DC116" i="56"/>
  <c r="AX119" i="56"/>
  <c r="Z119" i="56"/>
  <c r="S113" i="56"/>
  <c r="BO111" i="56"/>
  <c r="AJ101" i="56"/>
  <c r="CU113" i="56"/>
  <c r="DC98" i="56"/>
  <c r="BH112" i="56"/>
  <c r="AR113" i="56"/>
  <c r="DC97" i="56"/>
  <c r="CM113" i="56"/>
  <c r="AY107" i="56"/>
  <c r="CD119" i="56"/>
  <c r="AQ107" i="56"/>
  <c r="DJ119" i="56"/>
  <c r="BN119" i="56"/>
  <c r="L101" i="56"/>
  <c r="D41" i="36" s="1"/>
  <c r="CV96" i="56"/>
  <c r="T118" i="56"/>
  <c r="BQ102" i="56"/>
  <c r="BP102" i="56"/>
  <c r="DK111" i="56"/>
  <c r="DD112" i="56"/>
  <c r="DC112" i="56"/>
  <c r="BW103" i="56"/>
  <c r="BW91" i="56"/>
  <c r="DC102" i="56"/>
  <c r="BI99" i="56"/>
  <c r="BH99" i="56"/>
  <c r="BW97" i="56"/>
  <c r="DK116" i="56"/>
  <c r="BP114" i="56"/>
  <c r="BO114" i="56"/>
  <c r="DK102" i="56"/>
  <c r="BX114" i="56"/>
  <c r="BW114" i="56"/>
  <c r="S117" i="56"/>
  <c r="CU100" i="56"/>
  <c r="CV100" i="56"/>
  <c r="CU91" i="56"/>
  <c r="CU103" i="56"/>
  <c r="AC101" i="56"/>
  <c r="AB101" i="56"/>
  <c r="DK91" i="56"/>
  <c r="DK103" i="56"/>
  <c r="BG98" i="56"/>
  <c r="AJ98" i="56"/>
  <c r="AI98" i="56"/>
  <c r="CF103" i="56"/>
  <c r="AR96" i="56"/>
  <c r="AQ96" i="56"/>
  <c r="BG103" i="56"/>
  <c r="BG91" i="56"/>
  <c r="AY114" i="56"/>
  <c r="CN117" i="56"/>
  <c r="CN107" i="56"/>
  <c r="S101" i="56"/>
  <c r="BO100" i="56"/>
  <c r="BP100" i="56"/>
  <c r="DK106" i="56"/>
  <c r="CU112" i="56"/>
  <c r="S106" i="56"/>
  <c r="T106" i="56"/>
  <c r="L104" i="56"/>
  <c r="D41" i="11" s="1"/>
  <c r="K104" i="56"/>
  <c r="C41" i="11" s="1"/>
  <c r="AB114" i="56"/>
  <c r="AI100" i="56"/>
  <c r="AJ100" i="56"/>
  <c r="AQ109" i="56"/>
  <c r="CE106" i="56"/>
  <c r="AI111" i="56"/>
  <c r="CM103" i="56"/>
  <c r="CM91" i="56"/>
  <c r="AI104" i="56"/>
  <c r="DL109" i="56"/>
  <c r="DK109" i="56"/>
  <c r="BQ101" i="56"/>
  <c r="BP101" i="56"/>
  <c r="S91" i="56"/>
  <c r="S103" i="56"/>
  <c r="AI118" i="56"/>
  <c r="DM110" i="56"/>
  <c r="DL110" i="56"/>
  <c r="AJ114" i="56"/>
  <c r="AI114" i="56"/>
  <c r="CF115" i="56"/>
  <c r="CE115" i="56"/>
  <c r="AA96" i="56"/>
  <c r="AQ115" i="56"/>
  <c r="CM110" i="56"/>
  <c r="AB107" i="56"/>
  <c r="BW116" i="56"/>
  <c r="BO112" i="56"/>
  <c r="S112" i="56"/>
  <c r="AY106" i="56"/>
  <c r="AY100" i="56"/>
  <c r="DC99" i="56"/>
  <c r="CU106" i="56"/>
  <c r="BG110" i="56"/>
  <c r="S100" i="56"/>
  <c r="CN113" i="56"/>
  <c r="DL97" i="56"/>
  <c r="AI106" i="56"/>
  <c r="AQ99" i="56"/>
  <c r="AI91" i="56"/>
  <c r="AI103" i="56"/>
  <c r="K97" i="56"/>
  <c r="C41" i="31" s="1"/>
  <c r="BO99" i="56"/>
  <c r="CL119" i="56"/>
  <c r="CU111" i="56"/>
  <c r="BP108" i="56"/>
  <c r="AI113" i="56"/>
  <c r="AB115" i="56"/>
  <c r="DL108" i="56"/>
  <c r="DC105" i="56"/>
  <c r="CU118" i="56"/>
  <c r="AJ117" i="56"/>
  <c r="DK105" i="56"/>
  <c r="DK113" i="56"/>
  <c r="CU104" i="56"/>
  <c r="BW117" i="56"/>
  <c r="K118" i="56"/>
  <c r="C41" i="50" s="1"/>
  <c r="CM112" i="56"/>
  <c r="AA109" i="56"/>
  <c r="DC113" i="56"/>
  <c r="AI117" i="56"/>
  <c r="DC108" i="56"/>
  <c r="AA99" i="56"/>
  <c r="AP119" i="56"/>
  <c r="CM117" i="56"/>
  <c r="BW108" i="56"/>
  <c r="DK107" i="56"/>
  <c r="CF116" i="56"/>
  <c r="K116" i="56"/>
  <c r="C41" i="48" s="1"/>
  <c r="DK104" i="56"/>
  <c r="BW100" i="56"/>
  <c r="AY115" i="56"/>
  <c r="AQ111" i="56"/>
  <c r="CM118" i="56"/>
  <c r="DC114" i="56"/>
  <c r="AA117" i="56"/>
  <c r="BI102" i="56"/>
  <c r="BG118" i="56"/>
  <c r="BO116" i="56"/>
  <c r="CM100" i="56"/>
  <c r="AQ98" i="56"/>
  <c r="BO117" i="56"/>
  <c r="AA107" i="56"/>
  <c r="CT119" i="56"/>
  <c r="K117" i="56"/>
  <c r="C41" i="49" s="1"/>
  <c r="AA115" i="56"/>
  <c r="AQ104" i="56"/>
  <c r="BG105" i="56"/>
  <c r="CM111" i="56"/>
  <c r="CM109" i="56"/>
  <c r="AA110" i="56"/>
  <c r="AQ102" i="56"/>
  <c r="CE111" i="56"/>
  <c r="BW109" i="56"/>
  <c r="S104" i="56"/>
  <c r="CM97" i="56"/>
  <c r="AJ108" i="56"/>
  <c r="CU99" i="56"/>
  <c r="BG115" i="56"/>
  <c r="AA105" i="56"/>
  <c r="K109" i="56"/>
  <c r="C41" i="41" s="1"/>
  <c r="K96" i="56"/>
  <c r="C41" i="32" s="1"/>
  <c r="BO104" i="56"/>
  <c r="BG102" i="56"/>
  <c r="BW105" i="56"/>
  <c r="AI97" i="56"/>
  <c r="DC117" i="56"/>
  <c r="CM105" i="56"/>
  <c r="AY117" i="56"/>
  <c r="CG102" i="56"/>
  <c r="CF102" i="56"/>
  <c r="AQ103" i="56"/>
  <c r="AQ91" i="56"/>
  <c r="BX118" i="56"/>
  <c r="BW118" i="56"/>
  <c r="DC111" i="56"/>
  <c r="L113" i="56"/>
  <c r="D41" i="45" s="1"/>
  <c r="K113" i="56"/>
  <c r="C41" i="45" s="1"/>
  <c r="AZ104" i="56"/>
  <c r="AY104" i="56"/>
  <c r="CF98" i="56"/>
  <c r="CE98" i="56"/>
  <c r="AA103" i="56"/>
  <c r="AA91" i="56"/>
  <c r="BH114" i="56"/>
  <c r="BG100" i="56"/>
  <c r="AQ116" i="56"/>
  <c r="AA102" i="56"/>
  <c r="BH101" i="56"/>
  <c r="BG101" i="56"/>
  <c r="AY118" i="56"/>
  <c r="CE112" i="56"/>
  <c r="DK100" i="56"/>
  <c r="CM102" i="56"/>
  <c r="CN102" i="56"/>
  <c r="BG108" i="56"/>
  <c r="CE100" i="56"/>
  <c r="AI112" i="56"/>
  <c r="CF104" i="56"/>
  <c r="CE104" i="56"/>
  <c r="T110" i="56"/>
  <c r="AK108" i="56"/>
  <c r="DC103" i="56"/>
  <c r="DC91" i="56"/>
  <c r="BX106" i="56"/>
  <c r="BW106" i="56"/>
  <c r="AY105" i="56"/>
  <c r="BH104" i="56"/>
  <c r="BG104" i="56"/>
  <c r="BX102" i="56"/>
  <c r="BW102" i="56"/>
  <c r="BX107" i="56"/>
  <c r="BW107" i="56"/>
  <c r="DD101" i="56"/>
  <c r="CM101" i="56"/>
  <c r="DE96" i="56"/>
  <c r="DD96" i="56"/>
  <c r="K103" i="56"/>
  <c r="C41" i="28" s="1"/>
  <c r="K91" i="56"/>
  <c r="DD118" i="56"/>
  <c r="DC118" i="56"/>
  <c r="AY91" i="56"/>
  <c r="AY103" i="56"/>
  <c r="T111" i="56"/>
  <c r="S111" i="56"/>
  <c r="AR100" i="56"/>
  <c r="AQ100" i="56"/>
  <c r="DK114" i="56"/>
  <c r="CU105" i="56"/>
  <c r="BX105" i="56"/>
  <c r="S99" i="56"/>
  <c r="AY96" i="56"/>
  <c r="BO91" i="56"/>
  <c r="BO103" i="56"/>
  <c r="AI115" i="56"/>
  <c r="BO105" i="56"/>
  <c r="BW112" i="56"/>
  <c r="CE91" i="56"/>
  <c r="CE103" i="56"/>
  <c r="BG116" i="56"/>
  <c r="CU117" i="56"/>
  <c r="BG99" i="56"/>
  <c r="J119" i="56"/>
  <c r="DB119" i="56"/>
  <c r="BO113" i="56"/>
  <c r="AQ105" i="56"/>
  <c r="CE107" i="56"/>
  <c r="T104" i="56"/>
  <c r="AZ107" i="56"/>
  <c r="K112" i="56"/>
  <c r="C41" i="44" s="1"/>
  <c r="BX99" i="56"/>
  <c r="AY113" i="56"/>
  <c r="T114" i="56"/>
  <c r="BV119" i="56"/>
  <c r="S97" i="56"/>
  <c r="DC104" i="56"/>
  <c r="AA111" i="56"/>
  <c r="K101" i="56"/>
  <c r="C41" i="36" s="1"/>
  <c r="AQ117" i="56"/>
  <c r="BG109" i="56"/>
  <c r="BO108" i="56"/>
  <c r="CV98" i="56"/>
  <c r="BH105" i="56"/>
  <c r="CN111" i="56"/>
  <c r="CE105" i="56"/>
  <c r="DC107" i="56"/>
  <c r="CM116" i="56"/>
  <c r="BG117" i="56"/>
  <c r="AA118" i="56"/>
  <c r="AQ112" i="56"/>
  <c r="L96" i="56"/>
  <c r="D41" i="32" s="1"/>
  <c r="DC115" i="56"/>
  <c r="S105" i="56"/>
  <c r="AQ108" i="56"/>
  <c r="AA116" i="56"/>
  <c r="AZ99" i="56"/>
  <c r="AB99" i="56"/>
  <c r="K105" i="56"/>
  <c r="C41" i="30" s="1"/>
  <c r="CE113" i="56"/>
  <c r="BH102" i="56"/>
  <c r="DC101" i="56"/>
  <c r="BF119" i="56"/>
  <c r="AQ113" i="56"/>
  <c r="AA114" i="56"/>
  <c r="AY101" i="56"/>
  <c r="S118" i="56"/>
  <c r="BW113" i="56"/>
  <c r="AJ97" i="56"/>
  <c r="S114" i="56"/>
  <c r="K115" i="56"/>
  <c r="C41" i="47" s="1"/>
  <c r="K108" i="56"/>
  <c r="C41" i="29" s="1"/>
  <c r="AA100" i="56"/>
  <c r="U114" i="56"/>
  <c r="CO114" i="56"/>
  <c r="CF108" i="56"/>
  <c r="CW97" i="56"/>
  <c r="CG110" i="56"/>
  <c r="CV115" i="56"/>
  <c r="BX109" i="56"/>
  <c r="CV118" i="56"/>
  <c r="BP118" i="56"/>
  <c r="BH97" i="56"/>
  <c r="CN99" i="56"/>
  <c r="CV107" i="56"/>
  <c r="AR106" i="56"/>
  <c r="L114" i="56"/>
  <c r="D41" i="46" s="1"/>
  <c r="AJ103" i="56"/>
  <c r="AZ116" i="56"/>
  <c r="DD100" i="56"/>
  <c r="AR112" i="56"/>
  <c r="DL107" i="56"/>
  <c r="BP109" i="56"/>
  <c r="AB104" i="56"/>
  <c r="CN118" i="56"/>
  <c r="DD114" i="56"/>
  <c r="BH107" i="56"/>
  <c r="CF114" i="56"/>
  <c r="L106" i="56"/>
  <c r="D41" i="38" s="1"/>
  <c r="BP104" i="56"/>
  <c r="CV109" i="56"/>
  <c r="AB97" i="56"/>
  <c r="L117" i="56"/>
  <c r="D41" i="49" s="1"/>
  <c r="BX113" i="56"/>
  <c r="M104" i="56" l="1"/>
  <c r="E41" i="11" s="1"/>
  <c r="DN96" i="56"/>
  <c r="BP96" i="56"/>
  <c r="CN104" i="56"/>
  <c r="BX110" i="56"/>
  <c r="L100" i="56"/>
  <c r="D41" i="35" s="1"/>
  <c r="AZ112" i="56"/>
  <c r="DM98" i="56"/>
  <c r="CH96" i="56"/>
  <c r="CX102" i="56"/>
  <c r="N102" i="56"/>
  <c r="F41" i="37" s="1"/>
  <c r="BI113" i="56"/>
  <c r="CW115" i="56"/>
  <c r="AJ105" i="56"/>
  <c r="BA98" i="56"/>
  <c r="CG115" i="56"/>
  <c r="M113" i="56"/>
  <c r="E41" i="45" s="1"/>
  <c r="BX101" i="56"/>
  <c r="U111" i="56"/>
  <c r="AK101" i="56"/>
  <c r="BI112" i="56"/>
  <c r="T102" i="56"/>
  <c r="CO106" i="56"/>
  <c r="BR102" i="56"/>
  <c r="CW110" i="56"/>
  <c r="CH101" i="56"/>
  <c r="AJ96" i="56"/>
  <c r="CW116" i="56"/>
  <c r="BK99" i="56"/>
  <c r="AC112" i="56"/>
  <c r="BX100" i="56"/>
  <c r="L112" i="56"/>
  <c r="D41" i="44" s="1"/>
  <c r="V96" i="56"/>
  <c r="AJ110" i="56"/>
  <c r="BA102" i="56"/>
  <c r="BP111" i="56"/>
  <c r="DL117" i="56"/>
  <c r="M96" i="56"/>
  <c r="E41" i="32" s="1"/>
  <c r="DD97" i="56"/>
  <c r="BI114" i="56"/>
  <c r="BQ97" i="56"/>
  <c r="M99" i="56"/>
  <c r="E41" i="34" s="1"/>
  <c r="U104" i="56"/>
  <c r="BR101" i="56"/>
  <c r="CG99" i="56"/>
  <c r="BY114" i="56"/>
  <c r="BP98" i="56"/>
  <c r="AC111" i="56"/>
  <c r="U98" i="56"/>
  <c r="L109" i="56"/>
  <c r="D41" i="41" s="1"/>
  <c r="AL105" i="56"/>
  <c r="AB113" i="56"/>
  <c r="BY109" i="56"/>
  <c r="BA112" i="56"/>
  <c r="AB111" i="56"/>
  <c r="BQ98" i="56"/>
  <c r="BR98" i="56"/>
  <c r="BA97" i="56"/>
  <c r="CN114" i="56"/>
  <c r="CG104" i="56"/>
  <c r="DE104" i="56"/>
  <c r="BA107" i="56"/>
  <c r="CN108" i="56"/>
  <c r="AJ107" i="56"/>
  <c r="CN109" i="56"/>
  <c r="DN110" i="56"/>
  <c r="DE118" i="56"/>
  <c r="AB109" i="56"/>
  <c r="CG98" i="56"/>
  <c r="CU119" i="56"/>
  <c r="BX104" i="56"/>
  <c r="BY107" i="56"/>
  <c r="AJ118" i="56"/>
  <c r="AR102" i="56"/>
  <c r="AR98" i="56"/>
  <c r="AT96" i="56"/>
  <c r="AB105" i="56"/>
  <c r="BZ99" i="56"/>
  <c r="CH102" i="56"/>
  <c r="BQ114" i="56"/>
  <c r="CP107" i="56"/>
  <c r="AZ97" i="56"/>
  <c r="DC119" i="56"/>
  <c r="T113" i="56"/>
  <c r="CO107" i="56"/>
  <c r="M101" i="56"/>
  <c r="E41" i="36" s="1"/>
  <c r="CF91" i="56"/>
  <c r="S119" i="56"/>
  <c r="BA101" i="56"/>
  <c r="DK119" i="56"/>
  <c r="AI119" i="56"/>
  <c r="DL99" i="56"/>
  <c r="BI109" i="56"/>
  <c r="CO112" i="56"/>
  <c r="BY106" i="56"/>
  <c r="L111" i="56"/>
  <c r="D41" i="43" s="1"/>
  <c r="DD107" i="56"/>
  <c r="BY118" i="56"/>
  <c r="BA116" i="56"/>
  <c r="U97" i="56"/>
  <c r="BP113" i="56"/>
  <c r="T99" i="56"/>
  <c r="BW119" i="56"/>
  <c r="CE119" i="56"/>
  <c r="DE108" i="56"/>
  <c r="DD111" i="56"/>
  <c r="BH111" i="56"/>
  <c r="CO104" i="56"/>
  <c r="BO119" i="56"/>
  <c r="BG119" i="56"/>
  <c r="CM119" i="56"/>
  <c r="CO115" i="56"/>
  <c r="BH118" i="56"/>
  <c r="AC118" i="56"/>
  <c r="AB118" i="56"/>
  <c r="DL105" i="56"/>
  <c r="DM103" i="56"/>
  <c r="AU113" i="56"/>
  <c r="AT113" i="56"/>
  <c r="DL115" i="56"/>
  <c r="T109" i="56"/>
  <c r="U99" i="56"/>
  <c r="BQ106" i="56"/>
  <c r="BP106" i="56"/>
  <c r="L98" i="56"/>
  <c r="D41" i="33" s="1"/>
  <c r="AZ96" i="56"/>
  <c r="DE101" i="56"/>
  <c r="AZ105" i="56"/>
  <c r="AS107" i="56"/>
  <c r="AR107" i="56"/>
  <c r="AJ106" i="56"/>
  <c r="DE99" i="56"/>
  <c r="DD99" i="56"/>
  <c r="BQ112" i="56"/>
  <c r="BP112" i="56"/>
  <c r="BX98" i="56"/>
  <c r="BQ115" i="56"/>
  <c r="BP115" i="56"/>
  <c r="M110" i="56"/>
  <c r="E41" i="42" s="1"/>
  <c r="L110" i="56"/>
  <c r="D41" i="42" s="1"/>
  <c r="M103" i="56"/>
  <c r="E41" i="28" s="1"/>
  <c r="BK102" i="56"/>
  <c r="BJ102" i="56"/>
  <c r="AR91" i="56"/>
  <c r="AR103" i="56"/>
  <c r="CG105" i="56"/>
  <c r="CF105" i="56"/>
  <c r="BI106" i="56"/>
  <c r="BH106" i="56"/>
  <c r="DM99" i="56"/>
  <c r="BQ110" i="56"/>
  <c r="BH116" i="56"/>
  <c r="BX108" i="56"/>
  <c r="AR97" i="56"/>
  <c r="AJ102" i="56"/>
  <c r="DM97" i="56"/>
  <c r="AR115" i="56"/>
  <c r="AK117" i="56"/>
  <c r="BP116" i="56"/>
  <c r="BI103" i="56"/>
  <c r="BQ96" i="56"/>
  <c r="CG117" i="56"/>
  <c r="CF117" i="56"/>
  <c r="CG109" i="56"/>
  <c r="CF109" i="56"/>
  <c r="CW104" i="56"/>
  <c r="CV104" i="56"/>
  <c r="BQ107" i="56"/>
  <c r="BA111" i="56"/>
  <c r="AZ111" i="56"/>
  <c r="DD105" i="56"/>
  <c r="AS110" i="56"/>
  <c r="AR110" i="56"/>
  <c r="AS117" i="56"/>
  <c r="T91" i="56"/>
  <c r="T103" i="56"/>
  <c r="CN103" i="56"/>
  <c r="CN91" i="56"/>
  <c r="BA115" i="56"/>
  <c r="AZ115" i="56"/>
  <c r="BY96" i="56"/>
  <c r="BX96" i="56"/>
  <c r="BA99" i="56"/>
  <c r="CW101" i="56"/>
  <c r="BH96" i="56"/>
  <c r="CN98" i="56"/>
  <c r="CP117" i="56"/>
  <c r="AJ99" i="56"/>
  <c r="BP105" i="56"/>
  <c r="AZ103" i="56"/>
  <c r="AZ91" i="56"/>
  <c r="AJ112" i="56"/>
  <c r="DL100" i="56"/>
  <c r="BX115" i="56"/>
  <c r="BQ108" i="56"/>
  <c r="AB108" i="56"/>
  <c r="CO113" i="56"/>
  <c r="BH110" i="56"/>
  <c r="BJ113" i="56"/>
  <c r="BX116" i="56"/>
  <c r="AB96" i="56"/>
  <c r="M107" i="56"/>
  <c r="E41" i="39" s="1"/>
  <c r="AC114" i="56"/>
  <c r="BH91" i="56"/>
  <c r="BH103" i="56"/>
  <c r="DL103" i="56"/>
  <c r="DL91" i="56"/>
  <c r="DL102" i="56"/>
  <c r="DL116" i="56"/>
  <c r="DL118" i="56"/>
  <c r="BY105" i="56"/>
  <c r="U110" i="56"/>
  <c r="AA119" i="56"/>
  <c r="U118" i="56"/>
  <c r="T115" i="56"/>
  <c r="DE110" i="56"/>
  <c r="BB112" i="56"/>
  <c r="DE113" i="56"/>
  <c r="AY119" i="56"/>
  <c r="DD108" i="56"/>
  <c r="CV97" i="56"/>
  <c r="BH115" i="56"/>
  <c r="AC107" i="56"/>
  <c r="BA108" i="56"/>
  <c r="AC99" i="56"/>
  <c r="DE117" i="56"/>
  <c r="DE112" i="56"/>
  <c r="CV114" i="56"/>
  <c r="CV117" i="56"/>
  <c r="BH117" i="56"/>
  <c r="T116" i="56"/>
  <c r="AB117" i="56"/>
  <c r="DD115" i="56"/>
  <c r="CO110" i="56"/>
  <c r="AR104" i="56"/>
  <c r="BP97" i="56"/>
  <c r="AB100" i="56"/>
  <c r="AR117" i="56"/>
  <c r="CV99" i="56"/>
  <c r="AK97" i="56"/>
  <c r="CF111" i="56"/>
  <c r="AB110" i="56"/>
  <c r="CN115" i="56"/>
  <c r="AR118" i="56"/>
  <c r="CN110" i="56"/>
  <c r="AJ104" i="56"/>
  <c r="AS102" i="56"/>
  <c r="T117" i="56"/>
  <c r="CO97" i="56"/>
  <c r="U108" i="56"/>
  <c r="L108" i="56"/>
  <c r="D41" i="29" s="1"/>
  <c r="AD102" i="56"/>
  <c r="AC102" i="56"/>
  <c r="BZ105" i="56"/>
  <c r="DO117" i="56"/>
  <c r="DN117" i="56"/>
  <c r="BC102" i="56"/>
  <c r="BB102" i="56"/>
  <c r="BA109" i="56"/>
  <c r="AZ109" i="56"/>
  <c r="CN116" i="56"/>
  <c r="BI115" i="56"/>
  <c r="CG118" i="56"/>
  <c r="CF118" i="56"/>
  <c r="DE98" i="56"/>
  <c r="DD98" i="56"/>
  <c r="AB91" i="56"/>
  <c r="AB103" i="56"/>
  <c r="CP111" i="56"/>
  <c r="CO111" i="56"/>
  <c r="CO100" i="56"/>
  <c r="CN100" i="56"/>
  <c r="BP117" i="56"/>
  <c r="CG113" i="56"/>
  <c r="CF113" i="56"/>
  <c r="BQ113" i="56"/>
  <c r="AC116" i="56"/>
  <c r="AB116" i="56"/>
  <c r="AC100" i="56"/>
  <c r="AL110" i="56"/>
  <c r="DD116" i="56"/>
  <c r="BZ110" i="56"/>
  <c r="CF97" i="56"/>
  <c r="DL114" i="56"/>
  <c r="AS116" i="56"/>
  <c r="AR116" i="56"/>
  <c r="BP99" i="56"/>
  <c r="BQ99" i="56"/>
  <c r="AZ106" i="56"/>
  <c r="AR109" i="56"/>
  <c r="DL106" i="56"/>
  <c r="CV91" i="56"/>
  <c r="CV103" i="56"/>
  <c r="BY104" i="56"/>
  <c r="CV113" i="56"/>
  <c r="BX112" i="56"/>
  <c r="AJ115" i="56"/>
  <c r="AK115" i="56"/>
  <c r="CF112" i="56"/>
  <c r="L97" i="56"/>
  <c r="D41" i="31" s="1"/>
  <c r="AS99" i="56"/>
  <c r="AR99" i="56"/>
  <c r="AK111" i="56"/>
  <c r="AJ111" i="56"/>
  <c r="DD102" i="56"/>
  <c r="AS114" i="56"/>
  <c r="AR114" i="56"/>
  <c r="M116" i="56"/>
  <c r="E41" i="48" s="1"/>
  <c r="L116" i="56"/>
  <c r="D41" i="48" s="1"/>
  <c r="DN101" i="56"/>
  <c r="DM101" i="56"/>
  <c r="AS118" i="56"/>
  <c r="CO105" i="56"/>
  <c r="AJ113" i="56"/>
  <c r="AS101" i="56"/>
  <c r="AR101" i="56"/>
  <c r="BX111" i="56"/>
  <c r="BY103" i="56"/>
  <c r="AC106" i="56"/>
  <c r="AB106" i="56"/>
  <c r="AK116" i="56"/>
  <c r="AJ116" i="56"/>
  <c r="DD103" i="56"/>
  <c r="DD91" i="56"/>
  <c r="AK109" i="56"/>
  <c r="AJ109" i="56"/>
  <c r="DM104" i="56"/>
  <c r="DL104" i="56"/>
  <c r="BJ105" i="56"/>
  <c r="BI105" i="56"/>
  <c r="U105" i="56"/>
  <c r="T105" i="56"/>
  <c r="L105" i="56"/>
  <c r="D41" i="30" s="1"/>
  <c r="DE109" i="56"/>
  <c r="DD109" i="56"/>
  <c r="AR105" i="56"/>
  <c r="BP91" i="56"/>
  <c r="BP103" i="56"/>
  <c r="CW99" i="56"/>
  <c r="CV105" i="56"/>
  <c r="L103" i="56"/>
  <c r="D41" i="28" s="1"/>
  <c r="L91" i="56"/>
  <c r="CN101" i="56"/>
  <c r="AL108" i="56"/>
  <c r="BH108" i="56"/>
  <c r="AZ118" i="56"/>
  <c r="CG111" i="56"/>
  <c r="T100" i="56"/>
  <c r="CV106" i="56"/>
  <c r="AZ100" i="56"/>
  <c r="T112" i="56"/>
  <c r="CF106" i="56"/>
  <c r="CV112" i="56"/>
  <c r="T101" i="56"/>
  <c r="AZ114" i="56"/>
  <c r="CG103" i="56"/>
  <c r="BX91" i="56"/>
  <c r="BX103" i="56"/>
  <c r="CW96" i="56"/>
  <c r="AC98" i="56"/>
  <c r="V110" i="56"/>
  <c r="DD113" i="56"/>
  <c r="U113" i="56"/>
  <c r="AZ117" i="56"/>
  <c r="CN97" i="56"/>
  <c r="AR111" i="56"/>
  <c r="DM108" i="56"/>
  <c r="AC115" i="56"/>
  <c r="CV111" i="56"/>
  <c r="BH109" i="56"/>
  <c r="CF100" i="56"/>
  <c r="K119" i="56"/>
  <c r="BP107" i="56"/>
  <c r="CW108" i="56"/>
  <c r="BX97" i="56"/>
  <c r="DM111" i="56"/>
  <c r="BJ114" i="56"/>
  <c r="CW98" i="56"/>
  <c r="DD110" i="56"/>
  <c r="AZ113" i="56"/>
  <c r="AR108" i="56"/>
  <c r="M118" i="56"/>
  <c r="E41" i="50" s="1"/>
  <c r="BY102" i="56"/>
  <c r="AK96" i="56"/>
  <c r="DL113" i="56"/>
  <c r="L118" i="56"/>
  <c r="D41" i="50" s="1"/>
  <c r="DD117" i="56"/>
  <c r="AL97" i="56"/>
  <c r="AK110" i="56"/>
  <c r="DM117" i="56"/>
  <c r="AB102" i="56"/>
  <c r="BH100" i="56"/>
  <c r="AC110" i="56"/>
  <c r="AJ91" i="56"/>
  <c r="CF107" i="56"/>
  <c r="L115" i="56"/>
  <c r="D41" i="47" s="1"/>
  <c r="AB98" i="56"/>
  <c r="AS113" i="56"/>
  <c r="BX117" i="56"/>
  <c r="T107" i="56"/>
  <c r="CN112" i="56"/>
  <c r="U117" i="56"/>
  <c r="CN105" i="56"/>
  <c r="T108" i="56"/>
  <c r="AZ108" i="56"/>
  <c r="CO117" i="56"/>
  <c r="BY110" i="56"/>
  <c r="AQ119" i="56"/>
  <c r="BH98" i="56"/>
  <c r="CV108" i="56"/>
  <c r="DL111" i="56"/>
  <c r="M108" i="56"/>
  <c r="E41" i="29" s="1"/>
  <c r="DN108" i="56"/>
  <c r="CG108" i="56"/>
  <c r="CW111" i="56"/>
  <c r="M115" i="56"/>
  <c r="E41" i="47" s="1"/>
  <c r="BI98" i="56"/>
  <c r="BA117" i="56"/>
  <c r="BI107" i="56"/>
  <c r="CY97" i="56"/>
  <c r="CW117" i="56"/>
  <c r="CO108" i="56"/>
  <c r="M112" i="56"/>
  <c r="E41" i="44" s="1"/>
  <c r="BQ118" i="56"/>
  <c r="AD97" i="56"/>
  <c r="M117" i="56"/>
  <c r="E41" i="49" s="1"/>
  <c r="AS112" i="56"/>
  <c r="BZ113" i="56"/>
  <c r="BQ111" i="56"/>
  <c r="AS106" i="56"/>
  <c r="U107" i="56"/>
  <c r="BA103" i="56"/>
  <c r="DO96" i="56" l="1"/>
  <c r="DE106" i="56"/>
  <c r="BB110" i="56"/>
  <c r="AK100" i="56"/>
  <c r="W96" i="56"/>
  <c r="CP106" i="56"/>
  <c r="BJ99" i="56"/>
  <c r="CG96" i="56"/>
  <c r="CX115" i="56"/>
  <c r="BS102" i="56"/>
  <c r="CW102" i="56"/>
  <c r="BC116" i="56"/>
  <c r="AL101" i="56"/>
  <c r="DF96" i="56"/>
  <c r="M102" i="56"/>
  <c r="E41" i="37" s="1"/>
  <c r="O102" i="56"/>
  <c r="G41" i="37" s="1"/>
  <c r="CH115" i="56"/>
  <c r="N113" i="56"/>
  <c r="F41" i="45" s="1"/>
  <c r="CI101" i="56"/>
  <c r="CG101" i="56"/>
  <c r="AD112" i="56"/>
  <c r="CO109" i="56"/>
  <c r="CI99" i="56"/>
  <c r="CX110" i="56"/>
  <c r="CO96" i="56"/>
  <c r="BJ112" i="56"/>
  <c r="CX116" i="56"/>
  <c r="BL102" i="56"/>
  <c r="AF102" i="56"/>
  <c r="BL99" i="56"/>
  <c r="AM105" i="56"/>
  <c r="BR99" i="56"/>
  <c r="BY99" i="56"/>
  <c r="AC109" i="56"/>
  <c r="DN104" i="56"/>
  <c r="BR114" i="56"/>
  <c r="DO110" i="56"/>
  <c r="M100" i="56"/>
  <c r="E41" i="35" s="1"/>
  <c r="CI105" i="56"/>
  <c r="CA109" i="56"/>
  <c r="CH98" i="56"/>
  <c r="N99" i="56"/>
  <c r="F41" i="34" s="1"/>
  <c r="BZ114" i="56"/>
  <c r="V105" i="56"/>
  <c r="DF118" i="56"/>
  <c r="BK104" i="56"/>
  <c r="CI102" i="56"/>
  <c r="BL105" i="56"/>
  <c r="AT114" i="56"/>
  <c r="V114" i="56"/>
  <c r="CX104" i="56"/>
  <c r="BI104" i="56"/>
  <c r="BT101" i="56"/>
  <c r="DM112" i="56"/>
  <c r="CX98" i="56"/>
  <c r="AT101" i="56"/>
  <c r="CO99" i="56"/>
  <c r="CY113" i="56"/>
  <c r="M114" i="56"/>
  <c r="E41" i="46" s="1"/>
  <c r="BS97" i="56"/>
  <c r="BS98" i="56"/>
  <c r="CP98" i="56"/>
  <c r="DM118" i="56"/>
  <c r="AT110" i="56"/>
  <c r="AV102" i="56"/>
  <c r="CI107" i="56"/>
  <c r="AV113" i="56"/>
  <c r="AC105" i="56"/>
  <c r="CH109" i="56"/>
  <c r="CI117" i="56"/>
  <c r="V108" i="56"/>
  <c r="BA100" i="56"/>
  <c r="T119" i="56"/>
  <c r="CB105" i="56"/>
  <c r="AK107" i="56"/>
  <c r="AR119" i="56"/>
  <c r="N114" i="56"/>
  <c r="F41" i="46" s="1"/>
  <c r="CG107" i="56"/>
  <c r="AD115" i="56"/>
  <c r="AU96" i="56"/>
  <c r="DF112" i="56"/>
  <c r="CH107" i="56"/>
  <c r="BZ102" i="56"/>
  <c r="AC97" i="56"/>
  <c r="BZ118" i="56"/>
  <c r="BR116" i="56"/>
  <c r="AS115" i="56"/>
  <c r="BI116" i="56"/>
  <c r="AS96" i="56"/>
  <c r="AE110" i="56"/>
  <c r="BR97" i="56"/>
  <c r="AT102" i="56"/>
  <c r="BI111" i="56"/>
  <c r="O108" i="56"/>
  <c r="G41" i="29" s="1"/>
  <c r="DE115" i="56"/>
  <c r="W108" i="56"/>
  <c r="BJ97" i="56"/>
  <c r="CH113" i="56"/>
  <c r="BJ115" i="56"/>
  <c r="AD101" i="56"/>
  <c r="BY101" i="56"/>
  <c r="CR117" i="56"/>
  <c r="N108" i="56"/>
  <c r="F41" i="29" s="1"/>
  <c r="AL117" i="56"/>
  <c r="AS104" i="56"/>
  <c r="BZ106" i="56"/>
  <c r="CH118" i="56"/>
  <c r="AS108" i="56"/>
  <c r="BZ107" i="56"/>
  <c r="CG91" i="56"/>
  <c r="M111" i="56"/>
  <c r="E41" i="43" s="1"/>
  <c r="BZ96" i="56"/>
  <c r="BJ106" i="56"/>
  <c r="CX113" i="56"/>
  <c r="BD102" i="56"/>
  <c r="AL115" i="56"/>
  <c r="AL111" i="56"/>
  <c r="L119" i="56"/>
  <c r="CF119" i="56"/>
  <c r="W114" i="56"/>
  <c r="DE97" i="56"/>
  <c r="AD107" i="56"/>
  <c r="CX108" i="56"/>
  <c r="CG100" i="56"/>
  <c r="DD119" i="56"/>
  <c r="BP119" i="56"/>
  <c r="CV119" i="56"/>
  <c r="DL119" i="56"/>
  <c r="AT104" i="56"/>
  <c r="DF104" i="56"/>
  <c r="BC108" i="56"/>
  <c r="BQ109" i="56"/>
  <c r="N106" i="56"/>
  <c r="F41" i="38" s="1"/>
  <c r="M106" i="56"/>
  <c r="E41" i="38" s="1"/>
  <c r="AE111" i="56"/>
  <c r="AD111" i="56"/>
  <c r="AE115" i="56"/>
  <c r="DF97" i="56"/>
  <c r="AM107" i="56"/>
  <c r="DO111" i="56"/>
  <c r="DN111" i="56"/>
  <c r="AU118" i="56"/>
  <c r="BI117" i="56"/>
  <c r="N103" i="56"/>
  <c r="F41" i="28" s="1"/>
  <c r="CW118" i="56"/>
  <c r="CP109" i="56"/>
  <c r="CX109" i="56"/>
  <c r="CW109" i="56"/>
  <c r="M109" i="56"/>
  <c r="E41" i="41" s="1"/>
  <c r="DE91" i="56"/>
  <c r="DE103" i="56"/>
  <c r="CP110" i="56"/>
  <c r="W99" i="56"/>
  <c r="V106" i="56"/>
  <c r="U106" i="56"/>
  <c r="V102" i="56"/>
  <c r="DF108" i="56"/>
  <c r="CH103" i="56"/>
  <c r="CH106" i="56"/>
  <c r="CG106" i="56"/>
  <c r="CH111" i="56"/>
  <c r="BB118" i="56"/>
  <c r="BA118" i="56"/>
  <c r="AM108" i="56"/>
  <c r="AN108" i="56"/>
  <c r="CW105" i="56"/>
  <c r="CW103" i="56"/>
  <c r="CW91" i="56"/>
  <c r="AS109" i="56"/>
  <c r="AT109" i="56"/>
  <c r="BA106" i="56"/>
  <c r="BA104" i="56"/>
  <c r="CW100" i="56"/>
  <c r="V118" i="56"/>
  <c r="CI110" i="56"/>
  <c r="CH110" i="56"/>
  <c r="O101" i="56"/>
  <c r="G41" i="36" s="1"/>
  <c r="N101" i="56"/>
  <c r="F41" i="36" s="1"/>
  <c r="BB97" i="56"/>
  <c r="BJ110" i="56"/>
  <c r="BI110" i="56"/>
  <c r="DM100" i="56"/>
  <c r="AK99" i="56"/>
  <c r="BI96" i="56"/>
  <c r="BB99" i="56"/>
  <c r="W117" i="56"/>
  <c r="BJ103" i="56"/>
  <c r="AK102" i="56"/>
  <c r="AL102" i="56"/>
  <c r="BY108" i="56"/>
  <c r="BA105" i="56"/>
  <c r="U109" i="56"/>
  <c r="P114" i="56"/>
  <c r="H41" i="46" s="1"/>
  <c r="O114" i="56"/>
  <c r="G41" i="46" s="1"/>
  <c r="DM115" i="56"/>
  <c r="DN98" i="56"/>
  <c r="CZ108" i="56"/>
  <c r="CY108" i="56"/>
  <c r="BB113" i="56"/>
  <c r="BA113" i="56"/>
  <c r="AL118" i="56"/>
  <c r="BZ100" i="56"/>
  <c r="BY100" i="56"/>
  <c r="V104" i="56"/>
  <c r="CO91" i="56"/>
  <c r="CO103" i="56"/>
  <c r="BC107" i="56"/>
  <c r="BB107" i="56"/>
  <c r="AD117" i="56"/>
  <c r="AC117" i="56"/>
  <c r="CQ105" i="56"/>
  <c r="BZ101" i="56"/>
  <c r="CX114" i="56"/>
  <c r="CW114" i="56"/>
  <c r="DF114" i="56"/>
  <c r="DE114" i="56"/>
  <c r="V97" i="56"/>
  <c r="AM96" i="56"/>
  <c r="AL96" i="56"/>
  <c r="CR104" i="56"/>
  <c r="CQ104" i="56"/>
  <c r="DF117" i="56"/>
  <c r="BQ100" i="56"/>
  <c r="BR100" i="56"/>
  <c r="AK114" i="56"/>
  <c r="CG116" i="56"/>
  <c r="CY96" i="56"/>
  <c r="CX96" i="56"/>
  <c r="U101" i="56"/>
  <c r="CW112" i="56"/>
  <c r="CX106" i="56"/>
  <c r="CW106" i="56"/>
  <c r="BQ103" i="56"/>
  <c r="BQ91" i="56"/>
  <c r="AS105" i="56"/>
  <c r="BZ103" i="56"/>
  <c r="DE102" i="56"/>
  <c r="CQ114" i="56"/>
  <c r="CR114" i="56"/>
  <c r="M97" i="56"/>
  <c r="E41" i="31" s="1"/>
  <c r="DM106" i="56"/>
  <c r="AN110" i="56"/>
  <c r="AM110" i="56"/>
  <c r="CO102" i="56"/>
  <c r="CP102" i="56"/>
  <c r="CR107" i="56"/>
  <c r="CQ107" i="56"/>
  <c r="DM102" i="56"/>
  <c r="AE114" i="56"/>
  <c r="AD114" i="56"/>
  <c r="AC96" i="56"/>
  <c r="BR108" i="56"/>
  <c r="U103" i="56"/>
  <c r="U91" i="56"/>
  <c r="BR107" i="56"/>
  <c r="DN112" i="56"/>
  <c r="BA96" i="56"/>
  <c r="DN103" i="56"/>
  <c r="AD113" i="56"/>
  <c r="AC113" i="56"/>
  <c r="CG114" i="56"/>
  <c r="DE107" i="56"/>
  <c r="AS91" i="56"/>
  <c r="AS103" i="56"/>
  <c r="V116" i="56"/>
  <c r="U116" i="56"/>
  <c r="CA104" i="56"/>
  <c r="U115" i="56"/>
  <c r="DG110" i="56"/>
  <c r="CP118" i="56"/>
  <c r="CO118" i="56"/>
  <c r="W113" i="56"/>
  <c r="DE100" i="56"/>
  <c r="X110" i="56"/>
  <c r="W110" i="56"/>
  <c r="CP112" i="56"/>
  <c r="DN113" i="56"/>
  <c r="BA114" i="56"/>
  <c r="U112" i="56"/>
  <c r="CO101" i="56"/>
  <c r="AL103" i="56"/>
  <c r="DN114" i="56"/>
  <c r="DM114" i="56"/>
  <c r="AC91" i="56"/>
  <c r="AC103" i="56"/>
  <c r="CO116" i="56"/>
  <c r="DM109" i="56"/>
  <c r="BB101" i="56"/>
  <c r="AK98" i="56"/>
  <c r="DM116" i="56"/>
  <c r="BL113" i="56"/>
  <c r="BK113" i="56"/>
  <c r="CQ113" i="56"/>
  <c r="CP113" i="56"/>
  <c r="CX101" i="56"/>
  <c r="AS97" i="56"/>
  <c r="DG101" i="56"/>
  <c r="DF101" i="56"/>
  <c r="M98" i="56"/>
  <c r="E41" i="33" s="1"/>
  <c r="CP96" i="56"/>
  <c r="AM104" i="56"/>
  <c r="AL104" i="56"/>
  <c r="CW107" i="56"/>
  <c r="AC104" i="56"/>
  <c r="AF101" i="56"/>
  <c r="AE101" i="56"/>
  <c r="AT111" i="56"/>
  <c r="AS111" i="56"/>
  <c r="AS98" i="56"/>
  <c r="AD99" i="56"/>
  <c r="N96" i="56"/>
  <c r="F41" i="32" s="1"/>
  <c r="BR104" i="56"/>
  <c r="BI101" i="56"/>
  <c r="U100" i="56"/>
  <c r="BI108" i="56"/>
  <c r="CX99" i="56"/>
  <c r="AM100" i="56"/>
  <c r="AL100" i="56"/>
  <c r="BY111" i="56"/>
  <c r="BD110" i="56"/>
  <c r="BC110" i="56"/>
  <c r="CG112" i="56"/>
  <c r="N104" i="56"/>
  <c r="F41" i="11" s="1"/>
  <c r="DE116" i="56"/>
  <c r="AD100" i="56"/>
  <c r="DH96" i="56"/>
  <c r="DG96" i="56"/>
  <c r="BQ117" i="56"/>
  <c r="AS100" i="56"/>
  <c r="DE111" i="56"/>
  <c r="N107" i="56"/>
  <c r="F41" i="39" s="1"/>
  <c r="BY116" i="56"/>
  <c r="AC108" i="56"/>
  <c r="BY115" i="56"/>
  <c r="AK112" i="56"/>
  <c r="BQ105" i="56"/>
  <c r="AT117" i="56"/>
  <c r="DO97" i="56"/>
  <c r="DN97" i="56"/>
  <c r="BS110" i="56"/>
  <c r="BR110" i="56"/>
  <c r="DN99" i="56"/>
  <c r="AE107" i="56"/>
  <c r="BY98" i="56"/>
  <c r="AK106" i="56"/>
  <c r="DF106" i="56"/>
  <c r="BI118" i="56"/>
  <c r="CH100" i="56"/>
  <c r="AK91" i="56"/>
  <c r="CQ97" i="56"/>
  <c r="AZ119" i="56"/>
  <c r="BB115" i="56"/>
  <c r="X114" i="56"/>
  <c r="BQ104" i="56"/>
  <c r="M105" i="56"/>
  <c r="E41" i="30" s="1"/>
  <c r="CP105" i="56"/>
  <c r="BY112" i="56"/>
  <c r="CA110" i="56"/>
  <c r="AN97" i="56"/>
  <c r="CQ117" i="56"/>
  <c r="DM113" i="56"/>
  <c r="AJ119" i="56"/>
  <c r="BH119" i="56"/>
  <c r="V117" i="56"/>
  <c r="BI91" i="56"/>
  <c r="X108" i="56"/>
  <c r="V113" i="56"/>
  <c r="BJ104" i="56"/>
  <c r="AL116" i="56"/>
  <c r="BB111" i="56"/>
  <c r="DP117" i="56"/>
  <c r="AD98" i="56"/>
  <c r="DF110" i="56"/>
  <c r="CN119" i="56"/>
  <c r="CX97" i="56"/>
  <c r="BY97" i="56"/>
  <c r="CP99" i="56"/>
  <c r="BY91" i="56"/>
  <c r="CP114" i="56"/>
  <c r="AM97" i="56"/>
  <c r="BA91" i="56"/>
  <c r="CA105" i="56"/>
  <c r="BR106" i="56"/>
  <c r="BB108" i="56"/>
  <c r="CP97" i="56"/>
  <c r="AB119" i="56"/>
  <c r="CO98" i="56"/>
  <c r="BY117" i="56"/>
  <c r="BQ116" i="56"/>
  <c r="V99" i="56"/>
  <c r="DM91" i="56"/>
  <c r="CB110" i="56"/>
  <c r="DN107" i="56"/>
  <c r="BC112" i="56"/>
  <c r="AD118" i="56"/>
  <c r="BJ100" i="56"/>
  <c r="BJ109" i="56"/>
  <c r="N118" i="56"/>
  <c r="F41" i="50" s="1"/>
  <c r="CP104" i="56"/>
  <c r="AL107" i="56"/>
  <c r="AK118" i="56"/>
  <c r="AK104" i="56"/>
  <c r="DM107" i="56"/>
  <c r="AD110" i="56"/>
  <c r="BI97" i="56"/>
  <c r="CX112" i="56"/>
  <c r="AK103" i="56"/>
  <c r="AK113" i="56"/>
  <c r="AT118" i="56"/>
  <c r="BZ112" i="56"/>
  <c r="CW113" i="56"/>
  <c r="BZ104" i="56"/>
  <c r="DN106" i="56"/>
  <c r="CG97" i="56"/>
  <c r="BR113" i="56"/>
  <c r="BI100" i="56"/>
  <c r="BY113" i="56"/>
  <c r="BX119" i="56"/>
  <c r="DE105" i="56"/>
  <c r="BR96" i="56"/>
  <c r="M91" i="56"/>
  <c r="BZ97" i="56"/>
  <c r="DM105" i="56"/>
  <c r="AU102" i="56"/>
  <c r="CP115" i="56"/>
  <c r="CY111" i="56"/>
  <c r="CZ97" i="56"/>
  <c r="N115" i="56"/>
  <c r="F41" i="47" s="1"/>
  <c r="AF110" i="56"/>
  <c r="AT106" i="56"/>
  <c r="BR111" i="56"/>
  <c r="N117" i="56"/>
  <c r="F41" i="49" s="1"/>
  <c r="CR97" i="56"/>
  <c r="N112" i="56"/>
  <c r="F41" i="44" s="1"/>
  <c r="AT108" i="56"/>
  <c r="AD109" i="56"/>
  <c r="CI97" i="56"/>
  <c r="AT112" i="56"/>
  <c r="BB116" i="56" l="1"/>
  <c r="DG118" i="56"/>
  <c r="DP96" i="56"/>
  <c r="CJ101" i="56"/>
  <c r="CQ106" i="56"/>
  <c r="AM101" i="56"/>
  <c r="O113" i="56"/>
  <c r="G41" i="45" s="1"/>
  <c r="X96" i="56"/>
  <c r="V111" i="56"/>
  <c r="CY115" i="56"/>
  <c r="BT99" i="56"/>
  <c r="AE102" i="56"/>
  <c r="BT102" i="56"/>
  <c r="CJ99" i="56"/>
  <c r="W105" i="56"/>
  <c r="CH99" i="56"/>
  <c r="CA96" i="56"/>
  <c r="P102" i="56"/>
  <c r="H41" i="37" s="1"/>
  <c r="CI115" i="56"/>
  <c r="AU114" i="56"/>
  <c r="BB98" i="56"/>
  <c r="CR109" i="56"/>
  <c r="BK112" i="56"/>
  <c r="X111" i="56"/>
  <c r="O106" i="56"/>
  <c r="G41" i="38" s="1"/>
  <c r="BT97" i="56"/>
  <c r="DP111" i="56"/>
  <c r="P101" i="56"/>
  <c r="H41" i="36" s="1"/>
  <c r="CH105" i="56"/>
  <c r="AE112" i="56"/>
  <c r="CH117" i="56"/>
  <c r="BS101" i="56"/>
  <c r="CY110" i="56"/>
  <c r="BK105" i="56"/>
  <c r="CZ113" i="56"/>
  <c r="AN111" i="56"/>
  <c r="BK106" i="56"/>
  <c r="BL112" i="56"/>
  <c r="BR115" i="56"/>
  <c r="AL113" i="56"/>
  <c r="CJ105" i="56"/>
  <c r="CQ109" i="56"/>
  <c r="CI98" i="56"/>
  <c r="CZ116" i="56"/>
  <c r="AV96" i="56"/>
  <c r="BT98" i="56"/>
  <c r="CA100" i="56"/>
  <c r="CI109" i="56"/>
  <c r="AN105" i="56"/>
  <c r="O99" i="56"/>
  <c r="G41" i="34" s="1"/>
  <c r="CB114" i="56"/>
  <c r="DN118" i="56"/>
  <c r="DO104" i="56"/>
  <c r="BD116" i="56"/>
  <c r="AM102" i="56"/>
  <c r="V98" i="56"/>
  <c r="DP110" i="56"/>
  <c r="AT99" i="56"/>
  <c r="CY98" i="56"/>
  <c r="W98" i="56"/>
  <c r="CB109" i="56"/>
  <c r="AF114" i="56"/>
  <c r="BZ109" i="56"/>
  <c r="AL109" i="56"/>
  <c r="BS114" i="56"/>
  <c r="CZ104" i="56"/>
  <c r="DG112" i="56"/>
  <c r="CA118" i="56"/>
  <c r="CA107" i="56"/>
  <c r="BL104" i="56"/>
  <c r="W106" i="56"/>
  <c r="AU101" i="56"/>
  <c r="CR98" i="56"/>
  <c r="CJ102" i="56"/>
  <c r="CH104" i="56"/>
  <c r="CI104" i="56"/>
  <c r="CW119" i="56"/>
  <c r="CR118" i="56"/>
  <c r="AM116" i="56"/>
  <c r="AF117" i="56"/>
  <c r="CJ117" i="56"/>
  <c r="CG119" i="56"/>
  <c r="CB101" i="56"/>
  <c r="P108" i="56"/>
  <c r="H41" i="29" s="1"/>
  <c r="BS100" i="56"/>
  <c r="AF111" i="56"/>
  <c r="CZ109" i="56"/>
  <c r="BS106" i="56"/>
  <c r="CR108" i="56"/>
  <c r="AU109" i="56"/>
  <c r="DN105" i="56"/>
  <c r="CY106" i="56"/>
  <c r="AN115" i="56"/>
  <c r="BA119" i="56"/>
  <c r="CZ114" i="56"/>
  <c r="AU110" i="56"/>
  <c r="CB102" i="56"/>
  <c r="BC115" i="56"/>
  <c r="CA108" i="56"/>
  <c r="DP97" i="56"/>
  <c r="AS119" i="56"/>
  <c r="AE97" i="56"/>
  <c r="CA101" i="56"/>
  <c r="CO119" i="56"/>
  <c r="AM109" i="56"/>
  <c r="AN109" i="56"/>
  <c r="BB103" i="56"/>
  <c r="BD107" i="56"/>
  <c r="BS104" i="56"/>
  <c r="AE118" i="56"/>
  <c r="AT115" i="56"/>
  <c r="AN96" i="56"/>
  <c r="CA117" i="56"/>
  <c r="CB97" i="56"/>
  <c r="BQ119" i="56"/>
  <c r="CA112" i="56"/>
  <c r="CX111" i="56"/>
  <c r="DO105" i="56"/>
  <c r="CI118" i="56"/>
  <c r="CR115" i="56"/>
  <c r="AV118" i="56"/>
  <c r="AN107" i="56"/>
  <c r="CP100" i="56"/>
  <c r="CQ100" i="56"/>
  <c r="N91" i="56"/>
  <c r="DF115" i="56"/>
  <c r="BT104" i="56"/>
  <c r="CJ107" i="56"/>
  <c r="AD105" i="56"/>
  <c r="BY119" i="56"/>
  <c r="CB113" i="56"/>
  <c r="CB106" i="56"/>
  <c r="AV111" i="56"/>
  <c r="DH101" i="56"/>
  <c r="AN100" i="56"/>
  <c r="DP114" i="56"/>
  <c r="DM119" i="56"/>
  <c r="CZ96" i="56"/>
  <c r="BK110" i="56"/>
  <c r="CQ115" i="56"/>
  <c r="AK119" i="56"/>
  <c r="DE119" i="56"/>
  <c r="O111" i="56"/>
  <c r="G41" i="43" s="1"/>
  <c r="N111" i="56"/>
  <c r="F41" i="43" s="1"/>
  <c r="W115" i="56"/>
  <c r="DP108" i="56"/>
  <c r="DO108" i="56"/>
  <c r="AU107" i="56"/>
  <c r="AT107" i="56"/>
  <c r="AD116" i="56"/>
  <c r="N116" i="56"/>
  <c r="F41" i="48" s="1"/>
  <c r="DO100" i="56"/>
  <c r="DN100" i="56"/>
  <c r="BL115" i="56"/>
  <c r="BK115" i="56"/>
  <c r="DG98" i="56"/>
  <c r="DF98" i="56"/>
  <c r="AM106" i="56"/>
  <c r="AL106" i="56"/>
  <c r="AE108" i="56"/>
  <c r="AD108" i="56"/>
  <c r="V100" i="56"/>
  <c r="N98" i="56"/>
  <c r="F41" i="33" s="1"/>
  <c r="CP116" i="56"/>
  <c r="BB114" i="56"/>
  <c r="CP91" i="56"/>
  <c r="CP103" i="56"/>
  <c r="DN115" i="56"/>
  <c r="CY100" i="56"/>
  <c r="CX100" i="56"/>
  <c r="CI103" i="56"/>
  <c r="DH108" i="56"/>
  <c r="DG108" i="56"/>
  <c r="CY118" i="56"/>
  <c r="CX118" i="56"/>
  <c r="O100" i="56"/>
  <c r="G41" i="35" s="1"/>
  <c r="N100" i="56"/>
  <c r="F41" i="35" s="1"/>
  <c r="CR99" i="56"/>
  <c r="CQ99" i="56"/>
  <c r="BC117" i="56"/>
  <c r="BC106" i="56"/>
  <c r="BB106" i="56"/>
  <c r="BB109" i="56"/>
  <c r="DP99" i="56"/>
  <c r="DO99" i="56"/>
  <c r="CH112" i="56"/>
  <c r="CI112" i="56"/>
  <c r="DN116" i="56"/>
  <c r="AT105" i="56"/>
  <c r="AL99" i="56"/>
  <c r="DG105" i="56"/>
  <c r="CR110" i="56"/>
  <c r="CQ110" i="56"/>
  <c r="O103" i="56"/>
  <c r="G41" i="28" s="1"/>
  <c r="AV104" i="56"/>
  <c r="AU104" i="56"/>
  <c r="CY117" i="56"/>
  <c r="CX117" i="56"/>
  <c r="AT91" i="56"/>
  <c r="AT103" i="56"/>
  <c r="BK116" i="56"/>
  <c r="BJ116" i="56"/>
  <c r="BJ111" i="56"/>
  <c r="BK103" i="56"/>
  <c r="DP101" i="56"/>
  <c r="DO101" i="56"/>
  <c r="BS112" i="56"/>
  <c r="BR112" i="56"/>
  <c r="N110" i="56"/>
  <c r="F41" i="42" s="1"/>
  <c r="CJ96" i="56"/>
  <c r="CI96" i="56"/>
  <c r="AN117" i="56"/>
  <c r="AM117" i="56"/>
  <c r="BZ98" i="56"/>
  <c r="BZ116" i="56"/>
  <c r="AL98" i="56"/>
  <c r="DN109" i="56"/>
  <c r="CP101" i="56"/>
  <c r="V112" i="56"/>
  <c r="BC103" i="56"/>
  <c r="CH114" i="56"/>
  <c r="BT107" i="56"/>
  <c r="BS107" i="56"/>
  <c r="DF102" i="56"/>
  <c r="DH117" i="56"/>
  <c r="DG117" i="56"/>
  <c r="X97" i="56"/>
  <c r="W97" i="56"/>
  <c r="X104" i="56"/>
  <c r="W104" i="56"/>
  <c r="DO98" i="56"/>
  <c r="DP98" i="56"/>
  <c r="BJ96" i="56"/>
  <c r="BD97" i="56"/>
  <c r="BC97" i="56"/>
  <c r="AV99" i="56"/>
  <c r="AU99" i="56"/>
  <c r="X102" i="56"/>
  <c r="W102" i="56"/>
  <c r="DF91" i="56"/>
  <c r="DF103" i="56"/>
  <c r="W111" i="56"/>
  <c r="V115" i="56"/>
  <c r="BJ91" i="56"/>
  <c r="CA97" i="56"/>
  <c r="BZ115" i="56"/>
  <c r="BB100" i="56"/>
  <c r="CA113" i="56"/>
  <c r="BS96" i="56"/>
  <c r="AF115" i="56"/>
  <c r="BD108" i="56"/>
  <c r="AU106" i="56"/>
  <c r="BL97" i="56"/>
  <c r="CJ110" i="56"/>
  <c r="BB117" i="56"/>
  <c r="AF107" i="56"/>
  <c r="V107" i="56"/>
  <c r="CR113" i="56"/>
  <c r="CB104" i="56"/>
  <c r="AF105" i="56"/>
  <c r="DN91" i="56"/>
  <c r="M119" i="56"/>
  <c r="BZ91" i="56"/>
  <c r="BT113" i="56"/>
  <c r="CR105" i="56"/>
  <c r="AM103" i="56"/>
  <c r="AM118" i="56"/>
  <c r="X117" i="56"/>
  <c r="CQ108" i="56"/>
  <c r="CH91" i="56"/>
  <c r="DF105" i="56"/>
  <c r="BL100" i="56"/>
  <c r="BK100" i="56"/>
  <c r="AF98" i="56"/>
  <c r="AE98" i="56"/>
  <c r="DF113" i="56"/>
  <c r="AD91" i="56"/>
  <c r="AD103" i="56"/>
  <c r="DG109" i="56"/>
  <c r="DF109" i="56"/>
  <c r="V91" i="56"/>
  <c r="V103" i="56"/>
  <c r="BZ108" i="56"/>
  <c r="CB108" i="56"/>
  <c r="AU117" i="56"/>
  <c r="AV117" i="56"/>
  <c r="P107" i="56"/>
  <c r="H41" i="39" s="1"/>
  <c r="O107" i="56"/>
  <c r="G41" i="39" s="1"/>
  <c r="P104" i="56"/>
  <c r="H41" i="11" s="1"/>
  <c r="O104" i="56"/>
  <c r="G41" i="11" s="1"/>
  <c r="CZ99" i="56"/>
  <c r="CY99" i="56"/>
  <c r="AU97" i="56"/>
  <c r="AT97" i="56"/>
  <c r="BD101" i="56"/>
  <c r="BC101" i="56"/>
  <c r="DF107" i="56"/>
  <c r="BC96" i="56"/>
  <c r="BB96" i="56"/>
  <c r="BC98" i="56"/>
  <c r="BD98" i="56"/>
  <c r="V109" i="56"/>
  <c r="BC99" i="56"/>
  <c r="BD99" i="56"/>
  <c r="BC100" i="56"/>
  <c r="N109" i="56"/>
  <c r="F41" i="41" s="1"/>
  <c r="BL109" i="56"/>
  <c r="BK109" i="56"/>
  <c r="BS118" i="56"/>
  <c r="BR118" i="56"/>
  <c r="DG103" i="56"/>
  <c r="AU98" i="56"/>
  <c r="AT116" i="56"/>
  <c r="AE106" i="56"/>
  <c r="AD106" i="56"/>
  <c r="CR111" i="56"/>
  <c r="CQ111" i="56"/>
  <c r="BK118" i="56"/>
  <c r="BJ118" i="56"/>
  <c r="AM112" i="56"/>
  <c r="AL112" i="56"/>
  <c r="DF111" i="56"/>
  <c r="W107" i="56"/>
  <c r="DF116" i="56"/>
  <c r="BZ111" i="56"/>
  <c r="BJ101" i="56"/>
  <c r="AF99" i="56"/>
  <c r="AE99" i="56"/>
  <c r="CR96" i="56"/>
  <c r="CQ96" i="56"/>
  <c r="CZ101" i="56"/>
  <c r="CY101" i="56"/>
  <c r="DO113" i="56"/>
  <c r="DP113" i="56"/>
  <c r="CQ112" i="56"/>
  <c r="DF100" i="56"/>
  <c r="DP112" i="56"/>
  <c r="DO112" i="56"/>
  <c r="AD96" i="56"/>
  <c r="DN102" i="56"/>
  <c r="CH116" i="56"/>
  <c r="AN103" i="56"/>
  <c r="DP107" i="56"/>
  <c r="DO107" i="56"/>
  <c r="BT116" i="56"/>
  <c r="BS116" i="56"/>
  <c r="BJ107" i="56"/>
  <c r="CZ102" i="56"/>
  <c r="CY102" i="56"/>
  <c r="P118" i="56"/>
  <c r="H41" i="50" s="1"/>
  <c r="O118" i="56"/>
  <c r="G41" i="50" s="1"/>
  <c r="CH108" i="56"/>
  <c r="BL114" i="56"/>
  <c r="BK114" i="56"/>
  <c r="CB99" i="56"/>
  <c r="CA99" i="56"/>
  <c r="DF99" i="56"/>
  <c r="N105" i="56"/>
  <c r="F41" i="30" s="1"/>
  <c r="CA103" i="56"/>
  <c r="DO103" i="56"/>
  <c r="CX91" i="56"/>
  <c r="CX103" i="56"/>
  <c r="CJ100" i="56"/>
  <c r="CI100" i="56"/>
  <c r="DH106" i="56"/>
  <c r="DG106" i="56"/>
  <c r="BS105" i="56"/>
  <c r="BR105" i="56"/>
  <c r="AU100" i="56"/>
  <c r="AT100" i="56"/>
  <c r="BS117" i="56"/>
  <c r="BR117" i="56"/>
  <c r="AF100" i="56"/>
  <c r="AE100" i="56"/>
  <c r="BK108" i="56"/>
  <c r="BJ108" i="56"/>
  <c r="P96" i="56"/>
  <c r="H41" i="32" s="1"/>
  <c r="O96" i="56"/>
  <c r="G41" i="32" s="1"/>
  <c r="AD104" i="56"/>
  <c r="CX107" i="56"/>
  <c r="BK98" i="56"/>
  <c r="BT108" i="56"/>
  <c r="BS108" i="56"/>
  <c r="N97" i="56"/>
  <c r="F41" i="31" s="1"/>
  <c r="BR91" i="56"/>
  <c r="BR103" i="56"/>
  <c r="V101" i="56"/>
  <c r="AL114" i="56"/>
  <c r="BB105" i="56"/>
  <c r="X118" i="56"/>
  <c r="W118" i="56"/>
  <c r="BB104" i="56"/>
  <c r="CX105" i="56"/>
  <c r="CJ111" i="56"/>
  <c r="CI111" i="56"/>
  <c r="BJ117" i="56"/>
  <c r="DH97" i="56"/>
  <c r="DG97" i="56"/>
  <c r="BT115" i="56"/>
  <c r="BS115" i="56"/>
  <c r="BR109" i="56"/>
  <c r="DH104" i="56"/>
  <c r="DG104" i="56"/>
  <c r="AN113" i="56"/>
  <c r="AM113" i="56"/>
  <c r="BJ98" i="56"/>
  <c r="AC119" i="56"/>
  <c r="BT96" i="56"/>
  <c r="BK97" i="56"/>
  <c r="DH110" i="56"/>
  <c r="AN118" i="56"/>
  <c r="AN104" i="56"/>
  <c r="BD112" i="56"/>
  <c r="BZ117" i="56"/>
  <c r="CH97" i="56"/>
  <c r="BT110" i="56"/>
  <c r="U119" i="56"/>
  <c r="AT98" i="56"/>
  <c r="AF97" i="56"/>
  <c r="AL91" i="56"/>
  <c r="X113" i="56"/>
  <c r="BB91" i="56"/>
  <c r="AE105" i="56"/>
  <c r="BS113" i="56"/>
  <c r="BI119" i="56"/>
  <c r="CP108" i="56"/>
  <c r="X99" i="56"/>
  <c r="CZ111" i="56"/>
  <c r="CB117" i="56"/>
  <c r="O112" i="56"/>
  <c r="G41" i="44" s="1"/>
  <c r="CJ97" i="56"/>
  <c r="DP105" i="56"/>
  <c r="P117" i="56"/>
  <c r="H41" i="49" s="1"/>
  <c r="P115" i="56"/>
  <c r="H41" i="47" s="1"/>
  <c r="AU112" i="56"/>
  <c r="BD103" i="56"/>
  <c r="BS99" i="56" l="1"/>
  <c r="DH118" i="56"/>
  <c r="CR106" i="56"/>
  <c r="AN101" i="56"/>
  <c r="CZ115" i="56"/>
  <c r="P113" i="56"/>
  <c r="H41" i="45" s="1"/>
  <c r="AV114" i="56"/>
  <c r="P106" i="56"/>
  <c r="H41" i="38" s="1"/>
  <c r="CB96" i="56"/>
  <c r="BD115" i="56"/>
  <c r="CZ110" i="56"/>
  <c r="CQ118" i="56"/>
  <c r="DH98" i="56"/>
  <c r="AN102" i="56"/>
  <c r="AV110" i="56"/>
  <c r="X105" i="56"/>
  <c r="DH112" i="56"/>
  <c r="BT100" i="56"/>
  <c r="AF112" i="56"/>
  <c r="CJ115" i="56"/>
  <c r="X98" i="56"/>
  <c r="AM111" i="56"/>
  <c r="CY114" i="56"/>
  <c r="BL106" i="56"/>
  <c r="AE117" i="56"/>
  <c r="AU111" i="56"/>
  <c r="P100" i="56"/>
  <c r="H41" i="35" s="1"/>
  <c r="AF118" i="56"/>
  <c r="CY104" i="56"/>
  <c r="CI113" i="56"/>
  <c r="CJ113" i="56"/>
  <c r="BD106" i="56"/>
  <c r="CJ109" i="56"/>
  <c r="CB100" i="56"/>
  <c r="CA114" i="56"/>
  <c r="CJ98" i="56"/>
  <c r="CY116" i="56"/>
  <c r="P99" i="56"/>
  <c r="H41" i="34" s="1"/>
  <c r="DP104" i="56"/>
  <c r="AN116" i="56"/>
  <c r="BT114" i="56"/>
  <c r="CZ98" i="56"/>
  <c r="BD96" i="56"/>
  <c r="CZ106" i="56"/>
  <c r="CQ98" i="56"/>
  <c r="CZ100" i="56"/>
  <c r="CR100" i="56"/>
  <c r="CJ104" i="56"/>
  <c r="CB118" i="56"/>
  <c r="CA102" i="56"/>
  <c r="X106" i="56"/>
  <c r="CB107" i="56"/>
  <c r="DO114" i="56"/>
  <c r="AV101" i="56"/>
  <c r="DG107" i="56"/>
  <c r="AV109" i="56"/>
  <c r="CZ117" i="56"/>
  <c r="CZ118" i="56"/>
  <c r="BT106" i="56"/>
  <c r="BL110" i="56"/>
  <c r="AV97" i="56"/>
  <c r="AM115" i="56"/>
  <c r="CY109" i="56"/>
  <c r="CA106" i="56"/>
  <c r="P111" i="56"/>
  <c r="H41" i="43" s="1"/>
  <c r="BD117" i="56"/>
  <c r="DN119" i="56"/>
  <c r="N119" i="56"/>
  <c r="CJ118" i="56"/>
  <c r="CB112" i="56"/>
  <c r="BR119" i="56"/>
  <c r="V119" i="56"/>
  <c r="X107" i="56"/>
  <c r="AN112" i="56"/>
  <c r="AU115" i="56"/>
  <c r="AN106" i="56"/>
  <c r="CP119" i="56"/>
  <c r="BT112" i="56"/>
  <c r="CJ112" i="56"/>
  <c r="AF106" i="56"/>
  <c r="CX119" i="56"/>
  <c r="AL119" i="56"/>
  <c r="BT118" i="56"/>
  <c r="AV106" i="56"/>
  <c r="BZ119" i="56"/>
  <c r="BT105" i="56"/>
  <c r="BL118" i="56"/>
  <c r="O117" i="56"/>
  <c r="G41" i="49" s="1"/>
  <c r="X115" i="56"/>
  <c r="AT119" i="56"/>
  <c r="DF119" i="56"/>
  <c r="BT111" i="56"/>
  <c r="BS111" i="56"/>
  <c r="AV103" i="56"/>
  <c r="DH115" i="56"/>
  <c r="DG115" i="56"/>
  <c r="CJ106" i="56"/>
  <c r="CI106" i="56"/>
  <c r="X103" i="56"/>
  <c r="BS109" i="56"/>
  <c r="BT109" i="56"/>
  <c r="BC104" i="56"/>
  <c r="X101" i="56"/>
  <c r="W101" i="56"/>
  <c r="DP103" i="56"/>
  <c r="CJ116" i="56"/>
  <c r="CI116" i="56"/>
  <c r="AF96" i="56"/>
  <c r="AE96" i="56"/>
  <c r="CB111" i="56"/>
  <c r="CA111" i="56"/>
  <c r="P109" i="56"/>
  <c r="H41" i="41" s="1"/>
  <c r="O109" i="56"/>
  <c r="G41" i="41" s="1"/>
  <c r="BD111" i="56"/>
  <c r="BC111" i="56"/>
  <c r="P103" i="56"/>
  <c r="H41" i="28" s="1"/>
  <c r="DP106" i="56"/>
  <c r="DO106" i="56"/>
  <c r="DH102" i="56"/>
  <c r="DG102" i="56"/>
  <c r="AN98" i="56"/>
  <c r="AM98" i="56"/>
  <c r="CB98" i="56"/>
  <c r="CA98" i="56"/>
  <c r="DP116" i="56"/>
  <c r="DO116" i="56"/>
  <c r="BD109" i="56"/>
  <c r="BC109" i="56"/>
  <c r="CR116" i="56"/>
  <c r="CQ116" i="56"/>
  <c r="X100" i="56"/>
  <c r="W100" i="56"/>
  <c r="AF116" i="56"/>
  <c r="AE116" i="56"/>
  <c r="BD113" i="56"/>
  <c r="BC113" i="56"/>
  <c r="BD105" i="56"/>
  <c r="BC105" i="56"/>
  <c r="AE104" i="56"/>
  <c r="AF104" i="56"/>
  <c r="CB103" i="56"/>
  <c r="P105" i="56"/>
  <c r="H41" i="30" s="1"/>
  <c r="O105" i="56"/>
  <c r="G41" i="30" s="1"/>
  <c r="CJ108" i="56"/>
  <c r="CI108" i="56"/>
  <c r="BL107" i="56"/>
  <c r="BK107" i="56"/>
  <c r="DP102" i="56"/>
  <c r="DO102" i="56"/>
  <c r="AU116" i="56"/>
  <c r="AV116" i="56"/>
  <c r="AE103" i="56"/>
  <c r="AE91" i="56"/>
  <c r="CQ103" i="56"/>
  <c r="CQ91" i="56"/>
  <c r="AV108" i="56"/>
  <c r="AU108" i="56"/>
  <c r="CZ112" i="56"/>
  <c r="CY112" i="56"/>
  <c r="BL96" i="56"/>
  <c r="BK96" i="56"/>
  <c r="CI114" i="56"/>
  <c r="CJ114" i="56"/>
  <c r="CB116" i="56"/>
  <c r="CA116" i="56"/>
  <c r="O110" i="56"/>
  <c r="G41" i="42" s="1"/>
  <c r="P110" i="56"/>
  <c r="H41" i="42" s="1"/>
  <c r="BL103" i="56"/>
  <c r="AU103" i="56"/>
  <c r="AU91" i="56"/>
  <c r="CJ103" i="56"/>
  <c r="BD114" i="56"/>
  <c r="BC114" i="56"/>
  <c r="P98" i="56"/>
  <c r="H41" i="33" s="1"/>
  <c r="O98" i="56"/>
  <c r="G41" i="33" s="1"/>
  <c r="X116" i="56"/>
  <c r="W116" i="56"/>
  <c r="BK117" i="56"/>
  <c r="BL117" i="56"/>
  <c r="CY105" i="56"/>
  <c r="CZ105" i="56"/>
  <c r="AN114" i="56"/>
  <c r="AM114" i="56"/>
  <c r="BL101" i="56"/>
  <c r="BK101" i="56"/>
  <c r="DH116" i="56"/>
  <c r="DG116" i="56"/>
  <c r="DH111" i="56"/>
  <c r="DG111" i="56"/>
  <c r="DH103" i="56"/>
  <c r="W103" i="56"/>
  <c r="W91" i="56"/>
  <c r="BD118" i="56"/>
  <c r="BC118" i="56"/>
  <c r="CR102" i="56"/>
  <c r="CQ102" i="56"/>
  <c r="X112" i="56"/>
  <c r="W112" i="56"/>
  <c r="DP109" i="56"/>
  <c r="DO109" i="56"/>
  <c r="AV105" i="56"/>
  <c r="AU105" i="56"/>
  <c r="DP115" i="56"/>
  <c r="DO115" i="56"/>
  <c r="P116" i="56"/>
  <c r="H41" i="48" s="1"/>
  <c r="O116" i="56"/>
  <c r="G41" i="48" s="1"/>
  <c r="CB115" i="56"/>
  <c r="CA115" i="56"/>
  <c r="DH114" i="56"/>
  <c r="DG114" i="56"/>
  <c r="BS103" i="56"/>
  <c r="BS91" i="56"/>
  <c r="O97" i="56"/>
  <c r="G41" i="31" s="1"/>
  <c r="P97" i="56"/>
  <c r="H41" i="31" s="1"/>
  <c r="CZ107" i="56"/>
  <c r="CY107" i="56"/>
  <c r="CY103" i="56"/>
  <c r="CY91" i="56"/>
  <c r="DG99" i="56"/>
  <c r="DH99" i="56"/>
  <c r="DH100" i="56"/>
  <c r="DG100" i="56"/>
  <c r="X109" i="56"/>
  <c r="W109" i="56"/>
  <c r="DH113" i="56"/>
  <c r="DG113" i="56"/>
  <c r="AF113" i="56"/>
  <c r="AE113" i="56"/>
  <c r="CR101" i="56"/>
  <c r="CQ101" i="56"/>
  <c r="BK111" i="56"/>
  <c r="BL111" i="56"/>
  <c r="AN99" i="56"/>
  <c r="AM99" i="56"/>
  <c r="DG91" i="56"/>
  <c r="AE109" i="56"/>
  <c r="BC91" i="56"/>
  <c r="O91" i="56"/>
  <c r="DH107" i="56"/>
  <c r="DP100" i="56"/>
  <c r="CH119" i="56"/>
  <c r="BL98" i="56"/>
  <c r="CR112" i="56"/>
  <c r="AV98" i="56"/>
  <c r="DP118" i="56"/>
  <c r="BT117" i="56"/>
  <c r="DO91" i="56"/>
  <c r="BD100" i="56"/>
  <c r="BJ119" i="56"/>
  <c r="BL116" i="56"/>
  <c r="AF108" i="56"/>
  <c r="DO118" i="56"/>
  <c r="AM91" i="56"/>
  <c r="AV107" i="56"/>
  <c r="AV100" i="56"/>
  <c r="CA91" i="56"/>
  <c r="AD119" i="56"/>
  <c r="AV115" i="56"/>
  <c r="BB119" i="56"/>
  <c r="O115" i="56"/>
  <c r="G41" i="47" s="1"/>
  <c r="AF109" i="56"/>
  <c r="BK91" i="56"/>
  <c r="DH105" i="56"/>
  <c r="CI91" i="56"/>
  <c r="BL108" i="56"/>
  <c r="DH109" i="56"/>
  <c r="P112" i="56"/>
  <c r="H41" i="44" s="1"/>
  <c r="AV112" i="56"/>
  <c r="CI119" i="56" l="1"/>
  <c r="DP119" i="56"/>
  <c r="P119" i="56"/>
  <c r="BC119" i="56"/>
  <c r="CJ119" i="56"/>
  <c r="CA119" i="56"/>
  <c r="O119" i="56"/>
  <c r="W119" i="56"/>
  <c r="DG119" i="56"/>
  <c r="DP91" i="56"/>
  <c r="AV119" i="56"/>
  <c r="CQ119" i="56"/>
  <c r="AU119" i="56"/>
  <c r="X119" i="56"/>
  <c r="CB119" i="56"/>
  <c r="DH119" i="56"/>
  <c r="CJ91" i="56"/>
  <c r="BS119" i="56"/>
  <c r="CR91" i="56"/>
  <c r="CR103" i="56"/>
  <c r="CR119" i="56" s="1"/>
  <c r="BT91" i="56"/>
  <c r="BT103" i="56"/>
  <c r="BT119" i="56" s="1"/>
  <c r="CZ91" i="56"/>
  <c r="CZ103" i="56"/>
  <c r="CZ119" i="56" s="1"/>
  <c r="BL119" i="56"/>
  <c r="X91" i="56"/>
  <c r="CY119" i="56"/>
  <c r="BK119" i="56"/>
  <c r="P91" i="56"/>
  <c r="AE119" i="56"/>
  <c r="AN91" i="56"/>
  <c r="DO119" i="56"/>
  <c r="CB91" i="56"/>
  <c r="AM119" i="56"/>
  <c r="AV91" i="56"/>
  <c r="BD104" i="56"/>
  <c r="BD119" i="56" s="1"/>
  <c r="BD91" i="56"/>
  <c r="AF91" i="56"/>
  <c r="AF103" i="56"/>
  <c r="AF119" i="56" s="1"/>
  <c r="DH91" i="56"/>
  <c r="BL91" i="56"/>
  <c r="AN119" i="56"/>
  <c r="I42" i="44" l="1"/>
  <c r="E25" i="44" l="1"/>
  <c r="E42" i="44" s="1"/>
  <c r="F25" i="44"/>
  <c r="F42" i="44" s="1"/>
  <c r="G25" i="44"/>
  <c r="G42" i="44" s="1"/>
  <c r="H25" i="44"/>
  <c r="H42" i="44" l="1"/>
  <c r="I43" i="44" s="1"/>
  <c r="H26" i="44"/>
  <c r="F26" i="44"/>
  <c r="F43" i="44" s="1"/>
  <c r="G26" i="44"/>
  <c r="G43" i="44" s="1"/>
  <c r="H43" i="44" l="1"/>
  <c r="I44" i="44" s="1"/>
  <c r="H27" i="44"/>
  <c r="G27" i="44"/>
  <c r="G44" i="44" s="1"/>
  <c r="H44" i="44" l="1"/>
  <c r="I45" i="44" s="1"/>
  <c r="H28" i="44"/>
  <c r="H45" i="44" l="1"/>
  <c r="I46" i="44" s="1"/>
  <c r="K46" i="37"/>
  <c r="K45" i="37"/>
  <c r="K44" i="37"/>
  <c r="K43" i="37"/>
  <c r="K42" i="37"/>
  <c r="K41" i="37"/>
  <c r="DB20" i="54" l="1"/>
  <c r="BZ21" i="54"/>
  <c r="BS14" i="54"/>
  <c r="BL20" i="54"/>
  <c r="AC21" i="54"/>
  <c r="W21" i="54" s="1"/>
  <c r="BS21" i="54"/>
  <c r="AJ14" i="54"/>
  <c r="CG14" i="54"/>
  <c r="BE20" i="54"/>
  <c r="CG20" i="54"/>
  <c r="AQ21" i="54"/>
  <c r="BL21" i="54"/>
  <c r="CN21" i="54"/>
  <c r="AC14" i="54"/>
  <c r="W14" i="54" s="1"/>
  <c r="BE14" i="54"/>
  <c r="BZ14" i="54"/>
  <c r="CU14" i="54"/>
  <c r="AC20" i="54"/>
  <c r="W20" i="54" s="1"/>
  <c r="AX20" i="54"/>
  <c r="BZ20" i="54"/>
  <c r="AJ21" i="54"/>
  <c r="BE21" i="54"/>
  <c r="CG21" i="54"/>
  <c r="AX14" i="54"/>
  <c r="AQ20" i="54"/>
  <c r="BS20" i="54"/>
  <c r="CU20" i="54"/>
  <c r="DB21" i="54"/>
  <c r="AQ14" i="54"/>
  <c r="CN14" i="54"/>
  <c r="AJ20" i="54"/>
  <c r="CN20" i="54"/>
  <c r="AX21" i="54"/>
  <c r="CU21" i="54"/>
  <c r="BL14" i="54"/>
  <c r="DB14" i="54"/>
  <c r="AC3" i="54"/>
  <c r="W3" i="54" s="1"/>
  <c r="AC7" i="54"/>
  <c r="W7" i="54" s="1"/>
  <c r="AC12" i="54"/>
  <c r="AC17" i="54"/>
  <c r="AC23" i="54"/>
  <c r="AQ4" i="54"/>
  <c r="AK4" i="54" s="1"/>
  <c r="AQ8" i="54"/>
  <c r="AK8" i="54" s="1"/>
  <c r="K45" i="36" s="1"/>
  <c r="AQ13" i="54"/>
  <c r="AK13" i="54" s="1"/>
  <c r="K45" i="38" s="1"/>
  <c r="AQ18" i="54"/>
  <c r="AK18" i="54" s="1"/>
  <c r="K45" i="43" s="1"/>
  <c r="AQ24" i="54"/>
  <c r="AK24" i="54" s="1"/>
  <c r="AC5" i="54"/>
  <c r="W5" i="54" s="1"/>
  <c r="AC10" i="54"/>
  <c r="AC15" i="54"/>
  <c r="AC19" i="54"/>
  <c r="W19" i="54" s="1"/>
  <c r="AC25" i="54"/>
  <c r="AQ6" i="54"/>
  <c r="AK6" i="54" s="1"/>
  <c r="K45" i="34" s="1"/>
  <c r="AQ11" i="54"/>
  <c r="AK11" i="54" s="1"/>
  <c r="K45" i="11" s="1"/>
  <c r="AQ16" i="54"/>
  <c r="AK16" i="54" s="1"/>
  <c r="K45" i="41" s="1"/>
  <c r="AQ22" i="54"/>
  <c r="AK22" i="54" s="1"/>
  <c r="K45" i="47" s="1"/>
  <c r="K41" i="31"/>
  <c r="K41" i="36"/>
  <c r="K41" i="38"/>
  <c r="K41" i="43"/>
  <c r="K42" i="33"/>
  <c r="AJ6" i="54"/>
  <c r="AD6" i="54" s="1"/>
  <c r="K44" i="34" s="1"/>
  <c r="K42" i="28"/>
  <c r="AJ11" i="54"/>
  <c r="AD11" i="54" s="1"/>
  <c r="K44" i="11" s="1"/>
  <c r="BL13" i="54"/>
  <c r="BF13" i="54" s="1"/>
  <c r="K42" i="29"/>
  <c r="AJ16" i="54"/>
  <c r="AD16" i="54" s="1"/>
  <c r="K44" i="41" s="1"/>
  <c r="AX17" i="54"/>
  <c r="AR17" i="54" s="1"/>
  <c r="K46" i="42" s="1"/>
  <c r="AJ22" i="54"/>
  <c r="AD22" i="54" s="1"/>
  <c r="K44" i="47" s="1"/>
  <c r="BL24" i="54"/>
  <c r="BF24" i="54" s="1"/>
  <c r="AQ3" i="54"/>
  <c r="AK3" i="54" s="1"/>
  <c r="K45" i="32" s="1"/>
  <c r="AC4" i="54"/>
  <c r="W4" i="54" s="1"/>
  <c r="AC6" i="54"/>
  <c r="W6" i="54" s="1"/>
  <c r="AQ7" i="54"/>
  <c r="AK7" i="54" s="1"/>
  <c r="K45" i="35" s="1"/>
  <c r="AC8" i="54"/>
  <c r="W8" i="54" s="1"/>
  <c r="AC11" i="54"/>
  <c r="K41" i="30"/>
  <c r="AC13" i="54"/>
  <c r="BE13" i="54"/>
  <c r="AY13" i="54" s="1"/>
  <c r="K41" i="29"/>
  <c r="AC16" i="54"/>
  <c r="K41" i="42"/>
  <c r="AQ17" i="54"/>
  <c r="AK17" i="54" s="1"/>
  <c r="K45" i="42" s="1"/>
  <c r="AC18" i="54"/>
  <c r="AQ19" i="54"/>
  <c r="AK19" i="54" s="1"/>
  <c r="AC22" i="54"/>
  <c r="K41" i="48"/>
  <c r="AC24" i="54"/>
  <c r="W24" i="54" s="1"/>
  <c r="BE24" i="54"/>
  <c r="AY24" i="54" s="1"/>
  <c r="K41" i="50"/>
  <c r="K41" i="34"/>
  <c r="K41" i="11"/>
  <c r="K41" i="47"/>
  <c r="AJ4" i="54"/>
  <c r="AD4" i="54" s="1"/>
  <c r="K44" i="31" s="1"/>
  <c r="AJ8" i="54"/>
  <c r="AD8" i="54" s="1"/>
  <c r="K44" i="36" s="1"/>
  <c r="AX10" i="54"/>
  <c r="AR10" i="54" s="1"/>
  <c r="K46" i="28" s="1"/>
  <c r="BL11" i="54"/>
  <c r="BF11" i="54" s="1"/>
  <c r="K42" i="30"/>
  <c r="AJ13" i="54"/>
  <c r="AD13" i="54" s="1"/>
  <c r="K44" i="38" s="1"/>
  <c r="BL16" i="54"/>
  <c r="BF16" i="54" s="1"/>
  <c r="K42" i="42"/>
  <c r="AJ18" i="54"/>
  <c r="AD18" i="54" s="1"/>
  <c r="K44" i="43" s="1"/>
  <c r="AX19" i="54"/>
  <c r="AR19" i="54" s="1"/>
  <c r="K42" i="48"/>
  <c r="AJ24" i="54"/>
  <c r="AD24" i="54" s="1"/>
  <c r="K42" i="50"/>
  <c r="K42" i="31"/>
  <c r="AX4" i="54"/>
  <c r="AR4" i="54" s="1"/>
  <c r="K46" i="31" s="1"/>
  <c r="K42" i="34"/>
  <c r="AJ7" i="54"/>
  <c r="AD7" i="54" s="1"/>
  <c r="K44" i="35" s="1"/>
  <c r="K42" i="36"/>
  <c r="K42" i="11"/>
  <c r="K42" i="38"/>
  <c r="K42" i="41"/>
  <c r="AX16" i="54"/>
  <c r="AR16" i="54" s="1"/>
  <c r="K46" i="41" s="1"/>
  <c r="AJ17" i="54"/>
  <c r="AD17" i="54" s="1"/>
  <c r="K44" i="42" s="1"/>
  <c r="K42" i="43"/>
  <c r="AJ19" i="54"/>
  <c r="AD19" i="54" s="1"/>
  <c r="K42" i="47"/>
  <c r="W11" i="54" l="1"/>
  <c r="K43" i="11" s="1"/>
  <c r="W16" i="54"/>
  <c r="X16" i="54" s="1"/>
  <c r="Y16" i="54" s="1"/>
  <c r="W10" i="54"/>
  <c r="X10" i="54" s="1"/>
  <c r="Y10" i="54" s="1"/>
  <c r="Z10" i="54" s="1"/>
  <c r="W17" i="54"/>
  <c r="X17" i="54" s="1"/>
  <c r="Y17" i="54" s="1"/>
  <c r="Z17" i="54" s="1"/>
  <c r="W18" i="54"/>
  <c r="X18" i="54" s="1"/>
  <c r="Y18" i="54" s="1"/>
  <c r="Z18" i="54" s="1"/>
  <c r="W25" i="54"/>
  <c r="X25" i="54" s="1"/>
  <c r="W12" i="54"/>
  <c r="X12" i="54" s="1"/>
  <c r="Y12" i="54" s="1"/>
  <c r="Z12" i="54" s="1"/>
  <c r="AA12" i="54" s="1"/>
  <c r="W22" i="54"/>
  <c r="X22" i="54" s="1"/>
  <c r="Y22" i="54" s="1"/>
  <c r="W13" i="54"/>
  <c r="K43" i="38" s="1"/>
  <c r="W15" i="54"/>
  <c r="X15" i="54" s="1"/>
  <c r="Y15" i="54" s="1"/>
  <c r="Z15" i="54" s="1"/>
  <c r="AA15" i="54" s="1"/>
  <c r="AB15" i="54" s="1"/>
  <c r="W23" i="54"/>
  <c r="K43" i="48" s="1"/>
  <c r="K43" i="34"/>
  <c r="X7" i="54"/>
  <c r="K43" i="32"/>
  <c r="X8" i="54"/>
  <c r="Y8" i="54" s="1"/>
  <c r="Z8" i="54" s="1"/>
  <c r="AA8" i="54" s="1"/>
  <c r="X5" i="54"/>
  <c r="K44" i="49"/>
  <c r="K45" i="49"/>
  <c r="K42" i="49"/>
  <c r="K43" i="49"/>
  <c r="K41" i="35"/>
  <c r="K41" i="49"/>
  <c r="K42" i="35"/>
  <c r="K41" i="44"/>
  <c r="K44" i="44"/>
  <c r="K46" i="44"/>
  <c r="K42" i="44"/>
  <c r="K45" i="44"/>
  <c r="K43" i="44"/>
  <c r="CV14" i="54"/>
  <c r="CW14" i="54" s="1"/>
  <c r="CX14" i="54" s="1"/>
  <c r="CY14" i="54" s="1"/>
  <c r="CV21" i="54"/>
  <c r="CW21" i="54" s="1"/>
  <c r="CA21" i="54"/>
  <c r="CB21" i="54" s="1"/>
  <c r="BF21" i="54"/>
  <c r="AY20" i="54"/>
  <c r="BT21" i="54"/>
  <c r="AK14" i="54"/>
  <c r="K45" i="39" s="1"/>
  <c r="K42" i="39"/>
  <c r="CO14" i="54"/>
  <c r="CP14" i="54" s="1"/>
  <c r="CA20" i="54"/>
  <c r="BM14" i="54"/>
  <c r="BF14" i="54"/>
  <c r="AD20" i="54"/>
  <c r="K44" i="45" s="1"/>
  <c r="CO20" i="54"/>
  <c r="CP20" i="54" s="1"/>
  <c r="K41" i="39"/>
  <c r="AY21" i="54"/>
  <c r="K43" i="45"/>
  <c r="AY14" i="54"/>
  <c r="AK21" i="54"/>
  <c r="K45" i="46" s="1"/>
  <c r="K41" i="46"/>
  <c r="K43" i="46"/>
  <c r="CV20" i="54"/>
  <c r="CW20" i="54" s="1"/>
  <c r="CH20" i="54"/>
  <c r="CI20" i="54" s="1"/>
  <c r="K42" i="45"/>
  <c r="AR20" i="54"/>
  <c r="K46" i="45" s="1"/>
  <c r="BT14" i="54"/>
  <c r="BM21" i="54"/>
  <c r="AR21" i="54"/>
  <c r="K46" i="46" s="1"/>
  <c r="AK20" i="54"/>
  <c r="K45" i="45" s="1"/>
  <c r="BT20" i="54"/>
  <c r="CH21" i="54"/>
  <c r="CI21" i="54" s="1"/>
  <c r="AD14" i="54"/>
  <c r="K44" i="39" s="1"/>
  <c r="CO21" i="54"/>
  <c r="CP21" i="54" s="1"/>
  <c r="CH14" i="54"/>
  <c r="CI14" i="54" s="1"/>
  <c r="BM20" i="54"/>
  <c r="AR14" i="54"/>
  <c r="K46" i="39" s="1"/>
  <c r="AD21" i="54"/>
  <c r="K41" i="45"/>
  <c r="K43" i="39"/>
  <c r="K42" i="46"/>
  <c r="CA14" i="54"/>
  <c r="CB14" i="54" s="1"/>
  <c r="BF20" i="54"/>
  <c r="K41" i="28"/>
  <c r="AL16" i="54"/>
  <c r="AM16" i="54" s="1"/>
  <c r="AN16" i="54" s="1"/>
  <c r="AO16" i="54" s="1"/>
  <c r="AP16" i="54" s="1"/>
  <c r="AL18" i="54"/>
  <c r="AM18" i="54" s="1"/>
  <c r="AN18" i="54" s="1"/>
  <c r="AL22" i="54"/>
  <c r="AM22" i="54" s="1"/>
  <c r="AN22" i="54" s="1"/>
  <c r="AO22" i="54" s="1"/>
  <c r="AP22" i="54" s="1"/>
  <c r="BG16" i="54"/>
  <c r="BH16" i="54" s="1"/>
  <c r="AS4" i="54"/>
  <c r="AT4" i="54" s="1"/>
  <c r="AU4" i="54" s="1"/>
  <c r="AS10" i="54"/>
  <c r="AT10" i="54" s="1"/>
  <c r="AU10" i="54" s="1"/>
  <c r="AV10" i="54" s="1"/>
  <c r="AW10" i="54" s="1"/>
  <c r="AS16" i="54"/>
  <c r="AT16" i="54" s="1"/>
  <c r="AU16" i="54" s="1"/>
  <c r="AS17" i="54"/>
  <c r="AT17" i="54" s="1"/>
  <c r="AU17" i="54" s="1"/>
  <c r="AV17" i="54" s="1"/>
  <c r="X13" i="54"/>
  <c r="Y13" i="54" s="1"/>
  <c r="Z13" i="54" s="1"/>
  <c r="AE16" i="54"/>
  <c r="AF16" i="54" s="1"/>
  <c r="AG16" i="54" s="1"/>
  <c r="AE22" i="54"/>
  <c r="AF22" i="54" s="1"/>
  <c r="AG22" i="54" s="1"/>
  <c r="AX18" i="54"/>
  <c r="AR18" i="54" s="1"/>
  <c r="K46" i="43" s="1"/>
  <c r="AQ23" i="54"/>
  <c r="AK23" i="54" s="1"/>
  <c r="K45" i="48" s="1"/>
  <c r="AQ12" i="54"/>
  <c r="AK12" i="54" s="1"/>
  <c r="K45" i="30" s="1"/>
  <c r="AX23" i="54"/>
  <c r="AR23" i="54" s="1"/>
  <c r="K46" i="48" s="1"/>
  <c r="AL17" i="54"/>
  <c r="AM17" i="54" s="1"/>
  <c r="BG11" i="54"/>
  <c r="BH11" i="54" s="1"/>
  <c r="AE18" i="54"/>
  <c r="AF18" i="54" s="1"/>
  <c r="AX8" i="54"/>
  <c r="AR8" i="54" s="1"/>
  <c r="K46" i="36" s="1"/>
  <c r="AX3" i="54"/>
  <c r="AR3" i="54" s="1"/>
  <c r="K46" i="32" s="1"/>
  <c r="AE7" i="54"/>
  <c r="AF7" i="54" s="1"/>
  <c r="AE6" i="54"/>
  <c r="AF6" i="54" s="1"/>
  <c r="AG6" i="54" s="1"/>
  <c r="AL7" i="54"/>
  <c r="AM7" i="54" s="1"/>
  <c r="BG24" i="54"/>
  <c r="BH24" i="54" s="1"/>
  <c r="BI24" i="54" s="1"/>
  <c r="BJ24" i="54" s="1"/>
  <c r="K41" i="33"/>
  <c r="AX13" i="54"/>
  <c r="X24" i="54"/>
  <c r="Y24" i="54" s="1"/>
  <c r="AE13" i="54"/>
  <c r="AF13" i="54" s="1"/>
  <c r="AG13" i="54" s="1"/>
  <c r="AX24" i="54"/>
  <c r="AJ10" i="54"/>
  <c r="AX6" i="54"/>
  <c r="BE16" i="54"/>
  <c r="AQ10" i="54"/>
  <c r="BE4" i="54"/>
  <c r="AY4" i="54" s="1"/>
  <c r="BL4" i="54"/>
  <c r="AL19" i="54"/>
  <c r="AM19" i="54" s="1"/>
  <c r="AE19" i="54"/>
  <c r="AF19" i="54" s="1"/>
  <c r="AG19" i="54" s="1"/>
  <c r="K41" i="41"/>
  <c r="BL6" i="54"/>
  <c r="BF6" i="54" s="1"/>
  <c r="BE6" i="54"/>
  <c r="AX7" i="54"/>
  <c r="BS22" i="54"/>
  <c r="BE25" i="54"/>
  <c r="BE5" i="54"/>
  <c r="AY5" i="54" s="1"/>
  <c r="BS8" i="54"/>
  <c r="BE23" i="54"/>
  <c r="BE3" i="54"/>
  <c r="BS16" i="54"/>
  <c r="BS6" i="54"/>
  <c r="BE19" i="54"/>
  <c r="BE10" i="54"/>
  <c r="BS24" i="54"/>
  <c r="BS13" i="54"/>
  <c r="BS4" i="54"/>
  <c r="BE17" i="54"/>
  <c r="AY17" i="54" s="1"/>
  <c r="BE7" i="54"/>
  <c r="AY7" i="54" s="1"/>
  <c r="BG13" i="54"/>
  <c r="BH13" i="54" s="1"/>
  <c r="BI13" i="54" s="1"/>
  <c r="BJ13" i="54" s="1"/>
  <c r="AS19" i="54"/>
  <c r="AT19" i="54" s="1"/>
  <c r="AU19" i="54" s="1"/>
  <c r="AV19" i="54" s="1"/>
  <c r="AW19" i="54" s="1"/>
  <c r="AJ15" i="54"/>
  <c r="AD15" i="54" s="1"/>
  <c r="K44" i="29" s="1"/>
  <c r="AX15" i="54"/>
  <c r="AE11" i="54"/>
  <c r="AF11" i="54" s="1"/>
  <c r="AG11" i="54" s="1"/>
  <c r="AE17" i="54"/>
  <c r="AF17" i="54" s="1"/>
  <c r="X23" i="54"/>
  <c r="Y23" i="54" s="1"/>
  <c r="Z23" i="54" s="1"/>
  <c r="AA23" i="54" s="1"/>
  <c r="AJ23" i="54"/>
  <c r="AJ12" i="54"/>
  <c r="AJ3" i="54"/>
  <c r="BL22" i="54"/>
  <c r="BE18" i="54"/>
  <c r="BE8" i="54"/>
  <c r="AX12" i="54"/>
  <c r="BS11" i="54"/>
  <c r="BE15" i="54"/>
  <c r="AY15" i="54" s="1"/>
  <c r="BS18" i="54"/>
  <c r="BE12" i="54"/>
  <c r="AE8" i="54"/>
  <c r="AF8" i="54" s="1"/>
  <c r="AG8" i="54" s="1"/>
  <c r="AL3" i="54"/>
  <c r="AM3" i="54" s="1"/>
  <c r="AN3" i="54" s="1"/>
  <c r="AO3" i="54" s="1"/>
  <c r="AJ25" i="54"/>
  <c r="AD25" i="54" s="1"/>
  <c r="K44" i="50" s="1"/>
  <c r="AJ5" i="54"/>
  <c r="AD5" i="54" s="1"/>
  <c r="K44" i="33" s="1"/>
  <c r="BE22" i="54"/>
  <c r="BE11" i="54"/>
  <c r="BL8" i="54"/>
  <c r="AE24" i="54"/>
  <c r="AF24" i="54" s="1"/>
  <c r="AE4" i="54"/>
  <c r="AF4" i="54" s="1"/>
  <c r="AG4" i="54" s="1"/>
  <c r="AZ24" i="54"/>
  <c r="BA24" i="54" s="1"/>
  <c r="BB24" i="54" s="1"/>
  <c r="AZ13" i="54"/>
  <c r="BA13" i="54" s="1"/>
  <c r="BB13" i="54" s="1"/>
  <c r="BC13" i="54" s="1"/>
  <c r="AX22" i="54"/>
  <c r="AX11" i="54"/>
  <c r="AX5" i="54"/>
  <c r="AQ25" i="54"/>
  <c r="AQ15" i="54"/>
  <c r="AQ5" i="54"/>
  <c r="AX25" i="54"/>
  <c r="BL18" i="54"/>
  <c r="AL11" i="54"/>
  <c r="AM11" i="54" s="1"/>
  <c r="AN11" i="54" s="1"/>
  <c r="AO11" i="54" s="1"/>
  <c r="AP11" i="54" s="1"/>
  <c r="K42" i="32"/>
  <c r="K45" i="31"/>
  <c r="K41" i="32"/>
  <c r="AL24" i="54"/>
  <c r="AL8" i="54"/>
  <c r="AM8" i="54" s="1"/>
  <c r="AL4" i="54"/>
  <c r="AL6" i="54"/>
  <c r="AM6" i="54" s="1"/>
  <c r="X19" i="54"/>
  <c r="Y19" i="54" s="1"/>
  <c r="AL13" i="54"/>
  <c r="X11" i="54" l="1"/>
  <c r="Y11" i="54" s="1"/>
  <c r="K43" i="28"/>
  <c r="K43" i="43"/>
  <c r="K43" i="30"/>
  <c r="K43" i="29"/>
  <c r="K43" i="47"/>
  <c r="K43" i="50"/>
  <c r="K43" i="42"/>
  <c r="K43" i="41"/>
  <c r="X3" i="54"/>
  <c r="Y3" i="54" s="1"/>
  <c r="Z3" i="54" s="1"/>
  <c r="X6" i="54"/>
  <c r="Y6" i="54" s="1"/>
  <c r="K43" i="36"/>
  <c r="Y5" i="54"/>
  <c r="Z5" i="54" s="1"/>
  <c r="AA5" i="54" s="1"/>
  <c r="AB5" i="54" s="1"/>
  <c r="X4" i="54"/>
  <c r="Y4" i="54" s="1"/>
  <c r="K43" i="33"/>
  <c r="K43" i="35"/>
  <c r="K43" i="31"/>
  <c r="BI16" i="54"/>
  <c r="BJ16" i="54" s="1"/>
  <c r="BK16" i="54" s="1"/>
  <c r="BU20" i="54"/>
  <c r="BV20" i="54" s="1"/>
  <c r="AZ20" i="54"/>
  <c r="BA20" i="54" s="1"/>
  <c r="BB20" i="54" s="1"/>
  <c r="CC21" i="54"/>
  <c r="CD21" i="54" s="1"/>
  <c r="BN20" i="54"/>
  <c r="BO20" i="54" s="1"/>
  <c r="BU21" i="54"/>
  <c r="BV21" i="54" s="1"/>
  <c r="CC14" i="54"/>
  <c r="CD14" i="54" s="1"/>
  <c r="CE14" i="54" s="1"/>
  <c r="CJ14" i="54"/>
  <c r="CK14" i="54" s="1"/>
  <c r="AE21" i="54"/>
  <c r="K44" i="46"/>
  <c r="AZ21" i="54"/>
  <c r="BA21" i="54" s="1"/>
  <c r="BB21" i="54" s="1"/>
  <c r="AE14" i="54"/>
  <c r="AF14" i="54" s="1"/>
  <c r="AG14" i="54" s="1"/>
  <c r="AH14" i="54" s="1"/>
  <c r="CX20" i="54"/>
  <c r="CY20" i="54" s="1"/>
  <c r="CB20" i="54"/>
  <c r="CC20" i="54" s="1"/>
  <c r="CZ14" i="54"/>
  <c r="BG20" i="54"/>
  <c r="X14" i="54"/>
  <c r="CQ21" i="54"/>
  <c r="CR21" i="54" s="1"/>
  <c r="AL20" i="54"/>
  <c r="AS21" i="54"/>
  <c r="BN21" i="54"/>
  <c r="BU14" i="54"/>
  <c r="AZ14" i="54"/>
  <c r="X20" i="54"/>
  <c r="Y20" i="54" s="1"/>
  <c r="CQ20" i="54"/>
  <c r="AL14" i="54"/>
  <c r="BG21" i="54"/>
  <c r="AS14" i="54"/>
  <c r="AT14" i="54" s="1"/>
  <c r="CJ21" i="54"/>
  <c r="CK21" i="54" s="1"/>
  <c r="CJ20" i="54"/>
  <c r="CK20" i="54" s="1"/>
  <c r="CL20" i="54" s="1"/>
  <c r="CM20" i="54" s="1"/>
  <c r="X21" i="54"/>
  <c r="Y21" i="54" s="1"/>
  <c r="Z21" i="54" s="1"/>
  <c r="AA21" i="54" s="1"/>
  <c r="AB21" i="54" s="1"/>
  <c r="BN14" i="54"/>
  <c r="CQ14" i="54"/>
  <c r="CR14" i="54" s="1"/>
  <c r="CX21" i="54"/>
  <c r="CY21" i="54" s="1"/>
  <c r="CZ21" i="54" s="1"/>
  <c r="AS20" i="54"/>
  <c r="AL21" i="54"/>
  <c r="AM21" i="54" s="1"/>
  <c r="AN21" i="54" s="1"/>
  <c r="AE20" i="54"/>
  <c r="BG14" i="54"/>
  <c r="DA14" i="54"/>
  <c r="AE25" i="54"/>
  <c r="AF25" i="54" s="1"/>
  <c r="AG25" i="54" s="1"/>
  <c r="BI11" i="54"/>
  <c r="BJ11" i="54" s="1"/>
  <c r="BK11" i="54" s="1"/>
  <c r="AN17" i="54"/>
  <c r="AO17" i="54" s="1"/>
  <c r="AW17" i="54"/>
  <c r="AS3" i="54"/>
  <c r="AT3" i="54" s="1"/>
  <c r="AL23" i="54"/>
  <c r="AM23" i="54" s="1"/>
  <c r="AZ15" i="54"/>
  <c r="BA15" i="54" s="1"/>
  <c r="AB23" i="54"/>
  <c r="BK24" i="54"/>
  <c r="BG6" i="54"/>
  <c r="BH6" i="54" s="1"/>
  <c r="AL12" i="54"/>
  <c r="AM12" i="54" s="1"/>
  <c r="AS23" i="54"/>
  <c r="AT23" i="54" s="1"/>
  <c r="AU23" i="54" s="1"/>
  <c r="AZ4" i="54"/>
  <c r="BA4" i="54" s="1"/>
  <c r="BB4" i="54" s="1"/>
  <c r="AS8" i="54"/>
  <c r="AT8" i="54" s="1"/>
  <c r="AU8" i="54" s="1"/>
  <c r="BK13" i="54"/>
  <c r="AS18" i="54"/>
  <c r="AT18" i="54" s="1"/>
  <c r="AU18" i="54" s="1"/>
  <c r="AV18" i="54" s="1"/>
  <c r="AR6" i="54"/>
  <c r="K46" i="34" s="1"/>
  <c r="AR13" i="54"/>
  <c r="AR7" i="54"/>
  <c r="K46" i="35" s="1"/>
  <c r="AY16" i="54"/>
  <c r="AK10" i="54"/>
  <c r="K45" i="28" s="1"/>
  <c r="AR24" i="54"/>
  <c r="AG7" i="54"/>
  <c r="AH7" i="54" s="1"/>
  <c r="AI7" i="54" s="1"/>
  <c r="AY6" i="54"/>
  <c r="AZ6" i="54" s="1"/>
  <c r="BF4" i="54"/>
  <c r="BG4" i="54" s="1"/>
  <c r="BH4" i="54" s="1"/>
  <c r="BI4" i="54" s="1"/>
  <c r="AD10" i="54"/>
  <c r="K44" i="28" s="1"/>
  <c r="AN7" i="54"/>
  <c r="AO7" i="54" s="1"/>
  <c r="AP7" i="54" s="1"/>
  <c r="AH19" i="54"/>
  <c r="AI19" i="54" s="1"/>
  <c r="AP3" i="54"/>
  <c r="AZ17" i="54"/>
  <c r="BA17" i="54" s="1"/>
  <c r="AG17" i="54"/>
  <c r="AH17" i="54" s="1"/>
  <c r="AI17" i="54" s="1"/>
  <c r="AR22" i="54"/>
  <c r="K46" i="47" s="1"/>
  <c r="BM11" i="54"/>
  <c r="AD23" i="54"/>
  <c r="K44" i="48" s="1"/>
  <c r="BM24" i="54"/>
  <c r="BM16" i="54"/>
  <c r="BM22" i="54"/>
  <c r="AK5" i="54"/>
  <c r="BL15" i="54"/>
  <c r="AY8" i="54"/>
  <c r="BL17" i="54"/>
  <c r="BL10" i="54"/>
  <c r="BZ6" i="54"/>
  <c r="BL3" i="54"/>
  <c r="BL25" i="54"/>
  <c r="BF18" i="54"/>
  <c r="AK25" i="54"/>
  <c r="K45" i="50" s="1"/>
  <c r="BF8" i="54"/>
  <c r="BZ18" i="54"/>
  <c r="BZ11" i="54"/>
  <c r="BF22" i="54"/>
  <c r="BL7" i="54"/>
  <c r="BZ4" i="54"/>
  <c r="BZ24" i="54"/>
  <c r="BL19" i="54"/>
  <c r="BZ16" i="54"/>
  <c r="BL23" i="54"/>
  <c r="BL5" i="54"/>
  <c r="BZ22" i="54"/>
  <c r="AZ5" i="54"/>
  <c r="BA5" i="54" s="1"/>
  <c r="AE15" i="54"/>
  <c r="AF15" i="54" s="1"/>
  <c r="AG15" i="54" s="1"/>
  <c r="AH15" i="54" s="1"/>
  <c r="AI15" i="54" s="1"/>
  <c r="AK15" i="54"/>
  <c r="K45" i="29" s="1"/>
  <c r="BM18" i="54"/>
  <c r="AY18" i="54"/>
  <c r="BM4" i="54"/>
  <c r="AY19" i="54"/>
  <c r="AY23" i="54"/>
  <c r="AR11" i="54"/>
  <c r="K46" i="11" s="1"/>
  <c r="AY22" i="54"/>
  <c r="BL12" i="54"/>
  <c r="AD12" i="54"/>
  <c r="BZ13" i="54"/>
  <c r="BZ8" i="54"/>
  <c r="AR25" i="54"/>
  <c r="K46" i="50" s="1"/>
  <c r="AR5" i="54"/>
  <c r="K46" i="33" s="1"/>
  <c r="AY11" i="54"/>
  <c r="AY12" i="54"/>
  <c r="AR12" i="54"/>
  <c r="K46" i="30" s="1"/>
  <c r="AD3" i="54"/>
  <c r="AR15" i="54"/>
  <c r="K46" i="29" s="1"/>
  <c r="BM13" i="54"/>
  <c r="BN13" i="54" s="1"/>
  <c r="AY10" i="54"/>
  <c r="BM6" i="54"/>
  <c r="AY3" i="54"/>
  <c r="BM8" i="54"/>
  <c r="AY25" i="54"/>
  <c r="AZ7" i="54"/>
  <c r="BA7" i="54" s="1"/>
  <c r="AE5" i="54"/>
  <c r="AF5" i="54" s="1"/>
  <c r="AB12" i="54"/>
  <c r="AO18" i="54"/>
  <c r="AP18" i="54" s="1"/>
  <c r="AA10" i="54"/>
  <c r="AB10" i="54" s="1"/>
  <c r="AA17" i="54"/>
  <c r="AB17" i="54" s="1"/>
  <c r="AM13" i="54"/>
  <c r="AN13" i="54" s="1"/>
  <c r="AM4" i="54"/>
  <c r="Y25" i="54"/>
  <c r="Z25" i="54" s="1"/>
  <c r="AA25" i="54" s="1"/>
  <c r="AB25" i="54" s="1"/>
  <c r="AN6" i="54"/>
  <c r="Y7" i="54"/>
  <c r="Z7" i="54" s="1"/>
  <c r="Z19" i="54"/>
  <c r="AA19" i="54" s="1"/>
  <c r="AB19" i="54" s="1"/>
  <c r="AN19" i="54"/>
  <c r="AM24" i="54"/>
  <c r="AN24" i="54" s="1"/>
  <c r="AN8" i="54"/>
  <c r="AO8" i="54" s="1"/>
  <c r="BD13" i="54"/>
  <c r="BC24" i="54"/>
  <c r="BD24" i="54" s="1"/>
  <c r="AV4" i="54"/>
  <c r="AW4" i="54" s="1"/>
  <c r="AV16" i="54"/>
  <c r="AW16" i="54" s="1"/>
  <c r="AH16" i="54"/>
  <c r="AI16" i="54" s="1"/>
  <c r="AG24" i="54"/>
  <c r="AH24" i="54" s="1"/>
  <c r="AH6" i="54"/>
  <c r="AI6" i="54" s="1"/>
  <c r="AH11" i="54"/>
  <c r="AI11" i="54" s="1"/>
  <c r="AG18" i="54"/>
  <c r="AH18" i="54" s="1"/>
  <c r="AH4" i="54"/>
  <c r="AI4" i="54" s="1"/>
  <c r="AH8" i="54"/>
  <c r="AI8" i="54" s="1"/>
  <c r="AH13" i="54"/>
  <c r="AI13" i="54" s="1"/>
  <c r="AH22" i="54"/>
  <c r="AI22" i="54" s="1"/>
  <c r="AA13" i="54"/>
  <c r="AB13" i="54" s="1"/>
  <c r="Z24" i="54"/>
  <c r="AA24" i="54" s="1"/>
  <c r="Z11" i="54"/>
  <c r="AA11" i="54" s="1"/>
  <c r="AB11" i="54" s="1"/>
  <c r="Z16" i="54"/>
  <c r="AA16" i="54" s="1"/>
  <c r="AB16" i="54" s="1"/>
  <c r="AB8" i="54"/>
  <c r="Z22" i="54"/>
  <c r="AA18" i="54"/>
  <c r="AB18" i="54" s="1"/>
  <c r="AA3" i="54" l="1"/>
  <c r="AB3" i="54" s="1"/>
  <c r="Z6" i="54"/>
  <c r="AA6" i="54" s="1"/>
  <c r="AB6" i="54" s="1"/>
  <c r="Z4" i="54"/>
  <c r="AA4" i="54" s="1"/>
  <c r="AB4" i="54" s="1"/>
  <c r="K46" i="49"/>
  <c r="CZ20" i="54"/>
  <c r="DA20" i="54" s="1"/>
  <c r="CE21" i="54"/>
  <c r="CF21" i="54" s="1"/>
  <c r="CS21" i="54"/>
  <c r="CT21" i="54" s="1"/>
  <c r="BW21" i="54"/>
  <c r="BX21" i="54" s="1"/>
  <c r="BY21" i="54" s="1"/>
  <c r="BO14" i="54"/>
  <c r="BP14" i="54" s="1"/>
  <c r="BW20" i="54"/>
  <c r="BX20" i="54" s="1"/>
  <c r="CF14" i="54"/>
  <c r="CL14" i="54"/>
  <c r="CM14" i="54" s="1"/>
  <c r="CL21" i="54"/>
  <c r="CM21" i="54" s="1"/>
  <c r="BH14" i="54"/>
  <c r="BI14" i="54" s="1"/>
  <c r="AM14" i="54"/>
  <c r="AN14" i="54" s="1"/>
  <c r="AO14" i="54" s="1"/>
  <c r="BV14" i="54"/>
  <c r="BW14" i="54" s="1"/>
  <c r="BX14" i="54" s="1"/>
  <c r="BY14" i="54" s="1"/>
  <c r="AT20" i="54"/>
  <c r="AU20" i="54" s="1"/>
  <c r="AT21" i="54"/>
  <c r="AU21" i="54" s="1"/>
  <c r="AV21" i="54" s="1"/>
  <c r="BH20" i="54"/>
  <c r="BI20" i="54" s="1"/>
  <c r="AU14" i="54"/>
  <c r="AV14" i="54" s="1"/>
  <c r="BP20" i="54"/>
  <c r="BQ20" i="54" s="1"/>
  <c r="AO21" i="54"/>
  <c r="AP21" i="54" s="1"/>
  <c r="AF21" i="54"/>
  <c r="AG21" i="54" s="1"/>
  <c r="CS14" i="54"/>
  <c r="CT14" i="54" s="1"/>
  <c r="AF20" i="54"/>
  <c r="AG20" i="54" s="1"/>
  <c r="Z20" i="54"/>
  <c r="AA20" i="54" s="1"/>
  <c r="DA21" i="54"/>
  <c r="BC20" i="54"/>
  <c r="BD20" i="54" s="1"/>
  <c r="BO21" i="54"/>
  <c r="BP21" i="54" s="1"/>
  <c r="BH21" i="54"/>
  <c r="BI21" i="54" s="1"/>
  <c r="Y14" i="54"/>
  <c r="Z14" i="54" s="1"/>
  <c r="AA14" i="54" s="1"/>
  <c r="AB14" i="54" s="1"/>
  <c r="CR20" i="54"/>
  <c r="CS20" i="54" s="1"/>
  <c r="CT20" i="54" s="1"/>
  <c r="BA14" i="54"/>
  <c r="BB14" i="54" s="1"/>
  <c r="BC14" i="54" s="1"/>
  <c r="BD14" i="54" s="1"/>
  <c r="AM20" i="54"/>
  <c r="AI14" i="54"/>
  <c r="BC21" i="54"/>
  <c r="BD21" i="54" s="1"/>
  <c r="CD20" i="54"/>
  <c r="AS13" i="54"/>
  <c r="AT13" i="54" s="1"/>
  <c r="K46" i="38"/>
  <c r="BN11" i="54"/>
  <c r="BO11" i="54" s="1"/>
  <c r="BN8" i="54"/>
  <c r="BO8" i="54" s="1"/>
  <c r="BP8" i="54" s="1"/>
  <c r="AZ12" i="54"/>
  <c r="BA12" i="54" s="1"/>
  <c r="BB12" i="54" s="1"/>
  <c r="AE12" i="54"/>
  <c r="AF12" i="54" s="1"/>
  <c r="AG12" i="54" s="1"/>
  <c r="K44" i="30"/>
  <c r="AH25" i="54"/>
  <c r="AI25" i="54" s="1"/>
  <c r="AZ23" i="54"/>
  <c r="BA23" i="54" s="1"/>
  <c r="BB23" i="54" s="1"/>
  <c r="BN16" i="54"/>
  <c r="BO16" i="54" s="1"/>
  <c r="BP16" i="54" s="1"/>
  <c r="BQ16" i="54" s="1"/>
  <c r="BN22" i="54"/>
  <c r="BO22" i="54" s="1"/>
  <c r="BP22" i="54" s="1"/>
  <c r="AZ16" i="54"/>
  <c r="BA16" i="54" s="1"/>
  <c r="BB16" i="54" s="1"/>
  <c r="BC16" i="54" s="1"/>
  <c r="AE23" i="54"/>
  <c r="AF23" i="54" s="1"/>
  <c r="AG23" i="54" s="1"/>
  <c r="AH23" i="54" s="1"/>
  <c r="BN18" i="54"/>
  <c r="BO18" i="54" s="1"/>
  <c r="BP18" i="54" s="1"/>
  <c r="AS22" i="54"/>
  <c r="AT22" i="54" s="1"/>
  <c r="AU22" i="54" s="1"/>
  <c r="AZ19" i="54"/>
  <c r="BA19" i="54" s="1"/>
  <c r="BB19" i="54" s="1"/>
  <c r="BC19" i="54" s="1"/>
  <c r="BD19" i="54" s="1"/>
  <c r="BG22" i="54"/>
  <c r="BH22" i="54" s="1"/>
  <c r="AL25" i="54"/>
  <c r="AM25" i="54" s="1"/>
  <c r="AN25" i="54" s="1"/>
  <c r="AO25" i="54" s="1"/>
  <c r="AP25" i="54" s="1"/>
  <c r="BN24" i="54"/>
  <c r="BO24" i="54" s="1"/>
  <c r="AS24" i="54"/>
  <c r="AT24" i="54" s="1"/>
  <c r="AU24" i="54" s="1"/>
  <c r="AV24" i="54" s="1"/>
  <c r="AP17" i="54"/>
  <c r="BC4" i="54"/>
  <c r="BD4" i="54" s="1"/>
  <c r="BB7" i="54"/>
  <c r="BC7" i="54" s="1"/>
  <c r="AN23" i="54"/>
  <c r="AO23" i="54" s="1"/>
  <c r="AU3" i="54"/>
  <c r="AV3" i="54" s="1"/>
  <c r="AW3" i="54" s="1"/>
  <c r="BI6" i="54"/>
  <c r="BJ6" i="54" s="1"/>
  <c r="BK6" i="54" s="1"/>
  <c r="AN12" i="54"/>
  <c r="AO12" i="54" s="1"/>
  <c r="AG5" i="54"/>
  <c r="AH5" i="54" s="1"/>
  <c r="AI5" i="54" s="1"/>
  <c r="BB15" i="54"/>
  <c r="BC15" i="54" s="1"/>
  <c r="BD15" i="54" s="1"/>
  <c r="AW18" i="54"/>
  <c r="BB5" i="54"/>
  <c r="BC5" i="54" s="1"/>
  <c r="BD5" i="54" s="1"/>
  <c r="AV8" i="54"/>
  <c r="AW8" i="54" s="1"/>
  <c r="AL10" i="54"/>
  <c r="AM10" i="54" s="1"/>
  <c r="AN10" i="54" s="1"/>
  <c r="AS7" i="54"/>
  <c r="AT7" i="54" s="1"/>
  <c r="AU7" i="54" s="1"/>
  <c r="AE10" i="54"/>
  <c r="AF10" i="54" s="1"/>
  <c r="AG10" i="54" s="1"/>
  <c r="BA6" i="54"/>
  <c r="BB6" i="54" s="1"/>
  <c r="BJ4" i="54"/>
  <c r="BK4" i="54" s="1"/>
  <c r="AS6" i="54"/>
  <c r="AT6" i="54" s="1"/>
  <c r="AU6" i="54" s="1"/>
  <c r="BB17" i="54"/>
  <c r="BC17" i="54" s="1"/>
  <c r="BD17" i="54" s="1"/>
  <c r="CG13" i="54"/>
  <c r="BF23" i="54"/>
  <c r="BT4" i="54"/>
  <c r="BT18" i="54"/>
  <c r="BT6" i="54"/>
  <c r="BF15" i="54"/>
  <c r="BT13" i="54"/>
  <c r="BS5" i="54"/>
  <c r="CG16" i="54"/>
  <c r="BS7" i="54"/>
  <c r="CG11" i="54"/>
  <c r="BS3" i="54"/>
  <c r="BS10" i="54"/>
  <c r="K45" i="33"/>
  <c r="K44" i="32"/>
  <c r="CG8" i="54"/>
  <c r="BT8" i="54"/>
  <c r="CG22" i="54"/>
  <c r="BS23" i="54"/>
  <c r="BS19" i="54"/>
  <c r="CG4" i="54"/>
  <c r="CG18" i="54"/>
  <c r="BS25" i="54"/>
  <c r="CG6" i="54"/>
  <c r="BS17" i="54"/>
  <c r="BS15" i="54"/>
  <c r="AZ25" i="54"/>
  <c r="BA25" i="54" s="1"/>
  <c r="BB25" i="54" s="1"/>
  <c r="BC25" i="54" s="1"/>
  <c r="BD25" i="54" s="1"/>
  <c r="AZ10" i="54"/>
  <c r="BA10" i="54" s="1"/>
  <c r="AS12" i="54"/>
  <c r="AT12" i="54" s="1"/>
  <c r="AS11" i="54"/>
  <c r="BN6" i="54"/>
  <c r="BO6" i="54" s="1"/>
  <c r="AE3" i="54"/>
  <c r="AF3" i="54" s="1"/>
  <c r="AG3" i="54" s="1"/>
  <c r="AH3" i="54" s="1"/>
  <c r="AS5" i="54"/>
  <c r="AT5" i="54" s="1"/>
  <c r="AU5" i="54" s="1"/>
  <c r="AZ22" i="54"/>
  <c r="BN4" i="54"/>
  <c r="BO4" i="54" s="1"/>
  <c r="BP4" i="54" s="1"/>
  <c r="BS12" i="54"/>
  <c r="BT22" i="54"/>
  <c r="BF19" i="54"/>
  <c r="BF25" i="54"/>
  <c r="BF17" i="54"/>
  <c r="BF12" i="54"/>
  <c r="CG24" i="54"/>
  <c r="BO13" i="54"/>
  <c r="BF5" i="54"/>
  <c r="BT16" i="54"/>
  <c r="BT24" i="54"/>
  <c r="BF7" i="54"/>
  <c r="BT11" i="54"/>
  <c r="BF3" i="54"/>
  <c r="BG3" i="54" s="1"/>
  <c r="BH3" i="54" s="1"/>
  <c r="BF10" i="54"/>
  <c r="AZ3" i="54"/>
  <c r="BA3" i="54" s="1"/>
  <c r="BB3" i="54" s="1"/>
  <c r="AS15" i="54"/>
  <c r="AT15" i="54" s="1"/>
  <c r="AZ11" i="54"/>
  <c r="BA11" i="54" s="1"/>
  <c r="AS25" i="54"/>
  <c r="AT25" i="54" s="1"/>
  <c r="AU25" i="54" s="1"/>
  <c r="AV25" i="54" s="1"/>
  <c r="AZ18" i="54"/>
  <c r="BA18" i="54" s="1"/>
  <c r="AL15" i="54"/>
  <c r="BG8" i="54"/>
  <c r="BH8" i="54" s="1"/>
  <c r="BI8" i="54" s="1"/>
  <c r="BJ8" i="54" s="1"/>
  <c r="BK8" i="54" s="1"/>
  <c r="BG18" i="54"/>
  <c r="BH18" i="54" s="1"/>
  <c r="AZ8" i="54"/>
  <c r="BA8" i="54" s="1"/>
  <c r="BB8" i="54" s="1"/>
  <c r="AL5" i="54"/>
  <c r="AM5" i="54" s="1"/>
  <c r="AN5" i="54" s="1"/>
  <c r="AV23" i="54"/>
  <c r="AW23" i="54" s="1"/>
  <c r="AP8" i="54"/>
  <c r="AO13" i="54"/>
  <c r="AP13" i="54" s="1"/>
  <c r="AO6" i="54"/>
  <c r="AP6" i="54" s="1"/>
  <c r="AA7" i="54"/>
  <c r="AB7" i="54" s="1"/>
  <c r="AN4" i="54"/>
  <c r="AO4" i="54" s="1"/>
  <c r="AP4" i="54" s="1"/>
  <c r="AO19" i="54"/>
  <c r="AP19" i="54" s="1"/>
  <c r="AI24" i="54"/>
  <c r="AO24" i="54"/>
  <c r="AP24" i="54" s="1"/>
  <c r="AA22" i="54"/>
  <c r="AB22" i="54" s="1"/>
  <c r="AI18" i="54"/>
  <c r="AB24" i="54"/>
  <c r="BJ14" i="54" l="1"/>
  <c r="BK14" i="54" s="1"/>
  <c r="BJ21" i="54"/>
  <c r="BK21" i="54" s="1"/>
  <c r="BQ21" i="54"/>
  <c r="BR21" i="54" s="1"/>
  <c r="BQ14" i="54"/>
  <c r="BR14" i="54" s="1"/>
  <c r="AP14" i="54"/>
  <c r="AB20" i="54"/>
  <c r="AW21" i="54"/>
  <c r="AW14" i="54"/>
  <c r="BY20" i="54"/>
  <c r="AH21" i="54"/>
  <c r="AI21" i="54" s="1"/>
  <c r="BJ20" i="54"/>
  <c r="BK20" i="54" s="1"/>
  <c r="AH20" i="54"/>
  <c r="AI20" i="54" s="1"/>
  <c r="CE20" i="54"/>
  <c r="CF20" i="54" s="1"/>
  <c r="BD16" i="54"/>
  <c r="AN20" i="54"/>
  <c r="AO20" i="54" s="1"/>
  <c r="AP20" i="54" s="1"/>
  <c r="AV20" i="54"/>
  <c r="AW20" i="54" s="1"/>
  <c r="BR20" i="54"/>
  <c r="BG10" i="54"/>
  <c r="BH10" i="54" s="1"/>
  <c r="BD7" i="54"/>
  <c r="BP24" i="54"/>
  <c r="BQ24" i="54" s="1"/>
  <c r="BG25" i="54"/>
  <c r="BH25" i="54" s="1"/>
  <c r="BU16" i="54"/>
  <c r="BV16" i="54" s="1"/>
  <c r="BW16" i="54" s="1"/>
  <c r="BG17" i="54"/>
  <c r="BH17" i="54" s="1"/>
  <c r="BI17" i="54" s="1"/>
  <c r="BJ17" i="54" s="1"/>
  <c r="BK17" i="54" s="1"/>
  <c r="BU24" i="54"/>
  <c r="BV24" i="54" s="1"/>
  <c r="BW24" i="54" s="1"/>
  <c r="BX24" i="54" s="1"/>
  <c r="BU22" i="54"/>
  <c r="BV22" i="54" s="1"/>
  <c r="BW22" i="54" s="1"/>
  <c r="BU18" i="54"/>
  <c r="BV18" i="54" s="1"/>
  <c r="BI22" i="54"/>
  <c r="BJ22" i="54" s="1"/>
  <c r="BK22" i="54" s="1"/>
  <c r="AP12" i="54"/>
  <c r="AP23" i="54"/>
  <c r="BU4" i="54"/>
  <c r="BV4" i="54" s="1"/>
  <c r="BW4" i="54" s="1"/>
  <c r="BX4" i="54" s="1"/>
  <c r="AW24" i="54"/>
  <c r="BB10" i="54"/>
  <c r="BC10" i="54" s="1"/>
  <c r="AV7" i="54"/>
  <c r="AW7" i="54" s="1"/>
  <c r="BU6" i="54"/>
  <c r="BV6" i="54" s="1"/>
  <c r="BW6" i="54" s="1"/>
  <c r="BC23" i="54"/>
  <c r="BD23" i="54" s="1"/>
  <c r="BG5" i="54"/>
  <c r="BH5" i="54" s="1"/>
  <c r="BQ4" i="54"/>
  <c r="BR4" i="54" s="1"/>
  <c r="BB11" i="54"/>
  <c r="BC11" i="54" s="1"/>
  <c r="AU13" i="54"/>
  <c r="AV13" i="54" s="1"/>
  <c r="AW13" i="54" s="1"/>
  <c r="BR24" i="54"/>
  <c r="BC6" i="54"/>
  <c r="BD6" i="54" s="1"/>
  <c r="AO10" i="54"/>
  <c r="AP10" i="54" s="1"/>
  <c r="BC8" i="54"/>
  <c r="BD8" i="54" s="1"/>
  <c r="AI23" i="54"/>
  <c r="AV6" i="54"/>
  <c r="AW6" i="54" s="1"/>
  <c r="AH10" i="54"/>
  <c r="AI10" i="54" s="1"/>
  <c r="BB18" i="54"/>
  <c r="BC18" i="54" s="1"/>
  <c r="AH12" i="54"/>
  <c r="AI12" i="54" s="1"/>
  <c r="BC3" i="54"/>
  <c r="BD3" i="54" s="1"/>
  <c r="BM12" i="54"/>
  <c r="BM15" i="54"/>
  <c r="CA6" i="54"/>
  <c r="BM19" i="54"/>
  <c r="BZ5" i="54"/>
  <c r="BZ25" i="54"/>
  <c r="CN4" i="54"/>
  <c r="BM10" i="54"/>
  <c r="BM5" i="54"/>
  <c r="BZ12" i="54"/>
  <c r="BZ15" i="54"/>
  <c r="CN6" i="54"/>
  <c r="CN18" i="54"/>
  <c r="BZ19" i="54"/>
  <c r="CN22" i="54"/>
  <c r="CA8" i="54"/>
  <c r="BM3" i="54"/>
  <c r="CA11" i="54"/>
  <c r="CA16" i="54"/>
  <c r="CA13" i="54"/>
  <c r="AO5" i="54"/>
  <c r="AP5" i="54" s="1"/>
  <c r="BC12" i="54"/>
  <c r="BD12" i="54" s="1"/>
  <c r="BU11" i="54"/>
  <c r="BV11" i="54" s="1"/>
  <c r="BW11" i="54" s="1"/>
  <c r="BX11" i="54" s="1"/>
  <c r="BU8" i="54"/>
  <c r="BI18" i="54"/>
  <c r="BJ18" i="54" s="1"/>
  <c r="BK18" i="54" s="1"/>
  <c r="AI3" i="54"/>
  <c r="BG15" i="54"/>
  <c r="AU12" i="54"/>
  <c r="AV22" i="54"/>
  <c r="AW22" i="54" s="1"/>
  <c r="CN24" i="54"/>
  <c r="CA18" i="54"/>
  <c r="CA22" i="54"/>
  <c r="BZ10" i="54"/>
  <c r="BZ7" i="54"/>
  <c r="CA24" i="54"/>
  <c r="BZ17" i="54"/>
  <c r="BZ23" i="54"/>
  <c r="BM7" i="54"/>
  <c r="AM15" i="54"/>
  <c r="AN15" i="54" s="1"/>
  <c r="BP11" i="54"/>
  <c r="BQ11" i="54" s="1"/>
  <c r="BR11" i="54" s="1"/>
  <c r="BM17" i="54"/>
  <c r="BM25" i="54"/>
  <c r="CA4" i="54"/>
  <c r="BM23" i="54"/>
  <c r="CN8" i="54"/>
  <c r="BZ3" i="54"/>
  <c r="CN11" i="54"/>
  <c r="CN16" i="54"/>
  <c r="CN13" i="54"/>
  <c r="AW25" i="54"/>
  <c r="BI3" i="54"/>
  <c r="BJ3" i="54" s="1"/>
  <c r="BG19" i="54"/>
  <c r="AV5" i="54"/>
  <c r="AW5" i="54" s="1"/>
  <c r="BG23" i="54"/>
  <c r="BR16" i="54"/>
  <c r="AT11" i="54"/>
  <c r="AU11" i="54" s="1"/>
  <c r="AV11" i="54" s="1"/>
  <c r="BG7" i="54"/>
  <c r="BH7" i="54" s="1"/>
  <c r="BI7" i="54" s="1"/>
  <c r="BP13" i="54"/>
  <c r="BQ13" i="54" s="1"/>
  <c r="BG12" i="54"/>
  <c r="BH12" i="54" s="1"/>
  <c r="AU15" i="54"/>
  <c r="AV15" i="54" s="1"/>
  <c r="AW15" i="54" s="1"/>
  <c r="BP6" i="54"/>
  <c r="BQ6" i="54" s="1"/>
  <c r="BR6" i="54" s="1"/>
  <c r="BA22" i="54"/>
  <c r="BB22" i="54" s="1"/>
  <c r="BU13" i="54"/>
  <c r="BV13" i="54" s="1"/>
  <c r="BW13" i="54" s="1"/>
  <c r="BX13" i="54" s="1"/>
  <c r="BQ22" i="54"/>
  <c r="BR22" i="54" s="1"/>
  <c r="BQ8" i="54"/>
  <c r="BR8" i="54" s="1"/>
  <c r="BQ18" i="54"/>
  <c r="BR18" i="54" s="1"/>
  <c r="BI25" i="54" l="1"/>
  <c r="BJ25" i="54" s="1"/>
  <c r="BK25" i="54" s="1"/>
  <c r="BX22" i="54"/>
  <c r="BY22" i="54" s="1"/>
  <c r="BW18" i="54"/>
  <c r="BX18" i="54" s="1"/>
  <c r="BY18" i="54" s="1"/>
  <c r="CB4" i="54"/>
  <c r="CC4" i="54" s="1"/>
  <c r="CD4" i="54" s="1"/>
  <c r="CB6" i="54"/>
  <c r="CC6" i="54" s="1"/>
  <c r="CD6" i="54" s="1"/>
  <c r="CE6" i="54" s="1"/>
  <c r="BN25" i="54"/>
  <c r="BO25" i="54" s="1"/>
  <c r="BP25" i="54" s="1"/>
  <c r="BQ25" i="54" s="1"/>
  <c r="BR25" i="54" s="1"/>
  <c r="BN19" i="54"/>
  <c r="BO19" i="54" s="1"/>
  <c r="BN23" i="54"/>
  <c r="BO23" i="54" s="1"/>
  <c r="BP23" i="54" s="1"/>
  <c r="BQ23" i="54" s="1"/>
  <c r="BI5" i="54"/>
  <c r="BJ5" i="54" s="1"/>
  <c r="BK5" i="54" s="1"/>
  <c r="BD10" i="54"/>
  <c r="BN10" i="54"/>
  <c r="BO10" i="54" s="1"/>
  <c r="BK3" i="54"/>
  <c r="AO15" i="54"/>
  <c r="AP15" i="54" s="1"/>
  <c r="BD11" i="54"/>
  <c r="BI12" i="54"/>
  <c r="BJ12" i="54" s="1"/>
  <c r="BK12" i="54" s="1"/>
  <c r="BX6" i="54"/>
  <c r="BY6" i="54" s="1"/>
  <c r="BN12" i="54"/>
  <c r="BO12" i="54" s="1"/>
  <c r="BP12" i="54" s="1"/>
  <c r="BQ12" i="54" s="1"/>
  <c r="BX16" i="54"/>
  <c r="BY16" i="54" s="1"/>
  <c r="BY13" i="54"/>
  <c r="BY4" i="54"/>
  <c r="CG17" i="54"/>
  <c r="CG19" i="54"/>
  <c r="CU6" i="54"/>
  <c r="CU4" i="54"/>
  <c r="BT3" i="54"/>
  <c r="BT10" i="54"/>
  <c r="BT19" i="54"/>
  <c r="CH6" i="54"/>
  <c r="CH4" i="54"/>
  <c r="BT5" i="54"/>
  <c r="BH23" i="54"/>
  <c r="BI23" i="54" s="1"/>
  <c r="CU13" i="54"/>
  <c r="CU11" i="54"/>
  <c r="CU8" i="54"/>
  <c r="CG23" i="54"/>
  <c r="CG7" i="54"/>
  <c r="CU24" i="54"/>
  <c r="CU22" i="54"/>
  <c r="CU18" i="54"/>
  <c r="CG15" i="54"/>
  <c r="CG12" i="54"/>
  <c r="CG25" i="54"/>
  <c r="BR13" i="54"/>
  <c r="BN7" i="54"/>
  <c r="BO7" i="54" s="1"/>
  <c r="BP7" i="54" s="1"/>
  <c r="CB18" i="54"/>
  <c r="CB13" i="54"/>
  <c r="CC13" i="54" s="1"/>
  <c r="CD13" i="54" s="1"/>
  <c r="CE13" i="54" s="1"/>
  <c r="CF13" i="54" s="1"/>
  <c r="CB16" i="54"/>
  <c r="CC16" i="54" s="1"/>
  <c r="CD16" i="54" s="1"/>
  <c r="CB11" i="54"/>
  <c r="BN3" i="54"/>
  <c r="BO3" i="54" s="1"/>
  <c r="CB8" i="54"/>
  <c r="BH19" i="54"/>
  <c r="BI19" i="54" s="1"/>
  <c r="BI10" i="54"/>
  <c r="BJ10" i="54" s="1"/>
  <c r="BK10" i="54" s="1"/>
  <c r="BY11" i="54"/>
  <c r="BN17" i="54"/>
  <c r="BO17" i="54" s="1"/>
  <c r="BJ7" i="54"/>
  <c r="BK7" i="54" s="1"/>
  <c r="BN5" i="54"/>
  <c r="BO5" i="54" s="1"/>
  <c r="BP5" i="54" s="1"/>
  <c r="BQ5" i="54" s="1"/>
  <c r="BR5" i="54" s="1"/>
  <c r="BN15" i="54"/>
  <c r="BO15" i="54" s="1"/>
  <c r="BP15" i="54" s="1"/>
  <c r="BQ15" i="54" s="1"/>
  <c r="BR15" i="54" s="1"/>
  <c r="CU16" i="54"/>
  <c r="CG3" i="54"/>
  <c r="CG10" i="54"/>
  <c r="CG5" i="54"/>
  <c r="CH16" i="54"/>
  <c r="BT17" i="54"/>
  <c r="BH15" i="54"/>
  <c r="CH13" i="54"/>
  <c r="CH11" i="54"/>
  <c r="CH8" i="54"/>
  <c r="CI8" i="54" s="1"/>
  <c r="CJ8" i="54" s="1"/>
  <c r="CK8" i="54" s="1"/>
  <c r="BT23" i="54"/>
  <c r="BT7" i="54"/>
  <c r="CH24" i="54"/>
  <c r="AV12" i="54"/>
  <c r="AW12" i="54" s="1"/>
  <c r="CH22" i="54"/>
  <c r="CH18" i="54"/>
  <c r="BT15" i="54"/>
  <c r="BT12" i="54"/>
  <c r="BT25" i="54"/>
  <c r="BV8" i="54"/>
  <c r="BW8" i="54" s="1"/>
  <c r="AW11" i="54"/>
  <c r="CB24" i="54"/>
  <c r="CC24" i="54" s="1"/>
  <c r="CB22" i="54"/>
  <c r="CC22" i="54" s="1"/>
  <c r="BD18" i="54"/>
  <c r="BC22" i="54"/>
  <c r="BD22" i="54" s="1"/>
  <c r="BY24" i="54"/>
  <c r="CI4" i="54" l="1"/>
  <c r="CJ4" i="54" s="1"/>
  <c r="BP19" i="54"/>
  <c r="BQ19" i="54" s="1"/>
  <c r="BR19" i="54" s="1"/>
  <c r="CE4" i="54"/>
  <c r="CF4" i="54" s="1"/>
  <c r="CI6" i="54"/>
  <c r="CJ6" i="54" s="1"/>
  <c r="BU19" i="54"/>
  <c r="BV19" i="54" s="1"/>
  <c r="BU23" i="54"/>
  <c r="BV23" i="54" s="1"/>
  <c r="BW23" i="54" s="1"/>
  <c r="BX23" i="54" s="1"/>
  <c r="BR23" i="54"/>
  <c r="BR12" i="54"/>
  <c r="BP10" i="54"/>
  <c r="BQ10" i="54" s="1"/>
  <c r="BR10" i="54" s="1"/>
  <c r="BJ23" i="54"/>
  <c r="BK23" i="54" s="1"/>
  <c r="CI16" i="54"/>
  <c r="CI24" i="54"/>
  <c r="CJ24" i="54" s="1"/>
  <c r="CI11" i="54"/>
  <c r="CJ11" i="54" s="1"/>
  <c r="CK11" i="54" s="1"/>
  <c r="BI15" i="54"/>
  <c r="BJ15" i="54" s="1"/>
  <c r="BU5" i="54"/>
  <c r="BV5" i="54" s="1"/>
  <c r="BW5" i="54" s="1"/>
  <c r="BU7" i="54"/>
  <c r="BV7" i="54" s="1"/>
  <c r="BW7" i="54" s="1"/>
  <c r="BU17" i="54"/>
  <c r="BP3" i="54"/>
  <c r="BQ3" i="54" s="1"/>
  <c r="CE16" i="54"/>
  <c r="CF16" i="54" s="1"/>
  <c r="CC8" i="54"/>
  <c r="CD8" i="54" s="1"/>
  <c r="CC18" i="54"/>
  <c r="CD18" i="54" s="1"/>
  <c r="CE18" i="54" s="1"/>
  <c r="CD24" i="54"/>
  <c r="CE24" i="54" s="1"/>
  <c r="CN5" i="54"/>
  <c r="CN3" i="54"/>
  <c r="CO18" i="54"/>
  <c r="CA23" i="54"/>
  <c r="CO4" i="54"/>
  <c r="CA3" i="54"/>
  <c r="CN15" i="54"/>
  <c r="CN7" i="54"/>
  <c r="CH7" i="54" s="1"/>
  <c r="CI7" i="54" s="1"/>
  <c r="CJ7" i="54" s="1"/>
  <c r="CK7" i="54" s="1"/>
  <c r="CL7" i="54" s="1"/>
  <c r="CM7" i="54" s="1"/>
  <c r="DB8" i="54"/>
  <c r="DB6" i="54"/>
  <c r="CN17" i="54"/>
  <c r="CN10" i="54"/>
  <c r="DB16" i="54"/>
  <c r="CA25" i="54"/>
  <c r="CB25" i="54" s="1"/>
  <c r="CA15" i="54"/>
  <c r="CB15" i="54" s="1"/>
  <c r="CC15" i="54" s="1"/>
  <c r="CD15" i="54" s="1"/>
  <c r="CE15" i="54" s="1"/>
  <c r="CF15" i="54" s="1"/>
  <c r="CO22" i="54"/>
  <c r="CA7" i="54"/>
  <c r="CO8" i="54"/>
  <c r="CO13" i="54"/>
  <c r="CO6" i="54"/>
  <c r="CA17" i="54"/>
  <c r="CB17" i="54" s="1"/>
  <c r="CC17" i="54" s="1"/>
  <c r="CD17" i="54" s="1"/>
  <c r="BX8" i="54"/>
  <c r="BY8" i="54" s="1"/>
  <c r="CF6" i="54"/>
  <c r="BU12" i="54"/>
  <c r="BV12" i="54" s="1"/>
  <c r="CL8" i="54"/>
  <c r="CM8" i="54" s="1"/>
  <c r="BJ19" i="54"/>
  <c r="BK19" i="54" s="1"/>
  <c r="CD22" i="54"/>
  <c r="CE22" i="54" s="1"/>
  <c r="CI22" i="54"/>
  <c r="CJ22" i="54" s="1"/>
  <c r="CI13" i="54"/>
  <c r="CJ13" i="54" s="1"/>
  <c r="BU10" i="54"/>
  <c r="BV10" i="54" s="1"/>
  <c r="BU3" i="54"/>
  <c r="CA12" i="54"/>
  <c r="CO24" i="54"/>
  <c r="CO11" i="54"/>
  <c r="CA19" i="54"/>
  <c r="CB19" i="54" s="1"/>
  <c r="CA5" i="54"/>
  <c r="CN25" i="54"/>
  <c r="DB22" i="54"/>
  <c r="DB13" i="54"/>
  <c r="CA10" i="54"/>
  <c r="CO16" i="54"/>
  <c r="CP16" i="54" s="1"/>
  <c r="CQ16" i="54" s="1"/>
  <c r="CR16" i="54" s="1"/>
  <c r="CN12" i="54"/>
  <c r="DB18" i="54"/>
  <c r="DB24" i="54"/>
  <c r="CN23" i="54"/>
  <c r="DB11" i="54"/>
  <c r="DB4" i="54"/>
  <c r="CN19" i="54"/>
  <c r="BP17" i="54"/>
  <c r="BQ17" i="54" s="1"/>
  <c r="BR17" i="54" s="1"/>
  <c r="BU25" i="54"/>
  <c r="BV25" i="54" s="1"/>
  <c r="BU15" i="54"/>
  <c r="BV15" i="54" s="1"/>
  <c r="CI18" i="54"/>
  <c r="BQ7" i="54"/>
  <c r="BR7" i="54" s="1"/>
  <c r="CC11" i="54"/>
  <c r="CD11" i="54" s="1"/>
  <c r="CE11" i="54" s="1"/>
  <c r="CK4" i="54" l="1"/>
  <c r="CL4" i="54" s="1"/>
  <c r="CM4" i="54" s="1"/>
  <c r="CK6" i="54"/>
  <c r="CL6" i="54" s="1"/>
  <c r="CB5" i="54"/>
  <c r="CC5" i="54" s="1"/>
  <c r="CD5" i="54" s="1"/>
  <c r="CE5" i="54" s="1"/>
  <c r="CF5" i="54" s="1"/>
  <c r="BW19" i="54"/>
  <c r="BX19" i="54" s="1"/>
  <c r="BY19" i="54" s="1"/>
  <c r="BX5" i="54"/>
  <c r="BY5" i="54" s="1"/>
  <c r="BY23" i="54"/>
  <c r="BX7" i="54"/>
  <c r="BY7" i="54" s="1"/>
  <c r="BW10" i="54"/>
  <c r="BX10" i="54" s="1"/>
  <c r="BY10" i="54" s="1"/>
  <c r="BW12" i="54"/>
  <c r="BX12" i="54" s="1"/>
  <c r="BY12" i="54" s="1"/>
  <c r="CJ16" i="54"/>
  <c r="CK16" i="54" s="1"/>
  <c r="BW15" i="54"/>
  <c r="BX15" i="54" s="1"/>
  <c r="BY15" i="54" s="1"/>
  <c r="CK24" i="54"/>
  <c r="CL24" i="54" s="1"/>
  <c r="CM24" i="54" s="1"/>
  <c r="CB3" i="54"/>
  <c r="CC3" i="54" s="1"/>
  <c r="CD3" i="54" s="1"/>
  <c r="CE3" i="54" s="1"/>
  <c r="CF3" i="54" s="1"/>
  <c r="CE8" i="54"/>
  <c r="CF8" i="54" s="1"/>
  <c r="BV17" i="54"/>
  <c r="BW17" i="54" s="1"/>
  <c r="BR3" i="54"/>
  <c r="CL11" i="54"/>
  <c r="CM11" i="54" s="1"/>
  <c r="CF18" i="54"/>
  <c r="BK15" i="54"/>
  <c r="CS16" i="54"/>
  <c r="CT16" i="54" s="1"/>
  <c r="CH19" i="54"/>
  <c r="CI19" i="54" s="1"/>
  <c r="CV24" i="54"/>
  <c r="CW24" i="54" s="1"/>
  <c r="BV3" i="54"/>
  <c r="BW3" i="54" s="1"/>
  <c r="BX3" i="54" s="1"/>
  <c r="CH3" i="54"/>
  <c r="CU23" i="54"/>
  <c r="CO23" i="54" s="1"/>
  <c r="CP23" i="54" s="1"/>
  <c r="CQ23" i="54" s="1"/>
  <c r="CR23" i="54" s="1"/>
  <c r="CS23" i="54" s="1"/>
  <c r="CT23" i="54" s="1"/>
  <c r="CU17" i="54"/>
  <c r="CU15" i="54"/>
  <c r="CU5" i="54"/>
  <c r="CV4" i="54"/>
  <c r="CH23" i="54"/>
  <c r="CV18" i="54"/>
  <c r="CU25" i="54"/>
  <c r="CV16" i="54"/>
  <c r="CH17" i="54"/>
  <c r="CI17" i="54" s="1"/>
  <c r="CJ17" i="54" s="1"/>
  <c r="CV8" i="54"/>
  <c r="CW8" i="54" s="1"/>
  <c r="CX8" i="54" s="1"/>
  <c r="CH15" i="54"/>
  <c r="CI15" i="54" s="1"/>
  <c r="CJ15" i="54" s="1"/>
  <c r="CK15" i="54" s="1"/>
  <c r="CH5" i="54"/>
  <c r="CB10" i="54"/>
  <c r="CC10" i="54" s="1"/>
  <c r="CD10" i="54" s="1"/>
  <c r="CP11" i="54"/>
  <c r="CQ11" i="54" s="1"/>
  <c r="CP24" i="54"/>
  <c r="CQ24" i="54" s="1"/>
  <c r="CR24" i="54" s="1"/>
  <c r="CS24" i="54" s="1"/>
  <c r="CE17" i="54"/>
  <c r="CF17" i="54" s="1"/>
  <c r="CC25" i="54"/>
  <c r="CD25" i="54" s="1"/>
  <c r="CE25" i="54" s="1"/>
  <c r="CF25" i="54" s="1"/>
  <c r="CF24" i="54"/>
  <c r="CC19" i="54"/>
  <c r="CD19" i="54" s="1"/>
  <c r="CE19" i="54" s="1"/>
  <c r="CF19" i="54" s="1"/>
  <c r="CB12" i="54"/>
  <c r="CC12" i="54" s="1"/>
  <c r="CD12" i="54" s="1"/>
  <c r="CE12" i="54" s="1"/>
  <c r="CJ18" i="54"/>
  <c r="CK18" i="54" s="1"/>
  <c r="CL18" i="54" s="1"/>
  <c r="CM18" i="54" s="1"/>
  <c r="CF22" i="54"/>
  <c r="CP6" i="54"/>
  <c r="CP13" i="54"/>
  <c r="CQ13" i="54" s="1"/>
  <c r="CP8" i="54"/>
  <c r="CB7" i="54"/>
  <c r="CP22" i="54"/>
  <c r="CQ22" i="54" s="1"/>
  <c r="CR22" i="54" s="1"/>
  <c r="CP4" i="54"/>
  <c r="CB23" i="54"/>
  <c r="CP18" i="54"/>
  <c r="CF11" i="54"/>
  <c r="CV11" i="54"/>
  <c r="CH12" i="54"/>
  <c r="CI12" i="54" s="1"/>
  <c r="CH10" i="54"/>
  <c r="CI10" i="54" s="1"/>
  <c r="CV6" i="54"/>
  <c r="CV22" i="54"/>
  <c r="CU19" i="54"/>
  <c r="CU12" i="54"/>
  <c r="CV13" i="54"/>
  <c r="CH25" i="54"/>
  <c r="CI25" i="54" s="1"/>
  <c r="CJ25" i="54" s="1"/>
  <c r="CU10" i="54"/>
  <c r="CU7" i="54"/>
  <c r="CU3" i="54"/>
  <c r="CK13" i="54"/>
  <c r="CL13" i="54" s="1"/>
  <c r="BW25" i="54"/>
  <c r="BX25" i="54" s="1"/>
  <c r="BY25" i="54" s="1"/>
  <c r="CK22" i="54"/>
  <c r="CL22" i="54" s="1"/>
  <c r="CM22" i="54" s="1"/>
  <c r="CM6" i="54" l="1"/>
  <c r="CW6" i="54"/>
  <c r="CX6" i="54" s="1"/>
  <c r="CY6" i="54" s="1"/>
  <c r="CZ6" i="54" s="1"/>
  <c r="DA6" i="54" s="1"/>
  <c r="CI3" i="54"/>
  <c r="CJ3" i="54" s="1"/>
  <c r="CI5" i="54"/>
  <c r="CJ5" i="54" s="1"/>
  <c r="CW4" i="54"/>
  <c r="CX4" i="54" s="1"/>
  <c r="CY4" i="54" s="1"/>
  <c r="CL16" i="54"/>
  <c r="CM16" i="54" s="1"/>
  <c r="CF12" i="54"/>
  <c r="CK25" i="54"/>
  <c r="CL25" i="54" s="1"/>
  <c r="CR11" i="54"/>
  <c r="CS11" i="54" s="1"/>
  <c r="CT11" i="54" s="1"/>
  <c r="BX17" i="54"/>
  <c r="BY17" i="54" s="1"/>
  <c r="CJ19" i="54"/>
  <c r="CK19" i="54" s="1"/>
  <c r="CL19" i="54" s="1"/>
  <c r="CM19" i="54" s="1"/>
  <c r="CX24" i="54"/>
  <c r="CY24" i="54" s="1"/>
  <c r="CZ24" i="54" s="1"/>
  <c r="DB7" i="54"/>
  <c r="DB19" i="54"/>
  <c r="CO25" i="54"/>
  <c r="DB5" i="54"/>
  <c r="DB17" i="54"/>
  <c r="CO7" i="54"/>
  <c r="CO19" i="54"/>
  <c r="CP19" i="54" s="1"/>
  <c r="CQ19" i="54" s="1"/>
  <c r="CR19" i="54" s="1"/>
  <c r="CS19" i="54" s="1"/>
  <c r="CT19" i="54" s="1"/>
  <c r="CO5" i="54"/>
  <c r="CO17" i="54"/>
  <c r="DB3" i="54"/>
  <c r="DB10" i="54"/>
  <c r="DB12" i="54"/>
  <c r="DB15" i="54"/>
  <c r="DB23" i="54"/>
  <c r="CO3" i="54"/>
  <c r="CO10" i="54"/>
  <c r="CP10" i="54" s="1"/>
  <c r="CQ10" i="54" s="1"/>
  <c r="CR10" i="54" s="1"/>
  <c r="CS10" i="54" s="1"/>
  <c r="CT10" i="54" s="1"/>
  <c r="CO12" i="54"/>
  <c r="CQ4" i="54"/>
  <c r="CR4" i="54" s="1"/>
  <c r="CS4" i="54" s="1"/>
  <c r="DB25" i="54"/>
  <c r="CO15" i="54"/>
  <c r="CP15" i="54" s="1"/>
  <c r="CQ8" i="54"/>
  <c r="CR8" i="54" s="1"/>
  <c r="CS8" i="54" s="1"/>
  <c r="CT8" i="54" s="1"/>
  <c r="CT24" i="54"/>
  <c r="CW13" i="54"/>
  <c r="CX13" i="54" s="1"/>
  <c r="CY13" i="54" s="1"/>
  <c r="CJ10" i="54"/>
  <c r="CK10" i="54" s="1"/>
  <c r="CL10" i="54" s="1"/>
  <c r="CM10" i="54" s="1"/>
  <c r="CJ12" i="54"/>
  <c r="CW11" i="54"/>
  <c r="CX11" i="54" s="1"/>
  <c r="CY11" i="54" s="1"/>
  <c r="CY8" i="54"/>
  <c r="CZ8" i="54" s="1"/>
  <c r="DA8" i="54" s="1"/>
  <c r="CW18" i="54"/>
  <c r="CX18" i="54" s="1"/>
  <c r="CQ18" i="54"/>
  <c r="CR18" i="54" s="1"/>
  <c r="CS18" i="54" s="1"/>
  <c r="CC7" i="54"/>
  <c r="CD7" i="54" s="1"/>
  <c r="CE7" i="54" s="1"/>
  <c r="CF7" i="54" s="1"/>
  <c r="CW22" i="54"/>
  <c r="CX22" i="54" s="1"/>
  <c r="CY22" i="54" s="1"/>
  <c r="CS22" i="54"/>
  <c r="CT22" i="54" s="1"/>
  <c r="CK17" i="54"/>
  <c r="CL17" i="54" s="1"/>
  <c r="CM17" i="54" s="1"/>
  <c r="CW16" i="54"/>
  <c r="CX16" i="54" s="1"/>
  <c r="CI23" i="54"/>
  <c r="CJ23" i="54" s="1"/>
  <c r="BY3" i="54"/>
  <c r="CC23" i="54"/>
  <c r="CD23" i="54" s="1"/>
  <c r="CM13" i="54"/>
  <c r="CR13" i="54"/>
  <c r="CS13" i="54" s="1"/>
  <c r="CT13" i="54" s="1"/>
  <c r="CL15" i="54"/>
  <c r="CM15" i="54" s="1"/>
  <c r="CQ6" i="54"/>
  <c r="CR6" i="54" s="1"/>
  <c r="CE10" i="54"/>
  <c r="CF10" i="54" s="1"/>
  <c r="CK3" i="54" l="1"/>
  <c r="CL3" i="54" s="1"/>
  <c r="CM3" i="54" s="1"/>
  <c r="CK5" i="54"/>
  <c r="CL5" i="54" s="1"/>
  <c r="CM5" i="54" s="1"/>
  <c r="CP3" i="54"/>
  <c r="CQ3" i="54" s="1"/>
  <c r="CR3" i="54" s="1"/>
  <c r="CS3" i="54" s="1"/>
  <c r="CT3" i="54" s="1"/>
  <c r="CY18" i="54"/>
  <c r="CZ18" i="54" s="1"/>
  <c r="DA18" i="54" s="1"/>
  <c r="CM25" i="54"/>
  <c r="CZ13" i="54"/>
  <c r="DA13" i="54" s="1"/>
  <c r="CQ15" i="54"/>
  <c r="CR15" i="54" s="1"/>
  <c r="CS15" i="54" s="1"/>
  <c r="CT15" i="54" s="1"/>
  <c r="CK12" i="54"/>
  <c r="CL12" i="54" s="1"/>
  <c r="CM12" i="54" s="1"/>
  <c r="CZ4" i="54"/>
  <c r="DA4" i="54" s="1"/>
  <c r="CS6" i="54"/>
  <c r="CT6" i="54" s="1"/>
  <c r="CV15" i="54"/>
  <c r="CW15" i="54" s="1"/>
  <c r="CV12" i="54"/>
  <c r="CW12" i="54" s="1"/>
  <c r="CV3" i="54"/>
  <c r="CV5" i="54"/>
  <c r="CV25" i="54"/>
  <c r="CW25" i="54" s="1"/>
  <c r="CV7" i="54"/>
  <c r="CW7" i="54" s="1"/>
  <c r="CP12" i="54"/>
  <c r="CQ12" i="54" s="1"/>
  <c r="CR12" i="54" s="1"/>
  <c r="CP7" i="54"/>
  <c r="CQ7" i="54" s="1"/>
  <c r="CR7" i="54" s="1"/>
  <c r="DA24" i="54"/>
  <c r="CE23" i="54"/>
  <c r="CF23" i="54" s="1"/>
  <c r="CP17" i="54"/>
  <c r="CQ17" i="54" s="1"/>
  <c r="CR17" i="54" s="1"/>
  <c r="CS17" i="54" s="1"/>
  <c r="CP5" i="54"/>
  <c r="CQ5" i="54" s="1"/>
  <c r="CR5" i="54" s="1"/>
  <c r="CP25" i="54"/>
  <c r="CQ25" i="54" s="1"/>
  <c r="CZ11" i="54"/>
  <c r="DA11" i="54" s="1"/>
  <c r="CV19" i="54"/>
  <c r="CV23" i="54"/>
  <c r="CW23" i="54" s="1"/>
  <c r="CX23" i="54" s="1"/>
  <c r="CY23" i="54" s="1"/>
  <c r="CV10" i="54"/>
  <c r="CW10" i="54" s="1"/>
  <c r="CV17" i="54"/>
  <c r="CY16" i="54"/>
  <c r="CZ16" i="54" s="1"/>
  <c r="DA16" i="54" s="1"/>
  <c r="CT18" i="54"/>
  <c r="CT4" i="54"/>
  <c r="CK23" i="54"/>
  <c r="CL23" i="54" s="1"/>
  <c r="CM23" i="54" s="1"/>
  <c r="CZ22" i="54"/>
  <c r="DA22" i="54" s="1"/>
  <c r="CW3" i="54" l="1"/>
  <c r="CX3" i="54" s="1"/>
  <c r="CY3" i="54" s="1"/>
  <c r="CZ3" i="54" s="1"/>
  <c r="DA3" i="54" s="1"/>
  <c r="CR25" i="54"/>
  <c r="CS25" i="54" s="1"/>
  <c r="CT25" i="54" s="1"/>
  <c r="CX25" i="54"/>
  <c r="CY25" i="54" s="1"/>
  <c r="CX15" i="54"/>
  <c r="CY15" i="54" s="1"/>
  <c r="CX7" i="54"/>
  <c r="CX12" i="54"/>
  <c r="CY12" i="54" s="1"/>
  <c r="CZ12" i="54" s="1"/>
  <c r="DA12" i="54" s="1"/>
  <c r="CX10" i="54"/>
  <c r="CY10" i="54" s="1"/>
  <c r="CZ10" i="54" s="1"/>
  <c r="DA10" i="54" s="1"/>
  <c r="CZ23" i="54"/>
  <c r="DA23" i="54" s="1"/>
  <c r="CW19" i="54"/>
  <c r="CX19" i="54" s="1"/>
  <c r="CW5" i="54"/>
  <c r="CT17" i="54"/>
  <c r="CW17" i="54"/>
  <c r="CS12" i="54"/>
  <c r="CT12" i="54" s="1"/>
  <c r="CS5" i="54"/>
  <c r="CT5" i="54" s="1"/>
  <c r="CS7" i="54"/>
  <c r="CT7" i="54" s="1"/>
  <c r="CY19" i="54" l="1"/>
  <c r="CZ19" i="54" s="1"/>
  <c r="DA19" i="54" s="1"/>
  <c r="CY7" i="54"/>
  <c r="CZ7" i="54" s="1"/>
  <c r="CX17" i="54"/>
  <c r="CX5" i="54"/>
  <c r="CY5" i="54" s="1"/>
  <c r="CZ25" i="54"/>
  <c r="DA25" i="54" s="1"/>
  <c r="CZ15" i="54"/>
  <c r="DA15" i="54" s="1"/>
  <c r="DA7" i="54" l="1"/>
  <c r="CZ5" i="54"/>
  <c r="DA5" i="54" s="1"/>
  <c r="CY17" i="54"/>
  <c r="CZ17" i="54" s="1"/>
  <c r="DA17" i="54" l="1"/>
  <c r="D30" i="53" l="1"/>
  <c r="E30" i="53"/>
  <c r="F30" i="53"/>
  <c r="G30" i="53"/>
  <c r="H30" i="53"/>
  <c r="I30" i="53"/>
  <c r="J30" i="53"/>
  <c r="K30" i="53"/>
  <c r="L30" i="53"/>
  <c r="M30" i="53"/>
  <c r="N30" i="53"/>
  <c r="O30" i="53"/>
  <c r="P30" i="53"/>
  <c r="Q30" i="53"/>
  <c r="R30" i="53"/>
  <c r="S30" i="53"/>
  <c r="T30" i="53"/>
  <c r="U30" i="53"/>
  <c r="V30" i="53"/>
  <c r="W30" i="53"/>
  <c r="X30" i="53"/>
  <c r="Y30" i="53"/>
  <c r="Z30" i="53"/>
  <c r="AA30" i="53"/>
  <c r="D31" i="53"/>
  <c r="E31" i="53"/>
  <c r="F31" i="53"/>
  <c r="G31" i="53"/>
  <c r="H31" i="53"/>
  <c r="I31" i="53"/>
  <c r="J31" i="53"/>
  <c r="K31" i="53"/>
  <c r="L31" i="53"/>
  <c r="M31" i="53"/>
  <c r="N31" i="53"/>
  <c r="O31" i="53"/>
  <c r="P31" i="53"/>
  <c r="Q31" i="53"/>
  <c r="R31" i="53"/>
  <c r="S31" i="53"/>
  <c r="T31" i="53"/>
  <c r="U31" i="53"/>
  <c r="V31" i="53"/>
  <c r="W31" i="53"/>
  <c r="X31" i="53"/>
  <c r="Y31" i="53"/>
  <c r="Z31" i="53"/>
  <c r="AA31" i="53"/>
  <c r="D32" i="53"/>
  <c r="E32" i="53"/>
  <c r="F32" i="53"/>
  <c r="G32" i="53"/>
  <c r="H32" i="53"/>
  <c r="I32" i="53"/>
  <c r="J32" i="53"/>
  <c r="K32" i="53"/>
  <c r="L32" i="53"/>
  <c r="M32" i="53"/>
  <c r="N32" i="53"/>
  <c r="O32" i="53"/>
  <c r="P32" i="53"/>
  <c r="Q32" i="53"/>
  <c r="R32" i="53"/>
  <c r="S32" i="53"/>
  <c r="T32" i="53"/>
  <c r="U32" i="53"/>
  <c r="V32" i="53"/>
  <c r="W32" i="53"/>
  <c r="X32" i="53"/>
  <c r="Y32" i="53"/>
  <c r="Z32" i="53"/>
  <c r="AA32" i="53"/>
  <c r="D33" i="53"/>
  <c r="E33" i="53"/>
  <c r="F33" i="53"/>
  <c r="G33" i="53"/>
  <c r="H33" i="53"/>
  <c r="I33" i="53"/>
  <c r="J33" i="53"/>
  <c r="K33" i="53"/>
  <c r="L33" i="53"/>
  <c r="M33" i="53"/>
  <c r="N33" i="53"/>
  <c r="O33" i="53"/>
  <c r="P33" i="53"/>
  <c r="Q33" i="53"/>
  <c r="R33" i="53"/>
  <c r="S33" i="53"/>
  <c r="T33" i="53"/>
  <c r="U33" i="53"/>
  <c r="V33" i="53"/>
  <c r="W33" i="53"/>
  <c r="X33" i="53"/>
  <c r="Y33" i="53"/>
  <c r="Z33" i="53"/>
  <c r="AA33" i="53"/>
  <c r="D34" i="53"/>
  <c r="E34" i="53"/>
  <c r="F34" i="53"/>
  <c r="G34" i="53"/>
  <c r="H34" i="53"/>
  <c r="I34" i="53"/>
  <c r="J34" i="53"/>
  <c r="K34" i="53"/>
  <c r="L34" i="53"/>
  <c r="M34" i="53"/>
  <c r="N34" i="53"/>
  <c r="O34" i="53"/>
  <c r="P34" i="53"/>
  <c r="Q34" i="53"/>
  <c r="R34" i="53"/>
  <c r="S34" i="53"/>
  <c r="T34" i="53"/>
  <c r="U34" i="53"/>
  <c r="V34" i="53"/>
  <c r="W34" i="53"/>
  <c r="X34" i="53"/>
  <c r="Y34" i="53"/>
  <c r="Z34" i="53"/>
  <c r="AA34" i="53"/>
  <c r="D35" i="53"/>
  <c r="E35" i="53"/>
  <c r="F35" i="53"/>
  <c r="G35" i="53"/>
  <c r="H35" i="53"/>
  <c r="I35" i="53"/>
  <c r="J35" i="53"/>
  <c r="K35" i="53"/>
  <c r="L35" i="53"/>
  <c r="M35" i="53"/>
  <c r="N35" i="53"/>
  <c r="O35" i="53"/>
  <c r="P35" i="53"/>
  <c r="Q35" i="53"/>
  <c r="R35" i="53"/>
  <c r="S35" i="53"/>
  <c r="T35" i="53"/>
  <c r="U35" i="53"/>
  <c r="V35" i="53"/>
  <c r="W35" i="53"/>
  <c r="X35" i="53"/>
  <c r="Y35" i="53"/>
  <c r="Z35" i="53"/>
  <c r="AA35" i="53"/>
  <c r="D36" i="53"/>
  <c r="E36" i="53"/>
  <c r="F36" i="53"/>
  <c r="G36" i="53"/>
  <c r="H36" i="53"/>
  <c r="I36" i="53"/>
  <c r="J36" i="53"/>
  <c r="K36" i="53"/>
  <c r="L36" i="53"/>
  <c r="M36" i="53"/>
  <c r="N36" i="53"/>
  <c r="O36" i="53"/>
  <c r="P36" i="53"/>
  <c r="Q36" i="53"/>
  <c r="R36" i="53"/>
  <c r="S36" i="53"/>
  <c r="T36" i="53"/>
  <c r="U36" i="53"/>
  <c r="V36" i="53"/>
  <c r="W36" i="53"/>
  <c r="X36" i="53"/>
  <c r="Y36" i="53"/>
  <c r="Z36" i="53"/>
  <c r="AA36" i="53"/>
  <c r="D37" i="53"/>
  <c r="E37" i="53"/>
  <c r="F37" i="53"/>
  <c r="G37" i="53"/>
  <c r="H37" i="53"/>
  <c r="I37" i="53"/>
  <c r="J37" i="53"/>
  <c r="K37" i="53"/>
  <c r="L37" i="53"/>
  <c r="M37" i="53"/>
  <c r="N37" i="53"/>
  <c r="O37" i="53"/>
  <c r="P37" i="53"/>
  <c r="Q37" i="53"/>
  <c r="R37" i="53"/>
  <c r="S37" i="53"/>
  <c r="T37" i="53"/>
  <c r="U37" i="53"/>
  <c r="V37" i="53"/>
  <c r="W37" i="53"/>
  <c r="X37" i="53"/>
  <c r="Y37" i="53"/>
  <c r="Z37" i="53"/>
  <c r="AA37" i="53"/>
  <c r="D38" i="53"/>
  <c r="E38" i="53"/>
  <c r="F38" i="53"/>
  <c r="G38" i="53"/>
  <c r="H38" i="53"/>
  <c r="I38" i="53"/>
  <c r="J38" i="53"/>
  <c r="K38" i="53"/>
  <c r="L38" i="53"/>
  <c r="M38" i="53"/>
  <c r="N38" i="53"/>
  <c r="O38" i="53"/>
  <c r="P38" i="53"/>
  <c r="Q38" i="53"/>
  <c r="R38" i="53"/>
  <c r="S38" i="53"/>
  <c r="T38" i="53"/>
  <c r="U38" i="53"/>
  <c r="V38" i="53"/>
  <c r="W38" i="53"/>
  <c r="X38" i="53"/>
  <c r="Y38" i="53"/>
  <c r="Z38" i="53"/>
  <c r="AA38" i="53"/>
  <c r="D39" i="53"/>
  <c r="E39" i="53"/>
  <c r="F39" i="53"/>
  <c r="G39" i="53"/>
  <c r="H39" i="53"/>
  <c r="I39" i="53"/>
  <c r="J39" i="53"/>
  <c r="K39" i="53"/>
  <c r="L39" i="53"/>
  <c r="M39" i="53"/>
  <c r="N39" i="53"/>
  <c r="O39" i="53"/>
  <c r="P39" i="53"/>
  <c r="Q39" i="53"/>
  <c r="R39" i="53"/>
  <c r="S39" i="53"/>
  <c r="T39" i="53"/>
  <c r="U39" i="53"/>
  <c r="V39" i="53"/>
  <c r="W39" i="53"/>
  <c r="X39" i="53"/>
  <c r="Y39" i="53"/>
  <c r="Z39" i="53"/>
  <c r="AA39" i="53"/>
  <c r="D40" i="53"/>
  <c r="E40" i="53"/>
  <c r="F40" i="53"/>
  <c r="G40" i="53"/>
  <c r="H40" i="53"/>
  <c r="I40" i="53"/>
  <c r="J40" i="53"/>
  <c r="K40" i="53"/>
  <c r="L40" i="53"/>
  <c r="M40" i="53"/>
  <c r="N40" i="53"/>
  <c r="O40" i="53"/>
  <c r="P40" i="53"/>
  <c r="Q40" i="53"/>
  <c r="R40" i="53"/>
  <c r="S40" i="53"/>
  <c r="T40" i="53"/>
  <c r="U40" i="53"/>
  <c r="V40" i="53"/>
  <c r="W40" i="53"/>
  <c r="X40" i="53"/>
  <c r="Y40" i="53"/>
  <c r="Z40" i="53"/>
  <c r="AA40" i="53"/>
  <c r="D41" i="53"/>
  <c r="E41" i="53"/>
  <c r="F41" i="53"/>
  <c r="G41" i="53"/>
  <c r="H41" i="53"/>
  <c r="I41" i="53"/>
  <c r="J41" i="53"/>
  <c r="K41" i="53"/>
  <c r="L41" i="53"/>
  <c r="M41" i="53"/>
  <c r="N41" i="53"/>
  <c r="O41" i="53"/>
  <c r="P41" i="53"/>
  <c r="Q41" i="53"/>
  <c r="R41" i="53"/>
  <c r="S41" i="53"/>
  <c r="T41" i="53"/>
  <c r="U41" i="53"/>
  <c r="V41" i="53"/>
  <c r="W41" i="53"/>
  <c r="X41" i="53"/>
  <c r="Y41" i="53"/>
  <c r="Z41" i="53"/>
  <c r="AA41" i="53"/>
  <c r="D42" i="53"/>
  <c r="E42" i="53"/>
  <c r="F42" i="53"/>
  <c r="G42" i="53"/>
  <c r="H42" i="53"/>
  <c r="I42" i="53"/>
  <c r="J42" i="53"/>
  <c r="K42" i="53"/>
  <c r="L42" i="53"/>
  <c r="M42" i="53"/>
  <c r="N42" i="53"/>
  <c r="O42" i="53"/>
  <c r="P42" i="53"/>
  <c r="Q42" i="53"/>
  <c r="R42" i="53"/>
  <c r="S42" i="53"/>
  <c r="T42" i="53"/>
  <c r="U42" i="53"/>
  <c r="V42" i="53"/>
  <c r="W42" i="53"/>
  <c r="X42" i="53"/>
  <c r="Y42" i="53"/>
  <c r="Z42" i="53"/>
  <c r="AA42" i="53"/>
  <c r="D43" i="53"/>
  <c r="E43" i="53"/>
  <c r="F43" i="53"/>
  <c r="G43" i="53"/>
  <c r="H43" i="53"/>
  <c r="I43" i="53"/>
  <c r="J43" i="53"/>
  <c r="K43" i="53"/>
  <c r="L43" i="53"/>
  <c r="M43" i="53"/>
  <c r="N43" i="53"/>
  <c r="O43" i="53"/>
  <c r="P43" i="53"/>
  <c r="Q43" i="53"/>
  <c r="R43" i="53"/>
  <c r="S43" i="53"/>
  <c r="T43" i="53"/>
  <c r="U43" i="53"/>
  <c r="V43" i="53"/>
  <c r="W43" i="53"/>
  <c r="X43" i="53"/>
  <c r="Y43" i="53"/>
  <c r="Z43" i="53"/>
  <c r="AA43" i="53"/>
  <c r="D44" i="53"/>
  <c r="E44" i="53"/>
  <c r="F44" i="53"/>
  <c r="G44" i="53"/>
  <c r="H44" i="53"/>
  <c r="I44" i="53"/>
  <c r="J44" i="53"/>
  <c r="K44" i="53"/>
  <c r="L44" i="53"/>
  <c r="M44" i="53"/>
  <c r="N44" i="53"/>
  <c r="O44" i="53"/>
  <c r="P44" i="53"/>
  <c r="Q44" i="53"/>
  <c r="R44" i="53"/>
  <c r="S44" i="53"/>
  <c r="T44" i="53"/>
  <c r="U44" i="53"/>
  <c r="V44" i="53"/>
  <c r="W44" i="53"/>
  <c r="X44" i="53"/>
  <c r="Y44" i="53"/>
  <c r="Z44" i="53"/>
  <c r="AA44" i="53"/>
  <c r="D45" i="53"/>
  <c r="E45" i="53"/>
  <c r="F45" i="53"/>
  <c r="G45" i="53"/>
  <c r="H45" i="53"/>
  <c r="I45" i="53"/>
  <c r="J45" i="53"/>
  <c r="K45" i="53"/>
  <c r="L45" i="53"/>
  <c r="M45" i="53"/>
  <c r="N45" i="53"/>
  <c r="O45" i="53"/>
  <c r="P45" i="53"/>
  <c r="Q45" i="53"/>
  <c r="R45" i="53"/>
  <c r="S45" i="53"/>
  <c r="T45" i="53"/>
  <c r="U45" i="53"/>
  <c r="V45" i="53"/>
  <c r="W45" i="53"/>
  <c r="X45" i="53"/>
  <c r="Y45" i="53"/>
  <c r="Z45" i="53"/>
  <c r="AA45" i="53"/>
  <c r="D46" i="53"/>
  <c r="E46" i="53"/>
  <c r="F46" i="53"/>
  <c r="G46" i="53"/>
  <c r="H46" i="53"/>
  <c r="I46" i="53"/>
  <c r="J46" i="53"/>
  <c r="K46" i="53"/>
  <c r="L46" i="53"/>
  <c r="M46" i="53"/>
  <c r="N46" i="53"/>
  <c r="O46" i="53"/>
  <c r="P46" i="53"/>
  <c r="Q46" i="53"/>
  <c r="R46" i="53"/>
  <c r="S46" i="53"/>
  <c r="T46" i="53"/>
  <c r="U46" i="53"/>
  <c r="V46" i="53"/>
  <c r="W46" i="53"/>
  <c r="X46" i="53"/>
  <c r="Y46" i="53"/>
  <c r="Z46" i="53"/>
  <c r="AA46" i="53"/>
  <c r="D47" i="53"/>
  <c r="E47" i="53"/>
  <c r="F47" i="53"/>
  <c r="G47" i="53"/>
  <c r="H47" i="53"/>
  <c r="I47" i="53"/>
  <c r="J47" i="53"/>
  <c r="K47" i="53"/>
  <c r="L47" i="53"/>
  <c r="M47" i="53"/>
  <c r="N47" i="53"/>
  <c r="O47" i="53"/>
  <c r="P47" i="53"/>
  <c r="Q47" i="53"/>
  <c r="R47" i="53"/>
  <c r="S47" i="53"/>
  <c r="T47" i="53"/>
  <c r="U47" i="53"/>
  <c r="V47" i="53"/>
  <c r="W47" i="53"/>
  <c r="X47" i="53"/>
  <c r="Y47" i="53"/>
  <c r="Z47" i="53"/>
  <c r="AA47" i="53"/>
  <c r="D48" i="53"/>
  <c r="E48" i="53"/>
  <c r="F48" i="53"/>
  <c r="G48" i="53"/>
  <c r="H48" i="53"/>
  <c r="I48" i="53"/>
  <c r="J48" i="53"/>
  <c r="K48" i="53"/>
  <c r="L48" i="53"/>
  <c r="M48" i="53"/>
  <c r="N48" i="53"/>
  <c r="O48" i="53"/>
  <c r="P48" i="53"/>
  <c r="Q48" i="53"/>
  <c r="R48" i="53"/>
  <c r="S48" i="53"/>
  <c r="T48" i="53"/>
  <c r="U48" i="53"/>
  <c r="V48" i="53"/>
  <c r="W48" i="53"/>
  <c r="X48" i="53"/>
  <c r="Y48" i="53"/>
  <c r="Z48" i="53"/>
  <c r="AA48" i="53"/>
  <c r="D49" i="53"/>
  <c r="E49" i="53"/>
  <c r="F49" i="53"/>
  <c r="G49" i="53"/>
  <c r="H49" i="53"/>
  <c r="I49" i="53"/>
  <c r="J49" i="53"/>
  <c r="K49" i="53"/>
  <c r="L49" i="53"/>
  <c r="M49" i="53"/>
  <c r="N49" i="53"/>
  <c r="O49" i="53"/>
  <c r="P49" i="53"/>
  <c r="Q49" i="53"/>
  <c r="R49" i="53"/>
  <c r="S49" i="53"/>
  <c r="T49" i="53"/>
  <c r="U49" i="53"/>
  <c r="V49" i="53"/>
  <c r="W49" i="53"/>
  <c r="X49" i="53"/>
  <c r="Y49" i="53"/>
  <c r="Z49" i="53"/>
  <c r="AA49" i="53"/>
  <c r="D50" i="53"/>
  <c r="E50" i="53"/>
  <c r="F50" i="53"/>
  <c r="G50" i="53"/>
  <c r="H50" i="53"/>
  <c r="I50" i="53"/>
  <c r="J50" i="53"/>
  <c r="K50" i="53"/>
  <c r="L50" i="53"/>
  <c r="M50" i="53"/>
  <c r="N50" i="53"/>
  <c r="O50" i="53"/>
  <c r="P50" i="53"/>
  <c r="Q50" i="53"/>
  <c r="R50" i="53"/>
  <c r="S50" i="53"/>
  <c r="T50" i="53"/>
  <c r="U50" i="53"/>
  <c r="V50" i="53"/>
  <c r="W50" i="53"/>
  <c r="X50" i="53"/>
  <c r="Y50" i="53"/>
  <c r="Z50" i="53"/>
  <c r="AA50" i="53"/>
  <c r="D51" i="53"/>
  <c r="E51" i="53"/>
  <c r="F51" i="53"/>
  <c r="G51" i="53"/>
  <c r="H51" i="53"/>
  <c r="I51" i="53"/>
  <c r="J51" i="53"/>
  <c r="K51" i="53"/>
  <c r="L51" i="53"/>
  <c r="M51" i="53"/>
  <c r="N51" i="53"/>
  <c r="O51" i="53"/>
  <c r="P51" i="53"/>
  <c r="Q51" i="53"/>
  <c r="R51" i="53"/>
  <c r="S51" i="53"/>
  <c r="T51" i="53"/>
  <c r="U51" i="53"/>
  <c r="V51" i="53"/>
  <c r="W51" i="53"/>
  <c r="X51" i="53"/>
  <c r="Y51" i="53"/>
  <c r="Z51" i="53"/>
  <c r="AA51" i="53"/>
  <c r="C51" i="53"/>
  <c r="C50" i="53"/>
  <c r="C49" i="53"/>
  <c r="C48" i="53"/>
  <c r="C47" i="53"/>
  <c r="C46" i="53"/>
  <c r="C45" i="53"/>
  <c r="C44" i="53"/>
  <c r="C43" i="53"/>
  <c r="C42" i="53"/>
  <c r="C41" i="53"/>
  <c r="C40" i="53"/>
  <c r="C39" i="53"/>
  <c r="C38" i="53"/>
  <c r="C37" i="53"/>
  <c r="C36" i="53"/>
  <c r="C35" i="53"/>
  <c r="C34" i="53"/>
  <c r="C33" i="53"/>
  <c r="C32" i="53"/>
  <c r="C31" i="53"/>
  <c r="C30" i="53"/>
  <c r="D29" i="53"/>
  <c r="E29" i="53"/>
  <c r="F29" i="53"/>
  <c r="G29" i="53"/>
  <c r="H29" i="53"/>
  <c r="I29" i="53"/>
  <c r="J29" i="53"/>
  <c r="K29" i="53"/>
  <c r="L29" i="53"/>
  <c r="M29" i="53"/>
  <c r="N29" i="53"/>
  <c r="O29" i="53"/>
  <c r="P29" i="53"/>
  <c r="Q29" i="53"/>
  <c r="R29" i="53"/>
  <c r="S29" i="53"/>
  <c r="T29" i="53"/>
  <c r="U29" i="53"/>
  <c r="V29" i="53"/>
  <c r="W29" i="53"/>
  <c r="X29" i="53"/>
  <c r="Y29" i="53"/>
  <c r="Z29" i="53"/>
  <c r="AA29" i="53"/>
  <c r="C29" i="53"/>
  <c r="AA25" i="53"/>
  <c r="T25" i="53"/>
  <c r="U25" i="53"/>
  <c r="V25" i="53"/>
  <c r="W25" i="53"/>
  <c r="X25" i="53"/>
  <c r="Y25" i="53"/>
  <c r="Z25" i="53"/>
  <c r="S25" i="53"/>
  <c r="B51" i="52" l="1"/>
  <c r="C51" i="52"/>
  <c r="C65" i="50" l="1"/>
  <c r="C64" i="50"/>
  <c r="C63" i="50"/>
  <c r="C62" i="50"/>
  <c r="C61" i="50"/>
  <c r="U42" i="50"/>
  <c r="X17" i="50"/>
  <c r="O17" i="50"/>
  <c r="M17" i="50"/>
  <c r="X16" i="50"/>
  <c r="O16" i="50"/>
  <c r="M16" i="50"/>
  <c r="X15" i="50"/>
  <c r="O15" i="50"/>
  <c r="M15" i="50"/>
  <c r="X14" i="50"/>
  <c r="O14" i="50"/>
  <c r="M14" i="50"/>
  <c r="X13" i="50"/>
  <c r="C65" i="49"/>
  <c r="C64" i="49"/>
  <c r="C63" i="49"/>
  <c r="C62" i="49"/>
  <c r="C61" i="49"/>
  <c r="U42" i="49"/>
  <c r="X17" i="49"/>
  <c r="O17" i="49"/>
  <c r="M17" i="49"/>
  <c r="X16" i="49"/>
  <c r="O16" i="49"/>
  <c r="M16" i="49"/>
  <c r="X15" i="49"/>
  <c r="O15" i="49"/>
  <c r="M15" i="49"/>
  <c r="X14" i="49"/>
  <c r="O14" i="49"/>
  <c r="M14" i="49"/>
  <c r="X13" i="49"/>
  <c r="C65" i="48"/>
  <c r="C64" i="48"/>
  <c r="C63" i="48"/>
  <c r="C62" i="48"/>
  <c r="C61" i="48"/>
  <c r="U42" i="48"/>
  <c r="X17" i="48"/>
  <c r="O17" i="48"/>
  <c r="M17" i="48"/>
  <c r="X16" i="48"/>
  <c r="O16" i="48"/>
  <c r="M16" i="48"/>
  <c r="X15" i="48"/>
  <c r="O15" i="48"/>
  <c r="M15" i="48"/>
  <c r="X14" i="48"/>
  <c r="O14" i="48"/>
  <c r="M14" i="48"/>
  <c r="X13" i="48"/>
  <c r="C65" i="47"/>
  <c r="C64" i="47"/>
  <c r="C63" i="47"/>
  <c r="C62" i="47"/>
  <c r="C61" i="47"/>
  <c r="U42" i="47"/>
  <c r="X17" i="47"/>
  <c r="O17" i="47"/>
  <c r="M17" i="47"/>
  <c r="X16" i="47"/>
  <c r="O16" i="47"/>
  <c r="M16" i="47"/>
  <c r="X15" i="47"/>
  <c r="O15" i="47"/>
  <c r="M15" i="47"/>
  <c r="X14" i="47"/>
  <c r="O14" i="47"/>
  <c r="M14" i="47"/>
  <c r="X13" i="47"/>
  <c r="C65" i="46"/>
  <c r="C64" i="46"/>
  <c r="C63" i="46"/>
  <c r="C62" i="46"/>
  <c r="C61" i="46"/>
  <c r="U42" i="46"/>
  <c r="X17" i="46"/>
  <c r="O17" i="46"/>
  <c r="M17" i="46"/>
  <c r="X16" i="46"/>
  <c r="O16" i="46"/>
  <c r="M16" i="46"/>
  <c r="X15" i="46"/>
  <c r="O15" i="46"/>
  <c r="M15" i="46"/>
  <c r="X14" i="46"/>
  <c r="O14" i="46"/>
  <c r="M14" i="46"/>
  <c r="X13" i="46"/>
  <c r="C65" i="45"/>
  <c r="C64" i="45"/>
  <c r="C63" i="45"/>
  <c r="C62" i="45"/>
  <c r="C61" i="45"/>
  <c r="U42" i="45"/>
  <c r="X17" i="45"/>
  <c r="O17" i="45"/>
  <c r="M17" i="45"/>
  <c r="X16" i="45"/>
  <c r="O16" i="45"/>
  <c r="M16" i="45"/>
  <c r="X15" i="45"/>
  <c r="O15" i="45"/>
  <c r="M15" i="45"/>
  <c r="X14" i="45"/>
  <c r="O14" i="45"/>
  <c r="M14" i="45"/>
  <c r="X13" i="45"/>
  <c r="C63" i="44"/>
  <c r="C62" i="44"/>
  <c r="C61" i="44"/>
  <c r="C60" i="44"/>
  <c r="C59" i="44"/>
  <c r="X17" i="44"/>
  <c r="O17" i="44"/>
  <c r="M17" i="44"/>
  <c r="X16" i="44"/>
  <c r="O16" i="44"/>
  <c r="M16" i="44"/>
  <c r="X15" i="44"/>
  <c r="O15" i="44"/>
  <c r="M15" i="44"/>
  <c r="X14" i="44"/>
  <c r="O14" i="44"/>
  <c r="M14" i="44"/>
  <c r="X13" i="44"/>
  <c r="C65" i="43"/>
  <c r="C64" i="43"/>
  <c r="C63" i="43"/>
  <c r="C62" i="43"/>
  <c r="C61" i="43"/>
  <c r="U42" i="43"/>
  <c r="X17" i="43"/>
  <c r="O17" i="43"/>
  <c r="M17" i="43"/>
  <c r="X16" i="43"/>
  <c r="O16" i="43"/>
  <c r="M16" i="43"/>
  <c r="X15" i="43"/>
  <c r="O15" i="43"/>
  <c r="M15" i="43"/>
  <c r="X14" i="43"/>
  <c r="O14" i="43"/>
  <c r="M14" i="43"/>
  <c r="X13" i="43"/>
  <c r="G67" i="42"/>
  <c r="C65" i="42"/>
  <c r="C64" i="42"/>
  <c r="C63" i="42"/>
  <c r="C62" i="42"/>
  <c r="C61" i="42"/>
  <c r="U42" i="42"/>
  <c r="X17" i="42"/>
  <c r="O17" i="42"/>
  <c r="M17" i="42"/>
  <c r="X16" i="42"/>
  <c r="O16" i="42"/>
  <c r="M16" i="42"/>
  <c r="X15" i="42"/>
  <c r="O15" i="42"/>
  <c r="M15" i="42"/>
  <c r="X14" i="42"/>
  <c r="O14" i="42"/>
  <c r="M14" i="42"/>
  <c r="X13" i="42"/>
  <c r="C65" i="41"/>
  <c r="C64" i="41"/>
  <c r="C63" i="41"/>
  <c r="C62" i="41"/>
  <c r="C61" i="41"/>
  <c r="U42" i="41"/>
  <c r="X17" i="41"/>
  <c r="O17" i="41"/>
  <c r="M17" i="41"/>
  <c r="X16" i="41"/>
  <c r="O16" i="41"/>
  <c r="M16" i="41"/>
  <c r="X15" i="41"/>
  <c r="O15" i="41"/>
  <c r="M15" i="41"/>
  <c r="X14" i="41"/>
  <c r="O14" i="41"/>
  <c r="M14" i="41"/>
  <c r="X13" i="41"/>
  <c r="K14" i="40"/>
  <c r="L14" i="40" s="1"/>
  <c r="J14" i="40"/>
  <c r="I14" i="40"/>
  <c r="H14" i="40"/>
  <c r="G14" i="40"/>
  <c r="F14" i="40"/>
  <c r="E14" i="40"/>
  <c r="D14" i="40"/>
  <c r="C14" i="40"/>
  <c r="B14" i="40"/>
  <c r="K13" i="40"/>
  <c r="L13" i="40" s="1"/>
  <c r="J13" i="40"/>
  <c r="I13" i="40"/>
  <c r="H13" i="40"/>
  <c r="G13" i="40"/>
  <c r="F13" i="40"/>
  <c r="E13" i="40"/>
  <c r="D13" i="40"/>
  <c r="C13" i="40"/>
  <c r="B13" i="40"/>
  <c r="K12" i="40"/>
  <c r="L12" i="40" s="1"/>
  <c r="J12" i="40"/>
  <c r="I12" i="40"/>
  <c r="H12" i="40"/>
  <c r="G12" i="40"/>
  <c r="F12" i="40"/>
  <c r="E12" i="40"/>
  <c r="D12" i="40"/>
  <c r="C12" i="40"/>
  <c r="B12" i="40"/>
  <c r="L8" i="40"/>
  <c r="L7" i="40"/>
  <c r="L6" i="40"/>
  <c r="L5" i="40"/>
  <c r="C66" i="39"/>
  <c r="C65" i="39"/>
  <c r="C64" i="39"/>
  <c r="C63" i="39"/>
  <c r="C62" i="39"/>
  <c r="C61" i="39"/>
  <c r="U42" i="39"/>
  <c r="X17" i="39"/>
  <c r="O17" i="39"/>
  <c r="M17" i="39"/>
  <c r="X16" i="39"/>
  <c r="O16" i="39"/>
  <c r="M16" i="39"/>
  <c r="X15" i="39"/>
  <c r="O15" i="39"/>
  <c r="M15" i="39"/>
  <c r="X14" i="39"/>
  <c r="O14" i="39"/>
  <c r="M14" i="39"/>
  <c r="X13" i="39"/>
  <c r="G67" i="38"/>
  <c r="C65" i="38"/>
  <c r="C64" i="38"/>
  <c r="C63" i="38"/>
  <c r="C62" i="38"/>
  <c r="C61" i="38"/>
  <c r="U42" i="38"/>
  <c r="X17" i="38"/>
  <c r="O17" i="38"/>
  <c r="M17" i="38"/>
  <c r="X16" i="38"/>
  <c r="O16" i="38"/>
  <c r="M16" i="38"/>
  <c r="X15" i="38"/>
  <c r="O15" i="38"/>
  <c r="M15" i="38"/>
  <c r="X14" i="38"/>
  <c r="O14" i="38"/>
  <c r="M14" i="38"/>
  <c r="X13" i="38"/>
  <c r="C65" i="37"/>
  <c r="C64" i="37"/>
  <c r="C63" i="37"/>
  <c r="C62" i="37"/>
  <c r="C61" i="37"/>
  <c r="U42" i="37"/>
  <c r="X17" i="37"/>
  <c r="O17" i="37"/>
  <c r="M17" i="37"/>
  <c r="X16" i="37"/>
  <c r="O16" i="37"/>
  <c r="M16" i="37"/>
  <c r="X15" i="37"/>
  <c r="O15" i="37"/>
  <c r="M15" i="37"/>
  <c r="X14" i="37"/>
  <c r="O14" i="37"/>
  <c r="M14" i="37"/>
  <c r="X13" i="37"/>
  <c r="K20" i="37" l="1"/>
  <c r="M45" i="37" s="1"/>
  <c r="K20" i="42"/>
  <c r="M41" i="42" s="1"/>
  <c r="M42" i="42" s="1"/>
  <c r="M43" i="42" s="1"/>
  <c r="M44" i="42" s="1"/>
  <c r="M45" i="42" s="1"/>
  <c r="M46" i="42" s="1"/>
  <c r="M47" i="42" s="1"/>
  <c r="M48" i="42" s="1"/>
  <c r="K20" i="43"/>
  <c r="O20" i="38"/>
  <c r="O20" i="39"/>
  <c r="O20" i="44"/>
  <c r="O20" i="47"/>
  <c r="O20" i="48"/>
  <c r="K20" i="38"/>
  <c r="M41" i="38" s="1"/>
  <c r="K20" i="44"/>
  <c r="M47" i="44" s="1"/>
  <c r="K20" i="47"/>
  <c r="M41" i="47" s="1"/>
  <c r="O20" i="37"/>
  <c r="O20" i="42"/>
  <c r="O20" i="43"/>
  <c r="O20" i="46"/>
  <c r="O20" i="41"/>
  <c r="O20" i="45"/>
  <c r="O20" i="49"/>
  <c r="O20" i="50"/>
  <c r="K20" i="50"/>
  <c r="K20" i="49"/>
  <c r="M41" i="49" s="1"/>
  <c r="K20" i="48"/>
  <c r="M41" i="48" s="1"/>
  <c r="K20" i="46"/>
  <c r="K20" i="45"/>
  <c r="K20" i="41"/>
  <c r="K20" i="39"/>
  <c r="B15" i="40"/>
  <c r="J15" i="40"/>
  <c r="D15" i="40"/>
  <c r="H15" i="40"/>
  <c r="F15" i="40"/>
  <c r="E15" i="40"/>
  <c r="L15" i="40"/>
  <c r="I15" i="40"/>
  <c r="C15" i="40"/>
  <c r="G15" i="40"/>
  <c r="V42" i="44"/>
  <c r="V42" i="50"/>
  <c r="W43" i="50" s="1"/>
  <c r="W42" i="50"/>
  <c r="V43" i="50"/>
  <c r="W44" i="50" s="1"/>
  <c r="V42" i="49"/>
  <c r="W43" i="49" s="1"/>
  <c r="V43" i="49"/>
  <c r="W44" i="49" s="1"/>
  <c r="W42" i="49"/>
  <c r="V42" i="48"/>
  <c r="W43" i="48" s="1"/>
  <c r="V43" i="48"/>
  <c r="W44" i="48" s="1"/>
  <c r="W42" i="48"/>
  <c r="W42" i="47"/>
  <c r="V42" i="47"/>
  <c r="W43" i="47" s="1"/>
  <c r="V43" i="47"/>
  <c r="W44" i="47" s="1"/>
  <c r="V42" i="46"/>
  <c r="W43" i="46" s="1"/>
  <c r="V43" i="46"/>
  <c r="W44" i="46" s="1"/>
  <c r="W42" i="46"/>
  <c r="V42" i="45"/>
  <c r="W43" i="45" s="1"/>
  <c r="V43" i="45"/>
  <c r="W44" i="45" s="1"/>
  <c r="W42" i="45"/>
  <c r="I27" i="44"/>
  <c r="I26" i="44"/>
  <c r="I28" i="44"/>
  <c r="I25" i="44"/>
  <c r="I29" i="44"/>
  <c r="V43" i="43"/>
  <c r="W44" i="43" s="1"/>
  <c r="W42" i="43"/>
  <c r="V42" i="43"/>
  <c r="W43" i="43" s="1"/>
  <c r="W42" i="42"/>
  <c r="V42" i="42"/>
  <c r="W43" i="42" s="1"/>
  <c r="V43" i="42"/>
  <c r="W44" i="42" s="1"/>
  <c r="V42" i="41"/>
  <c r="W43" i="41" s="1"/>
  <c r="V43" i="41"/>
  <c r="W44" i="41" s="1"/>
  <c r="W42" i="41"/>
  <c r="W42" i="39"/>
  <c r="K15" i="40"/>
  <c r="V43" i="39"/>
  <c r="W44" i="39" s="1"/>
  <c r="V42" i="39"/>
  <c r="W43" i="39" s="1"/>
  <c r="W42" i="38"/>
  <c r="V42" i="38"/>
  <c r="W43" i="38" s="1"/>
  <c r="V43" i="38"/>
  <c r="W44" i="38" s="1"/>
  <c r="V43" i="37"/>
  <c r="W44" i="37" s="1"/>
  <c r="W42" i="37"/>
  <c r="V42" i="37"/>
  <c r="W43" i="37" s="1"/>
  <c r="E25" i="39" l="1"/>
  <c r="E42" i="39" s="1"/>
  <c r="O41" i="42"/>
  <c r="R41" i="42" s="1"/>
  <c r="H25" i="50"/>
  <c r="H42" i="50" s="1"/>
  <c r="G25" i="50"/>
  <c r="G42" i="50" s="1"/>
  <c r="I25" i="50"/>
  <c r="I42" i="50"/>
  <c r="M44" i="50"/>
  <c r="M54" i="50"/>
  <c r="M51" i="50"/>
  <c r="M52" i="50"/>
  <c r="M53" i="50"/>
  <c r="F25" i="50"/>
  <c r="F42" i="50" s="1"/>
  <c r="F25" i="49"/>
  <c r="F42" i="49" s="1"/>
  <c r="I25" i="49"/>
  <c r="I42" i="49"/>
  <c r="H25" i="49"/>
  <c r="H42" i="49" s="1"/>
  <c r="I25" i="48"/>
  <c r="I42" i="48"/>
  <c r="H25" i="48"/>
  <c r="H42" i="48" s="1"/>
  <c r="G25" i="48"/>
  <c r="G42" i="48" s="1"/>
  <c r="F25" i="48"/>
  <c r="F42" i="48" s="1"/>
  <c r="I25" i="47"/>
  <c r="I42" i="47"/>
  <c r="G25" i="47"/>
  <c r="G42" i="47" s="1"/>
  <c r="F25" i="47"/>
  <c r="F42" i="47" s="1"/>
  <c r="H25" i="47"/>
  <c r="H42" i="47" s="1"/>
  <c r="G25" i="46"/>
  <c r="G42" i="46" s="1"/>
  <c r="I25" i="46"/>
  <c r="I42" i="46"/>
  <c r="M44" i="46"/>
  <c r="M54" i="46"/>
  <c r="M51" i="46"/>
  <c r="M52" i="46"/>
  <c r="M53" i="46"/>
  <c r="H25" i="46"/>
  <c r="H42" i="46" s="1"/>
  <c r="F25" i="46"/>
  <c r="F42" i="46" s="1"/>
  <c r="M42" i="46"/>
  <c r="F25" i="45"/>
  <c r="F42" i="45" s="1"/>
  <c r="H25" i="45"/>
  <c r="H42" i="45" s="1"/>
  <c r="M46" i="45"/>
  <c r="M51" i="45"/>
  <c r="M52" i="45"/>
  <c r="M53" i="45"/>
  <c r="M54" i="45"/>
  <c r="I25" i="45"/>
  <c r="I42" i="45"/>
  <c r="G25" i="45"/>
  <c r="G42" i="45" s="1"/>
  <c r="I25" i="43"/>
  <c r="I42" i="43"/>
  <c r="H25" i="43"/>
  <c r="H42" i="43" s="1"/>
  <c r="M54" i="43"/>
  <c r="M53" i="43"/>
  <c r="M52" i="43"/>
  <c r="M51" i="43"/>
  <c r="G25" i="43"/>
  <c r="G42" i="43" s="1"/>
  <c r="F25" i="43"/>
  <c r="F42" i="43" s="1"/>
  <c r="I25" i="42"/>
  <c r="I42" i="42"/>
  <c r="O42" i="42" s="1"/>
  <c r="R42" i="42" s="1"/>
  <c r="I25" i="41"/>
  <c r="I42" i="41"/>
  <c r="F25" i="41"/>
  <c r="F42" i="41" s="1"/>
  <c r="M48" i="41"/>
  <c r="M52" i="41"/>
  <c r="M53" i="41"/>
  <c r="M54" i="41"/>
  <c r="M51" i="41"/>
  <c r="H25" i="41"/>
  <c r="H42" i="41" s="1"/>
  <c r="G25" i="41"/>
  <c r="G42" i="41" s="1"/>
  <c r="G25" i="39"/>
  <c r="G42" i="39" s="1"/>
  <c r="I25" i="39"/>
  <c r="I42" i="39"/>
  <c r="F25" i="39"/>
  <c r="F42" i="39" s="1"/>
  <c r="H25" i="39"/>
  <c r="H42" i="39" s="1"/>
  <c r="M45" i="39"/>
  <c r="M52" i="39"/>
  <c r="M51" i="39"/>
  <c r="M54" i="39"/>
  <c r="M53" i="39"/>
  <c r="H25" i="37"/>
  <c r="H42" i="37" s="1"/>
  <c r="I25" i="37"/>
  <c r="I42" i="37"/>
  <c r="F25" i="37"/>
  <c r="F42" i="37" s="1"/>
  <c r="G25" i="37"/>
  <c r="G42" i="37" s="1"/>
  <c r="M49" i="37"/>
  <c r="M54" i="37"/>
  <c r="M52" i="37"/>
  <c r="M53" i="37"/>
  <c r="M51" i="37"/>
  <c r="I25" i="38"/>
  <c r="I42" i="38"/>
  <c r="F25" i="38"/>
  <c r="F42" i="38" s="1"/>
  <c r="G25" i="38"/>
  <c r="G42" i="38" s="1"/>
  <c r="H25" i="38"/>
  <c r="H42" i="38" s="1"/>
  <c r="M46" i="46"/>
  <c r="M50" i="50"/>
  <c r="M47" i="46"/>
  <c r="M50" i="46"/>
  <c r="M47" i="50"/>
  <c r="M43" i="46"/>
  <c r="M49" i="46"/>
  <c r="M48" i="46"/>
  <c r="M41" i="46"/>
  <c r="O41" i="46" s="1"/>
  <c r="M45" i="46"/>
  <c r="M46" i="43"/>
  <c r="M43" i="37"/>
  <c r="M41" i="37"/>
  <c r="M44" i="37"/>
  <c r="M49" i="45"/>
  <c r="M41" i="45"/>
  <c r="O41" i="45" s="1"/>
  <c r="M44" i="45"/>
  <c r="M48" i="45"/>
  <c r="M45" i="45"/>
  <c r="M42" i="45"/>
  <c r="M47" i="45"/>
  <c r="M43" i="45"/>
  <c r="M50" i="45"/>
  <c r="M46" i="37"/>
  <c r="M47" i="37"/>
  <c r="M50" i="37"/>
  <c r="M42" i="37"/>
  <c r="M48" i="37"/>
  <c r="M41" i="44"/>
  <c r="M48" i="44"/>
  <c r="M45" i="44"/>
  <c r="M52" i="44"/>
  <c r="M54" i="44"/>
  <c r="M51" i="44"/>
  <c r="M53" i="44"/>
  <c r="W43" i="44"/>
  <c r="W42" i="44"/>
  <c r="U42" i="44"/>
  <c r="F25" i="42"/>
  <c r="F42" i="42" s="1"/>
  <c r="H25" i="42"/>
  <c r="H42" i="42" s="1"/>
  <c r="G25" i="42"/>
  <c r="G42" i="42" s="1"/>
  <c r="M49" i="50"/>
  <c r="M46" i="50"/>
  <c r="M45" i="50"/>
  <c r="M42" i="50"/>
  <c r="M48" i="50"/>
  <c r="M41" i="50"/>
  <c r="M43" i="50"/>
  <c r="M46" i="44"/>
  <c r="O46" i="44" s="1"/>
  <c r="M43" i="44"/>
  <c r="M44" i="44"/>
  <c r="M42" i="44"/>
  <c r="M50" i="44"/>
  <c r="M49" i="44"/>
  <c r="M50" i="43"/>
  <c r="M43" i="43"/>
  <c r="M48" i="43"/>
  <c r="M45" i="43"/>
  <c r="M41" i="43"/>
  <c r="O41" i="43" s="1"/>
  <c r="M44" i="43"/>
  <c r="M49" i="43"/>
  <c r="M42" i="43"/>
  <c r="M47" i="43"/>
  <c r="M47" i="41"/>
  <c r="M41" i="41"/>
  <c r="O41" i="41" s="1"/>
  <c r="M50" i="41"/>
  <c r="M46" i="41"/>
  <c r="M45" i="41"/>
  <c r="M42" i="41"/>
  <c r="M44" i="41"/>
  <c r="M43" i="41"/>
  <c r="M49" i="41"/>
  <c r="M41" i="39"/>
  <c r="O41" i="39" s="1"/>
  <c r="M46" i="39"/>
  <c r="M47" i="39"/>
  <c r="M50" i="39"/>
  <c r="M42" i="39"/>
  <c r="M43" i="39"/>
  <c r="M49" i="39"/>
  <c r="M44" i="39"/>
  <c r="M48" i="39"/>
  <c r="O42" i="41" l="1"/>
  <c r="R42" i="41" s="1"/>
  <c r="F31" i="52" s="1"/>
  <c r="H26" i="50"/>
  <c r="H43" i="50" s="1"/>
  <c r="E25" i="50"/>
  <c r="E42" i="50" s="1"/>
  <c r="O41" i="50"/>
  <c r="R41" i="50" s="1"/>
  <c r="I26" i="50"/>
  <c r="I43" i="50"/>
  <c r="O43" i="50" s="1"/>
  <c r="R43" i="50" s="1"/>
  <c r="G49" i="52" s="1"/>
  <c r="G26" i="50"/>
  <c r="G43" i="50" s="1"/>
  <c r="O42" i="50"/>
  <c r="R42" i="50" s="1"/>
  <c r="F49" i="52" s="1"/>
  <c r="G26" i="49"/>
  <c r="G43" i="49" s="1"/>
  <c r="G25" i="49"/>
  <c r="G42" i="49" s="1"/>
  <c r="E25" i="49"/>
  <c r="E42" i="49" s="1"/>
  <c r="I26" i="49"/>
  <c r="I43" i="49"/>
  <c r="G26" i="48"/>
  <c r="G43" i="48" s="1"/>
  <c r="H26" i="48"/>
  <c r="H43" i="48" s="1"/>
  <c r="I26" i="48"/>
  <c r="I43" i="48"/>
  <c r="E25" i="48"/>
  <c r="E42" i="48" s="1"/>
  <c r="G26" i="47"/>
  <c r="G43" i="47" s="1"/>
  <c r="H26" i="47"/>
  <c r="H43" i="47" s="1"/>
  <c r="E25" i="47"/>
  <c r="E42" i="47" s="1"/>
  <c r="I26" i="47"/>
  <c r="I43" i="47"/>
  <c r="E25" i="46"/>
  <c r="E42" i="46" s="1"/>
  <c r="G26" i="46"/>
  <c r="G43" i="46" s="1"/>
  <c r="I26" i="46"/>
  <c r="I43" i="46"/>
  <c r="O43" i="46" s="1"/>
  <c r="R43" i="46" s="1"/>
  <c r="G41" i="52" s="1"/>
  <c r="H26" i="46"/>
  <c r="H43" i="46" s="1"/>
  <c r="O42" i="46"/>
  <c r="R42" i="46" s="1"/>
  <c r="F41" i="52" s="1"/>
  <c r="G26" i="45"/>
  <c r="G43" i="45" s="1"/>
  <c r="E25" i="45"/>
  <c r="E42" i="45" s="1"/>
  <c r="O42" i="45"/>
  <c r="R42" i="45" s="1"/>
  <c r="F39" i="52" s="1"/>
  <c r="I26" i="45"/>
  <c r="I43" i="45"/>
  <c r="O43" i="45" s="1"/>
  <c r="R43" i="45" s="1"/>
  <c r="G39" i="52" s="1"/>
  <c r="H26" i="45"/>
  <c r="H43" i="45" s="1"/>
  <c r="O42" i="44"/>
  <c r="R42" i="44" s="1"/>
  <c r="F37" i="52" s="1"/>
  <c r="O45" i="44"/>
  <c r="R45" i="44" s="1"/>
  <c r="O41" i="44"/>
  <c r="R41" i="44" s="1"/>
  <c r="O43" i="44"/>
  <c r="R43" i="44" s="1"/>
  <c r="O44" i="44"/>
  <c r="R44" i="44" s="1"/>
  <c r="H37" i="52" s="1"/>
  <c r="H26" i="43"/>
  <c r="H43" i="43" s="1"/>
  <c r="G26" i="43"/>
  <c r="G43" i="43" s="1"/>
  <c r="E25" i="43"/>
  <c r="E42" i="43" s="1"/>
  <c r="I26" i="43"/>
  <c r="I43" i="43"/>
  <c r="O43" i="43" s="1"/>
  <c r="R43" i="43" s="1"/>
  <c r="G35" i="52" s="1"/>
  <c r="O42" i="43"/>
  <c r="R42" i="43" s="1"/>
  <c r="F35" i="52" s="1"/>
  <c r="I26" i="42"/>
  <c r="I43" i="42"/>
  <c r="O43" i="42" s="1"/>
  <c r="R43" i="42" s="1"/>
  <c r="S44" i="42" s="1"/>
  <c r="T45" i="42" s="1"/>
  <c r="U46" i="42" s="1"/>
  <c r="V47" i="42" s="1"/>
  <c r="W48" i="42" s="1"/>
  <c r="G26" i="41"/>
  <c r="G43" i="41" s="1"/>
  <c r="E25" i="41"/>
  <c r="E42" i="41" s="1"/>
  <c r="I26" i="41"/>
  <c r="I43" i="41"/>
  <c r="O43" i="41" s="1"/>
  <c r="R43" i="41" s="1"/>
  <c r="G31" i="52" s="1"/>
  <c r="H26" i="41"/>
  <c r="H43" i="41" s="1"/>
  <c r="I26" i="39"/>
  <c r="I43" i="39"/>
  <c r="O43" i="39" s="1"/>
  <c r="R43" i="39" s="1"/>
  <c r="G27" i="52" s="1"/>
  <c r="F26" i="39"/>
  <c r="F43" i="39" s="1"/>
  <c r="G26" i="39"/>
  <c r="G43" i="39" s="1"/>
  <c r="H26" i="39"/>
  <c r="H43" i="39" s="1"/>
  <c r="O42" i="39"/>
  <c r="R42" i="39" s="1"/>
  <c r="E25" i="37"/>
  <c r="E42" i="37" s="1"/>
  <c r="O41" i="37"/>
  <c r="R41" i="37" s="1"/>
  <c r="E17" i="52" s="1"/>
  <c r="G26" i="37"/>
  <c r="G43" i="37" s="1"/>
  <c r="H26" i="37"/>
  <c r="H43" i="37" s="1"/>
  <c r="I26" i="37"/>
  <c r="I43" i="37"/>
  <c r="O43" i="37" s="1"/>
  <c r="R43" i="37" s="1"/>
  <c r="O42" i="37"/>
  <c r="R42" i="37" s="1"/>
  <c r="F17" i="52" s="1"/>
  <c r="I26" i="38"/>
  <c r="I43" i="38"/>
  <c r="H26" i="38"/>
  <c r="H43" i="38" s="1"/>
  <c r="E25" i="38"/>
  <c r="E42" i="38" s="1"/>
  <c r="G26" i="38"/>
  <c r="G43" i="38" s="1"/>
  <c r="T42" i="45"/>
  <c r="U43" i="45" s="1"/>
  <c r="V44" i="45" s="1"/>
  <c r="W45" i="45" s="1"/>
  <c r="T42" i="43"/>
  <c r="U43" i="43" s="1"/>
  <c r="V44" i="43" s="1"/>
  <c r="W45" i="43" s="1"/>
  <c r="O41" i="38"/>
  <c r="V43" i="44"/>
  <c r="E25" i="42"/>
  <c r="E42" i="42" s="1"/>
  <c r="H26" i="42"/>
  <c r="H43" i="42" s="1"/>
  <c r="G26" i="42"/>
  <c r="G43" i="42" s="1"/>
  <c r="T42" i="42"/>
  <c r="U43" i="42" s="1"/>
  <c r="V44" i="42" s="1"/>
  <c r="W45" i="42" s="1"/>
  <c r="R46" i="44"/>
  <c r="J37" i="52" s="1"/>
  <c r="R41" i="41"/>
  <c r="E31" i="52" s="1"/>
  <c r="R41" i="39"/>
  <c r="E27" i="52" s="1"/>
  <c r="R41" i="43"/>
  <c r="E35" i="52" s="1"/>
  <c r="R41" i="45"/>
  <c r="E39" i="52" s="1"/>
  <c r="R41" i="46"/>
  <c r="E41" i="52" s="1"/>
  <c r="S43" i="42"/>
  <c r="T44" i="42" s="1"/>
  <c r="U45" i="42" s="1"/>
  <c r="V46" i="42" s="1"/>
  <c r="W47" i="42" s="1"/>
  <c r="F33" i="52"/>
  <c r="E33" i="52"/>
  <c r="S42" i="42"/>
  <c r="T43" i="42" s="1"/>
  <c r="U44" i="42" s="1"/>
  <c r="V45" i="42" s="1"/>
  <c r="W46" i="42" s="1"/>
  <c r="T42" i="47" l="1"/>
  <c r="U43" i="47" s="1"/>
  <c r="V44" i="47" s="1"/>
  <c r="W45" i="47" s="1"/>
  <c r="T42" i="49"/>
  <c r="T42" i="50"/>
  <c r="U43" i="50" s="1"/>
  <c r="V44" i="50" s="1"/>
  <c r="W45" i="50" s="1"/>
  <c r="M42" i="48"/>
  <c r="O41" i="48"/>
  <c r="R41" i="48" s="1"/>
  <c r="E45" i="52" s="1"/>
  <c r="M42" i="49"/>
  <c r="O41" i="49"/>
  <c r="R41" i="49" s="1"/>
  <c r="E47" i="52" s="1"/>
  <c r="M42" i="47"/>
  <c r="O41" i="47"/>
  <c r="R41" i="47" s="1"/>
  <c r="E43" i="52" s="1"/>
  <c r="E49" i="52"/>
  <c r="S42" i="50"/>
  <c r="T43" i="50" s="1"/>
  <c r="U44" i="50" s="1"/>
  <c r="V45" i="50" s="1"/>
  <c r="W46" i="50" s="1"/>
  <c r="S43" i="45"/>
  <c r="T44" i="45" s="1"/>
  <c r="U45" i="45" s="1"/>
  <c r="V46" i="45" s="1"/>
  <c r="W47" i="45" s="1"/>
  <c r="S44" i="45"/>
  <c r="T45" i="45" s="1"/>
  <c r="U46" i="45" s="1"/>
  <c r="V47" i="45" s="1"/>
  <c r="W48" i="45" s="1"/>
  <c r="I37" i="52"/>
  <c r="S46" i="44"/>
  <c r="T47" i="44" s="1"/>
  <c r="U48" i="44" s="1"/>
  <c r="V49" i="44" s="1"/>
  <c r="W50" i="44" s="1"/>
  <c r="S44" i="39"/>
  <c r="T45" i="39" s="1"/>
  <c r="U46" i="39" s="1"/>
  <c r="V47" i="39" s="1"/>
  <c r="W48" i="39" s="1"/>
  <c r="I27" i="50"/>
  <c r="I44" i="50"/>
  <c r="O44" i="50" s="1"/>
  <c r="R44" i="50" s="1"/>
  <c r="H49" i="52" s="1"/>
  <c r="H27" i="50"/>
  <c r="H44" i="50" s="1"/>
  <c r="F26" i="50"/>
  <c r="F43" i="50" s="1"/>
  <c r="F26" i="49"/>
  <c r="F43" i="49" s="1"/>
  <c r="H26" i="49"/>
  <c r="H43" i="49" s="1"/>
  <c r="H27" i="49"/>
  <c r="H44" i="49" s="1"/>
  <c r="F26" i="48"/>
  <c r="F43" i="48" s="1"/>
  <c r="H27" i="48"/>
  <c r="H44" i="48" s="1"/>
  <c r="I27" i="48"/>
  <c r="I44" i="48"/>
  <c r="H27" i="47"/>
  <c r="H44" i="47" s="1"/>
  <c r="I27" i="47"/>
  <c r="I44" i="47"/>
  <c r="F26" i="47"/>
  <c r="F43" i="47" s="1"/>
  <c r="T42" i="46"/>
  <c r="U43" i="46" s="1"/>
  <c r="V44" i="46" s="1"/>
  <c r="W45" i="46" s="1"/>
  <c r="F26" i="46"/>
  <c r="F43" i="46" s="1"/>
  <c r="H27" i="46"/>
  <c r="H44" i="46" s="1"/>
  <c r="I27" i="46"/>
  <c r="I44" i="46"/>
  <c r="O44" i="46" s="1"/>
  <c r="R44" i="46" s="1"/>
  <c r="H41" i="52" s="1"/>
  <c r="S44" i="46"/>
  <c r="T45" i="46" s="1"/>
  <c r="U46" i="46" s="1"/>
  <c r="V47" i="46" s="1"/>
  <c r="W48" i="46" s="1"/>
  <c r="I27" i="45"/>
  <c r="I44" i="45"/>
  <c r="O44" i="45" s="1"/>
  <c r="R44" i="45" s="1"/>
  <c r="H39" i="52" s="1"/>
  <c r="H27" i="45"/>
  <c r="H44" i="45" s="1"/>
  <c r="F26" i="45"/>
  <c r="F43" i="45" s="1"/>
  <c r="S44" i="44"/>
  <c r="T45" i="44" s="1"/>
  <c r="U46" i="44" s="1"/>
  <c r="V47" i="44" s="1"/>
  <c r="W48" i="44" s="1"/>
  <c r="G37" i="52"/>
  <c r="E37" i="52"/>
  <c r="S42" i="44"/>
  <c r="T43" i="44" s="1"/>
  <c r="U44" i="44" s="1"/>
  <c r="V45" i="44" s="1"/>
  <c r="W46" i="44" s="1"/>
  <c r="I27" i="43"/>
  <c r="I44" i="43"/>
  <c r="O44" i="43" s="1"/>
  <c r="R44" i="43" s="1"/>
  <c r="H35" i="52" s="1"/>
  <c r="F26" i="43"/>
  <c r="F43" i="43" s="1"/>
  <c r="H27" i="43"/>
  <c r="H44" i="43" s="1"/>
  <c r="I27" i="42"/>
  <c r="I44" i="42"/>
  <c r="O44" i="42" s="1"/>
  <c r="H27" i="41"/>
  <c r="H44" i="41" s="1"/>
  <c r="I27" i="41"/>
  <c r="I44" i="41"/>
  <c r="O44" i="41" s="1"/>
  <c r="R44" i="41" s="1"/>
  <c r="H31" i="52" s="1"/>
  <c r="F26" i="41"/>
  <c r="F43" i="41" s="1"/>
  <c r="T42" i="41"/>
  <c r="U43" i="41" s="1"/>
  <c r="V44" i="41" s="1"/>
  <c r="W45" i="41" s="1"/>
  <c r="F27" i="52"/>
  <c r="S43" i="39"/>
  <c r="T44" i="39" s="1"/>
  <c r="U45" i="39" s="1"/>
  <c r="V46" i="39" s="1"/>
  <c r="W47" i="39" s="1"/>
  <c r="I27" i="39"/>
  <c r="I44" i="39"/>
  <c r="O44" i="39" s="1"/>
  <c r="R44" i="39" s="1"/>
  <c r="H27" i="52" s="1"/>
  <c r="G27" i="39"/>
  <c r="G44" i="39" s="1"/>
  <c r="H27" i="39"/>
  <c r="H44" i="39" s="1"/>
  <c r="G17" i="52"/>
  <c r="S44" i="37"/>
  <c r="T45" i="37" s="1"/>
  <c r="U46" i="37" s="1"/>
  <c r="V47" i="37" s="1"/>
  <c r="W48" i="37" s="1"/>
  <c r="F26" i="37"/>
  <c r="F43" i="37" s="1"/>
  <c r="H27" i="37"/>
  <c r="H44" i="37" s="1"/>
  <c r="S42" i="37"/>
  <c r="T43" i="37" s="1"/>
  <c r="U44" i="37" s="1"/>
  <c r="V45" i="37" s="1"/>
  <c r="W46" i="37" s="1"/>
  <c r="T42" i="37"/>
  <c r="U43" i="37" s="1"/>
  <c r="V44" i="37" s="1"/>
  <c r="W45" i="37" s="1"/>
  <c r="I27" i="37"/>
  <c r="I44" i="37"/>
  <c r="O44" i="37" s="1"/>
  <c r="R44" i="37" s="1"/>
  <c r="H17" i="52" s="1"/>
  <c r="F26" i="38"/>
  <c r="F43" i="38" s="1"/>
  <c r="H27" i="38"/>
  <c r="H44" i="38" s="1"/>
  <c r="I27" i="38"/>
  <c r="I44" i="38"/>
  <c r="M42" i="38"/>
  <c r="O42" i="38" s="1"/>
  <c r="R41" i="38"/>
  <c r="E25" i="52" s="1"/>
  <c r="W44" i="44"/>
  <c r="G33" i="52"/>
  <c r="X41" i="45"/>
  <c r="E40" i="52" s="1"/>
  <c r="H27" i="42"/>
  <c r="H44" i="42" s="1"/>
  <c r="F26" i="42"/>
  <c r="F43" i="42" s="1"/>
  <c r="S44" i="43"/>
  <c r="T45" i="43" s="1"/>
  <c r="U46" i="43" s="1"/>
  <c r="V47" i="43" s="1"/>
  <c r="W48" i="43" s="1"/>
  <c r="X41" i="42"/>
  <c r="E34" i="52" s="1"/>
  <c r="S42" i="39"/>
  <c r="T43" i="39" s="1"/>
  <c r="U44" i="39" s="1"/>
  <c r="V45" i="39" s="1"/>
  <c r="W46" i="39" s="1"/>
  <c r="S43" i="46"/>
  <c r="T44" i="46" s="1"/>
  <c r="U45" i="46" s="1"/>
  <c r="V46" i="46" s="1"/>
  <c r="W47" i="46" s="1"/>
  <c r="X41" i="43"/>
  <c r="E36" i="52" s="1"/>
  <c r="S44" i="41"/>
  <c r="T45" i="41" s="1"/>
  <c r="U46" i="41" s="1"/>
  <c r="V47" i="41" s="1"/>
  <c r="W48" i="41" s="1"/>
  <c r="X42" i="42"/>
  <c r="F34" i="52" s="1"/>
  <c r="S47" i="44"/>
  <c r="T48" i="44" s="1"/>
  <c r="U49" i="44" s="1"/>
  <c r="V50" i="44" s="1"/>
  <c r="W51" i="44" s="1"/>
  <c r="S43" i="43"/>
  <c r="T44" i="43" s="1"/>
  <c r="U45" i="43" s="1"/>
  <c r="V46" i="43" s="1"/>
  <c r="W47" i="43" s="1"/>
  <c r="S42" i="41"/>
  <c r="T43" i="41" s="1"/>
  <c r="U44" i="41" s="1"/>
  <c r="V45" i="41" s="1"/>
  <c r="W46" i="41" s="1"/>
  <c r="T42" i="39"/>
  <c r="U43" i="39" s="1"/>
  <c r="V44" i="39" s="1"/>
  <c r="W45" i="39" s="1"/>
  <c r="X41" i="39"/>
  <c r="E28" i="52" s="1"/>
  <c r="T42" i="48"/>
  <c r="U43" i="48" s="1"/>
  <c r="S42" i="46"/>
  <c r="T43" i="46" s="1"/>
  <c r="U44" i="46" s="1"/>
  <c r="V45" i="46" s="1"/>
  <c r="W46" i="46" s="1"/>
  <c r="S43" i="44"/>
  <c r="S43" i="41"/>
  <c r="S43" i="50"/>
  <c r="S42" i="45"/>
  <c r="S42" i="43"/>
  <c r="T43" i="43" s="1"/>
  <c r="S43" i="37"/>
  <c r="S45" i="44"/>
  <c r="T46" i="44" s="1"/>
  <c r="U47" i="44" s="1"/>
  <c r="V48" i="44" s="1"/>
  <c r="W49" i="44" s="1"/>
  <c r="S44" i="50"/>
  <c r="X43" i="42"/>
  <c r="G34" i="52" s="1"/>
  <c r="X41" i="50" l="1"/>
  <c r="E50" i="52" s="1"/>
  <c r="S42" i="48"/>
  <c r="T43" i="48" s="1"/>
  <c r="U44" i="48" s="1"/>
  <c r="V45" i="48" s="1"/>
  <c r="W46" i="48" s="1"/>
  <c r="X41" i="37"/>
  <c r="E18" i="52" s="1"/>
  <c r="X41" i="49"/>
  <c r="E48" i="52" s="1"/>
  <c r="S42" i="49"/>
  <c r="T43" i="49" s="1"/>
  <c r="U44" i="49" s="1"/>
  <c r="X41" i="48"/>
  <c r="E46" i="52" s="1"/>
  <c r="X41" i="47"/>
  <c r="E44" i="52" s="1"/>
  <c r="X42" i="50"/>
  <c r="F50" i="52" s="1"/>
  <c r="M43" i="48"/>
  <c r="O42" i="48"/>
  <c r="R42" i="48" s="1"/>
  <c r="X42" i="48" s="1"/>
  <c r="F46" i="52" s="1"/>
  <c r="M43" i="49"/>
  <c r="O42" i="49"/>
  <c r="R42" i="49" s="1"/>
  <c r="X41" i="41"/>
  <c r="E32" i="52" s="1"/>
  <c r="X42" i="37"/>
  <c r="F18" i="52" s="1"/>
  <c r="M43" i="47"/>
  <c r="O42" i="47"/>
  <c r="R42" i="47" s="1"/>
  <c r="S42" i="47"/>
  <c r="T43" i="47" s="1"/>
  <c r="U44" i="47" s="1"/>
  <c r="V45" i="47" s="1"/>
  <c r="W46" i="47" s="1"/>
  <c r="S45" i="50"/>
  <c r="T46" i="50" s="1"/>
  <c r="U47" i="50" s="1"/>
  <c r="V48" i="50" s="1"/>
  <c r="W49" i="50" s="1"/>
  <c r="S45" i="46"/>
  <c r="T46" i="46" s="1"/>
  <c r="U47" i="46" s="1"/>
  <c r="V48" i="46" s="1"/>
  <c r="W49" i="46" s="1"/>
  <c r="S45" i="41"/>
  <c r="T46" i="41" s="1"/>
  <c r="U47" i="41" s="1"/>
  <c r="V48" i="41" s="1"/>
  <c r="W49" i="41" s="1"/>
  <c r="S45" i="39"/>
  <c r="T46" i="39" s="1"/>
  <c r="U47" i="39" s="1"/>
  <c r="V48" i="39" s="1"/>
  <c r="W49" i="39" s="1"/>
  <c r="I28" i="50"/>
  <c r="I45" i="50"/>
  <c r="O45" i="50" s="1"/>
  <c r="R45" i="50" s="1"/>
  <c r="G27" i="50"/>
  <c r="G44" i="50" s="1"/>
  <c r="I28" i="49"/>
  <c r="I45" i="49"/>
  <c r="G27" i="49"/>
  <c r="G44" i="49" s="1"/>
  <c r="I27" i="49"/>
  <c r="I44" i="49"/>
  <c r="G27" i="48"/>
  <c r="G44" i="48" s="1"/>
  <c r="I28" i="48"/>
  <c r="I45" i="48"/>
  <c r="G27" i="47"/>
  <c r="G44" i="47" s="1"/>
  <c r="I28" i="47"/>
  <c r="I45" i="47"/>
  <c r="I28" i="46"/>
  <c r="I45" i="46"/>
  <c r="O45" i="46" s="1"/>
  <c r="R45" i="46" s="1"/>
  <c r="G27" i="46"/>
  <c r="G44" i="46" s="1"/>
  <c r="X41" i="46"/>
  <c r="E42" i="52" s="1"/>
  <c r="G27" i="45"/>
  <c r="G44" i="45" s="1"/>
  <c r="S45" i="45"/>
  <c r="T46" i="45" s="1"/>
  <c r="U47" i="45" s="1"/>
  <c r="V48" i="45" s="1"/>
  <c r="W49" i="45" s="1"/>
  <c r="I28" i="45"/>
  <c r="I45" i="45"/>
  <c r="O45" i="45" s="1"/>
  <c r="R45" i="45" s="1"/>
  <c r="G27" i="43"/>
  <c r="G44" i="43" s="1"/>
  <c r="S45" i="43"/>
  <c r="T46" i="43" s="1"/>
  <c r="I28" i="43"/>
  <c r="I45" i="43"/>
  <c r="O45" i="43" s="1"/>
  <c r="R45" i="43" s="1"/>
  <c r="R44" i="42"/>
  <c r="I28" i="42"/>
  <c r="I45" i="42"/>
  <c r="O45" i="42" s="1"/>
  <c r="G27" i="41"/>
  <c r="G44" i="41" s="1"/>
  <c r="I28" i="41"/>
  <c r="I45" i="41"/>
  <c r="O45" i="41" s="1"/>
  <c r="R45" i="41" s="1"/>
  <c r="H28" i="39"/>
  <c r="H45" i="39" s="1"/>
  <c r="I28" i="39"/>
  <c r="I45" i="39"/>
  <c r="O45" i="39" s="1"/>
  <c r="R45" i="39" s="1"/>
  <c r="I28" i="37"/>
  <c r="I45" i="37"/>
  <c r="O45" i="37" s="1"/>
  <c r="R45" i="37" s="1"/>
  <c r="G27" i="37"/>
  <c r="G44" i="37" s="1"/>
  <c r="S45" i="37"/>
  <c r="T46" i="37" s="1"/>
  <c r="U47" i="37" s="1"/>
  <c r="V48" i="37" s="1"/>
  <c r="W49" i="37" s="1"/>
  <c r="I28" i="38"/>
  <c r="I45" i="38"/>
  <c r="G27" i="38"/>
  <c r="G44" i="38" s="1"/>
  <c r="S42" i="38"/>
  <c r="T43" i="38" s="1"/>
  <c r="M43" i="38"/>
  <c r="O43" i="38" s="1"/>
  <c r="R42" i="38"/>
  <c r="X42" i="46"/>
  <c r="F42" i="52" s="1"/>
  <c r="G27" i="42"/>
  <c r="G44" i="42" s="1"/>
  <c r="X44" i="46"/>
  <c r="H42" i="52" s="1"/>
  <c r="X43" i="46"/>
  <c r="G42" i="52" s="1"/>
  <c r="X42" i="41"/>
  <c r="F32" i="52" s="1"/>
  <c r="X44" i="39"/>
  <c r="H28" i="52" s="1"/>
  <c r="X42" i="39"/>
  <c r="F28" i="52" s="1"/>
  <c r="U43" i="49"/>
  <c r="V44" i="48"/>
  <c r="T42" i="38"/>
  <c r="U43" i="38" s="1"/>
  <c r="V44" i="38" s="1"/>
  <c r="W45" i="38" s="1"/>
  <c r="X41" i="38"/>
  <c r="E26" i="52" s="1"/>
  <c r="T44" i="44"/>
  <c r="T42" i="44"/>
  <c r="X41" i="44"/>
  <c r="E38" i="52" s="1"/>
  <c r="T44" i="37"/>
  <c r="X43" i="37"/>
  <c r="G18" i="52" s="1"/>
  <c r="U44" i="43"/>
  <c r="X43" i="43"/>
  <c r="G36" i="52" s="1"/>
  <c r="T44" i="50"/>
  <c r="U45" i="50" s="1"/>
  <c r="V46" i="50" s="1"/>
  <c r="W47" i="50" s="1"/>
  <c r="X43" i="50"/>
  <c r="G50" i="52" s="1"/>
  <c r="X43" i="39"/>
  <c r="G28" i="52" s="1"/>
  <c r="X42" i="43"/>
  <c r="F36" i="52" s="1"/>
  <c r="T43" i="45"/>
  <c r="X42" i="45"/>
  <c r="F40" i="52" s="1"/>
  <c r="T45" i="50"/>
  <c r="T44" i="41"/>
  <c r="X43" i="41"/>
  <c r="G32" i="52" s="1"/>
  <c r="X45" i="39" l="1"/>
  <c r="I28" i="52" s="1"/>
  <c r="X42" i="47"/>
  <c r="F44" i="52" s="1"/>
  <c r="X42" i="49"/>
  <c r="F48" i="52" s="1"/>
  <c r="X45" i="46"/>
  <c r="I42" i="52" s="1"/>
  <c r="M44" i="47"/>
  <c r="O43" i="47"/>
  <c r="R43" i="47" s="1"/>
  <c r="M44" i="48"/>
  <c r="O43" i="48"/>
  <c r="R43" i="48" s="1"/>
  <c r="F43" i="52"/>
  <c r="S43" i="47"/>
  <c r="T44" i="47" s="1"/>
  <c r="U45" i="47" s="1"/>
  <c r="V46" i="47" s="1"/>
  <c r="W47" i="47" s="1"/>
  <c r="F45" i="52"/>
  <c r="S43" i="48"/>
  <c r="T44" i="48" s="1"/>
  <c r="U45" i="48" s="1"/>
  <c r="V46" i="48" s="1"/>
  <c r="W47" i="48" s="1"/>
  <c r="R45" i="42"/>
  <c r="S46" i="42" s="1"/>
  <c r="T47" i="42" s="1"/>
  <c r="U48" i="42" s="1"/>
  <c r="V49" i="42" s="1"/>
  <c r="W50" i="42" s="1"/>
  <c r="M44" i="49"/>
  <c r="M45" i="49" s="1"/>
  <c r="M46" i="49" s="1"/>
  <c r="M47" i="49" s="1"/>
  <c r="M48" i="49" s="1"/>
  <c r="M49" i="49" s="1"/>
  <c r="M50" i="49" s="1"/>
  <c r="M51" i="49" s="1"/>
  <c r="M52" i="49" s="1"/>
  <c r="M53" i="49" s="1"/>
  <c r="O43" i="49"/>
  <c r="R43" i="49" s="1"/>
  <c r="F47" i="52"/>
  <c r="S43" i="49"/>
  <c r="T44" i="49" s="1"/>
  <c r="U45" i="49" s="1"/>
  <c r="V46" i="49" s="1"/>
  <c r="O44" i="49"/>
  <c r="R44" i="49" s="1"/>
  <c r="H47" i="52" s="1"/>
  <c r="I49" i="52"/>
  <c r="S46" i="50"/>
  <c r="T47" i="50" s="1"/>
  <c r="U48" i="50" s="1"/>
  <c r="V49" i="50" s="1"/>
  <c r="W50" i="50" s="1"/>
  <c r="H28" i="50"/>
  <c r="H45" i="50" s="1"/>
  <c r="H28" i="49"/>
  <c r="H45" i="49" s="1"/>
  <c r="H28" i="48"/>
  <c r="H45" i="48" s="1"/>
  <c r="H28" i="47"/>
  <c r="H45" i="47" s="1"/>
  <c r="H28" i="46"/>
  <c r="H45" i="46" s="1"/>
  <c r="I41" i="52"/>
  <c r="S46" i="46"/>
  <c r="T47" i="46" s="1"/>
  <c r="U48" i="46" s="1"/>
  <c r="V49" i="46" s="1"/>
  <c r="W50" i="46" s="1"/>
  <c r="I39" i="52"/>
  <c r="S46" i="45"/>
  <c r="T47" i="45" s="1"/>
  <c r="U48" i="45" s="1"/>
  <c r="V49" i="45" s="1"/>
  <c r="W50" i="45" s="1"/>
  <c r="H28" i="45"/>
  <c r="H45" i="45" s="1"/>
  <c r="I35" i="52"/>
  <c r="S46" i="43"/>
  <c r="T47" i="43" s="1"/>
  <c r="U48" i="43" s="1"/>
  <c r="V49" i="43" s="1"/>
  <c r="W50" i="43" s="1"/>
  <c r="H28" i="43"/>
  <c r="H45" i="43" s="1"/>
  <c r="X44" i="42"/>
  <c r="H34" i="52" s="1"/>
  <c r="H33" i="52"/>
  <c r="S45" i="42"/>
  <c r="T46" i="42" s="1"/>
  <c r="U47" i="42" s="1"/>
  <c r="V48" i="42" s="1"/>
  <c r="W49" i="42" s="1"/>
  <c r="H28" i="41"/>
  <c r="H45" i="41" s="1"/>
  <c r="I31" i="52"/>
  <c r="S46" i="41"/>
  <c r="T47" i="41" s="1"/>
  <c r="U48" i="41" s="1"/>
  <c r="I29" i="39"/>
  <c r="I46" i="39"/>
  <c r="O46" i="39" s="1"/>
  <c r="R46" i="39" s="1"/>
  <c r="I27" i="52"/>
  <c r="S46" i="39"/>
  <c r="T47" i="39" s="1"/>
  <c r="U48" i="39" s="1"/>
  <c r="V49" i="39" s="1"/>
  <c r="W50" i="39" s="1"/>
  <c r="I17" i="52"/>
  <c r="S46" i="37"/>
  <c r="T47" i="37" s="1"/>
  <c r="U48" i="37" s="1"/>
  <c r="V49" i="37" s="1"/>
  <c r="W50" i="37" s="1"/>
  <c r="H28" i="37"/>
  <c r="H45" i="37" s="1"/>
  <c r="H28" i="38"/>
  <c r="H45" i="38" s="1"/>
  <c r="M44" i="38"/>
  <c r="O44" i="38" s="1"/>
  <c r="R43" i="38"/>
  <c r="F25" i="52"/>
  <c r="S43" i="38"/>
  <c r="T44" i="38" s="1"/>
  <c r="U45" i="38" s="1"/>
  <c r="V46" i="38" s="1"/>
  <c r="H28" i="42"/>
  <c r="H45" i="42" s="1"/>
  <c r="X42" i="38"/>
  <c r="F26" i="52" s="1"/>
  <c r="V44" i="49"/>
  <c r="V45" i="49"/>
  <c r="U45" i="41"/>
  <c r="X44" i="41"/>
  <c r="H32" i="52" s="1"/>
  <c r="U46" i="50"/>
  <c r="X45" i="50"/>
  <c r="I50" i="52" s="1"/>
  <c r="V45" i="43"/>
  <c r="X44" i="43"/>
  <c r="H36" i="52" s="1"/>
  <c r="U44" i="38"/>
  <c r="U45" i="44"/>
  <c r="W45" i="48"/>
  <c r="U44" i="45"/>
  <c r="X43" i="45"/>
  <c r="G40" i="52" s="1"/>
  <c r="U47" i="43"/>
  <c r="U45" i="37"/>
  <c r="X44" i="37"/>
  <c r="H18" i="52" s="1"/>
  <c r="U43" i="44"/>
  <c r="X42" i="44"/>
  <c r="F38" i="52" s="1"/>
  <c r="X44" i="50"/>
  <c r="H50" i="52" s="1"/>
  <c r="O45" i="49" l="1"/>
  <c r="R45" i="49" s="1"/>
  <c r="S46" i="49" s="1"/>
  <c r="T47" i="49" s="1"/>
  <c r="U48" i="49" s="1"/>
  <c r="V49" i="49" s="1"/>
  <c r="W50" i="49" s="1"/>
  <c r="X43" i="49"/>
  <c r="G48" i="52" s="1"/>
  <c r="I33" i="52"/>
  <c r="M45" i="47"/>
  <c r="O44" i="47"/>
  <c r="R44" i="47" s="1"/>
  <c r="G43" i="52"/>
  <c r="S44" i="47"/>
  <c r="T45" i="47" s="1"/>
  <c r="U46" i="47" s="1"/>
  <c r="V47" i="47" s="1"/>
  <c r="W48" i="47" s="1"/>
  <c r="X43" i="47"/>
  <c r="G44" i="52" s="1"/>
  <c r="S45" i="49"/>
  <c r="T46" i="49" s="1"/>
  <c r="U47" i="49" s="1"/>
  <c r="V48" i="49" s="1"/>
  <c r="W49" i="49" s="1"/>
  <c r="M45" i="48"/>
  <c r="O44" i="48"/>
  <c r="R44" i="48" s="1"/>
  <c r="G47" i="52"/>
  <c r="S44" i="49"/>
  <c r="T45" i="49" s="1"/>
  <c r="U46" i="49" s="1"/>
  <c r="V47" i="49" s="1"/>
  <c r="W48" i="49" s="1"/>
  <c r="G45" i="52"/>
  <c r="S44" i="48"/>
  <c r="T45" i="48" s="1"/>
  <c r="U46" i="48" s="1"/>
  <c r="V47" i="48" s="1"/>
  <c r="W48" i="48" s="1"/>
  <c r="X43" i="48"/>
  <c r="G46" i="52" s="1"/>
  <c r="I29" i="50"/>
  <c r="I46" i="50"/>
  <c r="O46" i="50" s="1"/>
  <c r="R46" i="50" s="1"/>
  <c r="I29" i="49"/>
  <c r="I46" i="49"/>
  <c r="O46" i="49" s="1"/>
  <c r="R46" i="49" s="1"/>
  <c r="I29" i="48"/>
  <c r="I46" i="48"/>
  <c r="I29" i="47"/>
  <c r="I46" i="47"/>
  <c r="I29" i="46"/>
  <c r="I46" i="46"/>
  <c r="O46" i="46" s="1"/>
  <c r="R46" i="46" s="1"/>
  <c r="I29" i="45"/>
  <c r="I46" i="45"/>
  <c r="O46" i="45" s="1"/>
  <c r="R46" i="45" s="1"/>
  <c r="I29" i="43"/>
  <c r="I46" i="43"/>
  <c r="O46" i="43" s="1"/>
  <c r="R46" i="43" s="1"/>
  <c r="I29" i="42"/>
  <c r="I46" i="42"/>
  <c r="O46" i="42" s="1"/>
  <c r="X45" i="42"/>
  <c r="I34" i="52" s="1"/>
  <c r="I29" i="41"/>
  <c r="I46" i="41"/>
  <c r="O46" i="41" s="1"/>
  <c r="R46" i="41" s="1"/>
  <c r="J27" i="52"/>
  <c r="S47" i="39"/>
  <c r="T48" i="39" s="1"/>
  <c r="U49" i="39" s="1"/>
  <c r="V50" i="39" s="1"/>
  <c r="W51" i="39" s="1"/>
  <c r="X46" i="39"/>
  <c r="J28" i="52" s="1"/>
  <c r="I29" i="37"/>
  <c r="I46" i="37"/>
  <c r="O46" i="37" s="1"/>
  <c r="R46" i="37" s="1"/>
  <c r="I29" i="38"/>
  <c r="I46" i="38"/>
  <c r="X43" i="38"/>
  <c r="G26" i="52" s="1"/>
  <c r="M45" i="38"/>
  <c r="O45" i="38" s="1"/>
  <c r="R44" i="38"/>
  <c r="G25" i="52"/>
  <c r="S44" i="38"/>
  <c r="T45" i="38" s="1"/>
  <c r="U46" i="38" s="1"/>
  <c r="V47" i="38" s="1"/>
  <c r="W48" i="38" s="1"/>
  <c r="W47" i="49"/>
  <c r="W45" i="49"/>
  <c r="W46" i="49"/>
  <c r="V44" i="44"/>
  <c r="X43" i="44"/>
  <c r="G38" i="52" s="1"/>
  <c r="V45" i="45"/>
  <c r="X44" i="45"/>
  <c r="H40" i="52" s="1"/>
  <c r="V46" i="44"/>
  <c r="V46" i="37"/>
  <c r="X45" i="37"/>
  <c r="I18" i="52" s="1"/>
  <c r="V48" i="43"/>
  <c r="V45" i="38"/>
  <c r="V47" i="50"/>
  <c r="V49" i="41"/>
  <c r="W46" i="43"/>
  <c r="X45" i="43"/>
  <c r="I36" i="52" s="1"/>
  <c r="V46" i="41"/>
  <c r="X45" i="41"/>
  <c r="I32" i="52" s="1"/>
  <c r="W47" i="38"/>
  <c r="X44" i="49" l="1"/>
  <c r="H48" i="52" s="1"/>
  <c r="I47" i="52"/>
  <c r="H45" i="52"/>
  <c r="S45" i="48"/>
  <c r="T46" i="48" s="1"/>
  <c r="U47" i="48" s="1"/>
  <c r="V48" i="48" s="1"/>
  <c r="W49" i="48" s="1"/>
  <c r="X44" i="48"/>
  <c r="H46" i="52" s="1"/>
  <c r="M46" i="47"/>
  <c r="M47" i="47" s="1"/>
  <c r="M48" i="47" s="1"/>
  <c r="M49" i="47" s="1"/>
  <c r="M50" i="47" s="1"/>
  <c r="M51" i="47" s="1"/>
  <c r="M52" i="47" s="1"/>
  <c r="M53" i="47" s="1"/>
  <c r="O45" i="47"/>
  <c r="R45" i="47" s="1"/>
  <c r="H43" i="52"/>
  <c r="S45" i="47"/>
  <c r="T46" i="47" s="1"/>
  <c r="U47" i="47" s="1"/>
  <c r="V48" i="47" s="1"/>
  <c r="W49" i="47" s="1"/>
  <c r="X44" i="47"/>
  <c r="H44" i="52" s="1"/>
  <c r="M46" i="48"/>
  <c r="M47" i="48" s="1"/>
  <c r="M48" i="48" s="1"/>
  <c r="M49" i="48" s="1"/>
  <c r="M50" i="48" s="1"/>
  <c r="M51" i="48" s="1"/>
  <c r="M52" i="48" s="1"/>
  <c r="M53" i="48" s="1"/>
  <c r="O45" i="48"/>
  <c r="R45" i="48" s="1"/>
  <c r="X46" i="43"/>
  <c r="J36" i="52" s="1"/>
  <c r="R46" i="42"/>
  <c r="J49" i="52"/>
  <c r="S47" i="50"/>
  <c r="T48" i="50" s="1"/>
  <c r="U49" i="50" s="1"/>
  <c r="V50" i="50" s="1"/>
  <c r="W51" i="50" s="1"/>
  <c r="X46" i="50"/>
  <c r="J50" i="52" s="1"/>
  <c r="J47" i="52"/>
  <c r="S47" i="49"/>
  <c r="T48" i="49" s="1"/>
  <c r="U49" i="49" s="1"/>
  <c r="V50" i="49" s="1"/>
  <c r="W51" i="49" s="1"/>
  <c r="X46" i="49"/>
  <c r="J48" i="52" s="1"/>
  <c r="J41" i="52"/>
  <c r="S47" i="46"/>
  <c r="T48" i="46" s="1"/>
  <c r="U49" i="46" s="1"/>
  <c r="V50" i="46" s="1"/>
  <c r="W51" i="46" s="1"/>
  <c r="X46" i="46"/>
  <c r="J42" i="52" s="1"/>
  <c r="J39" i="52"/>
  <c r="S47" i="45"/>
  <c r="T48" i="45" s="1"/>
  <c r="U49" i="45" s="1"/>
  <c r="V50" i="45" s="1"/>
  <c r="W51" i="45" s="1"/>
  <c r="J35" i="52"/>
  <c r="S47" i="43"/>
  <c r="T48" i="43" s="1"/>
  <c r="U49" i="43" s="1"/>
  <c r="V50" i="43" s="1"/>
  <c r="W51" i="43" s="1"/>
  <c r="J31" i="52"/>
  <c r="S47" i="41"/>
  <c r="T48" i="41" s="1"/>
  <c r="U49" i="41" s="1"/>
  <c r="V50" i="41" s="1"/>
  <c r="W51" i="41" s="1"/>
  <c r="J17" i="52"/>
  <c r="S47" i="37"/>
  <c r="T48" i="37" s="1"/>
  <c r="U49" i="37" s="1"/>
  <c r="V50" i="37" s="1"/>
  <c r="W51" i="37" s="1"/>
  <c r="X44" i="38"/>
  <c r="H26" i="52" s="1"/>
  <c r="M46" i="38"/>
  <c r="O46" i="38" s="1"/>
  <c r="R45" i="38"/>
  <c r="H25" i="52"/>
  <c r="S45" i="38"/>
  <c r="T46" i="38" s="1"/>
  <c r="U47" i="38" s="1"/>
  <c r="V48" i="38" s="1"/>
  <c r="W49" i="38" s="1"/>
  <c r="X45" i="49"/>
  <c r="I48" i="52" s="1"/>
  <c r="W46" i="38"/>
  <c r="W47" i="44"/>
  <c r="X46" i="44"/>
  <c r="J38" i="52" s="1"/>
  <c r="W50" i="41"/>
  <c r="W48" i="50"/>
  <c r="W49" i="43"/>
  <c r="W46" i="45"/>
  <c r="X46" i="45" s="1"/>
  <c r="J40" i="52" s="1"/>
  <c r="X45" i="45"/>
  <c r="I40" i="52" s="1"/>
  <c r="W47" i="37"/>
  <c r="X46" i="37"/>
  <c r="J18" i="52" s="1"/>
  <c r="W45" i="44"/>
  <c r="X45" i="44" s="1"/>
  <c r="I38" i="52" s="1"/>
  <c r="X44" i="44"/>
  <c r="H38" i="52" s="1"/>
  <c r="W47" i="41"/>
  <c r="X46" i="41"/>
  <c r="J32" i="52" s="1"/>
  <c r="C65" i="36"/>
  <c r="C64" i="36"/>
  <c r="C63" i="36"/>
  <c r="C62" i="36"/>
  <c r="C61" i="36"/>
  <c r="U42" i="36"/>
  <c r="X17" i="36"/>
  <c r="O17" i="36"/>
  <c r="M17" i="36"/>
  <c r="X16" i="36"/>
  <c r="O16" i="36"/>
  <c r="M16" i="36"/>
  <c r="X15" i="36"/>
  <c r="O15" i="36"/>
  <c r="M15" i="36"/>
  <c r="X14" i="36"/>
  <c r="O14" i="36"/>
  <c r="M14" i="36"/>
  <c r="X13" i="36"/>
  <c r="C65" i="35"/>
  <c r="C64" i="35"/>
  <c r="C63" i="35"/>
  <c r="C62" i="35"/>
  <c r="C61" i="35"/>
  <c r="U42" i="35"/>
  <c r="X17" i="35"/>
  <c r="O17" i="35"/>
  <c r="M17" i="35"/>
  <c r="X16" i="35"/>
  <c r="O16" i="35"/>
  <c r="M16" i="35"/>
  <c r="X15" i="35"/>
  <c r="O15" i="35"/>
  <c r="M15" i="35"/>
  <c r="X14" i="35"/>
  <c r="O14" i="35"/>
  <c r="M14" i="35"/>
  <c r="X13" i="35"/>
  <c r="C65" i="34"/>
  <c r="C64" i="34"/>
  <c r="C63" i="34"/>
  <c r="C62" i="34"/>
  <c r="C61" i="34"/>
  <c r="U42" i="34"/>
  <c r="X17" i="34"/>
  <c r="O17" i="34"/>
  <c r="M17" i="34"/>
  <c r="X16" i="34"/>
  <c r="O16" i="34"/>
  <c r="M16" i="34"/>
  <c r="K20" i="34" s="1"/>
  <c r="M41" i="34" s="1"/>
  <c r="X15" i="34"/>
  <c r="O15" i="34"/>
  <c r="M15" i="34"/>
  <c r="X14" i="34"/>
  <c r="O14" i="34"/>
  <c r="M14" i="34"/>
  <c r="X13" i="34"/>
  <c r="C65" i="33"/>
  <c r="C64" i="33"/>
  <c r="C63" i="33"/>
  <c r="C62" i="33"/>
  <c r="C61" i="33"/>
  <c r="U42" i="33"/>
  <c r="X17" i="33"/>
  <c r="O17" i="33"/>
  <c r="M17" i="33"/>
  <c r="X16" i="33"/>
  <c r="O16" i="33"/>
  <c r="M16" i="33"/>
  <c r="X15" i="33"/>
  <c r="O15" i="33"/>
  <c r="M15" i="33"/>
  <c r="X14" i="33"/>
  <c r="O14" i="33"/>
  <c r="M14" i="33"/>
  <c r="X13" i="33"/>
  <c r="C65" i="32"/>
  <c r="C64" i="32"/>
  <c r="C63" i="32"/>
  <c r="C62" i="32"/>
  <c r="C61" i="32"/>
  <c r="X17" i="32"/>
  <c r="M17" i="32"/>
  <c r="X16" i="32"/>
  <c r="M16" i="32"/>
  <c r="X15" i="32"/>
  <c r="M15" i="32"/>
  <c r="X14" i="32"/>
  <c r="M14" i="32"/>
  <c r="X13" i="32"/>
  <c r="C65" i="29"/>
  <c r="C64" i="29"/>
  <c r="C63" i="29"/>
  <c r="C62" i="29"/>
  <c r="C61" i="29"/>
  <c r="C65" i="30"/>
  <c r="C64" i="30"/>
  <c r="C63" i="30"/>
  <c r="C62" i="30"/>
  <c r="C61" i="30"/>
  <c r="C65" i="11"/>
  <c r="C64" i="11"/>
  <c r="C63" i="11"/>
  <c r="C62" i="11"/>
  <c r="C61" i="11"/>
  <c r="C65" i="28"/>
  <c r="C64" i="28"/>
  <c r="C63" i="28"/>
  <c r="C62" i="28"/>
  <c r="C61" i="28"/>
  <c r="C61" i="31"/>
  <c r="C62" i="31"/>
  <c r="C63" i="31"/>
  <c r="C64" i="31"/>
  <c r="C65" i="31"/>
  <c r="M42" i="34" l="1"/>
  <c r="M43" i="34" s="1"/>
  <c r="M44" i="34" s="1"/>
  <c r="M45" i="34" s="1"/>
  <c r="M46" i="34" s="1"/>
  <c r="M47" i="34" s="1"/>
  <c r="M48" i="34" s="1"/>
  <c r="M49" i="34" s="1"/>
  <c r="M50" i="34" s="1"/>
  <c r="M51" i="34" s="1"/>
  <c r="M52" i="34" s="1"/>
  <c r="M53" i="34" s="1"/>
  <c r="M54" i="34" s="1"/>
  <c r="O41" i="34"/>
  <c r="O20" i="36"/>
  <c r="K20" i="35"/>
  <c r="O20" i="33"/>
  <c r="K20" i="36"/>
  <c r="M52" i="36" s="1"/>
  <c r="K20" i="33"/>
  <c r="M41" i="33" s="1"/>
  <c r="O20" i="35"/>
  <c r="O20" i="34"/>
  <c r="K20" i="32"/>
  <c r="M42" i="32" s="1"/>
  <c r="O46" i="48"/>
  <c r="R46" i="48" s="1"/>
  <c r="J45" i="52" s="1"/>
  <c r="X45" i="47"/>
  <c r="I44" i="52" s="1"/>
  <c r="S46" i="47"/>
  <c r="T47" i="47" s="1"/>
  <c r="U48" i="47" s="1"/>
  <c r="V49" i="47" s="1"/>
  <c r="W50" i="47" s="1"/>
  <c r="I43" i="52"/>
  <c r="O46" i="47"/>
  <c r="R46" i="47" s="1"/>
  <c r="S46" i="48"/>
  <c r="T47" i="48" s="1"/>
  <c r="U48" i="48" s="1"/>
  <c r="V49" i="48" s="1"/>
  <c r="W50" i="48" s="1"/>
  <c r="I45" i="52"/>
  <c r="X45" i="48"/>
  <c r="I46" i="52" s="1"/>
  <c r="X46" i="42"/>
  <c r="J34" i="52" s="1"/>
  <c r="S47" i="42"/>
  <c r="T48" i="42" s="1"/>
  <c r="U49" i="42" s="1"/>
  <c r="V50" i="42" s="1"/>
  <c r="J33" i="52"/>
  <c r="M53" i="36"/>
  <c r="X45" i="38"/>
  <c r="I26" i="52" s="1"/>
  <c r="M47" i="38"/>
  <c r="R46" i="38"/>
  <c r="I25" i="52"/>
  <c r="S46" i="38"/>
  <c r="T47" i="38" s="1"/>
  <c r="U48" i="38" s="1"/>
  <c r="V49" i="38" s="1"/>
  <c r="W50" i="38" s="1"/>
  <c r="V42" i="32"/>
  <c r="W42" i="36"/>
  <c r="V43" i="36"/>
  <c r="W44" i="36" s="1"/>
  <c r="V42" i="36"/>
  <c r="W43" i="36" s="1"/>
  <c r="V43" i="35"/>
  <c r="W44" i="35" s="1"/>
  <c r="V42" i="35"/>
  <c r="W43" i="35" s="1"/>
  <c r="W42" i="35"/>
  <c r="V42" i="34"/>
  <c r="W43" i="34" s="1"/>
  <c r="V43" i="34"/>
  <c r="W44" i="34" s="1"/>
  <c r="W42" i="34"/>
  <c r="V42" i="33"/>
  <c r="W43" i="33" s="1"/>
  <c r="V43" i="33"/>
  <c r="W44" i="33" s="1"/>
  <c r="W42" i="33"/>
  <c r="R41" i="34" l="1"/>
  <c r="X41" i="34" s="1"/>
  <c r="M51" i="36"/>
  <c r="M54" i="36"/>
  <c r="M48" i="36"/>
  <c r="M44" i="36"/>
  <c r="S47" i="48"/>
  <c r="T48" i="48" s="1"/>
  <c r="U49" i="48" s="1"/>
  <c r="V50" i="48" s="1"/>
  <c r="W51" i="48" s="1"/>
  <c r="X46" i="47"/>
  <c r="J44" i="52" s="1"/>
  <c r="S47" i="47"/>
  <c r="J43" i="52"/>
  <c r="X46" i="48"/>
  <c r="J46" i="52" s="1"/>
  <c r="M49" i="32"/>
  <c r="I25" i="36"/>
  <c r="I42" i="36"/>
  <c r="H25" i="36"/>
  <c r="H42" i="36" s="1"/>
  <c r="G25" i="36"/>
  <c r="G42" i="36" s="1"/>
  <c r="F25" i="36"/>
  <c r="F42" i="36" s="1"/>
  <c r="F25" i="35"/>
  <c r="F42" i="35" s="1"/>
  <c r="I25" i="35"/>
  <c r="I42" i="35"/>
  <c r="G25" i="35"/>
  <c r="G42" i="35" s="1"/>
  <c r="H25" i="35"/>
  <c r="H42" i="35" s="1"/>
  <c r="I25" i="34"/>
  <c r="I42" i="34"/>
  <c r="F25" i="34"/>
  <c r="F42" i="34" s="1"/>
  <c r="H25" i="34"/>
  <c r="H42" i="34" s="1"/>
  <c r="G25" i="34"/>
  <c r="G42" i="34" s="1"/>
  <c r="O41" i="33"/>
  <c r="G25" i="33"/>
  <c r="G42" i="33" s="1"/>
  <c r="H25" i="33"/>
  <c r="H42" i="33" s="1"/>
  <c r="F25" i="33"/>
  <c r="F42" i="33" s="1"/>
  <c r="I25" i="32"/>
  <c r="I42" i="32"/>
  <c r="O42" i="32" s="1"/>
  <c r="R42" i="32" s="1"/>
  <c r="F5" i="52" s="1"/>
  <c r="X46" i="38"/>
  <c r="J26" i="52" s="1"/>
  <c r="W42" i="32"/>
  <c r="M42" i="33"/>
  <c r="M53" i="33"/>
  <c r="M54" i="33"/>
  <c r="M51" i="33"/>
  <c r="M52" i="33"/>
  <c r="M49" i="33"/>
  <c r="M50" i="32"/>
  <c r="M52" i="32"/>
  <c r="M51" i="32"/>
  <c r="M54" i="32"/>
  <c r="M53" i="32"/>
  <c r="G25" i="32"/>
  <c r="G42" i="32" s="1"/>
  <c r="H25" i="32"/>
  <c r="H42" i="32" s="1"/>
  <c r="M48" i="38"/>
  <c r="F25" i="32"/>
  <c r="F42" i="32" s="1"/>
  <c r="W43" i="32"/>
  <c r="U42" i="32"/>
  <c r="J25" i="52"/>
  <c r="S47" i="38"/>
  <c r="T48" i="38" s="1"/>
  <c r="U49" i="38" s="1"/>
  <c r="V50" i="38" s="1"/>
  <c r="W51" i="38" s="1"/>
  <c r="M47" i="32"/>
  <c r="M45" i="32"/>
  <c r="M48" i="32"/>
  <c r="M43" i="32"/>
  <c r="M41" i="32"/>
  <c r="M44" i="32"/>
  <c r="M46" i="32"/>
  <c r="M46" i="36"/>
  <c r="M43" i="36"/>
  <c r="M50" i="36"/>
  <c r="M45" i="36"/>
  <c r="M49" i="36"/>
  <c r="M42" i="36"/>
  <c r="M41" i="36"/>
  <c r="O41" i="36" s="1"/>
  <c r="M47" i="36"/>
  <c r="O41" i="35"/>
  <c r="M48" i="33"/>
  <c r="M44" i="33"/>
  <c r="M45" i="33"/>
  <c r="M50" i="33"/>
  <c r="M47" i="33"/>
  <c r="M46" i="33"/>
  <c r="M43" i="33"/>
  <c r="T48" i="47" l="1"/>
  <c r="U49" i="47" s="1"/>
  <c r="V50" i="47" s="1"/>
  <c r="W51" i="47" s="1"/>
  <c r="O42" i="34"/>
  <c r="R42" i="34" s="1"/>
  <c r="S43" i="34" s="1"/>
  <c r="T44" i="34" s="1"/>
  <c r="U45" i="34" s="1"/>
  <c r="V46" i="34" s="1"/>
  <c r="W47" i="34" s="1"/>
  <c r="H26" i="36"/>
  <c r="H43" i="36" s="1"/>
  <c r="G26" i="36"/>
  <c r="G43" i="36" s="1"/>
  <c r="E25" i="36"/>
  <c r="E42" i="36" s="1"/>
  <c r="I26" i="36"/>
  <c r="I43" i="36"/>
  <c r="O43" i="36" s="1"/>
  <c r="R43" i="36" s="1"/>
  <c r="G15" i="52" s="1"/>
  <c r="O42" i="36"/>
  <c r="R42" i="36" s="1"/>
  <c r="E25" i="35"/>
  <c r="E42" i="35" s="1"/>
  <c r="H26" i="35"/>
  <c r="H43" i="35" s="1"/>
  <c r="G26" i="35"/>
  <c r="G43" i="35" s="1"/>
  <c r="I26" i="35"/>
  <c r="I43" i="35"/>
  <c r="O43" i="35" s="1"/>
  <c r="R43" i="35" s="1"/>
  <c r="G13" i="52" s="1"/>
  <c r="O42" i="35"/>
  <c r="R42" i="35" s="1"/>
  <c r="H26" i="34"/>
  <c r="H43" i="34" s="1"/>
  <c r="I26" i="34"/>
  <c r="I43" i="34"/>
  <c r="O43" i="34" s="1"/>
  <c r="R43" i="34" s="1"/>
  <c r="E25" i="34"/>
  <c r="E42" i="34" s="1"/>
  <c r="G26" i="34"/>
  <c r="G43" i="34" s="1"/>
  <c r="G26" i="33"/>
  <c r="G43" i="33" s="1"/>
  <c r="I26" i="33"/>
  <c r="I43" i="33"/>
  <c r="O43" i="33" s="1"/>
  <c r="R43" i="33" s="1"/>
  <c r="G9" i="52" s="1"/>
  <c r="E25" i="33"/>
  <c r="E42" i="33" s="1"/>
  <c r="H26" i="33"/>
  <c r="H43" i="33" s="1"/>
  <c r="I25" i="33"/>
  <c r="I42" i="33"/>
  <c r="O42" i="33" s="1"/>
  <c r="R42" i="33" s="1"/>
  <c r="F9" i="52" s="1"/>
  <c r="I26" i="32"/>
  <c r="I43" i="32"/>
  <c r="O43" i="32" s="1"/>
  <c r="R43" i="32" s="1"/>
  <c r="S44" i="32" s="1"/>
  <c r="O41" i="32"/>
  <c r="R41" i="32" s="1"/>
  <c r="S43" i="32"/>
  <c r="T44" i="32" s="1"/>
  <c r="V43" i="32"/>
  <c r="E25" i="32"/>
  <c r="E42" i="32" s="1"/>
  <c r="M49" i="38"/>
  <c r="H26" i="32"/>
  <c r="H43" i="32" s="1"/>
  <c r="G26" i="32"/>
  <c r="G43" i="32" s="1"/>
  <c r="W51" i="42"/>
  <c r="R41" i="33"/>
  <c r="E9" i="52" s="1"/>
  <c r="R41" i="35"/>
  <c r="E13" i="52" s="1"/>
  <c r="E11" i="52"/>
  <c r="R41" i="36"/>
  <c r="E15" i="52" s="1"/>
  <c r="S44" i="36" l="1"/>
  <c r="T45" i="36" s="1"/>
  <c r="U46" i="36" s="1"/>
  <c r="V47" i="36" s="1"/>
  <c r="W48" i="36" s="1"/>
  <c r="S43" i="35"/>
  <c r="T44" i="35" s="1"/>
  <c r="U45" i="35" s="1"/>
  <c r="V46" i="35" s="1"/>
  <c r="W47" i="35" s="1"/>
  <c r="F13" i="52"/>
  <c r="S44" i="34"/>
  <c r="T45" i="34" s="1"/>
  <c r="U46" i="34" s="1"/>
  <c r="V47" i="34" s="1"/>
  <c r="W48" i="34" s="1"/>
  <c r="G11" i="52"/>
  <c r="T42" i="33"/>
  <c r="U43" i="33" s="1"/>
  <c r="V44" i="33" s="1"/>
  <c r="W45" i="33" s="1"/>
  <c r="F15" i="52"/>
  <c r="S43" i="36"/>
  <c r="T44" i="36" s="1"/>
  <c r="U45" i="36" s="1"/>
  <c r="V46" i="36" s="1"/>
  <c r="W47" i="36" s="1"/>
  <c r="H27" i="36"/>
  <c r="H44" i="36" s="1"/>
  <c r="F26" i="36"/>
  <c r="F43" i="36" s="1"/>
  <c r="I27" i="36"/>
  <c r="I44" i="36"/>
  <c r="O44" i="36" s="1"/>
  <c r="R44" i="36" s="1"/>
  <c r="T42" i="36"/>
  <c r="U43" i="36" s="1"/>
  <c r="V44" i="36" s="1"/>
  <c r="W45" i="36" s="1"/>
  <c r="I27" i="35"/>
  <c r="I44" i="35"/>
  <c r="O44" i="35" s="1"/>
  <c r="R44" i="35" s="1"/>
  <c r="H27" i="35"/>
  <c r="H44" i="35" s="1"/>
  <c r="F26" i="35"/>
  <c r="F43" i="35" s="1"/>
  <c r="I27" i="34"/>
  <c r="I44" i="34"/>
  <c r="O44" i="34" s="1"/>
  <c r="R44" i="34" s="1"/>
  <c r="H27" i="34"/>
  <c r="H44" i="34" s="1"/>
  <c r="F26" i="34"/>
  <c r="F43" i="34" s="1"/>
  <c r="I27" i="33"/>
  <c r="I44" i="33"/>
  <c r="O44" i="33" s="1"/>
  <c r="R44" i="33" s="1"/>
  <c r="H9" i="52" s="1"/>
  <c r="F26" i="33"/>
  <c r="F43" i="33" s="1"/>
  <c r="H27" i="33"/>
  <c r="H44" i="33" s="1"/>
  <c r="S44" i="33"/>
  <c r="T45" i="33" s="1"/>
  <c r="U46" i="33" s="1"/>
  <c r="V47" i="33" s="1"/>
  <c r="W48" i="33" s="1"/>
  <c r="S42" i="32"/>
  <c r="T43" i="32" s="1"/>
  <c r="E5" i="52"/>
  <c r="I27" i="32"/>
  <c r="I44" i="32"/>
  <c r="O44" i="32" s="1"/>
  <c r="G5" i="52"/>
  <c r="F11" i="52"/>
  <c r="H27" i="32"/>
  <c r="H44" i="32" s="1"/>
  <c r="M50" i="38"/>
  <c r="W44" i="32"/>
  <c r="F26" i="32"/>
  <c r="F43" i="32" s="1"/>
  <c r="S43" i="33"/>
  <c r="T44" i="33" s="1"/>
  <c r="U45" i="33" s="1"/>
  <c r="V46" i="33" s="1"/>
  <c r="W47" i="33" s="1"/>
  <c r="S44" i="35"/>
  <c r="T45" i="35" s="1"/>
  <c r="U46" i="35" s="1"/>
  <c r="V47" i="35" s="1"/>
  <c r="W48" i="35" s="1"/>
  <c r="T42" i="34"/>
  <c r="U43" i="34" s="1"/>
  <c r="V44" i="34" s="1"/>
  <c r="W45" i="34" s="1"/>
  <c r="T45" i="32"/>
  <c r="U45" i="32"/>
  <c r="T42" i="35"/>
  <c r="U43" i="35" s="1"/>
  <c r="V44" i="35" s="1"/>
  <c r="W45" i="35" s="1"/>
  <c r="S42" i="35"/>
  <c r="T43" i="35" s="1"/>
  <c r="U44" i="35" s="1"/>
  <c r="V45" i="35" s="1"/>
  <c r="W46" i="35" s="1"/>
  <c r="S42" i="33"/>
  <c r="T43" i="33" s="1"/>
  <c r="U44" i="33" s="1"/>
  <c r="V45" i="33" s="1"/>
  <c r="W46" i="33" s="1"/>
  <c r="S42" i="36"/>
  <c r="T43" i="36" s="1"/>
  <c r="U44" i="36" s="1"/>
  <c r="V45" i="36" s="1"/>
  <c r="W46" i="36" s="1"/>
  <c r="S42" i="34"/>
  <c r="T43" i="34" s="1"/>
  <c r="U44" i="34" s="1"/>
  <c r="V45" i="34" s="1"/>
  <c r="W46" i="34" s="1"/>
  <c r="X41" i="36" l="1"/>
  <c r="E16" i="52" s="1"/>
  <c r="X41" i="33"/>
  <c r="E10" i="52" s="1"/>
  <c r="I28" i="36"/>
  <c r="I45" i="36"/>
  <c r="O45" i="36" s="1"/>
  <c r="R45" i="36" s="1"/>
  <c r="H15" i="52"/>
  <c r="S45" i="36"/>
  <c r="T46" i="36" s="1"/>
  <c r="U47" i="36" s="1"/>
  <c r="V48" i="36" s="1"/>
  <c r="W49" i="36" s="1"/>
  <c r="G27" i="36"/>
  <c r="G44" i="36" s="1"/>
  <c r="G27" i="35"/>
  <c r="G44" i="35" s="1"/>
  <c r="H13" i="52"/>
  <c r="S45" i="35"/>
  <c r="T46" i="35" s="1"/>
  <c r="U47" i="35" s="1"/>
  <c r="V48" i="35" s="1"/>
  <c r="W49" i="35" s="1"/>
  <c r="I28" i="35"/>
  <c r="I45" i="35"/>
  <c r="O45" i="35" s="1"/>
  <c r="R45" i="35" s="1"/>
  <c r="G27" i="34"/>
  <c r="G44" i="34" s="1"/>
  <c r="H11" i="52"/>
  <c r="S45" i="34"/>
  <c r="T46" i="34" s="1"/>
  <c r="U47" i="34" s="1"/>
  <c r="V48" i="34" s="1"/>
  <c r="W49" i="34" s="1"/>
  <c r="I28" i="34"/>
  <c r="I45" i="34"/>
  <c r="O45" i="34" s="1"/>
  <c r="R45" i="34" s="1"/>
  <c r="I28" i="33"/>
  <c r="I45" i="33"/>
  <c r="O45" i="33" s="1"/>
  <c r="R45" i="33" s="1"/>
  <c r="G27" i="33"/>
  <c r="G44" i="33" s="1"/>
  <c r="S45" i="33"/>
  <c r="T46" i="33" s="1"/>
  <c r="U47" i="33" s="1"/>
  <c r="V48" i="33" s="1"/>
  <c r="W49" i="33" s="1"/>
  <c r="R44" i="32"/>
  <c r="I28" i="32"/>
  <c r="I45" i="32"/>
  <c r="O45" i="32" s="1"/>
  <c r="T42" i="32"/>
  <c r="X41" i="32"/>
  <c r="E6" i="52" s="1"/>
  <c r="M51" i="38"/>
  <c r="G27" i="32"/>
  <c r="G44" i="32" s="1"/>
  <c r="E12" i="52"/>
  <c r="X42" i="33"/>
  <c r="F10" i="52" s="1"/>
  <c r="X42" i="35"/>
  <c r="F14" i="52" s="1"/>
  <c r="X43" i="34"/>
  <c r="G12" i="52" s="1"/>
  <c r="X42" i="34"/>
  <c r="F12" i="52" s="1"/>
  <c r="X42" i="36"/>
  <c r="F16" i="52" s="1"/>
  <c r="V46" i="32"/>
  <c r="U44" i="32"/>
  <c r="X44" i="33"/>
  <c r="H10" i="52" s="1"/>
  <c r="X41" i="35"/>
  <c r="E14" i="52" s="1"/>
  <c r="U46" i="32"/>
  <c r="X43" i="35"/>
  <c r="G14" i="52" s="1"/>
  <c r="X44" i="35"/>
  <c r="H14" i="52" s="1"/>
  <c r="X43" i="33"/>
  <c r="G10" i="52" s="1"/>
  <c r="X44" i="34"/>
  <c r="H12" i="52" s="1"/>
  <c r="X44" i="36"/>
  <c r="H16" i="52" s="1"/>
  <c r="X43" i="36"/>
  <c r="G16" i="52" s="1"/>
  <c r="X45" i="36" l="1"/>
  <c r="I16" i="52" s="1"/>
  <c r="R45" i="32"/>
  <c r="S46" i="32" s="1"/>
  <c r="T47" i="32" s="1"/>
  <c r="U48" i="32" s="1"/>
  <c r="H28" i="36"/>
  <c r="H45" i="36" s="1"/>
  <c r="S46" i="36"/>
  <c r="T47" i="36" s="1"/>
  <c r="U48" i="36" s="1"/>
  <c r="V49" i="36" s="1"/>
  <c r="W50" i="36" s="1"/>
  <c r="I15" i="52"/>
  <c r="H28" i="35"/>
  <c r="H45" i="35" s="1"/>
  <c r="I13" i="52"/>
  <c r="S46" i="35"/>
  <c r="T47" i="35" s="1"/>
  <c r="U48" i="35" s="1"/>
  <c r="V49" i="35" s="1"/>
  <c r="W50" i="35" s="1"/>
  <c r="X45" i="35"/>
  <c r="I14" i="52" s="1"/>
  <c r="I11" i="52"/>
  <c r="S46" i="34"/>
  <c r="T47" i="34" s="1"/>
  <c r="U48" i="34" s="1"/>
  <c r="V49" i="34" s="1"/>
  <c r="W50" i="34" s="1"/>
  <c r="H28" i="34"/>
  <c r="H45" i="34" s="1"/>
  <c r="X45" i="34"/>
  <c r="I12" i="52" s="1"/>
  <c r="I9" i="52"/>
  <c r="S46" i="33"/>
  <c r="T47" i="33" s="1"/>
  <c r="U48" i="33" s="1"/>
  <c r="V49" i="33" s="1"/>
  <c r="W50" i="33" s="1"/>
  <c r="H28" i="33"/>
  <c r="H45" i="33" s="1"/>
  <c r="X45" i="33"/>
  <c r="I10" i="52" s="1"/>
  <c r="H5" i="52"/>
  <c r="S45" i="32"/>
  <c r="T46" i="32" s="1"/>
  <c r="U47" i="32" s="1"/>
  <c r="M52" i="38"/>
  <c r="H28" i="32"/>
  <c r="H45" i="32" s="1"/>
  <c r="U43" i="32"/>
  <c r="X42" i="32"/>
  <c r="F6" i="52" s="1"/>
  <c r="V45" i="32"/>
  <c r="V47" i="32"/>
  <c r="W47" i="32"/>
  <c r="X17" i="31"/>
  <c r="O17" i="31"/>
  <c r="M17" i="31"/>
  <c r="X16" i="31"/>
  <c r="O16" i="31"/>
  <c r="M16" i="31"/>
  <c r="X15" i="31"/>
  <c r="O15" i="31"/>
  <c r="M15" i="31"/>
  <c r="X14" i="31"/>
  <c r="O14" i="31"/>
  <c r="M14" i="31"/>
  <c r="X13" i="31"/>
  <c r="U42" i="30"/>
  <c r="X17" i="30"/>
  <c r="O17" i="30"/>
  <c r="M17" i="30"/>
  <c r="X16" i="30"/>
  <c r="O16" i="30"/>
  <c r="M16" i="30"/>
  <c r="X15" i="30"/>
  <c r="O15" i="30"/>
  <c r="M15" i="30"/>
  <c r="X14" i="30"/>
  <c r="O14" i="30"/>
  <c r="M14" i="30"/>
  <c r="X13" i="30"/>
  <c r="O20" i="30" l="1"/>
  <c r="K20" i="30"/>
  <c r="M48" i="30" s="1"/>
  <c r="O20" i="31"/>
  <c r="K20" i="31"/>
  <c r="V49" i="32"/>
  <c r="W50" i="32" s="1"/>
  <c r="V48" i="32"/>
  <c r="W49" i="32" s="1"/>
  <c r="I5" i="52"/>
  <c r="I29" i="36"/>
  <c r="I46" i="36"/>
  <c r="O46" i="36" s="1"/>
  <c r="R46" i="36" s="1"/>
  <c r="I29" i="35"/>
  <c r="I46" i="35"/>
  <c r="O46" i="35" s="1"/>
  <c r="R46" i="35" s="1"/>
  <c r="I29" i="34"/>
  <c r="I46" i="34"/>
  <c r="O46" i="34" s="1"/>
  <c r="R46" i="34" s="1"/>
  <c r="I29" i="33"/>
  <c r="I46" i="33"/>
  <c r="O46" i="33" s="1"/>
  <c r="R46" i="33" s="1"/>
  <c r="I29" i="32"/>
  <c r="I46" i="32"/>
  <c r="O46" i="32" s="1"/>
  <c r="M53" i="38"/>
  <c r="V42" i="31"/>
  <c r="X43" i="32"/>
  <c r="G6" i="52" s="1"/>
  <c r="V44" i="32"/>
  <c r="W48" i="32"/>
  <c r="W46" i="32"/>
  <c r="W42" i="30"/>
  <c r="V42" i="30"/>
  <c r="W43" i="30" s="1"/>
  <c r="V43" i="30"/>
  <c r="W44" i="30" s="1"/>
  <c r="I25" i="30" l="1"/>
  <c r="I42" i="30"/>
  <c r="H25" i="30"/>
  <c r="H42" i="30" s="1"/>
  <c r="F25" i="30"/>
  <c r="F42" i="30" s="1"/>
  <c r="M46" i="30"/>
  <c r="M54" i="30"/>
  <c r="M53" i="30"/>
  <c r="M51" i="30"/>
  <c r="M52" i="30"/>
  <c r="G25" i="30"/>
  <c r="G42" i="30" s="1"/>
  <c r="J15" i="52"/>
  <c r="S47" i="36"/>
  <c r="T48" i="36" s="1"/>
  <c r="U49" i="36" s="1"/>
  <c r="V50" i="36" s="1"/>
  <c r="W51" i="36" s="1"/>
  <c r="X46" i="36"/>
  <c r="J16" i="52" s="1"/>
  <c r="J13" i="52"/>
  <c r="S47" i="35"/>
  <c r="T48" i="35" s="1"/>
  <c r="U49" i="35" s="1"/>
  <c r="V50" i="35" s="1"/>
  <c r="W51" i="35" s="1"/>
  <c r="X46" i="35"/>
  <c r="J14" i="52" s="1"/>
  <c r="S47" i="34"/>
  <c r="T48" i="34" s="1"/>
  <c r="U49" i="34" s="1"/>
  <c r="V50" i="34" s="1"/>
  <c r="W51" i="34" s="1"/>
  <c r="J11" i="52"/>
  <c r="X46" i="34"/>
  <c r="J12" i="52" s="1"/>
  <c r="J9" i="52"/>
  <c r="S47" i="33"/>
  <c r="T48" i="33" s="1"/>
  <c r="U49" i="33" s="1"/>
  <c r="V50" i="33" s="1"/>
  <c r="W51" i="33" s="1"/>
  <c r="X46" i="33"/>
  <c r="J10" i="52" s="1"/>
  <c r="I25" i="31"/>
  <c r="I42" i="31"/>
  <c r="H25" i="31"/>
  <c r="H42" i="31" s="1"/>
  <c r="R46" i="32"/>
  <c r="X46" i="32" s="1"/>
  <c r="J6" i="52" s="1"/>
  <c r="M53" i="31"/>
  <c r="M54" i="31"/>
  <c r="M51" i="31"/>
  <c r="M52" i="31"/>
  <c r="M44" i="31"/>
  <c r="M48" i="31"/>
  <c r="M43" i="31"/>
  <c r="M47" i="31"/>
  <c r="M42" i="31"/>
  <c r="M46" i="31"/>
  <c r="M50" i="31"/>
  <c r="M41" i="31"/>
  <c r="M45" i="31"/>
  <c r="M49" i="31"/>
  <c r="U42" i="31"/>
  <c r="W43" i="31"/>
  <c r="G25" i="31"/>
  <c r="G42" i="31" s="1"/>
  <c r="W45" i="32"/>
  <c r="X45" i="32" s="1"/>
  <c r="I6" i="52" s="1"/>
  <c r="X44" i="32"/>
  <c r="H6" i="52" s="1"/>
  <c r="W42" i="31"/>
  <c r="F25" i="31"/>
  <c r="F42" i="31" s="1"/>
  <c r="M43" i="30"/>
  <c r="M49" i="30"/>
  <c r="M45" i="30"/>
  <c r="M44" i="30"/>
  <c r="M47" i="30"/>
  <c r="M50" i="30"/>
  <c r="M42" i="30"/>
  <c r="M41" i="30"/>
  <c r="O41" i="30" s="1"/>
  <c r="O42" i="30" l="1"/>
  <c r="R42" i="30" s="1"/>
  <c r="F23" i="52" s="1"/>
  <c r="O42" i="31"/>
  <c r="R42" i="31" s="1"/>
  <c r="F7" i="52" s="1"/>
  <c r="G26" i="30"/>
  <c r="G43" i="30" s="1"/>
  <c r="H26" i="30"/>
  <c r="H43" i="30" s="1"/>
  <c r="I26" i="30"/>
  <c r="I43" i="30"/>
  <c r="O43" i="30" s="1"/>
  <c r="R43" i="30" s="1"/>
  <c r="G23" i="52" s="1"/>
  <c r="E25" i="30"/>
  <c r="E42" i="30" s="1"/>
  <c r="O41" i="31"/>
  <c r="R41" i="31" s="1"/>
  <c r="I26" i="31"/>
  <c r="I43" i="31"/>
  <c r="O43" i="31" s="1"/>
  <c r="R43" i="31" s="1"/>
  <c r="S44" i="31" s="1"/>
  <c r="S47" i="32"/>
  <c r="J5" i="52"/>
  <c r="G26" i="31"/>
  <c r="G43" i="31" s="1"/>
  <c r="H26" i="31"/>
  <c r="H43" i="31" s="1"/>
  <c r="E25" i="31"/>
  <c r="E42" i="31" s="1"/>
  <c r="V43" i="31"/>
  <c r="R41" i="30"/>
  <c r="E23" i="52" s="1"/>
  <c r="T42" i="31" l="1"/>
  <c r="U43" i="31" s="1"/>
  <c r="S42" i="31"/>
  <c r="T43" i="31" s="1"/>
  <c r="E7" i="52"/>
  <c r="G7" i="52"/>
  <c r="S43" i="31"/>
  <c r="T44" i="31" s="1"/>
  <c r="F26" i="30"/>
  <c r="F43" i="30" s="1"/>
  <c r="I27" i="30"/>
  <c r="I44" i="30"/>
  <c r="O44" i="30" s="1"/>
  <c r="R44" i="30" s="1"/>
  <c r="H23" i="52" s="1"/>
  <c r="H27" i="30"/>
  <c r="H44" i="30" s="1"/>
  <c r="I27" i="31"/>
  <c r="I44" i="31"/>
  <c r="O44" i="31" s="1"/>
  <c r="T48" i="32"/>
  <c r="F26" i="31"/>
  <c r="F43" i="31" s="1"/>
  <c r="W44" i="31"/>
  <c r="H27" i="31"/>
  <c r="H44" i="31" s="1"/>
  <c r="S44" i="30"/>
  <c r="T45" i="30" s="1"/>
  <c r="U46" i="30" s="1"/>
  <c r="V47" i="30" s="1"/>
  <c r="W48" i="30" s="1"/>
  <c r="T42" i="30"/>
  <c r="U43" i="30" s="1"/>
  <c r="V44" i="30" s="1"/>
  <c r="W45" i="30" s="1"/>
  <c r="S42" i="30"/>
  <c r="T43" i="30" s="1"/>
  <c r="U44" i="30" s="1"/>
  <c r="V45" i="30" s="1"/>
  <c r="W46" i="30" s="1"/>
  <c r="T45" i="31"/>
  <c r="S43" i="30"/>
  <c r="T44" i="30" s="1"/>
  <c r="Q16" i="29"/>
  <c r="Q15" i="29"/>
  <c r="Q14" i="29"/>
  <c r="Q17" i="29"/>
  <c r="Q20" i="29" l="1"/>
  <c r="X41" i="31"/>
  <c r="E8" i="52" s="1"/>
  <c r="X42" i="31"/>
  <c r="F8" i="52" s="1"/>
  <c r="S45" i="30"/>
  <c r="T46" i="30" s="1"/>
  <c r="U47" i="30" s="1"/>
  <c r="V48" i="30" s="1"/>
  <c r="W49" i="30" s="1"/>
  <c r="R44" i="31"/>
  <c r="H7" i="52" s="1"/>
  <c r="I28" i="30"/>
  <c r="I45" i="30"/>
  <c r="O45" i="30" s="1"/>
  <c r="R45" i="30" s="1"/>
  <c r="G27" i="30"/>
  <c r="G44" i="30" s="1"/>
  <c r="I28" i="31"/>
  <c r="I45" i="31"/>
  <c r="O45" i="31" s="1"/>
  <c r="U49" i="32"/>
  <c r="G27" i="31"/>
  <c r="G44" i="31" s="1"/>
  <c r="X41" i="30"/>
  <c r="E24" i="52" s="1"/>
  <c r="X43" i="30"/>
  <c r="G24" i="52" s="1"/>
  <c r="X42" i="30"/>
  <c r="F24" i="52" s="1"/>
  <c r="U44" i="31"/>
  <c r="U45" i="31"/>
  <c r="U46" i="31"/>
  <c r="V44" i="31"/>
  <c r="X43" i="31"/>
  <c r="G8" i="52" s="1"/>
  <c r="U45" i="30"/>
  <c r="V46" i="30" s="1"/>
  <c r="X44" i="30"/>
  <c r="H24" i="52" s="1"/>
  <c r="W42" i="29"/>
  <c r="Z17" i="29"/>
  <c r="M17" i="29"/>
  <c r="Z16" i="29"/>
  <c r="M16" i="29"/>
  <c r="Z15" i="29"/>
  <c r="M15" i="29"/>
  <c r="Z14" i="29"/>
  <c r="M14" i="29"/>
  <c r="Z13" i="29"/>
  <c r="X13" i="11"/>
  <c r="X14" i="11"/>
  <c r="X15" i="11"/>
  <c r="X16" i="11"/>
  <c r="X17" i="11"/>
  <c r="X13" i="28"/>
  <c r="X14" i="28"/>
  <c r="X15" i="28"/>
  <c r="X16" i="28"/>
  <c r="X17" i="28"/>
  <c r="O41" i="28"/>
  <c r="O17" i="28"/>
  <c r="M17" i="28"/>
  <c r="O16" i="28"/>
  <c r="M16" i="28"/>
  <c r="O15" i="28"/>
  <c r="M15" i="28"/>
  <c r="O14" i="28"/>
  <c r="M14" i="28"/>
  <c r="O14" i="11"/>
  <c r="O15" i="11"/>
  <c r="O16" i="11"/>
  <c r="O17" i="11"/>
  <c r="L91" i="27"/>
  <c r="K91" i="27"/>
  <c r="J91" i="27"/>
  <c r="I91" i="27"/>
  <c r="H91" i="27"/>
  <c r="G91" i="27"/>
  <c r="F91" i="27"/>
  <c r="E91" i="27"/>
  <c r="D91" i="27"/>
  <c r="C91" i="27"/>
  <c r="B91" i="27"/>
  <c r="K81" i="27"/>
  <c r="J81" i="27"/>
  <c r="I81" i="27"/>
  <c r="H81" i="27"/>
  <c r="G81" i="27"/>
  <c r="F81" i="27"/>
  <c r="E81" i="27"/>
  <c r="D81" i="27"/>
  <c r="C81" i="27"/>
  <c r="K80" i="27"/>
  <c r="J80" i="27"/>
  <c r="I80" i="27"/>
  <c r="H80" i="27"/>
  <c r="G80" i="27"/>
  <c r="F80" i="27"/>
  <c r="E80" i="27"/>
  <c r="D80" i="27"/>
  <c r="C80" i="27"/>
  <c r="K79" i="27"/>
  <c r="J79" i="27"/>
  <c r="I79" i="27"/>
  <c r="H79" i="27"/>
  <c r="G79" i="27"/>
  <c r="F79" i="27"/>
  <c r="E79" i="27"/>
  <c r="D79" i="27"/>
  <c r="C79" i="27"/>
  <c r="K78" i="27"/>
  <c r="J78" i="27"/>
  <c r="I78" i="27"/>
  <c r="H78" i="27"/>
  <c r="G78" i="27"/>
  <c r="F78" i="27"/>
  <c r="E78" i="27"/>
  <c r="D78" i="27"/>
  <c r="C78" i="27"/>
  <c r="K77" i="27"/>
  <c r="J77" i="27"/>
  <c r="I77" i="27"/>
  <c r="H77" i="27"/>
  <c r="G77" i="27"/>
  <c r="F77" i="27"/>
  <c r="E77" i="27"/>
  <c r="D77" i="27"/>
  <c r="C77" i="27"/>
  <c r="K76" i="27"/>
  <c r="J76" i="27"/>
  <c r="I76" i="27"/>
  <c r="H76" i="27"/>
  <c r="G76" i="27"/>
  <c r="F76" i="27"/>
  <c r="E76" i="27"/>
  <c r="D76" i="27"/>
  <c r="C76" i="27"/>
  <c r="B75" i="27"/>
  <c r="K74" i="27"/>
  <c r="J74" i="27"/>
  <c r="I74" i="27"/>
  <c r="H74" i="27"/>
  <c r="G74" i="27"/>
  <c r="F74" i="27"/>
  <c r="E74" i="27"/>
  <c r="D74" i="27"/>
  <c r="C74" i="27"/>
  <c r="K73" i="27"/>
  <c r="J73" i="27"/>
  <c r="I73" i="27"/>
  <c r="H73" i="27"/>
  <c r="G73" i="27"/>
  <c r="F73" i="27"/>
  <c r="E73" i="27"/>
  <c r="D73" i="27"/>
  <c r="C73" i="27"/>
  <c r="B72" i="27"/>
  <c r="K71" i="27"/>
  <c r="J71" i="27"/>
  <c r="I71" i="27"/>
  <c r="H71" i="27"/>
  <c r="G71" i="27"/>
  <c r="F71" i="27"/>
  <c r="E71" i="27"/>
  <c r="D71" i="27"/>
  <c r="C71" i="27"/>
  <c r="K70" i="27"/>
  <c r="J70" i="27"/>
  <c r="I70" i="27"/>
  <c r="H70" i="27"/>
  <c r="G70" i="27"/>
  <c r="F70" i="27"/>
  <c r="E70" i="27"/>
  <c r="D70" i="27"/>
  <c r="C70" i="27"/>
  <c r="K69" i="27"/>
  <c r="J69" i="27"/>
  <c r="I69" i="27"/>
  <c r="H69" i="27"/>
  <c r="G69" i="27"/>
  <c r="F69" i="27"/>
  <c r="E69" i="27"/>
  <c r="D69" i="27"/>
  <c r="C69" i="27"/>
  <c r="K68" i="27"/>
  <c r="J68" i="27"/>
  <c r="I68" i="27"/>
  <c r="H68" i="27"/>
  <c r="G68" i="27"/>
  <c r="F68" i="27"/>
  <c r="E68" i="27"/>
  <c r="D68" i="27"/>
  <c r="C68" i="27"/>
  <c r="K67" i="27"/>
  <c r="J67" i="27"/>
  <c r="I67" i="27"/>
  <c r="H67" i="27"/>
  <c r="G67" i="27"/>
  <c r="F67" i="27"/>
  <c r="E67" i="27"/>
  <c r="D67" i="27"/>
  <c r="C67" i="27"/>
  <c r="K66" i="27"/>
  <c r="J66" i="27"/>
  <c r="I66" i="27"/>
  <c r="H66" i="27"/>
  <c r="G66" i="27"/>
  <c r="F66" i="27"/>
  <c r="E66" i="27"/>
  <c r="D66" i="27"/>
  <c r="C66" i="27"/>
  <c r="K65" i="27"/>
  <c r="J65" i="27"/>
  <c r="I65" i="27"/>
  <c r="H65" i="27"/>
  <c r="G65" i="27"/>
  <c r="F65" i="27"/>
  <c r="E65" i="27"/>
  <c r="D65" i="27"/>
  <c r="C65" i="27"/>
  <c r="K64" i="27"/>
  <c r="J64" i="27"/>
  <c r="I64" i="27"/>
  <c r="H64" i="27"/>
  <c r="G64" i="27"/>
  <c r="F64" i="27"/>
  <c r="E64" i="27"/>
  <c r="D64" i="27"/>
  <c r="C64" i="27"/>
  <c r="K63" i="27"/>
  <c r="J63" i="27"/>
  <c r="I63" i="27"/>
  <c r="H63" i="27"/>
  <c r="G63" i="27"/>
  <c r="F63" i="27"/>
  <c r="E63" i="27"/>
  <c r="D63" i="27"/>
  <c r="C63" i="27"/>
  <c r="K62" i="27"/>
  <c r="J62" i="27"/>
  <c r="I62" i="27"/>
  <c r="H62" i="27"/>
  <c r="G62" i="27"/>
  <c r="F62" i="27"/>
  <c r="E62" i="27"/>
  <c r="D62" i="27"/>
  <c r="C62" i="27"/>
  <c r="L57" i="27"/>
  <c r="L81" i="27" s="1"/>
  <c r="L56" i="27"/>
  <c r="L80" i="27" s="1"/>
  <c r="L55" i="27"/>
  <c r="L79" i="27" s="1"/>
  <c r="L54" i="27"/>
  <c r="L78" i="27" s="1"/>
  <c r="L53" i="27"/>
  <c r="L77" i="27" s="1"/>
  <c r="L52" i="27"/>
  <c r="L76" i="27" s="1"/>
  <c r="L50" i="27"/>
  <c r="L74" i="27" s="1"/>
  <c r="L49" i="27"/>
  <c r="L73" i="27" s="1"/>
  <c r="L47" i="27"/>
  <c r="L71" i="27" s="1"/>
  <c r="L46" i="27"/>
  <c r="L70" i="27" s="1"/>
  <c r="L45" i="27"/>
  <c r="L69" i="27" s="1"/>
  <c r="L44" i="27"/>
  <c r="L68" i="27" s="1"/>
  <c r="L43" i="27"/>
  <c r="L67" i="27" s="1"/>
  <c r="L42" i="27"/>
  <c r="L66" i="27" s="1"/>
  <c r="L41" i="27"/>
  <c r="L65" i="27" s="1"/>
  <c r="L40" i="27"/>
  <c r="L64" i="27" s="1"/>
  <c r="L39" i="27"/>
  <c r="L63" i="27" s="1"/>
  <c r="L38" i="27"/>
  <c r="L62" i="27" s="1"/>
  <c r="K32" i="27"/>
  <c r="K51" i="27" s="1"/>
  <c r="J32" i="27"/>
  <c r="J51" i="27" s="1"/>
  <c r="I32" i="27"/>
  <c r="I51" i="27" s="1"/>
  <c r="H32" i="27"/>
  <c r="H51" i="27" s="1"/>
  <c r="G32" i="27"/>
  <c r="G51" i="27" s="1"/>
  <c r="F32" i="27"/>
  <c r="F51" i="27" s="1"/>
  <c r="E32" i="27"/>
  <c r="E51" i="27" s="1"/>
  <c r="D32" i="27"/>
  <c r="D51" i="27" s="1"/>
  <c r="C32" i="27"/>
  <c r="C51" i="27" s="1"/>
  <c r="B32" i="27"/>
  <c r="B51" i="27" s="1"/>
  <c r="K31" i="27"/>
  <c r="K48" i="27" s="1"/>
  <c r="J31" i="27"/>
  <c r="I31" i="27"/>
  <c r="H31" i="27"/>
  <c r="H48" i="27" s="1"/>
  <c r="G31" i="27"/>
  <c r="G48" i="27" s="1"/>
  <c r="F31" i="27"/>
  <c r="E31" i="27"/>
  <c r="D31" i="27"/>
  <c r="D48" i="27" s="1"/>
  <c r="C31" i="27"/>
  <c r="C48" i="27" s="1"/>
  <c r="B31" i="27"/>
  <c r="L30" i="27"/>
  <c r="L32" i="27" s="1"/>
  <c r="K25" i="27"/>
  <c r="J25" i="27"/>
  <c r="I25" i="27"/>
  <c r="H25" i="27"/>
  <c r="G25" i="27"/>
  <c r="F25" i="27"/>
  <c r="E25" i="27"/>
  <c r="D25" i="27"/>
  <c r="C25" i="27"/>
  <c r="B25" i="27"/>
  <c r="L24" i="27"/>
  <c r="L23" i="27"/>
  <c r="L22" i="27"/>
  <c r="L21" i="27"/>
  <c r="L20" i="27"/>
  <c r="L19" i="27"/>
  <c r="L18" i="27"/>
  <c r="L17" i="27"/>
  <c r="L16" i="27"/>
  <c r="L15" i="27"/>
  <c r="L14" i="27"/>
  <c r="L13" i="27"/>
  <c r="L12" i="27"/>
  <c r="L11" i="27"/>
  <c r="L10" i="27"/>
  <c r="L9" i="27"/>
  <c r="L8" i="27"/>
  <c r="L7" i="27"/>
  <c r="L6" i="27"/>
  <c r="L5" i="27"/>
  <c r="L4" i="27"/>
  <c r="M14" i="11"/>
  <c r="M15" i="11"/>
  <c r="M16" i="11"/>
  <c r="M17" i="11"/>
  <c r="O20" i="28" l="1"/>
  <c r="O20" i="11"/>
  <c r="K20" i="28"/>
  <c r="K20" i="11"/>
  <c r="M43" i="11" s="1"/>
  <c r="K20" i="29"/>
  <c r="E33" i="27"/>
  <c r="I33" i="27"/>
  <c r="R45" i="31"/>
  <c r="I7" i="52" s="1"/>
  <c r="S45" i="31"/>
  <c r="T46" i="31" s="1"/>
  <c r="U47" i="31" s="1"/>
  <c r="I23" i="52"/>
  <c r="S46" i="30"/>
  <c r="T47" i="30" s="1"/>
  <c r="U48" i="30" s="1"/>
  <c r="V49" i="30" s="1"/>
  <c r="W50" i="30" s="1"/>
  <c r="H28" i="30"/>
  <c r="H45" i="30" s="1"/>
  <c r="V50" i="32"/>
  <c r="B33" i="27"/>
  <c r="F33" i="27"/>
  <c r="J33" i="27"/>
  <c r="H75" i="27"/>
  <c r="H93" i="27"/>
  <c r="C58" i="27"/>
  <c r="G58" i="27"/>
  <c r="K58" i="27"/>
  <c r="D33" i="27"/>
  <c r="L51" i="27"/>
  <c r="L75" i="27" s="1"/>
  <c r="H28" i="31"/>
  <c r="H45" i="31" s="1"/>
  <c r="D58" i="27"/>
  <c r="H58" i="27"/>
  <c r="L25" i="27"/>
  <c r="H33" i="27"/>
  <c r="V46" i="31"/>
  <c r="W45" i="31"/>
  <c r="V45" i="31"/>
  <c r="X44" i="31"/>
  <c r="H8" i="52" s="1"/>
  <c r="V47" i="31"/>
  <c r="X45" i="30"/>
  <c r="I24" i="52" s="1"/>
  <c r="W47" i="30"/>
  <c r="X43" i="29"/>
  <c r="X42" i="29"/>
  <c r="V42" i="11"/>
  <c r="W43" i="11" s="1"/>
  <c r="W42" i="11"/>
  <c r="U42" i="11"/>
  <c r="C75" i="27"/>
  <c r="G75" i="27"/>
  <c r="K75" i="27"/>
  <c r="C93" i="27"/>
  <c r="G93" i="27"/>
  <c r="K93" i="27"/>
  <c r="C33" i="27"/>
  <c r="G33" i="27"/>
  <c r="K33" i="27"/>
  <c r="B48" i="27"/>
  <c r="F48" i="27"/>
  <c r="F58" i="27" s="1"/>
  <c r="J48" i="27"/>
  <c r="J58" i="27" s="1"/>
  <c r="F75" i="27"/>
  <c r="J75" i="27"/>
  <c r="B93" i="27"/>
  <c r="F93" i="27"/>
  <c r="J93" i="27"/>
  <c r="L31" i="27"/>
  <c r="L33" i="27" s="1"/>
  <c r="E48" i="27"/>
  <c r="E58" i="27" s="1"/>
  <c r="I48" i="27"/>
  <c r="I58" i="27" s="1"/>
  <c r="E75" i="27"/>
  <c r="I75" i="27"/>
  <c r="E93" i="27"/>
  <c r="I93" i="27"/>
  <c r="D75" i="27"/>
  <c r="D93" i="27"/>
  <c r="V43" i="11" l="1"/>
  <c r="W44" i="11" s="1"/>
  <c r="V48" i="31"/>
  <c r="W49" i="31" s="1"/>
  <c r="Y43" i="29"/>
  <c r="Y44" i="29"/>
  <c r="Y42" i="29"/>
  <c r="S46" i="31"/>
  <c r="T47" i="31" s="1"/>
  <c r="U48" i="31" s="1"/>
  <c r="V42" i="28"/>
  <c r="F59" i="52" s="1"/>
  <c r="I29" i="30"/>
  <c r="I46" i="30"/>
  <c r="O46" i="30" s="1"/>
  <c r="R46" i="30" s="1"/>
  <c r="M45" i="11"/>
  <c r="M50" i="11"/>
  <c r="M54" i="11"/>
  <c r="M53" i="11"/>
  <c r="M52" i="11"/>
  <c r="M51" i="11"/>
  <c r="I25" i="28"/>
  <c r="I42" i="28"/>
  <c r="O42" i="28" s="1"/>
  <c r="R42" i="28" s="1"/>
  <c r="F19" i="52" s="1"/>
  <c r="I29" i="31"/>
  <c r="I46" i="31"/>
  <c r="O46" i="31" s="1"/>
  <c r="W51" i="32"/>
  <c r="G25" i="29"/>
  <c r="G42" i="29" s="1"/>
  <c r="I25" i="29"/>
  <c r="I42" i="29"/>
  <c r="M53" i="29"/>
  <c r="M54" i="29"/>
  <c r="M52" i="29"/>
  <c r="M51" i="29"/>
  <c r="F25" i="29"/>
  <c r="F42" i="29" s="1"/>
  <c r="E25" i="29"/>
  <c r="E42" i="29" s="1"/>
  <c r="H25" i="29"/>
  <c r="H42" i="29" s="1"/>
  <c r="M41" i="11"/>
  <c r="M49" i="11"/>
  <c r="M44" i="11"/>
  <c r="M47" i="11"/>
  <c r="W42" i="28"/>
  <c r="F58" i="52"/>
  <c r="U42" i="28"/>
  <c r="E59" i="52" s="1"/>
  <c r="D58" i="52"/>
  <c r="H25" i="28"/>
  <c r="H42" i="28" s="1"/>
  <c r="G25" i="28"/>
  <c r="G42" i="28" s="1"/>
  <c r="F25" i="28"/>
  <c r="F42" i="28" s="1"/>
  <c r="X45" i="31"/>
  <c r="I8" i="52" s="1"/>
  <c r="W47" i="31"/>
  <c r="W48" i="31"/>
  <c r="W46" i="31"/>
  <c r="M42" i="11"/>
  <c r="M48" i="11"/>
  <c r="M46" i="11"/>
  <c r="M44" i="29"/>
  <c r="M48" i="29"/>
  <c r="M43" i="29"/>
  <c r="M47" i="29"/>
  <c r="M42" i="29"/>
  <c r="M46" i="29"/>
  <c r="M50" i="29"/>
  <c r="M41" i="29"/>
  <c r="Q41" i="29" s="1"/>
  <c r="M45" i="29"/>
  <c r="M49" i="29"/>
  <c r="K72" i="27"/>
  <c r="K82" i="27" s="1"/>
  <c r="G72" i="27"/>
  <c r="C72" i="27"/>
  <c r="B58" i="27"/>
  <c r="L48" i="27"/>
  <c r="H72" i="27"/>
  <c r="D72" i="27"/>
  <c r="I72" i="27"/>
  <c r="E72" i="27"/>
  <c r="J72" i="27"/>
  <c r="F72" i="27"/>
  <c r="W43" i="28" l="1"/>
  <c r="G60" i="52" s="1"/>
  <c r="G59" i="52"/>
  <c r="V49" i="31"/>
  <c r="W50" i="31" s="1"/>
  <c r="R46" i="31"/>
  <c r="J23" i="52"/>
  <c r="S47" i="30"/>
  <c r="T48" i="30" s="1"/>
  <c r="U49" i="30" s="1"/>
  <c r="V50" i="30" s="1"/>
  <c r="W51" i="30" s="1"/>
  <c r="X46" i="30"/>
  <c r="J24" i="52" s="1"/>
  <c r="I26" i="28"/>
  <c r="I43" i="28"/>
  <c r="O43" i="28" s="1"/>
  <c r="R43" i="28" s="1"/>
  <c r="I26" i="29"/>
  <c r="I43" i="29"/>
  <c r="Q43" i="29" s="1"/>
  <c r="G26" i="29"/>
  <c r="G43" i="29" s="1"/>
  <c r="H26" i="29"/>
  <c r="H43" i="29" s="1"/>
  <c r="F26" i="29"/>
  <c r="F43" i="29" s="1"/>
  <c r="Q42" i="29"/>
  <c r="S43" i="28"/>
  <c r="T44" i="28" s="1"/>
  <c r="E25" i="28"/>
  <c r="E42" i="28" s="1"/>
  <c r="G26" i="28"/>
  <c r="G43" i="28" s="1"/>
  <c r="V43" i="28"/>
  <c r="H26" i="28"/>
  <c r="H43" i="28" s="1"/>
  <c r="R41" i="28"/>
  <c r="S42" i="28" s="1"/>
  <c r="T41" i="29"/>
  <c r="V42" i="29"/>
  <c r="W43" i="29" s="1"/>
  <c r="X44" i="29" s="1"/>
  <c r="L72" i="27"/>
  <c r="L82" i="27" s="1"/>
  <c r="L58" i="27"/>
  <c r="E29" i="52" l="1"/>
  <c r="Z41" i="29"/>
  <c r="E30" i="52" s="1"/>
  <c r="Y45" i="29"/>
  <c r="S47" i="31"/>
  <c r="J7" i="52"/>
  <c r="X46" i="31"/>
  <c r="J8" i="52" s="1"/>
  <c r="I27" i="28"/>
  <c r="I44" i="28"/>
  <c r="O44" i="28" s="1"/>
  <c r="I27" i="29"/>
  <c r="I44" i="29"/>
  <c r="Q44" i="29" s="1"/>
  <c r="T44" i="29" s="1"/>
  <c r="G27" i="29"/>
  <c r="G44" i="29" s="1"/>
  <c r="H27" i="29"/>
  <c r="H44" i="29" s="1"/>
  <c r="F26" i="28"/>
  <c r="F43" i="28" s="1"/>
  <c r="W44" i="28"/>
  <c r="G61" i="52" s="1"/>
  <c r="F60" i="52"/>
  <c r="H27" i="28"/>
  <c r="H44" i="28" s="1"/>
  <c r="U42" i="29"/>
  <c r="V43" i="29" s="1"/>
  <c r="W44" i="29" s="1"/>
  <c r="X45" i="29" s="1"/>
  <c r="E19" i="52"/>
  <c r="U45" i="28"/>
  <c r="T42" i="28"/>
  <c r="X42" i="28" s="1"/>
  <c r="F20" i="52" s="1"/>
  <c r="G19" i="52"/>
  <c r="T43" i="28"/>
  <c r="T43" i="29"/>
  <c r="T42" i="29"/>
  <c r="S44" i="28"/>
  <c r="X41" i="28"/>
  <c r="E20" i="52" s="1"/>
  <c r="G29" i="52" l="1"/>
  <c r="U43" i="29"/>
  <c r="V44" i="29" s="1"/>
  <c r="W45" i="29" s="1"/>
  <c r="X46" i="29" s="1"/>
  <c r="Z42" i="29"/>
  <c r="F30" i="52" s="1"/>
  <c r="U45" i="29"/>
  <c r="V46" i="29" s="1"/>
  <c r="Y46" i="29"/>
  <c r="T48" i="31"/>
  <c r="U49" i="31" s="1"/>
  <c r="R44" i="28"/>
  <c r="I28" i="28"/>
  <c r="I45" i="28"/>
  <c r="O45" i="28" s="1"/>
  <c r="H28" i="29"/>
  <c r="H45" i="29" s="1"/>
  <c r="I28" i="29"/>
  <c r="I45" i="29"/>
  <c r="Q45" i="29" s="1"/>
  <c r="T45" i="29" s="1"/>
  <c r="G27" i="28"/>
  <c r="G44" i="28" s="1"/>
  <c r="H29" i="52"/>
  <c r="F29" i="52"/>
  <c r="V46" i="28"/>
  <c r="T45" i="28"/>
  <c r="U43" i="28"/>
  <c r="U44" i="28"/>
  <c r="U44" i="29"/>
  <c r="V45" i="29" s="1"/>
  <c r="W46" i="29" s="1"/>
  <c r="X47" i="29" s="1"/>
  <c r="V50" i="31" l="1"/>
  <c r="W51" i="31" s="1"/>
  <c r="R45" i="28"/>
  <c r="S46" i="28" s="1"/>
  <c r="T47" i="28" s="1"/>
  <c r="U48" i="28" s="1"/>
  <c r="Z44" i="29"/>
  <c r="H30" i="52" s="1"/>
  <c r="Z43" i="29"/>
  <c r="G30" i="52" s="1"/>
  <c r="Y47" i="29"/>
  <c r="Y48" i="29"/>
  <c r="Z45" i="29"/>
  <c r="I30" i="52" s="1"/>
  <c r="S45" i="28"/>
  <c r="T46" i="28" s="1"/>
  <c r="U47" i="28" s="1"/>
  <c r="H19" i="52"/>
  <c r="I29" i="29"/>
  <c r="I46" i="29"/>
  <c r="Q46" i="29" s="1"/>
  <c r="T46" i="29" s="1"/>
  <c r="I29" i="52"/>
  <c r="U46" i="29"/>
  <c r="V47" i="29" s="1"/>
  <c r="W48" i="29" s="1"/>
  <c r="X49" i="29" s="1"/>
  <c r="H28" i="28"/>
  <c r="H45" i="28" s="1"/>
  <c r="V44" i="28"/>
  <c r="X44" i="28" s="1"/>
  <c r="H20" i="52" s="1"/>
  <c r="X43" i="28"/>
  <c r="G20" i="52" s="1"/>
  <c r="U46" i="28"/>
  <c r="W47" i="28"/>
  <c r="V45" i="28"/>
  <c r="W47" i="29"/>
  <c r="V49" i="28" l="1"/>
  <c r="W50" i="28" s="1"/>
  <c r="V48" i="28"/>
  <c r="W49" i="28" s="1"/>
  <c r="I19" i="52"/>
  <c r="Z46" i="29"/>
  <c r="J30" i="52" s="1"/>
  <c r="Y50" i="29"/>
  <c r="I29" i="28"/>
  <c r="I46" i="28"/>
  <c r="O46" i="28" s="1"/>
  <c r="J29" i="52"/>
  <c r="U47" i="29"/>
  <c r="V48" i="29" s="1"/>
  <c r="W49" i="29" s="1"/>
  <c r="X50" i="29" s="1"/>
  <c r="W46" i="28"/>
  <c r="W45" i="28"/>
  <c r="X45" i="28" s="1"/>
  <c r="I20" i="52" s="1"/>
  <c r="V47" i="28"/>
  <c r="X48" i="29"/>
  <c r="Y49" i="29" s="1"/>
  <c r="Y51" i="29" l="1"/>
  <c r="R46" i="28"/>
  <c r="J19" i="52" s="1"/>
  <c r="W48" i="28"/>
  <c r="X46" i="28" l="1"/>
  <c r="J20" i="52" s="1"/>
  <c r="S47" i="28"/>
  <c r="T48" i="28" s="1"/>
  <c r="U49" i="28" s="1"/>
  <c r="O41" i="11"/>
  <c r="V50" i="28" l="1"/>
  <c r="W51" i="28" s="1"/>
  <c r="H25" i="11"/>
  <c r="H42" i="11" s="1"/>
  <c r="R41" i="11"/>
  <c r="I25" i="11" l="1"/>
  <c r="I42" i="11"/>
  <c r="O42" i="11" s="1"/>
  <c r="I26" i="11"/>
  <c r="I43" i="11"/>
  <c r="O43" i="11" s="1"/>
  <c r="G72" i="52"/>
  <c r="F25" i="11"/>
  <c r="F42" i="11" s="1"/>
  <c r="G25" i="11"/>
  <c r="G42" i="11" s="1"/>
  <c r="F72" i="52"/>
  <c r="E21" i="52"/>
  <c r="E51" i="52" s="1"/>
  <c r="E53" i="52" s="1"/>
  <c r="B58" i="52"/>
  <c r="S42" i="11"/>
  <c r="R43" i="11" l="1"/>
  <c r="G21" i="52" s="1"/>
  <c r="G51" i="52" s="1"/>
  <c r="G53" i="52" s="1"/>
  <c r="R42" i="11"/>
  <c r="E25" i="11"/>
  <c r="E42" i="11" s="1"/>
  <c r="D72" i="52"/>
  <c r="G26" i="11"/>
  <c r="G43" i="11" s="1"/>
  <c r="F73" i="52"/>
  <c r="G73" i="52"/>
  <c r="H26" i="11"/>
  <c r="H43" i="11" s="1"/>
  <c r="T42" i="11"/>
  <c r="C58" i="52"/>
  <c r="H58" i="52" s="1"/>
  <c r="T43" i="11"/>
  <c r="C59" i="52"/>
  <c r="X41" i="11"/>
  <c r="E22" i="52" s="1"/>
  <c r="E52" i="52" s="1"/>
  <c r="E54" i="52" s="1"/>
  <c r="E73" i="52" l="1"/>
  <c r="S44" i="11"/>
  <c r="B60" i="52"/>
  <c r="I27" i="11"/>
  <c r="I44" i="11"/>
  <c r="O44" i="11" s="1"/>
  <c r="S43" i="11"/>
  <c r="F21" i="52"/>
  <c r="F51" i="52" s="1"/>
  <c r="F53" i="52" s="1"/>
  <c r="B59" i="52"/>
  <c r="X42" i="11"/>
  <c r="F22" i="52" s="1"/>
  <c r="F52" i="52" s="1"/>
  <c r="F54" i="52" s="1"/>
  <c r="F26" i="11"/>
  <c r="F43" i="11" s="1"/>
  <c r="H27" i="11"/>
  <c r="H44" i="11" s="1"/>
  <c r="G74" i="52"/>
  <c r="U43" i="11"/>
  <c r="E60" i="52" s="1"/>
  <c r="D59" i="52"/>
  <c r="U44" i="11"/>
  <c r="E61" i="52" s="1"/>
  <c r="D60" i="52"/>
  <c r="C61" i="52" l="1"/>
  <c r="T45" i="11"/>
  <c r="H59" i="52"/>
  <c r="C60" i="52"/>
  <c r="T44" i="11"/>
  <c r="R44" i="11"/>
  <c r="I28" i="11"/>
  <c r="I45" i="11"/>
  <c r="O45" i="11" s="1"/>
  <c r="G27" i="11"/>
  <c r="G44" i="11" s="1"/>
  <c r="F74" i="52"/>
  <c r="V45" i="11"/>
  <c r="V44" i="11"/>
  <c r="X43" i="11"/>
  <c r="G22" i="52" s="1"/>
  <c r="G52" i="52" s="1"/>
  <c r="G54" i="52" s="1"/>
  <c r="U46" i="11" l="1"/>
  <c r="E63" i="52" s="1"/>
  <c r="D62" i="52"/>
  <c r="R45" i="11"/>
  <c r="I21" i="52" s="1"/>
  <c r="I51" i="52" s="1"/>
  <c r="I53" i="52" s="1"/>
  <c r="H60" i="52"/>
  <c r="U45" i="11"/>
  <c r="E62" i="52" s="1"/>
  <c r="D61" i="52"/>
  <c r="X44" i="11"/>
  <c r="H22" i="52" s="1"/>
  <c r="H52" i="52" s="1"/>
  <c r="H54" i="52" s="1"/>
  <c r="H21" i="52"/>
  <c r="H51" i="52" s="1"/>
  <c r="H53" i="52" s="1"/>
  <c r="B61" i="52"/>
  <c r="S45" i="11"/>
  <c r="H28" i="11"/>
  <c r="H45" i="11" s="1"/>
  <c r="G75" i="52"/>
  <c r="W46" i="11"/>
  <c r="G63" i="52" s="1"/>
  <c r="F62" i="52"/>
  <c r="W45" i="11"/>
  <c r="G62" i="52" s="1"/>
  <c r="F61" i="52"/>
  <c r="V47" i="11" l="1"/>
  <c r="B62" i="52"/>
  <c r="S46" i="11"/>
  <c r="V46" i="11"/>
  <c r="C62" i="52"/>
  <c r="T46" i="11"/>
  <c r="I29" i="11"/>
  <c r="I46" i="11"/>
  <c r="O46" i="11" s="1"/>
  <c r="H61" i="52"/>
  <c r="X45" i="11"/>
  <c r="I22" i="52" s="1"/>
  <c r="I52" i="52" s="1"/>
  <c r="I54" i="52" s="1"/>
  <c r="W48" i="11" l="1"/>
  <c r="G65" i="52" s="1"/>
  <c r="F64" i="52"/>
  <c r="C63" i="52"/>
  <c r="T47" i="11"/>
  <c r="R46" i="11"/>
  <c r="X46" i="11" s="1"/>
  <c r="J22" i="52" s="1"/>
  <c r="J52" i="52" s="1"/>
  <c r="J54" i="52" s="1"/>
  <c r="H62" i="52"/>
  <c r="F63" i="52"/>
  <c r="W47" i="11"/>
  <c r="G64" i="52" s="1"/>
  <c r="D63" i="52"/>
  <c r="U47" i="11"/>
  <c r="E64" i="52" s="1"/>
  <c r="B63" i="52" l="1"/>
  <c r="H63" i="52" s="1"/>
  <c r="U48" i="11"/>
  <c r="E65" i="52" s="1"/>
  <c r="D64" i="52"/>
  <c r="J21" i="52"/>
  <c r="J51" i="52" s="1"/>
  <c r="J53" i="52" s="1"/>
  <c r="S47" i="11"/>
  <c r="V48" i="11"/>
  <c r="V49" i="11" l="1"/>
  <c r="T48" i="11"/>
  <c r="C64" i="52"/>
  <c r="W49" i="11"/>
  <c r="G66" i="52" s="1"/>
  <c r="F65" i="52"/>
  <c r="W50" i="11" l="1"/>
  <c r="G67" i="52" s="1"/>
  <c r="F66" i="52"/>
  <c r="U49" i="11"/>
  <c r="E66" i="52" s="1"/>
  <c r="D65" i="52"/>
  <c r="V50" i="11" l="1"/>
  <c r="W51" i="11" l="1"/>
  <c r="F67" i="52"/>
  <c r="D25" i="45" l="1"/>
  <c r="D42" i="45" s="1"/>
  <c r="D25" i="11"/>
  <c r="D42" i="11" s="1"/>
  <c r="D25" i="44"/>
  <c r="D42" i="44" s="1"/>
  <c r="D25" i="43"/>
  <c r="D42" i="43" s="1"/>
  <c r="D25" i="35"/>
  <c r="D42" i="35" s="1"/>
  <c r="D25" i="38"/>
  <c r="D42" i="38" s="1"/>
  <c r="D25" i="47"/>
  <c r="D42" i="47" s="1"/>
  <c r="D25" i="28"/>
  <c r="D42" i="28" s="1"/>
  <c r="D25" i="32"/>
  <c r="D42" i="32" s="1"/>
  <c r="D25" i="37"/>
  <c r="D42" i="37" s="1"/>
  <c r="D25" i="34"/>
  <c r="D42" i="34" s="1"/>
  <c r="D25" i="29"/>
  <c r="D42" i="29" s="1"/>
  <c r="D25" i="50"/>
  <c r="D42" i="50" s="1"/>
  <c r="D25" i="49"/>
  <c r="D42" i="49" s="1"/>
  <c r="D25" i="31"/>
  <c r="D42" i="31" s="1"/>
  <c r="D25" i="39"/>
  <c r="D42" i="39" s="1"/>
  <c r="D25" i="48"/>
  <c r="D42" i="48" s="1"/>
  <c r="D25" i="30"/>
  <c r="D42" i="30" s="1"/>
  <c r="D25" i="41"/>
  <c r="D42" i="41" s="1"/>
  <c r="D25" i="36"/>
  <c r="D42" i="36" s="1"/>
  <c r="D25" i="46" l="1"/>
  <c r="D25" i="42"/>
  <c r="D42" i="42" s="1"/>
  <c r="C72" i="52"/>
  <c r="E26" i="41"/>
  <c r="E43" i="41" s="1"/>
  <c r="E26" i="30"/>
  <c r="E43" i="30" s="1"/>
  <c r="E26" i="48"/>
  <c r="E43" i="48" s="1"/>
  <c r="E26" i="39"/>
  <c r="E43" i="39" s="1"/>
  <c r="D25" i="33"/>
  <c r="D42" i="33" s="1"/>
  <c r="E26" i="50"/>
  <c r="E43" i="50" s="1"/>
  <c r="E26" i="34"/>
  <c r="E43" i="34" s="1"/>
  <c r="E26" i="11"/>
  <c r="E43" i="11" s="1"/>
  <c r="E26" i="36"/>
  <c r="E43" i="36" s="1"/>
  <c r="E26" i="49"/>
  <c r="E43" i="49" s="1"/>
  <c r="E26" i="47"/>
  <c r="E43" i="47" s="1"/>
  <c r="E26" i="31"/>
  <c r="E43" i="31" s="1"/>
  <c r="E26" i="45"/>
  <c r="E43" i="45" s="1"/>
  <c r="E26" i="44"/>
  <c r="E43" i="44" s="1"/>
  <c r="E26" i="29"/>
  <c r="E43" i="29" s="1"/>
  <c r="E26" i="37"/>
  <c r="E43" i="37" s="1"/>
  <c r="E26" i="32"/>
  <c r="E43" i="32" s="1"/>
  <c r="E26" i="28"/>
  <c r="E43" i="28" s="1"/>
  <c r="E26" i="38"/>
  <c r="E43" i="38" s="1"/>
  <c r="E26" i="35"/>
  <c r="E43" i="35" s="1"/>
  <c r="E26" i="43"/>
  <c r="E43" i="43" s="1"/>
  <c r="E26" i="46" l="1"/>
  <c r="E43" i="46" s="1"/>
  <c r="D42" i="46"/>
  <c r="E26" i="42"/>
  <c r="D73" i="52"/>
  <c r="F27" i="35"/>
  <c r="F44" i="35" s="1"/>
  <c r="F27" i="38"/>
  <c r="F44" i="38" s="1"/>
  <c r="F27" i="28"/>
  <c r="F44" i="28" s="1"/>
  <c r="F27" i="37"/>
  <c r="F44" i="37" s="1"/>
  <c r="F27" i="45"/>
  <c r="F44" i="45" s="1"/>
  <c r="F27" i="46"/>
  <c r="F44" i="46" s="1"/>
  <c r="F27" i="31"/>
  <c r="F44" i="31" s="1"/>
  <c r="F27" i="32"/>
  <c r="F44" i="32" s="1"/>
  <c r="F27" i="30"/>
  <c r="F44" i="30" s="1"/>
  <c r="F27" i="43"/>
  <c r="F44" i="43" s="1"/>
  <c r="F27" i="29"/>
  <c r="F44" i="29" s="1"/>
  <c r="F27" i="44"/>
  <c r="F44" i="44" s="1"/>
  <c r="F27" i="36"/>
  <c r="F44" i="36" s="1"/>
  <c r="F27" i="50"/>
  <c r="F44" i="50" s="1"/>
  <c r="F27" i="47"/>
  <c r="F44" i="47" s="1"/>
  <c r="F27" i="49"/>
  <c r="F44" i="49" s="1"/>
  <c r="F27" i="11"/>
  <c r="F44" i="11" s="1"/>
  <c r="F27" i="34"/>
  <c r="F44" i="34" s="1"/>
  <c r="E26" i="33"/>
  <c r="E43" i="33" s="1"/>
  <c r="F27" i="39"/>
  <c r="F44" i="39" s="1"/>
  <c r="F27" i="48"/>
  <c r="F44" i="48" s="1"/>
  <c r="F27" i="41"/>
  <c r="F44" i="41" s="1"/>
  <c r="F27" i="42" l="1"/>
  <c r="F44" i="42" s="1"/>
  <c r="E43" i="42"/>
  <c r="E74" i="52"/>
  <c r="F27" i="33"/>
  <c r="G28" i="34"/>
  <c r="G45" i="34" s="1"/>
  <c r="G28" i="11"/>
  <c r="G45" i="11" s="1"/>
  <c r="G28" i="49"/>
  <c r="G45" i="49" s="1"/>
  <c r="G28" i="47"/>
  <c r="G45" i="47" s="1"/>
  <c r="G28" i="50"/>
  <c r="G45" i="50" s="1"/>
  <c r="G28" i="48"/>
  <c r="G45" i="48" s="1"/>
  <c r="G28" i="44"/>
  <c r="G45" i="44" s="1"/>
  <c r="G28" i="46"/>
  <c r="G45" i="46" s="1"/>
  <c r="G28" i="37"/>
  <c r="G45" i="37" s="1"/>
  <c r="G28" i="28"/>
  <c r="G45" i="28" s="1"/>
  <c r="G28" i="38"/>
  <c r="G45" i="38" s="1"/>
  <c r="G28" i="35"/>
  <c r="G45" i="35" s="1"/>
  <c r="G28" i="36"/>
  <c r="G45" i="36" s="1"/>
  <c r="G28" i="43"/>
  <c r="G45" i="43" s="1"/>
  <c r="G28" i="30"/>
  <c r="G45" i="30" s="1"/>
  <c r="G28" i="32"/>
  <c r="G45" i="32" s="1"/>
  <c r="G28" i="41"/>
  <c r="G45" i="41" s="1"/>
  <c r="G28" i="39"/>
  <c r="G45" i="39" s="1"/>
  <c r="G28" i="29"/>
  <c r="G45" i="29" s="1"/>
  <c r="G28" i="31"/>
  <c r="G45" i="31" s="1"/>
  <c r="G28" i="45"/>
  <c r="G45" i="45" s="1"/>
  <c r="G28" i="42"/>
  <c r="G45" i="42" s="1"/>
  <c r="F75" i="52" l="1"/>
  <c r="F44" i="33"/>
  <c r="H29" i="29"/>
  <c r="H46" i="29" s="1"/>
  <c r="H29" i="39"/>
  <c r="H46" i="39" s="1"/>
  <c r="H29" i="45"/>
  <c r="H46" i="45" s="1"/>
  <c r="H29" i="30"/>
  <c r="H46" i="30" s="1"/>
  <c r="H29" i="38"/>
  <c r="H46" i="38" s="1"/>
  <c r="H29" i="28"/>
  <c r="H46" i="28" s="1"/>
  <c r="H29" i="37"/>
  <c r="H46" i="37" s="1"/>
  <c r="H29" i="46"/>
  <c r="H46" i="46" s="1"/>
  <c r="H29" i="50"/>
  <c r="H46" i="50" s="1"/>
  <c r="H29" i="47"/>
  <c r="H46" i="47" s="1"/>
  <c r="H29" i="41"/>
  <c r="H46" i="41" s="1"/>
  <c r="H29" i="36"/>
  <c r="H46" i="36" s="1"/>
  <c r="H29" i="48"/>
  <c r="H46" i="48" s="1"/>
  <c r="H29" i="11"/>
  <c r="H46" i="11" s="1"/>
  <c r="H29" i="34"/>
  <c r="H46" i="34" s="1"/>
  <c r="G28" i="33"/>
  <c r="H29" i="42"/>
  <c r="H46" i="42" s="1"/>
  <c r="H29" i="31"/>
  <c r="H46" i="31" s="1"/>
  <c r="H29" i="32"/>
  <c r="H46" i="32" s="1"/>
  <c r="H29" i="43"/>
  <c r="H46" i="43" s="1"/>
  <c r="H29" i="35"/>
  <c r="H46" i="35" s="1"/>
  <c r="H29" i="44"/>
  <c r="H46" i="44" s="1"/>
  <c r="H29" i="49"/>
  <c r="H46" i="49" s="1"/>
  <c r="G76" i="52" l="1"/>
  <c r="G45" i="33"/>
  <c r="I47" i="42"/>
  <c r="O47" i="42" s="1"/>
  <c r="R47" i="42" s="1"/>
  <c r="I30" i="42"/>
  <c r="I47" i="48"/>
  <c r="O47" i="48" s="1"/>
  <c r="R47" i="48" s="1"/>
  <c r="I30" i="48"/>
  <c r="I47" i="47"/>
  <c r="O47" i="47" s="1"/>
  <c r="R47" i="47" s="1"/>
  <c r="I30" i="47"/>
  <c r="I47" i="50"/>
  <c r="O47" i="50" s="1"/>
  <c r="R47" i="50" s="1"/>
  <c r="I30" i="50"/>
  <c r="I30" i="44"/>
  <c r="I47" i="44"/>
  <c r="O47" i="44" s="1"/>
  <c r="R47" i="44" s="1"/>
  <c r="I47" i="43"/>
  <c r="O47" i="43" s="1"/>
  <c r="R47" i="43" s="1"/>
  <c r="I30" i="43"/>
  <c r="I47" i="34"/>
  <c r="O47" i="34" s="1"/>
  <c r="R47" i="34" s="1"/>
  <c r="I30" i="34"/>
  <c r="I47" i="46"/>
  <c r="O47" i="46" s="1"/>
  <c r="R47" i="46" s="1"/>
  <c r="I30" i="46"/>
  <c r="I47" i="37"/>
  <c r="O47" i="37" s="1"/>
  <c r="R47" i="37" s="1"/>
  <c r="I30" i="37"/>
  <c r="I47" i="38"/>
  <c r="O47" i="38" s="1"/>
  <c r="R47" i="38" s="1"/>
  <c r="I30" i="38"/>
  <c r="I47" i="39"/>
  <c r="O47" i="39" s="1"/>
  <c r="R47" i="39" s="1"/>
  <c r="I30" i="39"/>
  <c r="I47" i="32"/>
  <c r="O47" i="32" s="1"/>
  <c r="R47" i="32" s="1"/>
  <c r="I30" i="32"/>
  <c r="I47" i="31"/>
  <c r="O47" i="31" s="1"/>
  <c r="R47" i="31" s="1"/>
  <c r="I30" i="31"/>
  <c r="I47" i="36"/>
  <c r="O47" i="36" s="1"/>
  <c r="R47" i="36" s="1"/>
  <c r="I30" i="36"/>
  <c r="I47" i="41"/>
  <c r="O47" i="41" s="1"/>
  <c r="R47" i="41" s="1"/>
  <c r="I30" i="41"/>
  <c r="I47" i="49"/>
  <c r="O47" i="49" s="1"/>
  <c r="R47" i="49" s="1"/>
  <c r="I30" i="49"/>
  <c r="I47" i="35"/>
  <c r="O47" i="35" s="1"/>
  <c r="R47" i="35" s="1"/>
  <c r="I30" i="35"/>
  <c r="H29" i="33"/>
  <c r="H46" i="33" s="1"/>
  <c r="I47" i="11"/>
  <c r="O47" i="11" s="1"/>
  <c r="R47" i="11" s="1"/>
  <c r="I30" i="11"/>
  <c r="I47" i="28"/>
  <c r="O47" i="28" s="1"/>
  <c r="R47" i="28" s="1"/>
  <c r="I30" i="28"/>
  <c r="I47" i="30"/>
  <c r="O47" i="30" s="1"/>
  <c r="R47" i="30" s="1"/>
  <c r="I30" i="30"/>
  <c r="I47" i="45"/>
  <c r="O47" i="45" s="1"/>
  <c r="R47" i="45" s="1"/>
  <c r="I30" i="45"/>
  <c r="I47" i="29"/>
  <c r="Q47" i="29" s="1"/>
  <c r="T47" i="29" s="1"/>
  <c r="I30" i="29"/>
  <c r="K13" i="52" l="1"/>
  <c r="S48" i="35"/>
  <c r="T49" i="35" s="1"/>
  <c r="U50" i="35" s="1"/>
  <c r="V51" i="35" s="1"/>
  <c r="W52" i="35" s="1"/>
  <c r="X47" i="35"/>
  <c r="K14" i="52" s="1"/>
  <c r="K31" i="52"/>
  <c r="S48" i="41"/>
  <c r="T49" i="41" s="1"/>
  <c r="U50" i="41" s="1"/>
  <c r="V51" i="41" s="1"/>
  <c r="W52" i="41" s="1"/>
  <c r="X47" i="41"/>
  <c r="K32" i="52" s="1"/>
  <c r="X47" i="36"/>
  <c r="K16" i="52" s="1"/>
  <c r="K15" i="52"/>
  <c r="S48" i="36"/>
  <c r="T49" i="36" s="1"/>
  <c r="U50" i="36" s="1"/>
  <c r="V51" i="36" s="1"/>
  <c r="W52" i="36" s="1"/>
  <c r="S48" i="37"/>
  <c r="T49" i="37" s="1"/>
  <c r="U50" i="37" s="1"/>
  <c r="V51" i="37" s="1"/>
  <c r="W52" i="37" s="1"/>
  <c r="K17" i="52"/>
  <c r="X47" i="37"/>
  <c r="K18" i="52" s="1"/>
  <c r="K29" i="52"/>
  <c r="U48" i="29"/>
  <c r="V49" i="29" s="1"/>
  <c r="W50" i="29" s="1"/>
  <c r="X51" i="29" s="1"/>
  <c r="Z47" i="29"/>
  <c r="K30" i="52" s="1"/>
  <c r="S48" i="30"/>
  <c r="T49" i="30" s="1"/>
  <c r="U50" i="30" s="1"/>
  <c r="V51" i="30" s="1"/>
  <c r="W52" i="30" s="1"/>
  <c r="K23" i="52"/>
  <c r="X47" i="30"/>
  <c r="K24" i="52" s="1"/>
  <c r="I47" i="33"/>
  <c r="O47" i="33" s="1"/>
  <c r="R47" i="33" s="1"/>
  <c r="B64" i="52" s="1"/>
  <c r="H64" i="52" s="1"/>
  <c r="I30" i="33"/>
  <c r="K5" i="52"/>
  <c r="S48" i="32"/>
  <c r="X47" i="32"/>
  <c r="K6" i="52" s="1"/>
  <c r="X47" i="39"/>
  <c r="K28" i="52" s="1"/>
  <c r="K27" i="52"/>
  <c r="S48" i="39"/>
  <c r="T49" i="39" s="1"/>
  <c r="U50" i="39" s="1"/>
  <c r="V51" i="39" s="1"/>
  <c r="W52" i="39" s="1"/>
  <c r="S48" i="34"/>
  <c r="T49" i="34" s="1"/>
  <c r="U50" i="34" s="1"/>
  <c r="V51" i="34" s="1"/>
  <c r="W52" i="34" s="1"/>
  <c r="K11" i="52"/>
  <c r="X47" i="34"/>
  <c r="K12" i="52" s="1"/>
  <c r="S48" i="43"/>
  <c r="T49" i="43" s="1"/>
  <c r="U50" i="43" s="1"/>
  <c r="V51" i="43" s="1"/>
  <c r="W52" i="43" s="1"/>
  <c r="K35" i="52"/>
  <c r="X47" i="43"/>
  <c r="K36" i="52" s="1"/>
  <c r="K49" i="52"/>
  <c r="X47" i="50"/>
  <c r="K50" i="52" s="1"/>
  <c r="S48" i="50"/>
  <c r="T49" i="50" s="1"/>
  <c r="U50" i="50" s="1"/>
  <c r="V51" i="50" s="1"/>
  <c r="W52" i="50" s="1"/>
  <c r="S48" i="47"/>
  <c r="T49" i="47" s="1"/>
  <c r="U50" i="47" s="1"/>
  <c r="V51" i="47" s="1"/>
  <c r="W52" i="47" s="1"/>
  <c r="K43" i="52"/>
  <c r="X47" i="47"/>
  <c r="K44" i="52" s="1"/>
  <c r="K21" i="52"/>
  <c r="S48" i="11"/>
  <c r="T49" i="11" s="1"/>
  <c r="U50" i="11" s="1"/>
  <c r="V51" i="11" s="1"/>
  <c r="W52" i="11" s="1"/>
  <c r="X47" i="11"/>
  <c r="K22" i="52" s="1"/>
  <c r="K47" i="52"/>
  <c r="X47" i="49"/>
  <c r="K48" i="52" s="1"/>
  <c r="S48" i="49"/>
  <c r="T49" i="49" s="1"/>
  <c r="U50" i="49" s="1"/>
  <c r="V51" i="49" s="1"/>
  <c r="W52" i="49" s="1"/>
  <c r="K25" i="52"/>
  <c r="S48" i="38"/>
  <c r="T49" i="38" s="1"/>
  <c r="U50" i="38" s="1"/>
  <c r="V51" i="38" s="1"/>
  <c r="W52" i="38" s="1"/>
  <c r="X47" i="38"/>
  <c r="K26" i="52" s="1"/>
  <c r="K41" i="52"/>
  <c r="S48" i="46"/>
  <c r="T49" i="46" s="1"/>
  <c r="U50" i="46" s="1"/>
  <c r="V51" i="46" s="1"/>
  <c r="W52" i="46" s="1"/>
  <c r="X47" i="46"/>
  <c r="K42" i="52" s="1"/>
  <c r="K45" i="52"/>
  <c r="X47" i="48"/>
  <c r="K46" i="52" s="1"/>
  <c r="S48" i="48"/>
  <c r="T49" i="48" s="1"/>
  <c r="U50" i="48" s="1"/>
  <c r="V51" i="48" s="1"/>
  <c r="W52" i="48" s="1"/>
  <c r="K33" i="52"/>
  <c r="S48" i="42"/>
  <c r="T49" i="42" s="1"/>
  <c r="U50" i="42" s="1"/>
  <c r="V51" i="42" s="1"/>
  <c r="W52" i="42" s="1"/>
  <c r="X47" i="42"/>
  <c r="K34" i="52" s="1"/>
  <c r="K39" i="52"/>
  <c r="X47" i="45"/>
  <c r="K40" i="52" s="1"/>
  <c r="S48" i="45"/>
  <c r="T49" i="45" s="1"/>
  <c r="U50" i="45" s="1"/>
  <c r="V51" i="45" s="1"/>
  <c r="W52" i="45" s="1"/>
  <c r="S48" i="28"/>
  <c r="T49" i="28" s="1"/>
  <c r="U50" i="28" s="1"/>
  <c r="V51" i="28" s="1"/>
  <c r="W52" i="28" s="1"/>
  <c r="K19" i="52"/>
  <c r="X47" i="28"/>
  <c r="K20" i="52" s="1"/>
  <c r="K7" i="52"/>
  <c r="S48" i="31"/>
  <c r="T49" i="31" s="1"/>
  <c r="U50" i="31" s="1"/>
  <c r="V51" i="31" s="1"/>
  <c r="W52" i="31" s="1"/>
  <c r="X47" i="31"/>
  <c r="K8" i="52" s="1"/>
  <c r="K37" i="52"/>
  <c r="S48" i="44"/>
  <c r="T49" i="44" s="1"/>
  <c r="U50" i="44" s="1"/>
  <c r="V51" i="44" s="1"/>
  <c r="W52" i="44" s="1"/>
  <c r="X47" i="44"/>
  <c r="K38" i="52" s="1"/>
  <c r="T49" i="32" l="1"/>
  <c r="K9" i="52"/>
  <c r="K51" i="52" s="1"/>
  <c r="K53" i="52" s="1"/>
  <c r="S48" i="33"/>
  <c r="T49" i="33" s="1"/>
  <c r="U50" i="33" s="1"/>
  <c r="V51" i="33" s="1"/>
  <c r="W52" i="33" s="1"/>
  <c r="X47" i="33"/>
  <c r="K10" i="52" s="1"/>
  <c r="K52" i="52" s="1"/>
  <c r="K54" i="52" s="1"/>
  <c r="Y52" i="29"/>
  <c r="U50" i="32" l="1"/>
  <c r="D66" i="52"/>
  <c r="C65" i="52"/>
  <c r="E67" i="52" l="1"/>
  <c r="V51" i="32"/>
  <c r="W52" i="32" s="1"/>
  <c r="B26" i="38" l="1"/>
  <c r="B43" i="38" s="1"/>
  <c r="B26" i="28" l="1"/>
  <c r="B43" i="28" s="1"/>
  <c r="B28" i="38"/>
  <c r="B45" i="38" s="1"/>
  <c r="B26" i="37"/>
  <c r="B43" i="37" s="1"/>
  <c r="B27" i="38"/>
  <c r="B44" i="38" s="1"/>
  <c r="B25" i="38"/>
  <c r="B42" i="38" s="1"/>
  <c r="B25" i="28"/>
  <c r="B42" i="28" s="1"/>
  <c r="C27" i="38"/>
  <c r="C44" i="38" s="1"/>
  <c r="B28" i="28" l="1"/>
  <c r="B45" i="28" s="1"/>
  <c r="B25" i="33"/>
  <c r="B42" i="33" s="1"/>
  <c r="B25" i="31"/>
  <c r="B27" i="28"/>
  <c r="B44" i="28" s="1"/>
  <c r="B26" i="29"/>
  <c r="B26" i="48"/>
  <c r="B43" i="48" s="1"/>
  <c r="B27" i="43"/>
  <c r="B28" i="34"/>
  <c r="B45" i="34" s="1"/>
  <c r="B28" i="41"/>
  <c r="B28" i="50"/>
  <c r="B27" i="31"/>
  <c r="B25" i="44"/>
  <c r="B25" i="46"/>
  <c r="B42" i="46" s="1"/>
  <c r="B27" i="37"/>
  <c r="B44" i="37" s="1"/>
  <c r="B27" i="35"/>
  <c r="B44" i="35" s="1"/>
  <c r="B28" i="47"/>
  <c r="B45" i="47" s="1"/>
  <c r="B27" i="41"/>
  <c r="B44" i="41" s="1"/>
  <c r="C27" i="28"/>
  <c r="C44" i="28" s="1"/>
  <c r="C26" i="28"/>
  <c r="C43" i="28" s="1"/>
  <c r="C27" i="37"/>
  <c r="C44" i="37" s="1"/>
  <c r="C29" i="38"/>
  <c r="C46" i="38" s="1"/>
  <c r="B25" i="29"/>
  <c r="B42" i="29" s="1"/>
  <c r="B27" i="48"/>
  <c r="B44" i="48" s="1"/>
  <c r="B26" i="31"/>
  <c r="B43" i="31" s="1"/>
  <c r="B27" i="42"/>
  <c r="B44" i="42" s="1"/>
  <c r="B27" i="49"/>
  <c r="B44" i="49" s="1"/>
  <c r="B26" i="11"/>
  <c r="B43" i="11" s="1"/>
  <c r="B25" i="41"/>
  <c r="B42" i="41" s="1"/>
  <c r="B27" i="29"/>
  <c r="B44" i="29" s="1"/>
  <c r="B29" i="38"/>
  <c r="B46" i="38" s="1"/>
  <c r="C26" i="38"/>
  <c r="C43" i="38" s="1"/>
  <c r="C28" i="38"/>
  <c r="C45" i="38" s="1"/>
  <c r="B26" i="32"/>
  <c r="B43" i="32" s="1"/>
  <c r="D28" i="38"/>
  <c r="D45" i="38" s="1"/>
  <c r="B27" i="32"/>
  <c r="B44" i="32" s="1"/>
  <c r="B25" i="32"/>
  <c r="B42" i="32" s="1"/>
  <c r="B28" i="32"/>
  <c r="B45" i="32" s="1"/>
  <c r="B26" i="45"/>
  <c r="B43" i="45" s="1"/>
  <c r="B27" i="44"/>
  <c r="B44" i="44" s="1"/>
  <c r="B26" i="43"/>
  <c r="B43" i="43" s="1"/>
  <c r="B27" i="33"/>
  <c r="B44" i="33" s="1"/>
  <c r="B28" i="43"/>
  <c r="B45" i="43" s="1"/>
  <c r="B26" i="47"/>
  <c r="B43" i="47" s="1"/>
  <c r="B28" i="49"/>
  <c r="B45" i="49" s="1"/>
  <c r="B25" i="36"/>
  <c r="B42" i="36" s="1"/>
  <c r="B27" i="11"/>
  <c r="B44" i="11" s="1"/>
  <c r="B28" i="36"/>
  <c r="B45" i="36" s="1"/>
  <c r="B26" i="50"/>
  <c r="B43" i="50" s="1"/>
  <c r="B25" i="50"/>
  <c r="B42" i="50" s="1"/>
  <c r="B28" i="44"/>
  <c r="B45" i="44" s="1"/>
  <c r="B25" i="30"/>
  <c r="B42" i="30" s="1"/>
  <c r="B28" i="48"/>
  <c r="B45" i="48" s="1"/>
  <c r="B28" i="11"/>
  <c r="B45" i="11" s="1"/>
  <c r="B25" i="47"/>
  <c r="B42" i="47" s="1"/>
  <c r="B25" i="37"/>
  <c r="B42" i="37" s="1"/>
  <c r="B25" i="35"/>
  <c r="B42" i="35" s="1"/>
  <c r="B26" i="42"/>
  <c r="B43" i="42" s="1"/>
  <c r="B28" i="35"/>
  <c r="B45" i="35" s="1"/>
  <c r="B25" i="48"/>
  <c r="B42" i="48" s="1"/>
  <c r="B28" i="30"/>
  <c r="B45" i="30" s="1"/>
  <c r="B27" i="36"/>
  <c r="B44" i="36" s="1"/>
  <c r="B27" i="30"/>
  <c r="B44" i="30" s="1"/>
  <c r="B26" i="35"/>
  <c r="B43" i="35" s="1"/>
  <c r="B28" i="42"/>
  <c r="B45" i="42" s="1"/>
  <c r="B27" i="47"/>
  <c r="B44" i="47" s="1"/>
  <c r="B25" i="49"/>
  <c r="B42" i="49" s="1"/>
  <c r="B26" i="49"/>
  <c r="B43" i="49" s="1"/>
  <c r="B26" i="44"/>
  <c r="B43" i="44" s="1"/>
  <c r="B25" i="43"/>
  <c r="B42" i="43" s="1"/>
  <c r="B26" i="36"/>
  <c r="B43" i="36" s="1"/>
  <c r="B26" i="33"/>
  <c r="B43" i="33" s="1"/>
  <c r="B27" i="34"/>
  <c r="B44" i="34" s="1"/>
  <c r="B25" i="34"/>
  <c r="B42" i="34" s="1"/>
  <c r="B28" i="31"/>
  <c r="B45" i="31" s="1"/>
  <c r="B28" i="33"/>
  <c r="B45" i="33" s="1"/>
  <c r="B25" i="42"/>
  <c r="B42" i="42" s="1"/>
  <c r="B25" i="11"/>
  <c r="B42" i="11" s="1"/>
  <c r="B26" i="34"/>
  <c r="B43" i="34" s="1"/>
  <c r="B26" i="41"/>
  <c r="B43" i="41" s="1"/>
  <c r="B28" i="29"/>
  <c r="B45" i="29" s="1"/>
  <c r="B28" i="37"/>
  <c r="B45" i="37" s="1"/>
  <c r="B27" i="50"/>
  <c r="B44" i="50" s="1"/>
  <c r="B26" i="30"/>
  <c r="B43" i="30" s="1"/>
  <c r="C29" i="41" l="1"/>
  <c r="C46" i="41" s="1"/>
  <c r="B45" i="41"/>
  <c r="C27" i="29"/>
  <c r="C44" i="29" s="1"/>
  <c r="B43" i="29"/>
  <c r="C26" i="44"/>
  <c r="C43" i="44" s="1"/>
  <c r="B42" i="44"/>
  <c r="C28" i="28"/>
  <c r="C45" i="28" s="1"/>
  <c r="C28" i="31"/>
  <c r="C45" i="31" s="1"/>
  <c r="B44" i="31"/>
  <c r="C28" i="43"/>
  <c r="C45" i="43" s="1"/>
  <c r="B44" i="43"/>
  <c r="C26" i="31"/>
  <c r="C43" i="31" s="1"/>
  <c r="B42" i="31"/>
  <c r="C29" i="50"/>
  <c r="C46" i="50" s="1"/>
  <c r="B45" i="50"/>
  <c r="C29" i="28"/>
  <c r="C46" i="28" s="1"/>
  <c r="C28" i="37"/>
  <c r="C28" i="35"/>
  <c r="C26" i="46"/>
  <c r="C26" i="33"/>
  <c r="C29" i="47"/>
  <c r="C46" i="47" s="1"/>
  <c r="C27" i="48"/>
  <c r="C28" i="41"/>
  <c r="B27" i="46"/>
  <c r="B44" i="46" s="1"/>
  <c r="B29" i="37"/>
  <c r="B26" i="46"/>
  <c r="B29" i="31"/>
  <c r="B27" i="45"/>
  <c r="B44" i="45" s="1"/>
  <c r="B26" i="39"/>
  <c r="B43" i="39" s="1"/>
  <c r="B28" i="39"/>
  <c r="B27" i="39"/>
  <c r="B44" i="39" s="1"/>
  <c r="B28" i="46"/>
  <c r="B45" i="46" s="1"/>
  <c r="B29" i="44"/>
  <c r="C29" i="34"/>
  <c r="C46" i="34" s="1"/>
  <c r="D93" i="4"/>
  <c r="E93" i="4"/>
  <c r="B28" i="45"/>
  <c r="F93" i="4"/>
  <c r="B25" i="39"/>
  <c r="G93" i="4"/>
  <c r="B29" i="43"/>
  <c r="B29" i="30"/>
  <c r="B29" i="28"/>
  <c r="B29" i="46"/>
  <c r="C26" i="11"/>
  <c r="C43" i="11" s="1"/>
  <c r="C26" i="34"/>
  <c r="C43" i="34" s="1"/>
  <c r="C26" i="43"/>
  <c r="C43" i="43" s="1"/>
  <c r="C26" i="49"/>
  <c r="C43" i="49" s="1"/>
  <c r="C29" i="42"/>
  <c r="C46" i="42" s="1"/>
  <c r="C29" i="30"/>
  <c r="C46" i="30" s="1"/>
  <c r="C27" i="42"/>
  <c r="C44" i="42" s="1"/>
  <c r="C29" i="11"/>
  <c r="C46" i="11" s="1"/>
  <c r="C29" i="44"/>
  <c r="C46" i="44" s="1"/>
  <c r="C27" i="32"/>
  <c r="C44" i="32" s="1"/>
  <c r="D29" i="38"/>
  <c r="D46" i="38" s="1"/>
  <c r="D27" i="38"/>
  <c r="D44" i="38" s="1"/>
  <c r="C27" i="11"/>
  <c r="C44" i="11" s="1"/>
  <c r="C27" i="31"/>
  <c r="C44" i="31" s="1"/>
  <c r="C28" i="50"/>
  <c r="C45" i="50" s="1"/>
  <c r="C29" i="31"/>
  <c r="C46" i="31" s="1"/>
  <c r="C27" i="36"/>
  <c r="C44" i="36" s="1"/>
  <c r="C29" i="35"/>
  <c r="C46" i="35" s="1"/>
  <c r="C26" i="30"/>
  <c r="C43" i="30" s="1"/>
  <c r="D30" i="41"/>
  <c r="D47" i="41" s="1"/>
  <c r="D28" i="28"/>
  <c r="D45" i="28" s="1"/>
  <c r="C27" i="41"/>
  <c r="C44" i="41" s="1"/>
  <c r="C29" i="33"/>
  <c r="C46" i="33" s="1"/>
  <c r="C27" i="33"/>
  <c r="C44" i="33" s="1"/>
  <c r="C28" i="30"/>
  <c r="C45" i="30" s="1"/>
  <c r="C26" i="37"/>
  <c r="C43" i="37" s="1"/>
  <c r="C27" i="50"/>
  <c r="C44" i="50" s="1"/>
  <c r="C26" i="36"/>
  <c r="C43" i="36" s="1"/>
  <c r="C28" i="33"/>
  <c r="C45" i="33" s="1"/>
  <c r="C29" i="32"/>
  <c r="C46" i="32" s="1"/>
  <c r="B29" i="32"/>
  <c r="B46" i="32" s="1"/>
  <c r="H93" i="4"/>
  <c r="C30" i="38"/>
  <c r="C47" i="38" s="1"/>
  <c r="C26" i="41"/>
  <c r="C43" i="41" s="1"/>
  <c r="C28" i="42"/>
  <c r="C45" i="42" s="1"/>
  <c r="C26" i="29"/>
  <c r="C43" i="29" s="1"/>
  <c r="D30" i="38"/>
  <c r="D47" i="38" s="1"/>
  <c r="B29" i="49"/>
  <c r="B46" i="49" s="1"/>
  <c r="B29" i="34"/>
  <c r="B46" i="34" s="1"/>
  <c r="B29" i="50"/>
  <c r="B46" i="50" s="1"/>
  <c r="B29" i="45"/>
  <c r="B46" i="45" s="1"/>
  <c r="B29" i="41"/>
  <c r="B46" i="41" s="1"/>
  <c r="B29" i="42"/>
  <c r="B46" i="42" s="1"/>
  <c r="B29" i="39"/>
  <c r="B46" i="39" s="1"/>
  <c r="B29" i="35"/>
  <c r="B46" i="35" s="1"/>
  <c r="B30" i="38"/>
  <c r="B47" i="38" s="1"/>
  <c r="C29" i="37"/>
  <c r="C46" i="37" s="1"/>
  <c r="C29" i="36"/>
  <c r="C46" i="36" s="1"/>
  <c r="C27" i="47"/>
  <c r="C44" i="47" s="1"/>
  <c r="C28" i="44"/>
  <c r="C45" i="44" s="1"/>
  <c r="D28" i="37"/>
  <c r="D45" i="37" s="1"/>
  <c r="C27" i="34"/>
  <c r="C44" i="34" s="1"/>
  <c r="C27" i="49"/>
  <c r="C44" i="49" s="1"/>
  <c r="C28" i="36"/>
  <c r="C45" i="36" s="1"/>
  <c r="C26" i="47"/>
  <c r="C43" i="47" s="1"/>
  <c r="C29" i="49"/>
  <c r="C46" i="49" s="1"/>
  <c r="C27" i="43"/>
  <c r="C44" i="43" s="1"/>
  <c r="C28" i="32"/>
  <c r="C45" i="32" s="1"/>
  <c r="E29" i="38"/>
  <c r="E46" i="38" s="1"/>
  <c r="C27" i="30"/>
  <c r="C44" i="30" s="1"/>
  <c r="C29" i="29"/>
  <c r="C46" i="29" s="1"/>
  <c r="C26" i="42"/>
  <c r="C43" i="42" s="1"/>
  <c r="C28" i="34"/>
  <c r="C45" i="34" s="1"/>
  <c r="C27" i="44"/>
  <c r="C44" i="44" s="1"/>
  <c r="C28" i="47"/>
  <c r="C45" i="47" s="1"/>
  <c r="C27" i="35"/>
  <c r="C44" i="35" s="1"/>
  <c r="C26" i="48"/>
  <c r="C43" i="48" s="1"/>
  <c r="C26" i="35"/>
  <c r="C43" i="35" s="1"/>
  <c r="C29" i="48"/>
  <c r="C46" i="48" s="1"/>
  <c r="C26" i="50"/>
  <c r="C43" i="50" s="1"/>
  <c r="C28" i="11"/>
  <c r="C45" i="11" s="1"/>
  <c r="C29" i="43"/>
  <c r="C46" i="43" s="1"/>
  <c r="C27" i="45"/>
  <c r="C44" i="45" s="1"/>
  <c r="C26" i="32"/>
  <c r="C43" i="32" s="1"/>
  <c r="C28" i="29"/>
  <c r="C45" i="29" s="1"/>
  <c r="C28" i="49"/>
  <c r="C45" i="49" s="1"/>
  <c r="C28" i="48"/>
  <c r="C45" i="48" s="1"/>
  <c r="D27" i="28"/>
  <c r="D44" i="28" s="1"/>
  <c r="B25" i="45"/>
  <c r="B42" i="45" s="1"/>
  <c r="B29" i="48"/>
  <c r="B46" i="48" s="1"/>
  <c r="B29" i="29"/>
  <c r="B46" i="29" s="1"/>
  <c r="B29" i="36"/>
  <c r="B46" i="36" s="1"/>
  <c r="B29" i="11"/>
  <c r="B46" i="11" s="1"/>
  <c r="B29" i="47"/>
  <c r="B46" i="47" s="1"/>
  <c r="B29" i="33"/>
  <c r="B46" i="33" s="1"/>
  <c r="D29" i="28" l="1"/>
  <c r="D46" i="28" s="1"/>
  <c r="D30" i="50"/>
  <c r="D47" i="50" s="1"/>
  <c r="D28" i="29"/>
  <c r="D45" i="29" s="1"/>
  <c r="D29" i="31"/>
  <c r="D46" i="31" s="1"/>
  <c r="D27" i="31"/>
  <c r="D44" i="31" s="1"/>
  <c r="D29" i="43"/>
  <c r="D46" i="43" s="1"/>
  <c r="C30" i="43"/>
  <c r="C47" i="43" s="1"/>
  <c r="B46" i="43"/>
  <c r="C29" i="45"/>
  <c r="C46" i="45" s="1"/>
  <c r="B45" i="45"/>
  <c r="C30" i="44"/>
  <c r="C47" i="44" s="1"/>
  <c r="B46" i="44"/>
  <c r="C30" i="37"/>
  <c r="C47" i="37" s="1"/>
  <c r="B46" i="37"/>
  <c r="C30" i="46"/>
  <c r="C47" i="46" s="1"/>
  <c r="B46" i="46"/>
  <c r="D27" i="44"/>
  <c r="D44" i="44" s="1"/>
  <c r="C30" i="28"/>
  <c r="C47" i="28" s="1"/>
  <c r="B46" i="28"/>
  <c r="C26" i="39"/>
  <c r="C43" i="39" s="1"/>
  <c r="B42" i="39"/>
  <c r="C30" i="31"/>
  <c r="C47" i="31" s="1"/>
  <c r="B46" i="31"/>
  <c r="C30" i="30"/>
  <c r="C47" i="30" s="1"/>
  <c r="B46" i="30"/>
  <c r="C29" i="39"/>
  <c r="C46" i="39" s="1"/>
  <c r="B45" i="39"/>
  <c r="C27" i="46"/>
  <c r="C44" i="46" s="1"/>
  <c r="B43" i="46"/>
  <c r="D27" i="46"/>
  <c r="D44" i="46" s="1"/>
  <c r="C43" i="46"/>
  <c r="D29" i="35"/>
  <c r="D46" i="35" s="1"/>
  <c r="C45" i="35"/>
  <c r="D29" i="37"/>
  <c r="D46" i="37" s="1"/>
  <c r="C45" i="37"/>
  <c r="D29" i="41"/>
  <c r="D46" i="41" s="1"/>
  <c r="C45" i="41"/>
  <c r="D28" i="48"/>
  <c r="D45" i="48" s="1"/>
  <c r="C44" i="48"/>
  <c r="D27" i="33"/>
  <c r="D44" i="33" s="1"/>
  <c r="C43" i="33"/>
  <c r="D30" i="28"/>
  <c r="D47" i="28" s="1"/>
  <c r="D30" i="47"/>
  <c r="C28" i="39"/>
  <c r="C45" i="39" s="1"/>
  <c r="C28" i="46"/>
  <c r="C45" i="46" s="1"/>
  <c r="C29" i="46"/>
  <c r="B74" i="52"/>
  <c r="B75" i="52"/>
  <c r="C28" i="45"/>
  <c r="B76" i="52"/>
  <c r="C27" i="39"/>
  <c r="B30" i="36"/>
  <c r="D30" i="34"/>
  <c r="D47" i="34" s="1"/>
  <c r="B30" i="28"/>
  <c r="B47" i="28" s="1"/>
  <c r="B73" i="52"/>
  <c r="B30" i="45"/>
  <c r="B47" i="45" s="1"/>
  <c r="B30" i="42"/>
  <c r="B47" i="42" s="1"/>
  <c r="B30" i="43"/>
  <c r="B30" i="46"/>
  <c r="B30" i="29"/>
  <c r="B47" i="29" s="1"/>
  <c r="B30" i="48"/>
  <c r="D27" i="50"/>
  <c r="D44" i="50" s="1"/>
  <c r="D28" i="44"/>
  <c r="D45" i="44" s="1"/>
  <c r="E30" i="41"/>
  <c r="E47" i="41" s="1"/>
  <c r="D27" i="47"/>
  <c r="D44" i="47" s="1"/>
  <c r="D28" i="49"/>
  <c r="D45" i="49" s="1"/>
  <c r="E30" i="28"/>
  <c r="E47" i="28" s="1"/>
  <c r="B30" i="32"/>
  <c r="B47" i="32" s="1"/>
  <c r="I93" i="4"/>
  <c r="D27" i="30"/>
  <c r="D44" i="30" s="1"/>
  <c r="D28" i="32"/>
  <c r="D45" i="32" s="1"/>
  <c r="D30" i="44"/>
  <c r="D47" i="44" s="1"/>
  <c r="D27" i="43"/>
  <c r="D44" i="43" s="1"/>
  <c r="C30" i="11"/>
  <c r="C47" i="11" s="1"/>
  <c r="C26" i="45"/>
  <c r="D29" i="29"/>
  <c r="D46" i="29" s="1"/>
  <c r="D27" i="35"/>
  <c r="D44" i="35" s="1"/>
  <c r="D28" i="35"/>
  <c r="D45" i="35" s="1"/>
  <c r="D28" i="30"/>
  <c r="D45" i="30" s="1"/>
  <c r="F30" i="38"/>
  <c r="F47" i="38" s="1"/>
  <c r="D29" i="32"/>
  <c r="D46" i="32" s="1"/>
  <c r="D28" i="43"/>
  <c r="D45" i="43" s="1"/>
  <c r="D29" i="36"/>
  <c r="D46" i="36" s="1"/>
  <c r="D30" i="37"/>
  <c r="D47" i="37" s="1"/>
  <c r="C30" i="39"/>
  <c r="C47" i="39" s="1"/>
  <c r="C30" i="50"/>
  <c r="C47" i="50" s="1"/>
  <c r="D29" i="42"/>
  <c r="D46" i="42" s="1"/>
  <c r="D31" i="38"/>
  <c r="D48" i="38" s="1"/>
  <c r="D27" i="36"/>
  <c r="D44" i="36" s="1"/>
  <c r="D28" i="41"/>
  <c r="D45" i="41" s="1"/>
  <c r="E31" i="41"/>
  <c r="E48" i="41" s="1"/>
  <c r="D30" i="35"/>
  <c r="D47" i="35" s="1"/>
  <c r="D28" i="36"/>
  <c r="D45" i="36" s="1"/>
  <c r="D28" i="11"/>
  <c r="D45" i="11" s="1"/>
  <c r="D28" i="42"/>
  <c r="D45" i="42" s="1"/>
  <c r="D30" i="42"/>
  <c r="D47" i="42" s="1"/>
  <c r="D27" i="11"/>
  <c r="D44" i="11" s="1"/>
  <c r="B31" i="38"/>
  <c r="B48" i="38" s="1"/>
  <c r="C30" i="47"/>
  <c r="C47" i="47" s="1"/>
  <c r="C30" i="48"/>
  <c r="C47" i="48" s="1"/>
  <c r="D29" i="48"/>
  <c r="D46" i="48" s="1"/>
  <c r="D27" i="32"/>
  <c r="D44" i="32" s="1"/>
  <c r="D27" i="48"/>
  <c r="D44" i="48" s="1"/>
  <c r="D29" i="47"/>
  <c r="D46" i="47" s="1"/>
  <c r="D29" i="34"/>
  <c r="D46" i="34" s="1"/>
  <c r="D28" i="34"/>
  <c r="D45" i="34" s="1"/>
  <c r="E29" i="37"/>
  <c r="E46" i="37" s="1"/>
  <c r="D28" i="47"/>
  <c r="D45" i="47" s="1"/>
  <c r="C30" i="35"/>
  <c r="C47" i="35" s="1"/>
  <c r="C30" i="45"/>
  <c r="C47" i="45" s="1"/>
  <c r="C30" i="49"/>
  <c r="C47" i="49" s="1"/>
  <c r="D27" i="29"/>
  <c r="D44" i="29" s="1"/>
  <c r="D27" i="41"/>
  <c r="D44" i="41" s="1"/>
  <c r="D30" i="32"/>
  <c r="D47" i="32" s="1"/>
  <c r="D28" i="33"/>
  <c r="D45" i="33" s="1"/>
  <c r="D29" i="50"/>
  <c r="D46" i="50" s="1"/>
  <c r="E30" i="38"/>
  <c r="E47" i="38" s="1"/>
  <c r="D30" i="30"/>
  <c r="D47" i="30" s="1"/>
  <c r="D27" i="34"/>
  <c r="D44" i="34" s="1"/>
  <c r="B30" i="30"/>
  <c r="B47" i="30" s="1"/>
  <c r="B30" i="47"/>
  <c r="B47" i="47" s="1"/>
  <c r="B30" i="11"/>
  <c r="B47" i="11" s="1"/>
  <c r="B30" i="31"/>
  <c r="B47" i="31" s="1"/>
  <c r="B30" i="39"/>
  <c r="B47" i="39" s="1"/>
  <c r="B30" i="41"/>
  <c r="B47" i="41" s="1"/>
  <c r="B30" i="37"/>
  <c r="B47" i="37" s="1"/>
  <c r="B30" i="33"/>
  <c r="B47" i="33" s="1"/>
  <c r="B30" i="35"/>
  <c r="B47" i="35" s="1"/>
  <c r="B30" i="34"/>
  <c r="B47" i="34" s="1"/>
  <c r="B30" i="49"/>
  <c r="B47" i="49" s="1"/>
  <c r="C30" i="36"/>
  <c r="C47" i="36" s="1"/>
  <c r="D30" i="43"/>
  <c r="D47" i="43" s="1"/>
  <c r="D27" i="42"/>
  <c r="D44" i="42" s="1"/>
  <c r="C31" i="38"/>
  <c r="C48" i="38" s="1"/>
  <c r="C30" i="42"/>
  <c r="C47" i="42" s="1"/>
  <c r="E31" i="38"/>
  <c r="E48" i="38" s="1"/>
  <c r="B77" i="52"/>
  <c r="C30" i="32"/>
  <c r="C47" i="32" s="1"/>
  <c r="D28" i="50"/>
  <c r="D45" i="50" s="1"/>
  <c r="D29" i="30"/>
  <c r="D46" i="30" s="1"/>
  <c r="C30" i="33"/>
  <c r="C47" i="33" s="1"/>
  <c r="C30" i="29"/>
  <c r="C47" i="29" s="1"/>
  <c r="E28" i="28"/>
  <c r="E45" i="28" s="1"/>
  <c r="D29" i="49"/>
  <c r="D46" i="49" s="1"/>
  <c r="D28" i="45"/>
  <c r="D45" i="45" s="1"/>
  <c r="D29" i="11"/>
  <c r="D46" i="11" s="1"/>
  <c r="D30" i="48"/>
  <c r="D47" i="48" s="1"/>
  <c r="D30" i="29"/>
  <c r="D47" i="29" s="1"/>
  <c r="D30" i="49"/>
  <c r="D47" i="49" s="1"/>
  <c r="D29" i="44"/>
  <c r="D46" i="44" s="1"/>
  <c r="D30" i="36"/>
  <c r="D47" i="36" s="1"/>
  <c r="C30" i="41"/>
  <c r="C47" i="41" s="1"/>
  <c r="C30" i="34"/>
  <c r="C47" i="34" s="1"/>
  <c r="D29" i="33"/>
  <c r="D46" i="33" s="1"/>
  <c r="D27" i="37"/>
  <c r="D44" i="37" s="1"/>
  <c r="D30" i="33"/>
  <c r="D47" i="33" s="1"/>
  <c r="E29" i="28"/>
  <c r="E46" i="28" s="1"/>
  <c r="D30" i="31"/>
  <c r="D47" i="31" s="1"/>
  <c r="D28" i="31"/>
  <c r="D45" i="31" s="1"/>
  <c r="E28" i="38"/>
  <c r="E45" i="38" s="1"/>
  <c r="D30" i="11"/>
  <c r="D47" i="11" s="1"/>
  <c r="D27" i="49"/>
  <c r="D44" i="49" s="1"/>
  <c r="B30" i="44"/>
  <c r="B47" i="44" s="1"/>
  <c r="B30" i="50"/>
  <c r="B47" i="50" s="1"/>
  <c r="D31" i="31" l="1"/>
  <c r="D48" i="31" s="1"/>
  <c r="E29" i="29"/>
  <c r="E46" i="29" s="1"/>
  <c r="E30" i="43"/>
  <c r="E47" i="43" s="1"/>
  <c r="E31" i="50"/>
  <c r="E48" i="50" s="1"/>
  <c r="D27" i="39"/>
  <c r="D44" i="39" s="1"/>
  <c r="D28" i="46"/>
  <c r="D45" i="46" s="1"/>
  <c r="E28" i="33"/>
  <c r="E45" i="33" s="1"/>
  <c r="D31" i="37"/>
  <c r="D48" i="37" s="1"/>
  <c r="E30" i="31"/>
  <c r="E47" i="31" s="1"/>
  <c r="D31" i="30"/>
  <c r="D48" i="30" s="1"/>
  <c r="E30" i="37"/>
  <c r="E47" i="37" s="1"/>
  <c r="E30" i="35"/>
  <c r="E47" i="35" s="1"/>
  <c r="E28" i="31"/>
  <c r="E45" i="31" s="1"/>
  <c r="D31" i="44"/>
  <c r="D48" i="44" s="1"/>
  <c r="E28" i="44"/>
  <c r="E45" i="44" s="1"/>
  <c r="C31" i="46"/>
  <c r="C48" i="46" s="1"/>
  <c r="B47" i="46"/>
  <c r="D31" i="43"/>
  <c r="D48" i="43" s="1"/>
  <c r="C31" i="43"/>
  <c r="C48" i="43" s="1"/>
  <c r="B47" i="43"/>
  <c r="E29" i="48"/>
  <c r="E46" i="48" s="1"/>
  <c r="D31" i="28"/>
  <c r="D48" i="28" s="1"/>
  <c r="E28" i="46"/>
  <c r="E45" i="46" s="1"/>
  <c r="C31" i="48"/>
  <c r="C48" i="48" s="1"/>
  <c r="B47" i="48"/>
  <c r="D30" i="45"/>
  <c r="D47" i="45" s="1"/>
  <c r="D30" i="39"/>
  <c r="D47" i="39" s="1"/>
  <c r="D31" i="46"/>
  <c r="D48" i="46" s="1"/>
  <c r="C31" i="36"/>
  <c r="C48" i="36" s="1"/>
  <c r="B47" i="36"/>
  <c r="C74" i="52"/>
  <c r="C43" i="45"/>
  <c r="D29" i="45"/>
  <c r="D46" i="45" s="1"/>
  <c r="C45" i="45"/>
  <c r="D28" i="39"/>
  <c r="D45" i="39" s="1"/>
  <c r="C44" i="39"/>
  <c r="E31" i="47"/>
  <c r="E48" i="47" s="1"/>
  <c r="D47" i="47"/>
  <c r="D30" i="46"/>
  <c r="D47" i="46" s="1"/>
  <c r="C46" i="46"/>
  <c r="E31" i="28"/>
  <c r="D29" i="39"/>
  <c r="D46" i="39" s="1"/>
  <c r="C31" i="45"/>
  <c r="C31" i="42"/>
  <c r="C77" i="52"/>
  <c r="D29" i="46"/>
  <c r="D46" i="46" s="1"/>
  <c r="E31" i="34"/>
  <c r="C76" i="52"/>
  <c r="C75" i="52"/>
  <c r="C31" i="28"/>
  <c r="B31" i="48"/>
  <c r="B48" i="48" s="1"/>
  <c r="B31" i="28"/>
  <c r="B48" i="28" s="1"/>
  <c r="B31" i="36"/>
  <c r="B48" i="36" s="1"/>
  <c r="C31" i="29"/>
  <c r="B31" i="46"/>
  <c r="B48" i="46" s="1"/>
  <c r="C31" i="35"/>
  <c r="C48" i="35" s="1"/>
  <c r="C31" i="11"/>
  <c r="C48" i="11" s="1"/>
  <c r="E28" i="29"/>
  <c r="E45" i="29" s="1"/>
  <c r="E29" i="34"/>
  <c r="E46" i="34" s="1"/>
  <c r="E28" i="11"/>
  <c r="E45" i="11" s="1"/>
  <c r="E29" i="11"/>
  <c r="E46" i="11" s="1"/>
  <c r="D31" i="39"/>
  <c r="D48" i="39" s="1"/>
  <c r="G31" i="38"/>
  <c r="G48" i="38" s="1"/>
  <c r="E29" i="30"/>
  <c r="E46" i="30" s="1"/>
  <c r="D31" i="11"/>
  <c r="D48" i="11" s="1"/>
  <c r="C31" i="50"/>
  <c r="C48" i="50" s="1"/>
  <c r="E32" i="31"/>
  <c r="E49" i="31" s="1"/>
  <c r="D31" i="34"/>
  <c r="D48" i="34" s="1"/>
  <c r="D31" i="33"/>
  <c r="D48" i="33" s="1"/>
  <c r="C31" i="41"/>
  <c r="C48" i="41" s="1"/>
  <c r="E28" i="34"/>
  <c r="E45" i="34" s="1"/>
  <c r="E29" i="33"/>
  <c r="E46" i="33" s="1"/>
  <c r="D31" i="35"/>
  <c r="D48" i="35" s="1"/>
  <c r="E30" i="34"/>
  <c r="E47" i="34" s="1"/>
  <c r="E30" i="48"/>
  <c r="E47" i="48" s="1"/>
  <c r="E29" i="35"/>
  <c r="E46" i="35" s="1"/>
  <c r="F31" i="31"/>
  <c r="F48" i="31" s="1"/>
  <c r="D27" i="45"/>
  <c r="D44" i="45" s="1"/>
  <c r="F31" i="28"/>
  <c r="F48" i="28" s="1"/>
  <c r="E28" i="47"/>
  <c r="E45" i="47" s="1"/>
  <c r="E28" i="50"/>
  <c r="E45" i="50" s="1"/>
  <c r="B32" i="47"/>
  <c r="B49" i="47" s="1"/>
  <c r="B32" i="38"/>
  <c r="B49" i="38" s="1"/>
  <c r="E31" i="11"/>
  <c r="E48" i="11" s="1"/>
  <c r="E31" i="33"/>
  <c r="E48" i="33" s="1"/>
  <c r="D31" i="41"/>
  <c r="D48" i="41" s="1"/>
  <c r="E30" i="44"/>
  <c r="E47" i="44" s="1"/>
  <c r="E30" i="11"/>
  <c r="E47" i="11" s="1"/>
  <c r="E30" i="49"/>
  <c r="E47" i="49" s="1"/>
  <c r="E30" i="30"/>
  <c r="E47" i="30" s="1"/>
  <c r="C78" i="52"/>
  <c r="D31" i="32"/>
  <c r="D48" i="32" s="1"/>
  <c r="D32" i="38"/>
  <c r="D49" i="38" s="1"/>
  <c r="E28" i="42"/>
  <c r="E45" i="42" s="1"/>
  <c r="D31" i="36"/>
  <c r="D48" i="36" s="1"/>
  <c r="B31" i="32"/>
  <c r="B48" i="32" s="1"/>
  <c r="J93" i="4"/>
  <c r="C31" i="49"/>
  <c r="C48" i="49" s="1"/>
  <c r="C31" i="37"/>
  <c r="C48" i="37" s="1"/>
  <c r="C31" i="31"/>
  <c r="C48" i="31" s="1"/>
  <c r="C31" i="30"/>
  <c r="C48" i="30" s="1"/>
  <c r="E31" i="30"/>
  <c r="E48" i="30" s="1"/>
  <c r="E31" i="32"/>
  <c r="E48" i="32" s="1"/>
  <c r="E28" i="41"/>
  <c r="E45" i="41" s="1"/>
  <c r="D31" i="49"/>
  <c r="D48" i="49" s="1"/>
  <c r="E29" i="47"/>
  <c r="E46" i="47" s="1"/>
  <c r="F30" i="37"/>
  <c r="F47" i="37" s="1"/>
  <c r="E28" i="48"/>
  <c r="E45" i="48" s="1"/>
  <c r="D31" i="48"/>
  <c r="D48" i="48" s="1"/>
  <c r="E28" i="39"/>
  <c r="E45" i="39" s="1"/>
  <c r="E32" i="38"/>
  <c r="E49" i="38" s="1"/>
  <c r="E31" i="37"/>
  <c r="E48" i="37" s="1"/>
  <c r="E28" i="43"/>
  <c r="E45" i="43" s="1"/>
  <c r="E29" i="32"/>
  <c r="E46" i="32" s="1"/>
  <c r="E29" i="49"/>
  <c r="E46" i="49" s="1"/>
  <c r="E29" i="44"/>
  <c r="E46" i="44" s="1"/>
  <c r="B31" i="42"/>
  <c r="B48" i="42" s="1"/>
  <c r="B31" i="31"/>
  <c r="B48" i="31" s="1"/>
  <c r="B31" i="29"/>
  <c r="B48" i="29" s="1"/>
  <c r="B31" i="34"/>
  <c r="B48" i="34" s="1"/>
  <c r="B31" i="33"/>
  <c r="B48" i="33" s="1"/>
  <c r="B31" i="43"/>
  <c r="B48" i="43" s="1"/>
  <c r="C31" i="44"/>
  <c r="C48" i="44" s="1"/>
  <c r="F29" i="38"/>
  <c r="F46" i="38" s="1"/>
  <c r="E31" i="46"/>
  <c r="E48" i="46" s="1"/>
  <c r="E30" i="33"/>
  <c r="E47" i="33" s="1"/>
  <c r="E31" i="36"/>
  <c r="E48" i="36" s="1"/>
  <c r="E31" i="49"/>
  <c r="E48" i="49" s="1"/>
  <c r="E31" i="48"/>
  <c r="E48" i="48" s="1"/>
  <c r="F29" i="28"/>
  <c r="F46" i="28" s="1"/>
  <c r="E29" i="50"/>
  <c r="E46" i="50" s="1"/>
  <c r="D31" i="42"/>
  <c r="D48" i="42" s="1"/>
  <c r="E31" i="43"/>
  <c r="E48" i="43" s="1"/>
  <c r="C31" i="39"/>
  <c r="C48" i="39" s="1"/>
  <c r="E30" i="50"/>
  <c r="E47" i="50" s="1"/>
  <c r="E29" i="39"/>
  <c r="E46" i="39" s="1"/>
  <c r="D31" i="47"/>
  <c r="D48" i="47" s="1"/>
  <c r="E29" i="42"/>
  <c r="E46" i="42" s="1"/>
  <c r="E31" i="35"/>
  <c r="E48" i="35" s="1"/>
  <c r="E29" i="43"/>
  <c r="E46" i="43" s="1"/>
  <c r="E28" i="35"/>
  <c r="E45" i="35" s="1"/>
  <c r="C31" i="32"/>
  <c r="C48" i="32" s="1"/>
  <c r="B78" i="52"/>
  <c r="E28" i="49"/>
  <c r="E45" i="49" s="1"/>
  <c r="E31" i="31"/>
  <c r="E48" i="31" s="1"/>
  <c r="F31" i="37"/>
  <c r="F48" i="37" s="1"/>
  <c r="E29" i="45"/>
  <c r="E46" i="45" s="1"/>
  <c r="F31" i="35"/>
  <c r="F48" i="35" s="1"/>
  <c r="C31" i="34"/>
  <c r="C48" i="34" s="1"/>
  <c r="C32" i="38"/>
  <c r="C49" i="38" s="1"/>
  <c r="E29" i="41"/>
  <c r="E46" i="41" s="1"/>
  <c r="E28" i="36"/>
  <c r="E45" i="36" s="1"/>
  <c r="E30" i="42"/>
  <c r="E47" i="42" s="1"/>
  <c r="E30" i="36"/>
  <c r="E47" i="36" s="1"/>
  <c r="F31" i="41"/>
  <c r="F48" i="41" s="1"/>
  <c r="E29" i="31"/>
  <c r="E46" i="31" s="1"/>
  <c r="F30" i="28"/>
  <c r="F47" i="28" s="1"/>
  <c r="E28" i="37"/>
  <c r="E45" i="37" s="1"/>
  <c r="E31" i="29"/>
  <c r="E48" i="29" s="1"/>
  <c r="D31" i="29"/>
  <c r="D48" i="29" s="1"/>
  <c r="F32" i="38"/>
  <c r="F49" i="38" s="1"/>
  <c r="C31" i="33"/>
  <c r="C48" i="33" s="1"/>
  <c r="C31" i="47"/>
  <c r="C48" i="47" s="1"/>
  <c r="F31" i="38"/>
  <c r="F48" i="38" s="1"/>
  <c r="F29" i="33"/>
  <c r="F46" i="33" s="1"/>
  <c r="D31" i="45"/>
  <c r="D48" i="45" s="1"/>
  <c r="E30" i="47"/>
  <c r="E47" i="47" s="1"/>
  <c r="E28" i="32"/>
  <c r="E45" i="32" s="1"/>
  <c r="E31" i="42"/>
  <c r="E48" i="42" s="1"/>
  <c r="E29" i="36"/>
  <c r="E46" i="36" s="1"/>
  <c r="F32" i="41"/>
  <c r="F49" i="41" s="1"/>
  <c r="D31" i="50"/>
  <c r="D48" i="50" s="1"/>
  <c r="E30" i="32"/>
  <c r="E47" i="32" s="1"/>
  <c r="E30" i="29"/>
  <c r="E47" i="29" s="1"/>
  <c r="E31" i="44"/>
  <c r="E48" i="44" s="1"/>
  <c r="E28" i="30"/>
  <c r="E45" i="30" s="1"/>
  <c r="B31" i="11"/>
  <c r="B48" i="11" s="1"/>
  <c r="B31" i="47"/>
  <c r="B48" i="47" s="1"/>
  <c r="B31" i="30"/>
  <c r="B48" i="30" s="1"/>
  <c r="B31" i="37"/>
  <c r="B48" i="37" s="1"/>
  <c r="B31" i="41"/>
  <c r="B48" i="41" s="1"/>
  <c r="B31" i="39"/>
  <c r="B48" i="39" s="1"/>
  <c r="B31" i="50"/>
  <c r="B48" i="50" s="1"/>
  <c r="B31" i="44"/>
  <c r="B48" i="44" s="1"/>
  <c r="B31" i="49"/>
  <c r="B48" i="49" s="1"/>
  <c r="B31" i="35"/>
  <c r="B48" i="35" s="1"/>
  <c r="B31" i="45"/>
  <c r="B48" i="45" s="1"/>
  <c r="D32" i="46" l="1"/>
  <c r="D49" i="46" s="1"/>
  <c r="F30" i="29"/>
  <c r="F47" i="29" s="1"/>
  <c r="F30" i="48"/>
  <c r="F47" i="48" s="1"/>
  <c r="F31" i="43"/>
  <c r="F48" i="43" s="1"/>
  <c r="F32" i="50"/>
  <c r="F49" i="50" s="1"/>
  <c r="E32" i="30"/>
  <c r="E49" i="30" s="1"/>
  <c r="E29" i="46"/>
  <c r="E46" i="46" s="1"/>
  <c r="E32" i="46"/>
  <c r="E49" i="46" s="1"/>
  <c r="E32" i="37"/>
  <c r="E49" i="37" s="1"/>
  <c r="F29" i="31"/>
  <c r="F46" i="31" s="1"/>
  <c r="F29" i="44"/>
  <c r="F46" i="44" s="1"/>
  <c r="E30" i="39"/>
  <c r="E47" i="39" s="1"/>
  <c r="D32" i="48"/>
  <c r="D49" i="48" s="1"/>
  <c r="E31" i="45"/>
  <c r="E48" i="45" s="1"/>
  <c r="E32" i="44"/>
  <c r="E49" i="44" s="1"/>
  <c r="D32" i="36"/>
  <c r="D49" i="36" s="1"/>
  <c r="D32" i="43"/>
  <c r="D49" i="43" s="1"/>
  <c r="E30" i="45"/>
  <c r="E47" i="45" s="1"/>
  <c r="F32" i="47"/>
  <c r="F49" i="47" s="1"/>
  <c r="F29" i="46"/>
  <c r="F46" i="46" s="1"/>
  <c r="D76" i="52"/>
  <c r="E32" i="43"/>
  <c r="E49" i="43" s="1"/>
  <c r="E31" i="39"/>
  <c r="E48" i="39" s="1"/>
  <c r="E32" i="28"/>
  <c r="E49" i="28" s="1"/>
  <c r="D78" i="52"/>
  <c r="D32" i="29"/>
  <c r="D49" i="29" s="1"/>
  <c r="C48" i="29"/>
  <c r="D32" i="28"/>
  <c r="D49" i="28" s="1"/>
  <c r="C48" i="28"/>
  <c r="F32" i="28"/>
  <c r="F49" i="28" s="1"/>
  <c r="E48" i="28"/>
  <c r="D32" i="42"/>
  <c r="D49" i="42" s="1"/>
  <c r="C48" i="42"/>
  <c r="F32" i="34"/>
  <c r="F49" i="34" s="1"/>
  <c r="E48" i="34"/>
  <c r="D32" i="45"/>
  <c r="D49" i="45" s="1"/>
  <c r="C48" i="45"/>
  <c r="C32" i="48"/>
  <c r="C49" i="48" s="1"/>
  <c r="C32" i="28"/>
  <c r="D77" i="52"/>
  <c r="E30" i="46"/>
  <c r="C32" i="46"/>
  <c r="C49" i="46" s="1"/>
  <c r="B32" i="28"/>
  <c r="B32" i="36"/>
  <c r="B49" i="36" s="1"/>
  <c r="B32" i="48"/>
  <c r="C32" i="36"/>
  <c r="C49" i="36" s="1"/>
  <c r="B32" i="50"/>
  <c r="B49" i="50" s="1"/>
  <c r="B32" i="37"/>
  <c r="B49" i="37" s="1"/>
  <c r="B32" i="44"/>
  <c r="C32" i="49"/>
  <c r="C49" i="49" s="1"/>
  <c r="C32" i="41"/>
  <c r="C49" i="41" s="1"/>
  <c r="C32" i="11"/>
  <c r="C49" i="11" s="1"/>
  <c r="E33" i="46"/>
  <c r="E50" i="46" s="1"/>
  <c r="F32" i="44"/>
  <c r="F49" i="44" s="1"/>
  <c r="G30" i="33"/>
  <c r="G47" i="33" s="1"/>
  <c r="D32" i="33"/>
  <c r="D49" i="33" s="1"/>
  <c r="F29" i="37"/>
  <c r="F46" i="37" s="1"/>
  <c r="F30" i="31"/>
  <c r="F47" i="31" s="1"/>
  <c r="F29" i="36"/>
  <c r="F46" i="36" s="1"/>
  <c r="G32" i="43"/>
  <c r="G49" i="43" s="1"/>
  <c r="F30" i="45"/>
  <c r="F47" i="45" s="1"/>
  <c r="F32" i="31"/>
  <c r="F49" i="31" s="1"/>
  <c r="F30" i="43"/>
  <c r="F47" i="43" s="1"/>
  <c r="F30" i="42"/>
  <c r="F47" i="42" s="1"/>
  <c r="F31" i="50"/>
  <c r="F48" i="50" s="1"/>
  <c r="F32" i="46"/>
  <c r="F49" i="46" s="1"/>
  <c r="G30" i="38"/>
  <c r="G47" i="38" s="1"/>
  <c r="C32" i="33"/>
  <c r="C49" i="33" s="1"/>
  <c r="F32" i="37"/>
  <c r="F49" i="37" s="1"/>
  <c r="G31" i="37"/>
  <c r="G48" i="37" s="1"/>
  <c r="E32" i="49"/>
  <c r="E49" i="49" s="1"/>
  <c r="F31" i="44"/>
  <c r="F48" i="44" s="1"/>
  <c r="E32" i="33"/>
  <c r="E49" i="33" s="1"/>
  <c r="C32" i="39"/>
  <c r="C49" i="39" s="1"/>
  <c r="C32" i="47"/>
  <c r="C49" i="47" s="1"/>
  <c r="F31" i="29"/>
  <c r="F48" i="29" s="1"/>
  <c r="F32" i="42"/>
  <c r="F49" i="42" s="1"/>
  <c r="E32" i="45"/>
  <c r="E49" i="45" s="1"/>
  <c r="G31" i="48"/>
  <c r="G48" i="48" s="1"/>
  <c r="F30" i="41"/>
  <c r="F47" i="41" s="1"/>
  <c r="D32" i="32"/>
  <c r="D49" i="32" s="1"/>
  <c r="C79" i="52"/>
  <c r="F32" i="43"/>
  <c r="F49" i="43" s="1"/>
  <c r="F30" i="50"/>
  <c r="F47" i="50" s="1"/>
  <c r="F32" i="48"/>
  <c r="F49" i="48" s="1"/>
  <c r="F32" i="36"/>
  <c r="F49" i="36" s="1"/>
  <c r="C32" i="43"/>
  <c r="C49" i="43" s="1"/>
  <c r="E32" i="32"/>
  <c r="E49" i="32" s="1"/>
  <c r="D79" i="52"/>
  <c r="C33" i="38"/>
  <c r="C50" i="38" s="1"/>
  <c r="F29" i="47"/>
  <c r="F46" i="47" s="1"/>
  <c r="F30" i="35"/>
  <c r="F47" i="35" s="1"/>
  <c r="E32" i="35"/>
  <c r="E49" i="35" s="1"/>
  <c r="E32" i="39"/>
  <c r="E49" i="39" s="1"/>
  <c r="B33" i="38"/>
  <c r="B50" i="38" s="1"/>
  <c r="C32" i="44"/>
  <c r="C49" i="44" s="1"/>
  <c r="C32" i="37"/>
  <c r="C49" i="37" s="1"/>
  <c r="F30" i="36"/>
  <c r="F47" i="36" s="1"/>
  <c r="F29" i="32"/>
  <c r="F46" i="32" s="1"/>
  <c r="F31" i="47"/>
  <c r="F48" i="47" s="1"/>
  <c r="G32" i="38"/>
  <c r="G49" i="38" s="1"/>
  <c r="G33" i="38"/>
  <c r="G50" i="38" s="1"/>
  <c r="F32" i="29"/>
  <c r="F49" i="29" s="1"/>
  <c r="F31" i="36"/>
  <c r="F48" i="36" s="1"/>
  <c r="D33" i="38"/>
  <c r="D50" i="38" s="1"/>
  <c r="G32" i="35"/>
  <c r="G49" i="35" s="1"/>
  <c r="F29" i="35"/>
  <c r="F46" i="35" s="1"/>
  <c r="E32" i="47"/>
  <c r="E49" i="47" s="1"/>
  <c r="F31" i="33"/>
  <c r="F48" i="33" s="1"/>
  <c r="C32" i="42"/>
  <c r="C49" i="42" s="1"/>
  <c r="F30" i="49"/>
  <c r="F47" i="49" s="1"/>
  <c r="F33" i="38"/>
  <c r="F50" i="38" s="1"/>
  <c r="F29" i="39"/>
  <c r="F46" i="39" s="1"/>
  <c r="F29" i="48"/>
  <c r="F46" i="48" s="1"/>
  <c r="F29" i="41"/>
  <c r="F46" i="41" s="1"/>
  <c r="F32" i="30"/>
  <c r="F49" i="30" s="1"/>
  <c r="D32" i="31"/>
  <c r="D49" i="31" s="1"/>
  <c r="D32" i="49"/>
  <c r="D49" i="49" s="1"/>
  <c r="E32" i="36"/>
  <c r="E49" i="36" s="1"/>
  <c r="F31" i="30"/>
  <c r="F48" i="30" s="1"/>
  <c r="F31" i="11"/>
  <c r="F48" i="11" s="1"/>
  <c r="E32" i="41"/>
  <c r="E49" i="41" s="1"/>
  <c r="F32" i="33"/>
  <c r="F49" i="33" s="1"/>
  <c r="B32" i="32"/>
  <c r="B49" i="32" s="1"/>
  <c r="K93" i="4"/>
  <c r="F29" i="50"/>
  <c r="F46" i="50" s="1"/>
  <c r="G32" i="28"/>
  <c r="G49" i="28" s="1"/>
  <c r="F30" i="33"/>
  <c r="F47" i="33" s="1"/>
  <c r="E32" i="34"/>
  <c r="E49" i="34" s="1"/>
  <c r="H32" i="38"/>
  <c r="H49" i="38" s="1"/>
  <c r="B32" i="35"/>
  <c r="B49" i="35" s="1"/>
  <c r="B32" i="41"/>
  <c r="B49" i="41" s="1"/>
  <c r="B32" i="33"/>
  <c r="B49" i="33" s="1"/>
  <c r="B32" i="31"/>
  <c r="B49" i="31" s="1"/>
  <c r="B32" i="39"/>
  <c r="B49" i="39" s="1"/>
  <c r="B32" i="43"/>
  <c r="B49" i="43" s="1"/>
  <c r="G32" i="41"/>
  <c r="G49" i="41" s="1"/>
  <c r="C32" i="31"/>
  <c r="C49" i="31" s="1"/>
  <c r="F29" i="43"/>
  <c r="F46" i="43" s="1"/>
  <c r="E32" i="48"/>
  <c r="E49" i="48" s="1"/>
  <c r="F32" i="32"/>
  <c r="F49" i="32" s="1"/>
  <c r="E33" i="38"/>
  <c r="E50" i="38" s="1"/>
  <c r="F31" i="49"/>
  <c r="F48" i="49" s="1"/>
  <c r="E28" i="45"/>
  <c r="E45" i="45" s="1"/>
  <c r="F33" i="31"/>
  <c r="F50" i="31" s="1"/>
  <c r="F30" i="30"/>
  <c r="F47" i="30" s="1"/>
  <c r="C32" i="35"/>
  <c r="C49" i="35" s="1"/>
  <c r="G33" i="50"/>
  <c r="G50" i="50" s="1"/>
  <c r="G33" i="41"/>
  <c r="G50" i="41" s="1"/>
  <c r="G31" i="29"/>
  <c r="G48" i="29" s="1"/>
  <c r="D32" i="34"/>
  <c r="D49" i="34" s="1"/>
  <c r="C32" i="29"/>
  <c r="C49" i="29" s="1"/>
  <c r="D32" i="30"/>
  <c r="D49" i="30" s="1"/>
  <c r="C32" i="32"/>
  <c r="C49" i="32" s="1"/>
  <c r="B79" i="52"/>
  <c r="C33" i="47"/>
  <c r="C50" i="47" s="1"/>
  <c r="F31" i="48"/>
  <c r="F48" i="48" s="1"/>
  <c r="F29" i="34"/>
  <c r="F46" i="34" s="1"/>
  <c r="F29" i="11"/>
  <c r="F46" i="11" s="1"/>
  <c r="F29" i="29"/>
  <c r="F46" i="29" s="1"/>
  <c r="D32" i="11"/>
  <c r="D49" i="11" s="1"/>
  <c r="C32" i="45"/>
  <c r="C49" i="45" s="1"/>
  <c r="C32" i="50"/>
  <c r="C49" i="50" s="1"/>
  <c r="C32" i="30"/>
  <c r="C49" i="30" s="1"/>
  <c r="F29" i="30"/>
  <c r="F46" i="30" s="1"/>
  <c r="F31" i="32"/>
  <c r="F48" i="32" s="1"/>
  <c r="E32" i="50"/>
  <c r="E49" i="50" s="1"/>
  <c r="D32" i="47"/>
  <c r="D49" i="47" s="1"/>
  <c r="E32" i="29"/>
  <c r="E49" i="29" s="1"/>
  <c r="G31" i="28"/>
  <c r="G48" i="28" s="1"/>
  <c r="F31" i="42"/>
  <c r="F48" i="42" s="1"/>
  <c r="G32" i="37"/>
  <c r="G49" i="37" s="1"/>
  <c r="F29" i="49"/>
  <c r="F46" i="49" s="1"/>
  <c r="F32" i="35"/>
  <c r="F49" i="35" s="1"/>
  <c r="F30" i="39"/>
  <c r="F47" i="39" s="1"/>
  <c r="D32" i="39"/>
  <c r="D49" i="39" s="1"/>
  <c r="E32" i="42"/>
  <c r="E49" i="42" s="1"/>
  <c r="G30" i="28"/>
  <c r="G47" i="28" s="1"/>
  <c r="F32" i="49"/>
  <c r="F49" i="49" s="1"/>
  <c r="D32" i="44"/>
  <c r="D49" i="44" s="1"/>
  <c r="C32" i="34"/>
  <c r="C49" i="34" s="1"/>
  <c r="F30" i="44"/>
  <c r="F47" i="44" s="1"/>
  <c r="F30" i="32"/>
  <c r="F47" i="32" s="1"/>
  <c r="E77" i="52"/>
  <c r="F30" i="47"/>
  <c r="F47" i="47" s="1"/>
  <c r="D32" i="37"/>
  <c r="D49" i="37" s="1"/>
  <c r="F29" i="42"/>
  <c r="F46" i="42" s="1"/>
  <c r="F32" i="11"/>
  <c r="F49" i="11" s="1"/>
  <c r="G32" i="31"/>
  <c r="G49" i="31" s="1"/>
  <c r="F31" i="34"/>
  <c r="F48" i="34" s="1"/>
  <c r="D32" i="41"/>
  <c r="D49" i="41" s="1"/>
  <c r="D32" i="50"/>
  <c r="D49" i="50" s="1"/>
  <c r="E32" i="11"/>
  <c r="E49" i="11" s="1"/>
  <c r="F30" i="11"/>
  <c r="F47" i="11" s="1"/>
  <c r="F30" i="34"/>
  <c r="F47" i="34" s="1"/>
  <c r="D32" i="35"/>
  <c r="D49" i="35" s="1"/>
  <c r="B32" i="11"/>
  <c r="B49" i="11" s="1"/>
  <c r="B32" i="49"/>
  <c r="B49" i="49" s="1"/>
  <c r="B32" i="46"/>
  <c r="B49" i="46" s="1"/>
  <c r="B32" i="45"/>
  <c r="B49" i="45" s="1"/>
  <c r="B32" i="34"/>
  <c r="B49" i="34" s="1"/>
  <c r="B32" i="29"/>
  <c r="B49" i="29" s="1"/>
  <c r="B32" i="42"/>
  <c r="B49" i="42" s="1"/>
  <c r="B32" i="30"/>
  <c r="B49" i="30" s="1"/>
  <c r="D75" i="52"/>
  <c r="E33" i="48" l="1"/>
  <c r="E50" i="48" s="1"/>
  <c r="E33" i="29"/>
  <c r="E50" i="29" s="1"/>
  <c r="F33" i="43"/>
  <c r="F50" i="43" s="1"/>
  <c r="F30" i="46"/>
  <c r="F47" i="46" s="1"/>
  <c r="F33" i="28"/>
  <c r="F50" i="28" s="1"/>
  <c r="F33" i="46"/>
  <c r="F50" i="46" s="1"/>
  <c r="F31" i="45"/>
  <c r="F48" i="45" s="1"/>
  <c r="F33" i="30"/>
  <c r="F50" i="30" s="1"/>
  <c r="E33" i="45"/>
  <c r="E50" i="45" s="1"/>
  <c r="F33" i="37"/>
  <c r="F50" i="37" s="1"/>
  <c r="G30" i="31"/>
  <c r="G47" i="31" s="1"/>
  <c r="F31" i="39"/>
  <c r="F48" i="39" s="1"/>
  <c r="G30" i="46"/>
  <c r="G47" i="46" s="1"/>
  <c r="E33" i="36"/>
  <c r="E50" i="36" s="1"/>
  <c r="F33" i="44"/>
  <c r="F50" i="44" s="1"/>
  <c r="G33" i="28"/>
  <c r="G50" i="28" s="1"/>
  <c r="G30" i="44"/>
  <c r="G47" i="44" s="1"/>
  <c r="G33" i="34"/>
  <c r="G50" i="34" s="1"/>
  <c r="F32" i="45"/>
  <c r="F49" i="45" s="1"/>
  <c r="E33" i="43"/>
  <c r="E50" i="43" s="1"/>
  <c r="F32" i="39"/>
  <c r="F49" i="39" s="1"/>
  <c r="E79" i="52"/>
  <c r="G33" i="47"/>
  <c r="G50" i="47" s="1"/>
  <c r="C33" i="28"/>
  <c r="C50" i="28" s="1"/>
  <c r="B49" i="28"/>
  <c r="E33" i="28"/>
  <c r="E50" i="28" s="1"/>
  <c r="E33" i="42"/>
  <c r="E50" i="42" s="1"/>
  <c r="C33" i="44"/>
  <c r="C50" i="44" s="1"/>
  <c r="B49" i="44"/>
  <c r="C33" i="48"/>
  <c r="C50" i="48" s="1"/>
  <c r="B49" i="48"/>
  <c r="E78" i="52"/>
  <c r="E47" i="46"/>
  <c r="D33" i="28"/>
  <c r="D50" i="28" s="1"/>
  <c r="C49" i="28"/>
  <c r="F31" i="46"/>
  <c r="F48" i="46" s="1"/>
  <c r="C33" i="36"/>
  <c r="C33" i="37"/>
  <c r="D33" i="48"/>
  <c r="B33" i="35"/>
  <c r="C33" i="50"/>
  <c r="D33" i="46"/>
  <c r="D33" i="36"/>
  <c r="D50" i="36" s="1"/>
  <c r="B33" i="28"/>
  <c r="C33" i="30"/>
  <c r="C50" i="30" s="1"/>
  <c r="F33" i="11"/>
  <c r="F50" i="11" s="1"/>
  <c r="G30" i="42"/>
  <c r="G47" i="42" s="1"/>
  <c r="E33" i="39"/>
  <c r="E50" i="39" s="1"/>
  <c r="G34" i="31"/>
  <c r="G51" i="31" s="1"/>
  <c r="C33" i="31"/>
  <c r="C50" i="31" s="1"/>
  <c r="E33" i="31"/>
  <c r="E50" i="31" s="1"/>
  <c r="G30" i="32"/>
  <c r="G47" i="32" s="1"/>
  <c r="F33" i="39"/>
  <c r="F50" i="39" s="1"/>
  <c r="G31" i="46"/>
  <c r="G48" i="46" s="1"/>
  <c r="D33" i="33"/>
  <c r="D50" i="33" s="1"/>
  <c r="G31" i="43"/>
  <c r="G48" i="43" s="1"/>
  <c r="G31" i="45"/>
  <c r="G48" i="45" s="1"/>
  <c r="H31" i="33"/>
  <c r="H48" i="33" s="1"/>
  <c r="F34" i="46"/>
  <c r="F51" i="46" s="1"/>
  <c r="C33" i="34"/>
  <c r="C50" i="34" s="1"/>
  <c r="G31" i="11"/>
  <c r="G48" i="11" s="1"/>
  <c r="G32" i="34"/>
  <c r="G49" i="34" s="1"/>
  <c r="F34" i="29"/>
  <c r="F51" i="29" s="1"/>
  <c r="F33" i="42"/>
  <c r="F50" i="42" s="1"/>
  <c r="H33" i="37"/>
  <c r="H50" i="37" s="1"/>
  <c r="H32" i="28"/>
  <c r="H49" i="28" s="1"/>
  <c r="G30" i="30"/>
  <c r="G47" i="30" s="1"/>
  <c r="G30" i="29"/>
  <c r="G47" i="29" s="1"/>
  <c r="D34" i="47"/>
  <c r="D51" i="47" s="1"/>
  <c r="E33" i="34"/>
  <c r="E50" i="34" s="1"/>
  <c r="G32" i="49"/>
  <c r="G49" i="49" s="1"/>
  <c r="F33" i="48"/>
  <c r="F50" i="48" s="1"/>
  <c r="C33" i="32"/>
  <c r="C50" i="32" s="1"/>
  <c r="B80" i="52"/>
  <c r="G32" i="30"/>
  <c r="G49" i="30" s="1"/>
  <c r="G33" i="30"/>
  <c r="G50" i="30" s="1"/>
  <c r="G31" i="49"/>
  <c r="G48" i="49" s="1"/>
  <c r="F33" i="49"/>
  <c r="F50" i="49" s="1"/>
  <c r="G33" i="37"/>
  <c r="G50" i="37" s="1"/>
  <c r="G32" i="50"/>
  <c r="G49" i="50" s="1"/>
  <c r="G30" i="37"/>
  <c r="G47" i="37" s="1"/>
  <c r="C33" i="42"/>
  <c r="C50" i="42" s="1"/>
  <c r="C33" i="46"/>
  <c r="C50" i="46" s="1"/>
  <c r="E33" i="41"/>
  <c r="E50" i="41" s="1"/>
  <c r="H33" i="31"/>
  <c r="H50" i="31" s="1"/>
  <c r="G31" i="44"/>
  <c r="G48" i="44" s="1"/>
  <c r="E33" i="44"/>
  <c r="E50" i="44" s="1"/>
  <c r="H31" i="28"/>
  <c r="H48" i="28" s="1"/>
  <c r="G30" i="49"/>
  <c r="G47" i="49" s="1"/>
  <c r="G32" i="42"/>
  <c r="G49" i="42" s="1"/>
  <c r="F33" i="29"/>
  <c r="F50" i="29" s="1"/>
  <c r="F33" i="50"/>
  <c r="F50" i="50" s="1"/>
  <c r="G32" i="32"/>
  <c r="G49" i="32" s="1"/>
  <c r="D33" i="30"/>
  <c r="D50" i="30" s="1"/>
  <c r="D33" i="45"/>
  <c r="D50" i="45" s="1"/>
  <c r="D33" i="29"/>
  <c r="D50" i="29" s="1"/>
  <c r="H32" i="29"/>
  <c r="H49" i="29" s="1"/>
  <c r="L93" i="4"/>
  <c r="B33" i="32"/>
  <c r="B50" i="32" s="1"/>
  <c r="F29" i="45"/>
  <c r="D33" i="31"/>
  <c r="D50" i="31" s="1"/>
  <c r="H33" i="41"/>
  <c r="H50" i="41" s="1"/>
  <c r="C33" i="33"/>
  <c r="C50" i="33" s="1"/>
  <c r="F33" i="34"/>
  <c r="F50" i="34" s="1"/>
  <c r="G30" i="50"/>
  <c r="G47" i="50" s="1"/>
  <c r="G33" i="33"/>
  <c r="G50" i="33" s="1"/>
  <c r="F33" i="36"/>
  <c r="F50" i="36" s="1"/>
  <c r="G30" i="41"/>
  <c r="G47" i="41" s="1"/>
  <c r="G34" i="38"/>
  <c r="G51" i="38" s="1"/>
  <c r="D33" i="42"/>
  <c r="D50" i="42" s="1"/>
  <c r="G30" i="35"/>
  <c r="G47" i="35" s="1"/>
  <c r="E34" i="38"/>
  <c r="E51" i="38" s="1"/>
  <c r="C34" i="38"/>
  <c r="C51" i="38" s="1"/>
  <c r="D34" i="38"/>
  <c r="D51" i="38" s="1"/>
  <c r="G33" i="48"/>
  <c r="G50" i="48" s="1"/>
  <c r="G33" i="43"/>
  <c r="G50" i="43" s="1"/>
  <c r="E33" i="32"/>
  <c r="E50" i="32" s="1"/>
  <c r="D80" i="52"/>
  <c r="G33" i="42"/>
  <c r="G50" i="42" s="1"/>
  <c r="D33" i="47"/>
  <c r="D50" i="47" s="1"/>
  <c r="F33" i="33"/>
  <c r="F50" i="33" s="1"/>
  <c r="G31" i="42"/>
  <c r="G48" i="42" s="1"/>
  <c r="D33" i="11"/>
  <c r="D50" i="11" s="1"/>
  <c r="B33" i="34"/>
  <c r="B50" i="34" s="1"/>
  <c r="B33" i="50"/>
  <c r="B50" i="50" s="1"/>
  <c r="B33" i="37"/>
  <c r="B50" i="37" s="1"/>
  <c r="B33" i="39"/>
  <c r="B50" i="39" s="1"/>
  <c r="B33" i="41"/>
  <c r="B50" i="41" s="1"/>
  <c r="B33" i="42"/>
  <c r="B50" i="42" s="1"/>
  <c r="B33" i="29"/>
  <c r="B50" i="29" s="1"/>
  <c r="B33" i="48"/>
  <c r="B50" i="48" s="1"/>
  <c r="B33" i="36"/>
  <c r="B50" i="36" s="1"/>
  <c r="B33" i="47"/>
  <c r="B50" i="47" s="1"/>
  <c r="B33" i="44"/>
  <c r="B50" i="44" s="1"/>
  <c r="B33" i="49"/>
  <c r="B50" i="49" s="1"/>
  <c r="B33" i="45"/>
  <c r="B50" i="45" s="1"/>
  <c r="B33" i="31"/>
  <c r="B50" i="31" s="1"/>
  <c r="B33" i="33"/>
  <c r="B50" i="33" s="1"/>
  <c r="B33" i="30"/>
  <c r="B50" i="30" s="1"/>
  <c r="B33" i="43"/>
  <c r="B50" i="43" s="1"/>
  <c r="C33" i="45"/>
  <c r="C50" i="45" s="1"/>
  <c r="G31" i="34"/>
  <c r="G48" i="34" s="1"/>
  <c r="G31" i="47"/>
  <c r="G48" i="47" s="1"/>
  <c r="D33" i="34"/>
  <c r="D50" i="34" s="1"/>
  <c r="G33" i="49"/>
  <c r="G50" i="49" s="1"/>
  <c r="G33" i="35"/>
  <c r="G50" i="35" s="1"/>
  <c r="E33" i="47"/>
  <c r="E50" i="47" s="1"/>
  <c r="E33" i="11"/>
  <c r="E50" i="11" s="1"/>
  <c r="G30" i="11"/>
  <c r="G47" i="11" s="1"/>
  <c r="G30" i="34"/>
  <c r="G47" i="34" s="1"/>
  <c r="D33" i="32"/>
  <c r="D50" i="32" s="1"/>
  <c r="C80" i="52"/>
  <c r="H34" i="41"/>
  <c r="H51" i="41" s="1"/>
  <c r="D33" i="35"/>
  <c r="D50" i="35" s="1"/>
  <c r="C33" i="35"/>
  <c r="C50" i="35" s="1"/>
  <c r="G32" i="11"/>
  <c r="G49" i="11" s="1"/>
  <c r="G32" i="33"/>
  <c r="G49" i="33" s="1"/>
  <c r="G33" i="29"/>
  <c r="G50" i="29" s="1"/>
  <c r="H33" i="38"/>
  <c r="H50" i="38" s="1"/>
  <c r="G31" i="35"/>
  <c r="G48" i="35" s="1"/>
  <c r="D33" i="43"/>
  <c r="D50" i="43" s="1"/>
  <c r="H32" i="48"/>
  <c r="H49" i="48" s="1"/>
  <c r="G33" i="46"/>
  <c r="G50" i="46" s="1"/>
  <c r="G30" i="36"/>
  <c r="G47" i="36" s="1"/>
  <c r="D33" i="41"/>
  <c r="D50" i="41" s="1"/>
  <c r="C33" i="11"/>
  <c r="C50" i="11" s="1"/>
  <c r="E33" i="50"/>
  <c r="E50" i="50" s="1"/>
  <c r="G33" i="32"/>
  <c r="G50" i="32" s="1"/>
  <c r="C33" i="39"/>
  <c r="C50" i="39" s="1"/>
  <c r="F33" i="41"/>
  <c r="F50" i="41" s="1"/>
  <c r="E33" i="49"/>
  <c r="E50" i="49" s="1"/>
  <c r="G30" i="39"/>
  <c r="G47" i="39" s="1"/>
  <c r="G32" i="36"/>
  <c r="G49" i="36" s="1"/>
  <c r="H34" i="38"/>
  <c r="H51" i="38" s="1"/>
  <c r="G32" i="47"/>
  <c r="G49" i="47" s="1"/>
  <c r="G31" i="36"/>
  <c r="G48" i="36" s="1"/>
  <c r="D33" i="44"/>
  <c r="D50" i="44" s="1"/>
  <c r="G33" i="36"/>
  <c r="G50" i="36" s="1"/>
  <c r="G34" i="30"/>
  <c r="G51" i="30" s="1"/>
  <c r="G31" i="41"/>
  <c r="G48" i="41" s="1"/>
  <c r="F33" i="45"/>
  <c r="F50" i="45" s="1"/>
  <c r="G32" i="29"/>
  <c r="G49" i="29" s="1"/>
  <c r="D33" i="39"/>
  <c r="D50" i="39" s="1"/>
  <c r="B34" i="38"/>
  <c r="B51" i="38" s="1"/>
  <c r="C33" i="29"/>
  <c r="C50" i="29" s="1"/>
  <c r="C33" i="49"/>
  <c r="C50" i="49" s="1"/>
  <c r="E33" i="35"/>
  <c r="E50" i="35" s="1"/>
  <c r="G33" i="11"/>
  <c r="G50" i="11" s="1"/>
  <c r="E33" i="37"/>
  <c r="E50" i="37" s="1"/>
  <c r="G31" i="32"/>
  <c r="G48" i="32" s="1"/>
  <c r="G31" i="39"/>
  <c r="G48" i="39" s="1"/>
  <c r="D33" i="50"/>
  <c r="D50" i="50" s="1"/>
  <c r="F34" i="48"/>
  <c r="F51" i="48" s="1"/>
  <c r="G32" i="48"/>
  <c r="G49" i="48" s="1"/>
  <c r="E33" i="30"/>
  <c r="E50" i="30" s="1"/>
  <c r="H34" i="50"/>
  <c r="H51" i="50" s="1"/>
  <c r="G31" i="30"/>
  <c r="G48" i="30" s="1"/>
  <c r="F34" i="38"/>
  <c r="F51" i="38" s="1"/>
  <c r="G30" i="43"/>
  <c r="G47" i="43" s="1"/>
  <c r="C33" i="43"/>
  <c r="C50" i="43" s="1"/>
  <c r="C33" i="41"/>
  <c r="C50" i="41" s="1"/>
  <c r="I33" i="38"/>
  <c r="I50" i="38"/>
  <c r="O50" i="38" s="1"/>
  <c r="R50" i="38" s="1"/>
  <c r="G31" i="33"/>
  <c r="G48" i="33" s="1"/>
  <c r="H33" i="28"/>
  <c r="H50" i="28" s="1"/>
  <c r="G30" i="48"/>
  <c r="G47" i="48" s="1"/>
  <c r="F33" i="47"/>
  <c r="F50" i="47" s="1"/>
  <c r="H33" i="35"/>
  <c r="H50" i="35" s="1"/>
  <c r="D33" i="37"/>
  <c r="D50" i="37" s="1"/>
  <c r="F33" i="35"/>
  <c r="F50" i="35" s="1"/>
  <c r="G30" i="47"/>
  <c r="G47" i="47" s="1"/>
  <c r="E80" i="52"/>
  <c r="F33" i="32"/>
  <c r="F50" i="32" s="1"/>
  <c r="G31" i="50"/>
  <c r="G48" i="50" s="1"/>
  <c r="F34" i="45"/>
  <c r="F51" i="45" s="1"/>
  <c r="G32" i="44"/>
  <c r="G49" i="44" s="1"/>
  <c r="H32" i="37"/>
  <c r="H49" i="37" s="1"/>
  <c r="H31" i="38"/>
  <c r="H48" i="38" s="1"/>
  <c r="G33" i="31"/>
  <c r="G50" i="31" s="1"/>
  <c r="H33" i="43"/>
  <c r="H50" i="43" s="1"/>
  <c r="G31" i="31"/>
  <c r="G48" i="31" s="1"/>
  <c r="E33" i="33"/>
  <c r="E50" i="33" s="1"/>
  <c r="G33" i="44"/>
  <c r="G50" i="44" s="1"/>
  <c r="D33" i="49"/>
  <c r="D50" i="49" s="1"/>
  <c r="B33" i="46"/>
  <c r="B50" i="46" s="1"/>
  <c r="B33" i="11"/>
  <c r="B50" i="11" s="1"/>
  <c r="E76" i="52"/>
  <c r="B35" i="38"/>
  <c r="B52" i="38" s="1"/>
  <c r="F78" i="52" l="1"/>
  <c r="G34" i="43"/>
  <c r="G51" i="43" s="1"/>
  <c r="G34" i="44"/>
  <c r="G51" i="44" s="1"/>
  <c r="G34" i="28"/>
  <c r="G51" i="28" s="1"/>
  <c r="G34" i="46"/>
  <c r="G51" i="46" s="1"/>
  <c r="G32" i="39"/>
  <c r="G49" i="39" s="1"/>
  <c r="G34" i="37"/>
  <c r="G51" i="37" s="1"/>
  <c r="H31" i="31"/>
  <c r="H48" i="31" s="1"/>
  <c r="H31" i="44"/>
  <c r="H48" i="44" s="1"/>
  <c r="I49" i="44" s="1"/>
  <c r="O49" i="44" s="1"/>
  <c r="R49" i="44" s="1"/>
  <c r="H34" i="47"/>
  <c r="H51" i="47" s="1"/>
  <c r="I52" i="47" s="1"/>
  <c r="O52" i="47" s="1"/>
  <c r="R52" i="47" s="1"/>
  <c r="G33" i="45"/>
  <c r="G50" i="45" s="1"/>
  <c r="G32" i="45"/>
  <c r="G49" i="45" s="1"/>
  <c r="H34" i="28"/>
  <c r="H51" i="28" s="1"/>
  <c r="I52" i="28" s="1"/>
  <c r="O52" i="28" s="1"/>
  <c r="R52" i="28" s="1"/>
  <c r="D34" i="44"/>
  <c r="D51" i="44" s="1"/>
  <c r="F34" i="43"/>
  <c r="F51" i="43" s="1"/>
  <c r="D34" i="28"/>
  <c r="D51" i="28" s="1"/>
  <c r="H31" i="46"/>
  <c r="H48" i="46" s="1"/>
  <c r="I49" i="46" s="1"/>
  <c r="O49" i="46" s="1"/>
  <c r="R49" i="46" s="1"/>
  <c r="F34" i="36"/>
  <c r="F51" i="36" s="1"/>
  <c r="F34" i="28"/>
  <c r="F51" i="28" s="1"/>
  <c r="H34" i="34"/>
  <c r="H51" i="34" s="1"/>
  <c r="I52" i="34" s="1"/>
  <c r="O52" i="34" s="1"/>
  <c r="R52" i="34" s="1"/>
  <c r="E34" i="28"/>
  <c r="E51" i="28" s="1"/>
  <c r="F34" i="42"/>
  <c r="F51" i="42" s="1"/>
  <c r="G33" i="39"/>
  <c r="G50" i="39" s="1"/>
  <c r="F80" i="52"/>
  <c r="D34" i="48"/>
  <c r="D51" i="48" s="1"/>
  <c r="C34" i="28"/>
  <c r="C51" i="28" s="1"/>
  <c r="B50" i="28"/>
  <c r="C34" i="35"/>
  <c r="C51" i="35" s="1"/>
  <c r="B50" i="35"/>
  <c r="D34" i="50"/>
  <c r="D51" i="50" s="1"/>
  <c r="C50" i="50"/>
  <c r="D34" i="36"/>
  <c r="D51" i="36" s="1"/>
  <c r="C50" i="36"/>
  <c r="E34" i="48"/>
  <c r="E51" i="48" s="1"/>
  <c r="D50" i="48"/>
  <c r="E34" i="46"/>
  <c r="E51" i="46" s="1"/>
  <c r="D50" i="46"/>
  <c r="D34" i="37"/>
  <c r="D51" i="37" s="1"/>
  <c r="C50" i="37"/>
  <c r="F77" i="52"/>
  <c r="F46" i="45"/>
  <c r="G32" i="46"/>
  <c r="F79" i="52"/>
  <c r="B34" i="28"/>
  <c r="E34" i="36"/>
  <c r="B35" i="50"/>
  <c r="B52" i="50" s="1"/>
  <c r="B35" i="41"/>
  <c r="B52" i="41" s="1"/>
  <c r="B35" i="46"/>
  <c r="B52" i="46" s="1"/>
  <c r="B34" i="49"/>
  <c r="B51" i="49" s="1"/>
  <c r="B34" i="44"/>
  <c r="B34" i="47"/>
  <c r="B34" i="43"/>
  <c r="B51" i="43" s="1"/>
  <c r="B34" i="37"/>
  <c r="I51" i="43"/>
  <c r="O51" i="43" s="1"/>
  <c r="R51" i="43" s="1"/>
  <c r="I34" i="43"/>
  <c r="G34" i="45"/>
  <c r="G51" i="45" s="1"/>
  <c r="H34" i="36"/>
  <c r="H51" i="36" s="1"/>
  <c r="H33" i="47"/>
  <c r="H50" i="47" s="1"/>
  <c r="D34" i="11"/>
  <c r="D51" i="11" s="1"/>
  <c r="I34" i="38"/>
  <c r="I51" i="38"/>
  <c r="O51" i="38" s="1"/>
  <c r="R51" i="38" s="1"/>
  <c r="E34" i="34"/>
  <c r="E51" i="34" s="1"/>
  <c r="H32" i="34"/>
  <c r="H49" i="34" s="1"/>
  <c r="C34" i="49"/>
  <c r="C51" i="49" s="1"/>
  <c r="C34" i="39"/>
  <c r="C51" i="39" s="1"/>
  <c r="E34" i="47"/>
  <c r="E51" i="47" s="1"/>
  <c r="H34" i="48"/>
  <c r="H51" i="48" s="1"/>
  <c r="F35" i="38"/>
  <c r="F52" i="38" s="1"/>
  <c r="H31" i="41"/>
  <c r="H48" i="41" s="1"/>
  <c r="F34" i="41"/>
  <c r="F51" i="41" s="1"/>
  <c r="D34" i="46"/>
  <c r="D51" i="46" s="1"/>
  <c r="B34" i="32"/>
  <c r="B51" i="32" s="1"/>
  <c r="M93" i="4"/>
  <c r="H32" i="49"/>
  <c r="H49" i="49" s="1"/>
  <c r="H31" i="29"/>
  <c r="H48" i="29" s="1"/>
  <c r="G35" i="46"/>
  <c r="G52" i="46" s="1"/>
  <c r="I49" i="38"/>
  <c r="O49" i="38" s="1"/>
  <c r="R49" i="38" s="1"/>
  <c r="I32" i="38"/>
  <c r="H32" i="50"/>
  <c r="H49" i="50" s="1"/>
  <c r="H31" i="47"/>
  <c r="H48" i="47" s="1"/>
  <c r="E34" i="37"/>
  <c r="E51" i="37" s="1"/>
  <c r="D34" i="43"/>
  <c r="D51" i="43" s="1"/>
  <c r="H31" i="43"/>
  <c r="H48" i="43" s="1"/>
  <c r="H32" i="30"/>
  <c r="H49" i="30" s="1"/>
  <c r="F34" i="30"/>
  <c r="F51" i="30" s="1"/>
  <c r="G35" i="48"/>
  <c r="G52" i="48" s="1"/>
  <c r="G79" i="52"/>
  <c r="H32" i="32"/>
  <c r="H49" i="32" s="1"/>
  <c r="D34" i="49"/>
  <c r="D51" i="49" s="1"/>
  <c r="C35" i="38"/>
  <c r="C52" i="38" s="1"/>
  <c r="H31" i="39"/>
  <c r="H48" i="39" s="1"/>
  <c r="G34" i="41"/>
  <c r="G51" i="41" s="1"/>
  <c r="F34" i="50"/>
  <c r="F51" i="50" s="1"/>
  <c r="B34" i="11"/>
  <c r="B51" i="11" s="1"/>
  <c r="B34" i="30"/>
  <c r="B51" i="30" s="1"/>
  <c r="C34" i="45"/>
  <c r="C51" i="45" s="1"/>
  <c r="C34" i="36"/>
  <c r="C51" i="36" s="1"/>
  <c r="C34" i="34"/>
  <c r="C51" i="34" s="1"/>
  <c r="H34" i="33"/>
  <c r="H51" i="33" s="1"/>
  <c r="E34" i="31"/>
  <c r="E51" i="31" s="1"/>
  <c r="C34" i="32"/>
  <c r="C51" i="32" s="1"/>
  <c r="B81" i="52"/>
  <c r="E34" i="45"/>
  <c r="E51" i="45" s="1"/>
  <c r="G34" i="50"/>
  <c r="G51" i="50" s="1"/>
  <c r="G34" i="49"/>
  <c r="G51" i="49" s="1"/>
  <c r="D34" i="32"/>
  <c r="D51" i="32" s="1"/>
  <c r="C81" i="52"/>
  <c r="G34" i="48"/>
  <c r="G51" i="48" s="1"/>
  <c r="H31" i="30"/>
  <c r="H48" i="30" s="1"/>
  <c r="I51" i="37"/>
  <c r="O51" i="37" s="1"/>
  <c r="R51" i="37" s="1"/>
  <c r="I34" i="37"/>
  <c r="H32" i="11"/>
  <c r="H49" i="11" s="1"/>
  <c r="E81" i="52"/>
  <c r="F34" i="39"/>
  <c r="F51" i="39" s="1"/>
  <c r="C34" i="46"/>
  <c r="C51" i="46" s="1"/>
  <c r="H34" i="44"/>
  <c r="H51" i="44" s="1"/>
  <c r="H32" i="31"/>
  <c r="H49" i="31" s="1"/>
  <c r="H34" i="31"/>
  <c r="H51" i="31" s="1"/>
  <c r="H33" i="44"/>
  <c r="H50" i="44" s="1"/>
  <c r="H32" i="33"/>
  <c r="H49" i="33" s="1"/>
  <c r="D34" i="41"/>
  <c r="D51" i="41" s="1"/>
  <c r="I35" i="50"/>
  <c r="I52" i="50"/>
  <c r="O52" i="50" s="1"/>
  <c r="R52" i="50" s="1"/>
  <c r="E34" i="50"/>
  <c r="E51" i="50" s="1"/>
  <c r="H32" i="39"/>
  <c r="H49" i="39" s="1"/>
  <c r="F34" i="37"/>
  <c r="F51" i="37" s="1"/>
  <c r="D34" i="29"/>
  <c r="D51" i="29" s="1"/>
  <c r="H32" i="36"/>
  <c r="H49" i="36" s="1"/>
  <c r="D34" i="39"/>
  <c r="D51" i="39" s="1"/>
  <c r="G81" i="52"/>
  <c r="H34" i="32"/>
  <c r="H51" i="32" s="1"/>
  <c r="H31" i="36"/>
  <c r="H48" i="36" s="1"/>
  <c r="I33" i="48"/>
  <c r="I50" i="48"/>
  <c r="O50" i="48" s="1"/>
  <c r="R50" i="48" s="1"/>
  <c r="H33" i="33"/>
  <c r="H50" i="33" s="1"/>
  <c r="D34" i="35"/>
  <c r="D51" i="35" s="1"/>
  <c r="I52" i="41"/>
  <c r="O52" i="41" s="1"/>
  <c r="R52" i="41" s="1"/>
  <c r="I35" i="41"/>
  <c r="F34" i="47"/>
  <c r="F51" i="47" s="1"/>
  <c r="H34" i="49"/>
  <c r="H51" i="49" s="1"/>
  <c r="C34" i="33"/>
  <c r="C51" i="33" s="1"/>
  <c r="C34" i="44"/>
  <c r="C51" i="44" s="1"/>
  <c r="C34" i="29"/>
  <c r="C51" i="29" s="1"/>
  <c r="C34" i="37"/>
  <c r="C51" i="37" s="1"/>
  <c r="H34" i="43"/>
  <c r="H51" i="43" s="1"/>
  <c r="H31" i="35"/>
  <c r="H48" i="35" s="1"/>
  <c r="I51" i="41"/>
  <c r="O51" i="41" s="1"/>
  <c r="R51" i="41" s="1"/>
  <c r="I34" i="41"/>
  <c r="I33" i="29"/>
  <c r="I50" i="29"/>
  <c r="Q50" i="29" s="1"/>
  <c r="T50" i="29" s="1"/>
  <c r="E34" i="30"/>
  <c r="E51" i="30" s="1"/>
  <c r="H33" i="32"/>
  <c r="H50" i="32" s="1"/>
  <c r="G34" i="29"/>
  <c r="G51" i="29" s="1"/>
  <c r="I32" i="28"/>
  <c r="I49" i="28"/>
  <c r="O49" i="28" s="1"/>
  <c r="R49" i="28" s="1"/>
  <c r="H32" i="44"/>
  <c r="H49" i="44" s="1"/>
  <c r="H34" i="37"/>
  <c r="H51" i="37" s="1"/>
  <c r="H33" i="30"/>
  <c r="H50" i="30" s="1"/>
  <c r="H33" i="49"/>
  <c r="H50" i="49" s="1"/>
  <c r="E35" i="47"/>
  <c r="E52" i="47" s="1"/>
  <c r="I33" i="28"/>
  <c r="I50" i="28"/>
  <c r="O50" i="28" s="1"/>
  <c r="R50" i="28" s="1"/>
  <c r="H33" i="34"/>
  <c r="H50" i="34" s="1"/>
  <c r="H32" i="45"/>
  <c r="H49" i="45" s="1"/>
  <c r="E34" i="33"/>
  <c r="E51" i="33" s="1"/>
  <c r="H31" i="32"/>
  <c r="H48" i="32" s="1"/>
  <c r="D34" i="31"/>
  <c r="D51" i="31" s="1"/>
  <c r="H35" i="31"/>
  <c r="H52" i="31" s="1"/>
  <c r="H31" i="42"/>
  <c r="H48" i="42" s="1"/>
  <c r="B35" i="29"/>
  <c r="B52" i="29" s="1"/>
  <c r="B35" i="31"/>
  <c r="B52" i="31" s="1"/>
  <c r="B35" i="44"/>
  <c r="B52" i="44" s="1"/>
  <c r="B35" i="47"/>
  <c r="B52" i="47" s="1"/>
  <c r="B35" i="48"/>
  <c r="B52" i="48" s="1"/>
  <c r="B35" i="43"/>
  <c r="B52" i="43" s="1"/>
  <c r="B34" i="42"/>
  <c r="B51" i="42" s="1"/>
  <c r="B34" i="31"/>
  <c r="B51" i="31" s="1"/>
  <c r="B34" i="45"/>
  <c r="B51" i="45" s="1"/>
  <c r="B34" i="36"/>
  <c r="B51" i="36" s="1"/>
  <c r="B34" i="29"/>
  <c r="B51" i="29" s="1"/>
  <c r="B34" i="33"/>
  <c r="B51" i="33" s="1"/>
  <c r="B34" i="50"/>
  <c r="B51" i="50" s="1"/>
  <c r="B35" i="11"/>
  <c r="B52" i="11" s="1"/>
  <c r="B35" i="30"/>
  <c r="B52" i="30" s="1"/>
  <c r="C36" i="38"/>
  <c r="C53" i="38" s="1"/>
  <c r="B35" i="32"/>
  <c r="B52" i="32" s="1"/>
  <c r="C34" i="11"/>
  <c r="C51" i="11" s="1"/>
  <c r="E34" i="49"/>
  <c r="E51" i="49" s="1"/>
  <c r="I33" i="37"/>
  <c r="I50" i="37"/>
  <c r="O50" i="37" s="1"/>
  <c r="R50" i="37" s="1"/>
  <c r="G35" i="42"/>
  <c r="G52" i="42" s="1"/>
  <c r="G34" i="35"/>
  <c r="G51" i="35" s="1"/>
  <c r="I51" i="35"/>
  <c r="O51" i="35" s="1"/>
  <c r="R51" i="35" s="1"/>
  <c r="I34" i="35"/>
  <c r="H31" i="48"/>
  <c r="H48" i="48" s="1"/>
  <c r="G35" i="38"/>
  <c r="G52" i="38" s="1"/>
  <c r="H33" i="48"/>
  <c r="H50" i="48" s="1"/>
  <c r="H34" i="11"/>
  <c r="H51" i="11" s="1"/>
  <c r="E34" i="39"/>
  <c r="E51" i="39" s="1"/>
  <c r="E34" i="44"/>
  <c r="E51" i="44" s="1"/>
  <c r="I49" i="31"/>
  <c r="O49" i="31" s="1"/>
  <c r="R49" i="31" s="1"/>
  <c r="C34" i="30"/>
  <c r="C51" i="30" s="1"/>
  <c r="C34" i="48"/>
  <c r="C51" i="48" s="1"/>
  <c r="F34" i="32"/>
  <c r="F51" i="32" s="1"/>
  <c r="E35" i="38"/>
  <c r="E52" i="38" s="1"/>
  <c r="E34" i="42"/>
  <c r="E51" i="42" s="1"/>
  <c r="G34" i="34"/>
  <c r="G51" i="34" s="1"/>
  <c r="D34" i="33"/>
  <c r="D51" i="33" s="1"/>
  <c r="E34" i="29"/>
  <c r="E51" i="29" s="1"/>
  <c r="H31" i="49"/>
  <c r="H48" i="49" s="1"/>
  <c r="H31" i="37"/>
  <c r="H48" i="37" s="1"/>
  <c r="F34" i="34"/>
  <c r="F51" i="34" s="1"/>
  <c r="G35" i="29"/>
  <c r="G52" i="29" s="1"/>
  <c r="I49" i="33"/>
  <c r="O49" i="33" s="1"/>
  <c r="R49" i="33" s="1"/>
  <c r="I32" i="33"/>
  <c r="H32" i="43"/>
  <c r="H49" i="43" s="1"/>
  <c r="H32" i="46"/>
  <c r="H49" i="46" s="1"/>
  <c r="F34" i="31"/>
  <c r="F51" i="31" s="1"/>
  <c r="D34" i="30"/>
  <c r="D51" i="30" s="1"/>
  <c r="F34" i="33"/>
  <c r="F51" i="33" s="1"/>
  <c r="F81" i="52"/>
  <c r="G34" i="32"/>
  <c r="G51" i="32" s="1"/>
  <c r="I51" i="28"/>
  <c r="O51" i="28" s="1"/>
  <c r="R51" i="28" s="1"/>
  <c r="I34" i="28"/>
  <c r="H33" i="36"/>
  <c r="H50" i="36" s="1"/>
  <c r="E34" i="41"/>
  <c r="E51" i="41" s="1"/>
  <c r="H34" i="46"/>
  <c r="H51" i="46" s="1"/>
  <c r="E34" i="43"/>
  <c r="E51" i="43" s="1"/>
  <c r="H32" i="35"/>
  <c r="H49" i="35" s="1"/>
  <c r="H33" i="11"/>
  <c r="H50" i="11" s="1"/>
  <c r="E34" i="35"/>
  <c r="E51" i="35" s="1"/>
  <c r="H31" i="11"/>
  <c r="H48" i="11" s="1"/>
  <c r="H35" i="43"/>
  <c r="H52" i="43" s="1"/>
  <c r="H34" i="35"/>
  <c r="H51" i="35" s="1"/>
  <c r="C34" i="43"/>
  <c r="C51" i="43" s="1"/>
  <c r="C34" i="41"/>
  <c r="C51" i="41" s="1"/>
  <c r="G34" i="33"/>
  <c r="G51" i="33" s="1"/>
  <c r="H33" i="42"/>
  <c r="H50" i="42" s="1"/>
  <c r="F34" i="44"/>
  <c r="F51" i="44" s="1"/>
  <c r="H33" i="50"/>
  <c r="H50" i="50" s="1"/>
  <c r="B35" i="42"/>
  <c r="B52" i="42" s="1"/>
  <c r="G35" i="45"/>
  <c r="G52" i="45" s="1"/>
  <c r="G34" i="47"/>
  <c r="G51" i="47" s="1"/>
  <c r="N25" i="52"/>
  <c r="S51" i="38"/>
  <c r="T52" i="38" s="1"/>
  <c r="U53" i="38" s="1"/>
  <c r="V54" i="38" s="1"/>
  <c r="F34" i="35"/>
  <c r="F51" i="35" s="1"/>
  <c r="H33" i="29"/>
  <c r="H50" i="29" s="1"/>
  <c r="H32" i="41"/>
  <c r="H49" i="41" s="1"/>
  <c r="H35" i="30"/>
  <c r="H52" i="30" s="1"/>
  <c r="H35" i="46"/>
  <c r="H52" i="46" s="1"/>
  <c r="I52" i="38"/>
  <c r="O52" i="38" s="1"/>
  <c r="R52" i="38" s="1"/>
  <c r="I35" i="38"/>
  <c r="F34" i="49"/>
  <c r="F51" i="49" s="1"/>
  <c r="H34" i="29"/>
  <c r="H51" i="29" s="1"/>
  <c r="E34" i="32"/>
  <c r="E51" i="32" s="1"/>
  <c r="D81" i="52"/>
  <c r="H31" i="34"/>
  <c r="H48" i="34" s="1"/>
  <c r="F34" i="11"/>
  <c r="F51" i="11" s="1"/>
  <c r="H32" i="47"/>
  <c r="H49" i="47" s="1"/>
  <c r="D34" i="45"/>
  <c r="D51" i="45" s="1"/>
  <c r="C34" i="31"/>
  <c r="C51" i="31" s="1"/>
  <c r="C34" i="47"/>
  <c r="C51" i="47" s="1"/>
  <c r="C34" i="42"/>
  <c r="C51" i="42" s="1"/>
  <c r="C34" i="50"/>
  <c r="C51" i="50" s="1"/>
  <c r="E34" i="11"/>
  <c r="E51" i="11" s="1"/>
  <c r="H32" i="42"/>
  <c r="H49" i="42" s="1"/>
  <c r="H34" i="42"/>
  <c r="H51" i="42" s="1"/>
  <c r="D35" i="38"/>
  <c r="D52" i="38" s="1"/>
  <c r="H35" i="38"/>
  <c r="H52" i="38" s="1"/>
  <c r="G34" i="36"/>
  <c r="G51" i="36" s="1"/>
  <c r="H31" i="50"/>
  <c r="H48" i="50" s="1"/>
  <c r="G30" i="45"/>
  <c r="I51" i="31"/>
  <c r="O51" i="31" s="1"/>
  <c r="R51" i="31" s="1"/>
  <c r="I34" i="31"/>
  <c r="D34" i="42"/>
  <c r="D51" i="42" s="1"/>
  <c r="H34" i="30"/>
  <c r="H51" i="30" s="1"/>
  <c r="G34" i="42"/>
  <c r="G51" i="42" s="1"/>
  <c r="D34" i="34"/>
  <c r="D51" i="34" s="1"/>
  <c r="H33" i="39"/>
  <c r="H50" i="39" s="1"/>
  <c r="G34" i="39"/>
  <c r="G51" i="39" s="1"/>
  <c r="G34" i="11"/>
  <c r="G51" i="11" s="1"/>
  <c r="B35" i="36"/>
  <c r="B52" i="36" s="1"/>
  <c r="B35" i="35"/>
  <c r="B52" i="35" s="1"/>
  <c r="B34" i="41"/>
  <c r="B51" i="41" s="1"/>
  <c r="B34" i="46"/>
  <c r="B51" i="46" s="1"/>
  <c r="B34" i="34"/>
  <c r="B51" i="34" s="1"/>
  <c r="B35" i="34"/>
  <c r="B52" i="34" s="1"/>
  <c r="B35" i="49"/>
  <c r="B52" i="49" s="1"/>
  <c r="B35" i="33"/>
  <c r="B52" i="33" s="1"/>
  <c r="B35" i="37"/>
  <c r="B52" i="37" s="1"/>
  <c r="B34" i="48"/>
  <c r="B51" i="48" s="1"/>
  <c r="B34" i="39"/>
  <c r="B51" i="39" s="1"/>
  <c r="B34" i="35"/>
  <c r="B51" i="35" s="1"/>
  <c r="B35" i="28"/>
  <c r="B52" i="28" s="1"/>
  <c r="B36" i="38"/>
  <c r="B53" i="38" s="1"/>
  <c r="B36" i="36"/>
  <c r="B53" i="36" s="1"/>
  <c r="B36" i="48"/>
  <c r="B53" i="48" s="1"/>
  <c r="B36" i="37"/>
  <c r="B53" i="37" s="1"/>
  <c r="H33" i="45" l="1"/>
  <c r="H50" i="45" s="1"/>
  <c r="I35" i="47"/>
  <c r="I32" i="44"/>
  <c r="G35" i="43"/>
  <c r="G52" i="43" s="1"/>
  <c r="H35" i="37"/>
  <c r="H52" i="37" s="1"/>
  <c r="I32" i="31"/>
  <c r="H34" i="45"/>
  <c r="H51" i="45" s="1"/>
  <c r="I52" i="45" s="1"/>
  <c r="O52" i="45" s="1"/>
  <c r="R52" i="45" s="1"/>
  <c r="H35" i="44"/>
  <c r="H52" i="44" s="1"/>
  <c r="I53" i="44" s="1"/>
  <c r="O53" i="44" s="1"/>
  <c r="R53" i="44" s="1"/>
  <c r="H35" i="28"/>
  <c r="H52" i="28" s="1"/>
  <c r="D35" i="28"/>
  <c r="D52" i="28" s="1"/>
  <c r="F35" i="28"/>
  <c r="F52" i="28" s="1"/>
  <c r="I32" i="46"/>
  <c r="G35" i="28"/>
  <c r="G52" i="28" s="1"/>
  <c r="I35" i="28"/>
  <c r="G35" i="36"/>
  <c r="G52" i="36" s="1"/>
  <c r="E35" i="28"/>
  <c r="E52" i="28" s="1"/>
  <c r="E35" i="50"/>
  <c r="E52" i="50" s="1"/>
  <c r="E35" i="44"/>
  <c r="E52" i="44" s="1"/>
  <c r="I35" i="34"/>
  <c r="F35" i="48"/>
  <c r="F52" i="48" s="1"/>
  <c r="E35" i="37"/>
  <c r="E52" i="37" s="1"/>
  <c r="H34" i="39"/>
  <c r="H51" i="39" s="1"/>
  <c r="I52" i="39" s="1"/>
  <c r="O52" i="39" s="1"/>
  <c r="R52" i="39" s="1"/>
  <c r="E35" i="48"/>
  <c r="E52" i="48" s="1"/>
  <c r="C35" i="44"/>
  <c r="C52" i="44" s="1"/>
  <c r="B51" i="44"/>
  <c r="C35" i="28"/>
  <c r="C52" i="28" s="1"/>
  <c r="B51" i="28"/>
  <c r="C35" i="47"/>
  <c r="C52" i="47" s="1"/>
  <c r="B51" i="47"/>
  <c r="E35" i="36"/>
  <c r="E52" i="36" s="1"/>
  <c r="D35" i="35"/>
  <c r="D52" i="35" s="1"/>
  <c r="F35" i="46"/>
  <c r="F52" i="46" s="1"/>
  <c r="C35" i="37"/>
  <c r="C52" i="37" s="1"/>
  <c r="B51" i="37"/>
  <c r="F35" i="36"/>
  <c r="F52" i="36" s="1"/>
  <c r="E51" i="36"/>
  <c r="G78" i="52"/>
  <c r="H78" i="52" s="1"/>
  <c r="G47" i="45"/>
  <c r="G80" i="52"/>
  <c r="H80" i="52" s="1"/>
  <c r="G49" i="46"/>
  <c r="H33" i="46"/>
  <c r="H79" i="52"/>
  <c r="C36" i="50"/>
  <c r="C53" i="50" s="1"/>
  <c r="C35" i="49"/>
  <c r="C52" i="49" s="1"/>
  <c r="C35" i="43"/>
  <c r="C52" i="43" s="1"/>
  <c r="C36" i="41"/>
  <c r="C53" i="41" s="1"/>
  <c r="B35" i="45"/>
  <c r="B52" i="45" s="1"/>
  <c r="B35" i="39"/>
  <c r="B52" i="39" s="1"/>
  <c r="N93" i="4"/>
  <c r="B36" i="44"/>
  <c r="B53" i="44" s="1"/>
  <c r="B36" i="45"/>
  <c r="B36" i="34"/>
  <c r="C36" i="46"/>
  <c r="B36" i="39"/>
  <c r="C36" i="42"/>
  <c r="C53" i="42" s="1"/>
  <c r="C35" i="35"/>
  <c r="C52" i="35" s="1"/>
  <c r="C36" i="37"/>
  <c r="C53" i="37" s="1"/>
  <c r="C36" i="34"/>
  <c r="C53" i="34" s="1"/>
  <c r="C36" i="35"/>
  <c r="C53" i="35" s="1"/>
  <c r="H35" i="42"/>
  <c r="H52" i="42" s="1"/>
  <c r="E35" i="42"/>
  <c r="E52" i="42" s="1"/>
  <c r="I53" i="38"/>
  <c r="O53" i="38" s="1"/>
  <c r="R53" i="38" s="1"/>
  <c r="I36" i="38"/>
  <c r="I52" i="42"/>
  <c r="O52" i="42" s="1"/>
  <c r="R52" i="42" s="1"/>
  <c r="I35" i="42"/>
  <c r="D35" i="31"/>
  <c r="D52" i="31" s="1"/>
  <c r="I52" i="29"/>
  <c r="Q52" i="29" s="1"/>
  <c r="T52" i="29" s="1"/>
  <c r="I35" i="29"/>
  <c r="I51" i="29"/>
  <c r="Q51" i="29" s="1"/>
  <c r="T51" i="29" s="1"/>
  <c r="I34" i="29"/>
  <c r="I51" i="45"/>
  <c r="O51" i="45" s="1"/>
  <c r="R51" i="45" s="1"/>
  <c r="I34" i="45"/>
  <c r="I50" i="35"/>
  <c r="O50" i="35" s="1"/>
  <c r="R50" i="35" s="1"/>
  <c r="I33" i="35"/>
  <c r="I52" i="46"/>
  <c r="O52" i="46" s="1"/>
  <c r="R52" i="46" s="1"/>
  <c r="I35" i="46"/>
  <c r="G35" i="33"/>
  <c r="G52" i="33" s="1"/>
  <c r="I33" i="43"/>
  <c r="I50" i="43"/>
  <c r="O50" i="43" s="1"/>
  <c r="R50" i="43" s="1"/>
  <c r="H35" i="34"/>
  <c r="H52" i="34" s="1"/>
  <c r="F36" i="38"/>
  <c r="F53" i="38" s="1"/>
  <c r="D35" i="48"/>
  <c r="D52" i="48" s="1"/>
  <c r="H36" i="28"/>
  <c r="H53" i="28" s="1"/>
  <c r="F35" i="49"/>
  <c r="F52" i="49" s="1"/>
  <c r="C35" i="29"/>
  <c r="C52" i="29" s="1"/>
  <c r="N29" i="52"/>
  <c r="U51" i="29"/>
  <c r="V52" i="29" s="1"/>
  <c r="W53" i="29" s="1"/>
  <c r="X54" i="29" s="1"/>
  <c r="G35" i="47"/>
  <c r="G52" i="47" s="1"/>
  <c r="E35" i="29"/>
  <c r="E52" i="29" s="1"/>
  <c r="I52" i="31"/>
  <c r="O52" i="31" s="1"/>
  <c r="R52" i="31" s="1"/>
  <c r="I35" i="31"/>
  <c r="F35" i="37"/>
  <c r="F52" i="37" s="1"/>
  <c r="C35" i="32"/>
  <c r="C52" i="32" s="1"/>
  <c r="I33" i="34"/>
  <c r="I50" i="34"/>
  <c r="O50" i="34" s="1"/>
  <c r="R50" i="34" s="1"/>
  <c r="I52" i="36"/>
  <c r="O52" i="36" s="1"/>
  <c r="R52" i="36" s="1"/>
  <c r="I35" i="36"/>
  <c r="O35" i="52"/>
  <c r="S52" i="43"/>
  <c r="T53" i="43" s="1"/>
  <c r="U54" i="43" s="1"/>
  <c r="C37" i="48"/>
  <c r="C54" i="48" s="1"/>
  <c r="C35" i="48"/>
  <c r="C52" i="48" s="1"/>
  <c r="C35" i="41"/>
  <c r="C52" i="41" s="1"/>
  <c r="H35" i="11"/>
  <c r="H52" i="11" s="1"/>
  <c r="H35" i="39"/>
  <c r="H52" i="39" s="1"/>
  <c r="I32" i="50"/>
  <c r="I49" i="50"/>
  <c r="O49" i="50" s="1"/>
  <c r="R49" i="50" s="1"/>
  <c r="F35" i="11"/>
  <c r="F52" i="11" s="1"/>
  <c r="D35" i="42"/>
  <c r="D52" i="42" s="1"/>
  <c r="I33" i="47"/>
  <c r="I50" i="47"/>
  <c r="O50" i="47" s="1"/>
  <c r="R50" i="47" s="1"/>
  <c r="I49" i="34"/>
  <c r="O49" i="34" s="1"/>
  <c r="R49" i="34" s="1"/>
  <c r="I32" i="34"/>
  <c r="F35" i="32"/>
  <c r="F52" i="32" s="1"/>
  <c r="I50" i="41"/>
  <c r="O50" i="41" s="1"/>
  <c r="R50" i="41" s="1"/>
  <c r="I33" i="41"/>
  <c r="H36" i="45"/>
  <c r="H53" i="45" s="1"/>
  <c r="I34" i="42"/>
  <c r="I51" i="42"/>
  <c r="O51" i="42" s="1"/>
  <c r="R51" i="42" s="1"/>
  <c r="D35" i="41"/>
  <c r="D52" i="41" s="1"/>
  <c r="I52" i="35"/>
  <c r="O52" i="35" s="1"/>
  <c r="R52" i="35" s="1"/>
  <c r="I35" i="35"/>
  <c r="I32" i="11"/>
  <c r="I49" i="11"/>
  <c r="O49" i="11" s="1"/>
  <c r="R49" i="11" s="1"/>
  <c r="G35" i="31"/>
  <c r="G52" i="31" s="1"/>
  <c r="S50" i="33"/>
  <c r="T51" i="33" s="1"/>
  <c r="U52" i="33" s="1"/>
  <c r="V53" i="33" s="1"/>
  <c r="W54" i="33" s="1"/>
  <c r="M9" i="52"/>
  <c r="G35" i="34"/>
  <c r="G52" i="34" s="1"/>
  <c r="E35" i="33"/>
  <c r="E52" i="33" s="1"/>
  <c r="D35" i="30"/>
  <c r="D52" i="30" s="1"/>
  <c r="F35" i="44"/>
  <c r="F52" i="44" s="1"/>
  <c r="I51" i="48"/>
  <c r="O51" i="48" s="1"/>
  <c r="R51" i="48" s="1"/>
  <c r="I34" i="48"/>
  <c r="I32" i="48"/>
  <c r="I49" i="48"/>
  <c r="O49" i="48" s="1"/>
  <c r="R49" i="48" s="1"/>
  <c r="D35" i="11"/>
  <c r="D52" i="11" s="1"/>
  <c r="D37" i="38"/>
  <c r="D54" i="38" s="1"/>
  <c r="C35" i="33"/>
  <c r="C52" i="33" s="1"/>
  <c r="C35" i="31"/>
  <c r="C52" i="31" s="1"/>
  <c r="C36" i="48"/>
  <c r="C53" i="48" s="1"/>
  <c r="C36" i="29"/>
  <c r="C53" i="29" s="1"/>
  <c r="I36" i="31"/>
  <c r="I53" i="31"/>
  <c r="O53" i="31" s="1"/>
  <c r="R53" i="31" s="1"/>
  <c r="I49" i="32"/>
  <c r="O49" i="32" s="1"/>
  <c r="R49" i="32" s="1"/>
  <c r="I32" i="32"/>
  <c r="N19" i="52"/>
  <c r="S51" i="28"/>
  <c r="T52" i="28" s="1"/>
  <c r="U53" i="28" s="1"/>
  <c r="V54" i="28" s="1"/>
  <c r="S50" i="28"/>
  <c r="T51" i="28" s="1"/>
  <c r="U52" i="28" s="1"/>
  <c r="V53" i="28" s="1"/>
  <c r="W54" i="28" s="1"/>
  <c r="M19" i="52"/>
  <c r="S52" i="41"/>
  <c r="T53" i="41" s="1"/>
  <c r="U54" i="41" s="1"/>
  <c r="O31" i="52"/>
  <c r="I35" i="43"/>
  <c r="I52" i="43"/>
  <c r="O52" i="43" s="1"/>
  <c r="R52" i="43" s="1"/>
  <c r="D35" i="37"/>
  <c r="D52" i="37" s="1"/>
  <c r="D35" i="44"/>
  <c r="D52" i="44" s="1"/>
  <c r="I35" i="49"/>
  <c r="I52" i="49"/>
  <c r="O52" i="49" s="1"/>
  <c r="R52" i="49" s="1"/>
  <c r="P31" i="52"/>
  <c r="S53" i="41"/>
  <c r="T54" i="41" s="1"/>
  <c r="I51" i="33"/>
  <c r="O51" i="33" s="1"/>
  <c r="R51" i="33" s="1"/>
  <c r="I34" i="33"/>
  <c r="P49" i="52"/>
  <c r="S53" i="50"/>
  <c r="T54" i="50" s="1"/>
  <c r="I52" i="44"/>
  <c r="O52" i="44" s="1"/>
  <c r="R52" i="44" s="1"/>
  <c r="I35" i="44"/>
  <c r="G35" i="39"/>
  <c r="G52" i="39" s="1"/>
  <c r="S50" i="46"/>
  <c r="T51" i="46" s="1"/>
  <c r="U52" i="46" s="1"/>
  <c r="V53" i="46" s="1"/>
  <c r="W54" i="46" s="1"/>
  <c r="M41" i="52"/>
  <c r="I33" i="11"/>
  <c r="I50" i="11"/>
  <c r="O50" i="11" s="1"/>
  <c r="R50" i="11" s="1"/>
  <c r="S53" i="47"/>
  <c r="T54" i="47" s="1"/>
  <c r="P43" i="52"/>
  <c r="D35" i="32"/>
  <c r="D52" i="32" s="1"/>
  <c r="I52" i="33"/>
  <c r="O52" i="33" s="1"/>
  <c r="R52" i="33" s="1"/>
  <c r="I35" i="33"/>
  <c r="D35" i="36"/>
  <c r="D52" i="36" s="1"/>
  <c r="C35" i="11"/>
  <c r="C52" i="11" s="1"/>
  <c r="D36" i="38"/>
  <c r="D53" i="38" s="1"/>
  <c r="I33" i="32"/>
  <c r="I50" i="32"/>
  <c r="O50" i="32" s="1"/>
  <c r="R50" i="32" s="1"/>
  <c r="G35" i="30"/>
  <c r="G52" i="30" s="1"/>
  <c r="I49" i="29"/>
  <c r="Q49" i="29" s="1"/>
  <c r="T49" i="29" s="1"/>
  <c r="I32" i="29"/>
  <c r="G35" i="41"/>
  <c r="G52" i="41" s="1"/>
  <c r="G36" i="38"/>
  <c r="G53" i="38" s="1"/>
  <c r="D35" i="39"/>
  <c r="D52" i="39" s="1"/>
  <c r="C35" i="39"/>
  <c r="C52" i="39" s="1"/>
  <c r="C36" i="49"/>
  <c r="C53" i="49" s="1"/>
  <c r="C35" i="46"/>
  <c r="C52" i="46" s="1"/>
  <c r="E35" i="34"/>
  <c r="E52" i="34" s="1"/>
  <c r="I35" i="30"/>
  <c r="I52" i="30"/>
  <c r="O52" i="30" s="1"/>
  <c r="R52" i="30" s="1"/>
  <c r="O7" i="52"/>
  <c r="S52" i="31"/>
  <c r="T53" i="31" s="1"/>
  <c r="U54" i="31" s="1"/>
  <c r="H31" i="45"/>
  <c r="H48" i="45" s="1"/>
  <c r="H35" i="36"/>
  <c r="H52" i="36" s="1"/>
  <c r="E36" i="38"/>
  <c r="E53" i="38" s="1"/>
  <c r="I50" i="42"/>
  <c r="O50" i="42" s="1"/>
  <c r="R50" i="42" s="1"/>
  <c r="I33" i="42"/>
  <c r="D35" i="50"/>
  <c r="D52" i="50" s="1"/>
  <c r="D35" i="47"/>
  <c r="D52" i="47" s="1"/>
  <c r="E35" i="45"/>
  <c r="E52" i="45" s="1"/>
  <c r="G35" i="11"/>
  <c r="G52" i="11" s="1"/>
  <c r="G35" i="49"/>
  <c r="G52" i="49" s="1"/>
  <c r="I53" i="46"/>
  <c r="O53" i="46" s="1"/>
  <c r="R53" i="46" s="1"/>
  <c r="I36" i="46"/>
  <c r="G35" i="35"/>
  <c r="G52" i="35" s="1"/>
  <c r="H35" i="47"/>
  <c r="H52" i="47" s="1"/>
  <c r="G35" i="44"/>
  <c r="G52" i="44" s="1"/>
  <c r="H35" i="33"/>
  <c r="H52" i="33" s="1"/>
  <c r="F35" i="41"/>
  <c r="F52" i="41" s="1"/>
  <c r="I51" i="36"/>
  <c r="O51" i="36" s="1"/>
  <c r="R51" i="36" s="1"/>
  <c r="I34" i="36"/>
  <c r="I50" i="46"/>
  <c r="O50" i="46" s="1"/>
  <c r="R50" i="46" s="1"/>
  <c r="I33" i="46"/>
  <c r="I49" i="49"/>
  <c r="O49" i="49" s="1"/>
  <c r="R49" i="49" s="1"/>
  <c r="I32" i="49"/>
  <c r="F35" i="42"/>
  <c r="F52" i="42" s="1"/>
  <c r="G35" i="32"/>
  <c r="G52" i="32" s="1"/>
  <c r="F35" i="39"/>
  <c r="F52" i="39" s="1"/>
  <c r="H35" i="35"/>
  <c r="H52" i="35" s="1"/>
  <c r="N17" i="52"/>
  <c r="S51" i="37"/>
  <c r="T52" i="37" s="1"/>
  <c r="U53" i="37" s="1"/>
  <c r="V54" i="37" s="1"/>
  <c r="C35" i="50"/>
  <c r="C52" i="50" s="1"/>
  <c r="C35" i="45"/>
  <c r="C52" i="45" s="1"/>
  <c r="C36" i="43"/>
  <c r="C53" i="43" s="1"/>
  <c r="C36" i="31"/>
  <c r="C53" i="31" s="1"/>
  <c r="F35" i="33"/>
  <c r="F52" i="33" s="1"/>
  <c r="I51" i="34"/>
  <c r="O51" i="34" s="1"/>
  <c r="R51" i="34" s="1"/>
  <c r="I34" i="34"/>
  <c r="I34" i="49"/>
  <c r="I51" i="49"/>
  <c r="O51" i="49" s="1"/>
  <c r="R51" i="49" s="1"/>
  <c r="I50" i="44"/>
  <c r="O50" i="44" s="1"/>
  <c r="R50" i="44" s="1"/>
  <c r="I33" i="44"/>
  <c r="H35" i="29"/>
  <c r="H52" i="29" s="1"/>
  <c r="F35" i="30"/>
  <c r="F52" i="30" s="1"/>
  <c r="I32" i="35"/>
  <c r="I49" i="35"/>
  <c r="O49" i="35" s="1"/>
  <c r="R49" i="35" s="1"/>
  <c r="S51" i="48"/>
  <c r="T52" i="48" s="1"/>
  <c r="U53" i="48" s="1"/>
  <c r="V54" i="48" s="1"/>
  <c r="N45" i="52"/>
  <c r="I35" i="32"/>
  <c r="I52" i="32"/>
  <c r="O52" i="32" s="1"/>
  <c r="R52" i="32" s="1"/>
  <c r="E35" i="39"/>
  <c r="E52" i="39" s="1"/>
  <c r="I33" i="36"/>
  <c r="I50" i="36"/>
  <c r="O50" i="36" s="1"/>
  <c r="R50" i="36" s="1"/>
  <c r="G35" i="37"/>
  <c r="G52" i="37" s="1"/>
  <c r="I33" i="33"/>
  <c r="I50" i="33"/>
  <c r="O50" i="33" s="1"/>
  <c r="R50" i="33" s="1"/>
  <c r="I32" i="30"/>
  <c r="I49" i="30"/>
  <c r="O49" i="30" s="1"/>
  <c r="R49" i="30" s="1"/>
  <c r="H35" i="49"/>
  <c r="H52" i="49" s="1"/>
  <c r="C35" i="30"/>
  <c r="C52" i="30" s="1"/>
  <c r="H35" i="41"/>
  <c r="H52" i="41" s="1"/>
  <c r="H36" i="48"/>
  <c r="H53" i="48" s="1"/>
  <c r="I33" i="30"/>
  <c r="I50" i="30"/>
  <c r="O50" i="30" s="1"/>
  <c r="R50" i="30" s="1"/>
  <c r="I49" i="47"/>
  <c r="O49" i="47" s="1"/>
  <c r="R49" i="47" s="1"/>
  <c r="I32" i="47"/>
  <c r="M25" i="52"/>
  <c r="S50" i="38"/>
  <c r="I50" i="49"/>
  <c r="O50" i="49" s="1"/>
  <c r="R50" i="49" s="1"/>
  <c r="I33" i="49"/>
  <c r="E35" i="46"/>
  <c r="E52" i="46" s="1"/>
  <c r="I52" i="48"/>
  <c r="O52" i="48" s="1"/>
  <c r="R52" i="48" s="1"/>
  <c r="I35" i="48"/>
  <c r="F35" i="34"/>
  <c r="F52" i="34" s="1"/>
  <c r="I51" i="47"/>
  <c r="O51" i="47" s="1"/>
  <c r="R51" i="47" s="1"/>
  <c r="I34" i="47"/>
  <c r="B36" i="31"/>
  <c r="B53" i="31" s="1"/>
  <c r="B36" i="50"/>
  <c r="B53" i="50" s="1"/>
  <c r="F35" i="35"/>
  <c r="F52" i="35" s="1"/>
  <c r="S52" i="28"/>
  <c r="T53" i="28" s="1"/>
  <c r="U54" i="28" s="1"/>
  <c r="O19" i="52"/>
  <c r="S50" i="31"/>
  <c r="T51" i="31" s="1"/>
  <c r="U52" i="31" s="1"/>
  <c r="V53" i="31" s="1"/>
  <c r="W54" i="31" s="1"/>
  <c r="M7" i="52"/>
  <c r="I35" i="11"/>
  <c r="I52" i="11"/>
  <c r="O52" i="11" s="1"/>
  <c r="R52" i="11" s="1"/>
  <c r="C36" i="30"/>
  <c r="C53" i="30" s="1"/>
  <c r="C35" i="42"/>
  <c r="C52" i="42" s="1"/>
  <c r="C36" i="47"/>
  <c r="C53" i="47" s="1"/>
  <c r="E35" i="31"/>
  <c r="E52" i="31" s="1"/>
  <c r="I50" i="45"/>
  <c r="O50" i="45" s="1"/>
  <c r="R50" i="45" s="1"/>
  <c r="I33" i="45"/>
  <c r="F36" i="47"/>
  <c r="F53" i="47" s="1"/>
  <c r="I52" i="37"/>
  <c r="O52" i="37" s="1"/>
  <c r="R52" i="37" s="1"/>
  <c r="I35" i="37"/>
  <c r="D35" i="33"/>
  <c r="D52" i="33" s="1"/>
  <c r="E35" i="35"/>
  <c r="E52" i="35" s="1"/>
  <c r="I32" i="36"/>
  <c r="I49" i="36"/>
  <c r="O49" i="36" s="1"/>
  <c r="R49" i="36" s="1"/>
  <c r="I33" i="39"/>
  <c r="I50" i="39"/>
  <c r="O50" i="39" s="1"/>
  <c r="R50" i="39" s="1"/>
  <c r="E35" i="41"/>
  <c r="E52" i="41" s="1"/>
  <c r="I53" i="28"/>
  <c r="O53" i="28" s="1"/>
  <c r="R53" i="28" s="1"/>
  <c r="E35" i="32"/>
  <c r="E52" i="32" s="1"/>
  <c r="F35" i="45"/>
  <c r="F52" i="45" s="1"/>
  <c r="D35" i="34"/>
  <c r="D52" i="34" s="1"/>
  <c r="G35" i="50"/>
  <c r="G52" i="50" s="1"/>
  <c r="I32" i="43"/>
  <c r="I49" i="43"/>
  <c r="O49" i="43" s="1"/>
  <c r="R49" i="43" s="1"/>
  <c r="I33" i="50"/>
  <c r="I50" i="50"/>
  <c r="O50" i="50" s="1"/>
  <c r="R50" i="50" s="1"/>
  <c r="F35" i="47"/>
  <c r="F52" i="47" s="1"/>
  <c r="E35" i="11"/>
  <c r="E52" i="11" s="1"/>
  <c r="C37" i="37"/>
  <c r="C54" i="37" s="1"/>
  <c r="B36" i="32"/>
  <c r="B53" i="32" s="1"/>
  <c r="C37" i="36"/>
  <c r="C54" i="36" s="1"/>
  <c r="B36" i="42"/>
  <c r="B53" i="42" s="1"/>
  <c r="C37" i="38"/>
  <c r="C54" i="38" s="1"/>
  <c r="B36" i="30"/>
  <c r="B53" i="30" s="1"/>
  <c r="B36" i="11"/>
  <c r="B53" i="11" s="1"/>
  <c r="C36" i="28"/>
  <c r="C53" i="28" s="1"/>
  <c r="C36" i="33"/>
  <c r="C53" i="33" s="1"/>
  <c r="C35" i="34"/>
  <c r="C52" i="34" s="1"/>
  <c r="C36" i="36"/>
  <c r="C53" i="36" s="1"/>
  <c r="P11" i="52"/>
  <c r="S53" i="34"/>
  <c r="T54" i="34" s="1"/>
  <c r="I51" i="39"/>
  <c r="O51" i="39" s="1"/>
  <c r="R51" i="39" s="1"/>
  <c r="I34" i="39"/>
  <c r="S53" i="38"/>
  <c r="T54" i="38" s="1"/>
  <c r="P25" i="52"/>
  <c r="I36" i="30"/>
  <c r="I53" i="30"/>
  <c r="O53" i="30" s="1"/>
  <c r="R53" i="30" s="1"/>
  <c r="I34" i="50"/>
  <c r="I51" i="50"/>
  <c r="O51" i="50" s="1"/>
  <c r="R51" i="50" s="1"/>
  <c r="D35" i="43"/>
  <c r="D52" i="43" s="1"/>
  <c r="I36" i="43"/>
  <c r="I53" i="43"/>
  <c r="O53" i="43" s="1"/>
  <c r="R53" i="43" s="1"/>
  <c r="I53" i="37"/>
  <c r="O53" i="37" s="1"/>
  <c r="R53" i="37" s="1"/>
  <c r="I36" i="37"/>
  <c r="I34" i="11"/>
  <c r="I51" i="11"/>
  <c r="O51" i="11" s="1"/>
  <c r="R51" i="11" s="1"/>
  <c r="F35" i="43"/>
  <c r="F52" i="43" s="1"/>
  <c r="H35" i="32"/>
  <c r="H52" i="32" s="1"/>
  <c r="E35" i="30"/>
  <c r="E52" i="30" s="1"/>
  <c r="H36" i="29"/>
  <c r="H53" i="29" s="1"/>
  <c r="I32" i="37"/>
  <c r="I49" i="37"/>
  <c r="O49" i="37" s="1"/>
  <c r="R49" i="37" s="1"/>
  <c r="D36" i="47"/>
  <c r="D53" i="47" s="1"/>
  <c r="F35" i="29"/>
  <c r="F52" i="29" s="1"/>
  <c r="H36" i="38"/>
  <c r="H53" i="38" s="1"/>
  <c r="O13" i="52"/>
  <c r="S52" i="35"/>
  <c r="T53" i="35" s="1"/>
  <c r="U54" i="35" s="1"/>
  <c r="H36" i="42"/>
  <c r="H53" i="42" s="1"/>
  <c r="C36" i="32"/>
  <c r="C53" i="32" s="1"/>
  <c r="C36" i="11"/>
  <c r="C53" i="11" s="1"/>
  <c r="C35" i="36"/>
  <c r="C52" i="36" s="1"/>
  <c r="C36" i="44"/>
  <c r="C53" i="44" s="1"/>
  <c r="I32" i="42"/>
  <c r="I49" i="42"/>
  <c r="O49" i="42" s="1"/>
  <c r="R49" i="42" s="1"/>
  <c r="I34" i="30"/>
  <c r="I51" i="30"/>
  <c r="O51" i="30" s="1"/>
  <c r="R51" i="30" s="1"/>
  <c r="I51" i="32"/>
  <c r="O51" i="32" s="1"/>
  <c r="R51" i="32" s="1"/>
  <c r="I34" i="32"/>
  <c r="S50" i="44"/>
  <c r="T51" i="44" s="1"/>
  <c r="U52" i="44" s="1"/>
  <c r="V53" i="44" s="1"/>
  <c r="W54" i="44" s="1"/>
  <c r="M37" i="52"/>
  <c r="D35" i="29"/>
  <c r="D52" i="29" s="1"/>
  <c r="F35" i="50"/>
  <c r="F52" i="50" s="1"/>
  <c r="P19" i="52"/>
  <c r="S53" i="28"/>
  <c r="T54" i="28" s="1"/>
  <c r="I34" i="44"/>
  <c r="I51" i="44"/>
  <c r="O51" i="44" s="1"/>
  <c r="R51" i="44" s="1"/>
  <c r="I33" i="31"/>
  <c r="I50" i="31"/>
  <c r="O50" i="31" s="1"/>
  <c r="R50" i="31" s="1"/>
  <c r="D35" i="46"/>
  <c r="D52" i="46" s="1"/>
  <c r="O17" i="52"/>
  <c r="S52" i="37"/>
  <c r="T53" i="37" s="1"/>
  <c r="U54" i="37" s="1"/>
  <c r="H35" i="48"/>
  <c r="H52" i="48" s="1"/>
  <c r="H35" i="50"/>
  <c r="H52" i="50" s="1"/>
  <c r="F35" i="31"/>
  <c r="F52" i="31" s="1"/>
  <c r="D35" i="45"/>
  <c r="D52" i="45" s="1"/>
  <c r="I49" i="39"/>
  <c r="O49" i="39" s="1"/>
  <c r="R49" i="39" s="1"/>
  <c r="I32" i="39"/>
  <c r="E35" i="49"/>
  <c r="E52" i="49" s="1"/>
  <c r="E35" i="43"/>
  <c r="E52" i="43" s="1"/>
  <c r="H36" i="46"/>
  <c r="H53" i="46" s="1"/>
  <c r="I32" i="41"/>
  <c r="I49" i="41"/>
  <c r="O49" i="41" s="1"/>
  <c r="R49" i="41" s="1"/>
  <c r="D35" i="49"/>
  <c r="D52" i="49" s="1"/>
  <c r="S52" i="38"/>
  <c r="T53" i="38" s="1"/>
  <c r="U54" i="38" s="1"/>
  <c r="O25" i="52"/>
  <c r="H35" i="45"/>
  <c r="H52" i="45" s="1"/>
  <c r="B36" i="29"/>
  <c r="B53" i="29" s="1"/>
  <c r="B36" i="46"/>
  <c r="B53" i="46" s="1"/>
  <c r="B36" i="33"/>
  <c r="B53" i="33" s="1"/>
  <c r="B36" i="43"/>
  <c r="B53" i="43" s="1"/>
  <c r="B36" i="47"/>
  <c r="B53" i="47" s="1"/>
  <c r="B36" i="49"/>
  <c r="B53" i="49" s="1"/>
  <c r="B36" i="41"/>
  <c r="B53" i="41" s="1"/>
  <c r="B36" i="35"/>
  <c r="B53" i="35" s="1"/>
  <c r="H81" i="52"/>
  <c r="B37" i="38"/>
  <c r="B54" i="38" s="1"/>
  <c r="B36" i="28"/>
  <c r="B53" i="28" s="1"/>
  <c r="B37" i="31"/>
  <c r="B54" i="31" s="1"/>
  <c r="B37" i="50"/>
  <c r="B54" i="50" s="1"/>
  <c r="G36" i="46" l="1"/>
  <c r="G53" i="46" s="1"/>
  <c r="G36" i="48"/>
  <c r="G53" i="48" s="1"/>
  <c r="I35" i="45"/>
  <c r="F36" i="28"/>
  <c r="F53" i="28" s="1"/>
  <c r="H36" i="43"/>
  <c r="H53" i="43" s="1"/>
  <c r="I54" i="43" s="1"/>
  <c r="O54" i="43" s="1"/>
  <c r="R54" i="43" s="1"/>
  <c r="R35" i="52" s="1"/>
  <c r="I36" i="44"/>
  <c r="I36" i="28"/>
  <c r="D36" i="44"/>
  <c r="D53" i="44" s="1"/>
  <c r="E36" i="28"/>
  <c r="E53" i="28" s="1"/>
  <c r="F36" i="50"/>
  <c r="F53" i="50" s="1"/>
  <c r="F36" i="48"/>
  <c r="F53" i="48" s="1"/>
  <c r="H36" i="36"/>
  <c r="H53" i="36" s="1"/>
  <c r="I54" i="36" s="1"/>
  <c r="O54" i="36" s="1"/>
  <c r="R54" i="36" s="1"/>
  <c r="G36" i="28"/>
  <c r="G53" i="28" s="1"/>
  <c r="F36" i="44"/>
  <c r="F53" i="44" s="1"/>
  <c r="F36" i="37"/>
  <c r="F53" i="37" s="1"/>
  <c r="I35" i="39"/>
  <c r="D36" i="37"/>
  <c r="D53" i="37" s="1"/>
  <c r="F36" i="36"/>
  <c r="F53" i="36" s="1"/>
  <c r="C37" i="45"/>
  <c r="C54" i="45" s="1"/>
  <c r="B53" i="45"/>
  <c r="C37" i="39"/>
  <c r="C54" i="39" s="1"/>
  <c r="B53" i="39"/>
  <c r="E36" i="35"/>
  <c r="E53" i="35" s="1"/>
  <c r="D36" i="28"/>
  <c r="D53" i="28" s="1"/>
  <c r="G36" i="36"/>
  <c r="G53" i="36" s="1"/>
  <c r="C37" i="34"/>
  <c r="C54" i="34" s="1"/>
  <c r="B53" i="34"/>
  <c r="D37" i="46"/>
  <c r="D54" i="46" s="1"/>
  <c r="C53" i="46"/>
  <c r="I34" i="46"/>
  <c r="H50" i="46"/>
  <c r="I51" i="46" s="1"/>
  <c r="O51" i="46" s="1"/>
  <c r="R51" i="46" s="1"/>
  <c r="S52" i="46" s="1"/>
  <c r="T53" i="46" s="1"/>
  <c r="U54" i="46" s="1"/>
  <c r="D37" i="50"/>
  <c r="D54" i="50" s="1"/>
  <c r="D36" i="49"/>
  <c r="C36" i="45"/>
  <c r="D36" i="43"/>
  <c r="D53" i="43" s="1"/>
  <c r="B24" i="38"/>
  <c r="B41" i="38" s="1"/>
  <c r="D37" i="41"/>
  <c r="D54" i="41" s="1"/>
  <c r="C36" i="39"/>
  <c r="C53" i="39" s="1"/>
  <c r="C37" i="44"/>
  <c r="C54" i="44" s="1"/>
  <c r="C37" i="42"/>
  <c r="C54" i="42" s="1"/>
  <c r="C37" i="33"/>
  <c r="C54" i="33" s="1"/>
  <c r="I37" i="46"/>
  <c r="I54" i="46"/>
  <c r="O54" i="46" s="1"/>
  <c r="R54" i="46" s="1"/>
  <c r="R41" i="52" s="1"/>
  <c r="E36" i="46"/>
  <c r="E53" i="46" s="1"/>
  <c r="D36" i="36"/>
  <c r="D53" i="36" s="1"/>
  <c r="S54" i="28"/>
  <c r="Q19" i="52"/>
  <c r="S50" i="36"/>
  <c r="T51" i="36" s="1"/>
  <c r="U52" i="36" s="1"/>
  <c r="V53" i="36" s="1"/>
  <c r="W54" i="36" s="1"/>
  <c r="M15" i="52"/>
  <c r="F36" i="31"/>
  <c r="F53" i="31" s="1"/>
  <c r="S53" i="11"/>
  <c r="T54" i="11" s="1"/>
  <c r="P21" i="52"/>
  <c r="G36" i="35"/>
  <c r="G53" i="35" s="1"/>
  <c r="I36" i="49"/>
  <c r="I53" i="49"/>
  <c r="O53" i="49" s="1"/>
  <c r="R53" i="49" s="1"/>
  <c r="G36" i="30"/>
  <c r="G53" i="30" s="1"/>
  <c r="G36" i="39"/>
  <c r="G53" i="39" s="1"/>
  <c r="H36" i="32"/>
  <c r="H53" i="32" s="1"/>
  <c r="S51" i="46"/>
  <c r="T52" i="46" s="1"/>
  <c r="U53" i="46" s="1"/>
  <c r="V54" i="46" s="1"/>
  <c r="N41" i="52"/>
  <c r="Q41" i="52"/>
  <c r="S54" i="46"/>
  <c r="H36" i="11"/>
  <c r="H53" i="11" s="1"/>
  <c r="S54" i="44"/>
  <c r="Q37" i="52"/>
  <c r="H37" i="38"/>
  <c r="H54" i="38" s="1"/>
  <c r="S50" i="32"/>
  <c r="M5" i="52"/>
  <c r="S52" i="48"/>
  <c r="T53" i="48" s="1"/>
  <c r="U54" i="48" s="1"/>
  <c r="O45" i="52"/>
  <c r="S50" i="11"/>
  <c r="T51" i="11" s="1"/>
  <c r="U52" i="11" s="1"/>
  <c r="V53" i="11" s="1"/>
  <c r="W54" i="11" s="1"/>
  <c r="M21" i="52"/>
  <c r="I54" i="45"/>
  <c r="O54" i="45" s="1"/>
  <c r="R54" i="45" s="1"/>
  <c r="R39" i="52" s="1"/>
  <c r="I37" i="45"/>
  <c r="G36" i="32"/>
  <c r="G53" i="32" s="1"/>
  <c r="P7" i="52"/>
  <c r="S53" i="31"/>
  <c r="T54" i="31" s="1"/>
  <c r="I37" i="28"/>
  <c r="I54" i="28"/>
  <c r="O54" i="28" s="1"/>
  <c r="R54" i="28" s="1"/>
  <c r="R19" i="52" s="1"/>
  <c r="H36" i="33"/>
  <c r="H53" i="33" s="1"/>
  <c r="F36" i="42"/>
  <c r="F53" i="42" s="1"/>
  <c r="D37" i="42"/>
  <c r="D54" i="42" s="1"/>
  <c r="B37" i="42"/>
  <c r="B54" i="42" s="1"/>
  <c r="B37" i="32"/>
  <c r="B54" i="32" s="1"/>
  <c r="C37" i="28"/>
  <c r="C54" i="28" s="1"/>
  <c r="B37" i="11"/>
  <c r="B54" i="11" s="1"/>
  <c r="B37" i="30"/>
  <c r="B54" i="30" s="1"/>
  <c r="C37" i="49"/>
  <c r="C54" i="49" s="1"/>
  <c r="C37" i="46"/>
  <c r="C54" i="46" s="1"/>
  <c r="E36" i="45"/>
  <c r="E53" i="45" s="1"/>
  <c r="I53" i="50"/>
  <c r="O53" i="50" s="1"/>
  <c r="R53" i="50" s="1"/>
  <c r="I36" i="50"/>
  <c r="N7" i="52"/>
  <c r="S51" i="31"/>
  <c r="G36" i="50"/>
  <c r="G53" i="50" s="1"/>
  <c r="M33" i="52"/>
  <c r="S50" i="42"/>
  <c r="T51" i="42" s="1"/>
  <c r="U52" i="42" s="1"/>
  <c r="V53" i="42" s="1"/>
  <c r="W54" i="42" s="1"/>
  <c r="D37" i="11"/>
  <c r="D54" i="11" s="1"/>
  <c r="I54" i="38"/>
  <c r="O54" i="38" s="1"/>
  <c r="R54" i="38" s="1"/>
  <c r="R25" i="52" s="1"/>
  <c r="I37" i="38"/>
  <c r="G36" i="43"/>
  <c r="G53" i="43" s="1"/>
  <c r="Q17" i="52"/>
  <c r="S54" i="37"/>
  <c r="E36" i="43"/>
  <c r="E53" i="43" s="1"/>
  <c r="I37" i="43"/>
  <c r="D37" i="36"/>
  <c r="D54" i="36" s="1"/>
  <c r="C37" i="30"/>
  <c r="C54" i="30" s="1"/>
  <c r="C37" i="32"/>
  <c r="C54" i="32" s="1"/>
  <c r="F36" i="11"/>
  <c r="F53" i="11" s="1"/>
  <c r="H36" i="50"/>
  <c r="H53" i="50" s="1"/>
  <c r="G36" i="45"/>
  <c r="G53" i="45" s="1"/>
  <c r="G37" i="47"/>
  <c r="G54" i="47" s="1"/>
  <c r="S53" i="48"/>
  <c r="T54" i="48" s="1"/>
  <c r="P45" i="52"/>
  <c r="S51" i="49"/>
  <c r="T52" i="49" s="1"/>
  <c r="U53" i="49" s="1"/>
  <c r="V54" i="49" s="1"/>
  <c r="N47" i="52"/>
  <c r="I37" i="48"/>
  <c r="I54" i="48"/>
  <c r="O54" i="48" s="1"/>
  <c r="R54" i="48" s="1"/>
  <c r="S50" i="30"/>
  <c r="T51" i="30" s="1"/>
  <c r="U52" i="30" s="1"/>
  <c r="V53" i="30" s="1"/>
  <c r="W54" i="30" s="1"/>
  <c r="M23" i="52"/>
  <c r="N15" i="52"/>
  <c r="S51" i="36"/>
  <c r="T52" i="36" s="1"/>
  <c r="U53" i="36" s="1"/>
  <c r="V54" i="36" s="1"/>
  <c r="S53" i="32"/>
  <c r="T54" i="32" s="1"/>
  <c r="P5" i="52"/>
  <c r="N37" i="52"/>
  <c r="S51" i="44"/>
  <c r="T52" i="44" s="1"/>
  <c r="U53" i="44" s="1"/>
  <c r="V54" i="44" s="1"/>
  <c r="G36" i="33"/>
  <c r="G53" i="33" s="1"/>
  <c r="D37" i="43"/>
  <c r="D54" i="43" s="1"/>
  <c r="D36" i="50"/>
  <c r="D53" i="50" s="1"/>
  <c r="G36" i="41"/>
  <c r="G53" i="41" s="1"/>
  <c r="H36" i="44"/>
  <c r="H53" i="44" s="1"/>
  <c r="H36" i="35"/>
  <c r="H53" i="35" s="1"/>
  <c r="E36" i="50"/>
  <c r="E53" i="50" s="1"/>
  <c r="I32" i="45"/>
  <c r="I49" i="45"/>
  <c r="O49" i="45" s="1"/>
  <c r="R49" i="45" s="1"/>
  <c r="B66" i="52" s="1"/>
  <c r="D37" i="49"/>
  <c r="D54" i="49" s="1"/>
  <c r="U50" i="29"/>
  <c r="M29" i="52"/>
  <c r="D36" i="11"/>
  <c r="D53" i="11" s="1"/>
  <c r="P9" i="52"/>
  <c r="S53" i="33"/>
  <c r="T54" i="33" s="1"/>
  <c r="H36" i="39"/>
  <c r="H53" i="39" s="1"/>
  <c r="E36" i="44"/>
  <c r="E53" i="44" s="1"/>
  <c r="Q7" i="52"/>
  <c r="S54" i="31"/>
  <c r="D37" i="48"/>
  <c r="D54" i="48" s="1"/>
  <c r="S50" i="48"/>
  <c r="M45" i="52"/>
  <c r="G36" i="44"/>
  <c r="G53" i="44" s="1"/>
  <c r="F36" i="33"/>
  <c r="F53" i="33" s="1"/>
  <c r="E36" i="41"/>
  <c r="E53" i="41" s="1"/>
  <c r="G36" i="11"/>
  <c r="G53" i="11" s="1"/>
  <c r="I36" i="39"/>
  <c r="I53" i="39"/>
  <c r="O53" i="39" s="1"/>
  <c r="R53" i="39" s="1"/>
  <c r="D36" i="41"/>
  <c r="D53" i="41" s="1"/>
  <c r="D36" i="48"/>
  <c r="D53" i="48" s="1"/>
  <c r="G36" i="37"/>
  <c r="G53" i="37" s="1"/>
  <c r="F36" i="29"/>
  <c r="F53" i="29" s="1"/>
  <c r="D36" i="29"/>
  <c r="D53" i="29" s="1"/>
  <c r="I36" i="34"/>
  <c r="I53" i="34"/>
  <c r="O53" i="34" s="1"/>
  <c r="R53" i="34" s="1"/>
  <c r="S51" i="35"/>
  <c r="N13" i="52"/>
  <c r="U53" i="29"/>
  <c r="V54" i="29" s="1"/>
  <c r="P29" i="52"/>
  <c r="P33" i="52"/>
  <c r="S53" i="42"/>
  <c r="T54" i="42" s="1"/>
  <c r="D37" i="35"/>
  <c r="D54" i="35" s="1"/>
  <c r="B37" i="36"/>
  <c r="B54" i="36" s="1"/>
  <c r="B37" i="29"/>
  <c r="B54" i="29" s="1"/>
  <c r="B37" i="34"/>
  <c r="B54" i="34" s="1"/>
  <c r="B37" i="44"/>
  <c r="B54" i="44" s="1"/>
  <c r="B37" i="48"/>
  <c r="B54" i="48" s="1"/>
  <c r="B37" i="37"/>
  <c r="B54" i="37" s="1"/>
  <c r="B37" i="35"/>
  <c r="B54" i="35" s="1"/>
  <c r="B37" i="41"/>
  <c r="B54" i="41" s="1"/>
  <c r="B37" i="47"/>
  <c r="B54" i="47" s="1"/>
  <c r="C37" i="41"/>
  <c r="C54" i="41" s="1"/>
  <c r="E36" i="49"/>
  <c r="E53" i="49" s="1"/>
  <c r="F36" i="49"/>
  <c r="F53" i="49" s="1"/>
  <c r="H37" i="46"/>
  <c r="H54" i="46" s="1"/>
  <c r="D37" i="32"/>
  <c r="D54" i="32" s="1"/>
  <c r="I37" i="42"/>
  <c r="I54" i="42"/>
  <c r="O54" i="42" s="1"/>
  <c r="R54" i="42" s="1"/>
  <c r="E37" i="47"/>
  <c r="E54" i="47" s="1"/>
  <c r="I54" i="29"/>
  <c r="Q54" i="29" s="1"/>
  <c r="T54" i="29" s="1"/>
  <c r="R29" i="52" s="1"/>
  <c r="I37" i="29"/>
  <c r="F36" i="30"/>
  <c r="F53" i="30" s="1"/>
  <c r="S52" i="39"/>
  <c r="T53" i="39" s="1"/>
  <c r="U54" i="39" s="1"/>
  <c r="O27" i="52"/>
  <c r="D37" i="33"/>
  <c r="D54" i="33" s="1"/>
  <c r="C37" i="11"/>
  <c r="C54" i="11" s="1"/>
  <c r="S51" i="50"/>
  <c r="T52" i="50" s="1"/>
  <c r="U53" i="50" s="1"/>
  <c r="V54" i="50" s="1"/>
  <c r="N49" i="52"/>
  <c r="S51" i="39"/>
  <c r="T52" i="39" s="1"/>
  <c r="U53" i="39" s="1"/>
  <c r="V54" i="39" s="1"/>
  <c r="N27" i="52"/>
  <c r="E36" i="33"/>
  <c r="E53" i="33" s="1"/>
  <c r="D36" i="42"/>
  <c r="D53" i="42" s="1"/>
  <c r="G36" i="34"/>
  <c r="G53" i="34" s="1"/>
  <c r="I53" i="41"/>
  <c r="O53" i="41" s="1"/>
  <c r="R53" i="41" s="1"/>
  <c r="I36" i="41"/>
  <c r="F36" i="39"/>
  <c r="F53" i="39" s="1"/>
  <c r="M47" i="52"/>
  <c r="S50" i="49"/>
  <c r="T51" i="49" s="1"/>
  <c r="U52" i="49" s="1"/>
  <c r="V53" i="49" s="1"/>
  <c r="W54" i="49" s="1"/>
  <c r="O15" i="52"/>
  <c r="S52" i="36"/>
  <c r="T53" i="36" s="1"/>
  <c r="U54" i="36" s="1"/>
  <c r="I53" i="33"/>
  <c r="O53" i="33" s="1"/>
  <c r="R53" i="33" s="1"/>
  <c r="I36" i="33"/>
  <c r="I36" i="47"/>
  <c r="I53" i="47"/>
  <c r="O53" i="47" s="1"/>
  <c r="R53" i="47" s="1"/>
  <c r="N33" i="52"/>
  <c r="S51" i="42"/>
  <c r="T52" i="42" s="1"/>
  <c r="U53" i="42" s="1"/>
  <c r="V54" i="42" s="1"/>
  <c r="F36" i="34"/>
  <c r="F53" i="34" s="1"/>
  <c r="B67" i="52"/>
  <c r="N5" i="52"/>
  <c r="S51" i="32"/>
  <c r="T52" i="32" s="1"/>
  <c r="U53" i="32" s="1"/>
  <c r="V54" i="32" s="1"/>
  <c r="S53" i="43"/>
  <c r="T54" i="43" s="1"/>
  <c r="P35" i="52"/>
  <c r="D37" i="29"/>
  <c r="D54" i="29" s="1"/>
  <c r="D36" i="31"/>
  <c r="D53" i="31" s="1"/>
  <c r="E36" i="11"/>
  <c r="E53" i="11" s="1"/>
  <c r="H36" i="34"/>
  <c r="H53" i="34" s="1"/>
  <c r="H36" i="31"/>
  <c r="H53" i="31" s="1"/>
  <c r="N43" i="52"/>
  <c r="S51" i="47"/>
  <c r="T52" i="47" s="1"/>
  <c r="U53" i="47" s="1"/>
  <c r="V54" i="47" s="1"/>
  <c r="H36" i="47"/>
  <c r="H53" i="47" s="1"/>
  <c r="S53" i="39"/>
  <c r="T54" i="39" s="1"/>
  <c r="P27" i="52"/>
  <c r="D37" i="37"/>
  <c r="D54" i="37" s="1"/>
  <c r="C37" i="35"/>
  <c r="C54" i="35" s="1"/>
  <c r="C37" i="43"/>
  <c r="C54" i="43" s="1"/>
  <c r="I36" i="45"/>
  <c r="I53" i="45"/>
  <c r="O53" i="45" s="1"/>
  <c r="R53" i="45" s="1"/>
  <c r="F36" i="43"/>
  <c r="F53" i="43" s="1"/>
  <c r="M27" i="52"/>
  <c r="S50" i="39"/>
  <c r="T51" i="39" s="1"/>
  <c r="U52" i="39" s="1"/>
  <c r="V53" i="39" s="1"/>
  <c r="W54" i="39" s="1"/>
  <c r="G36" i="31"/>
  <c r="G53" i="31" s="1"/>
  <c r="S52" i="44"/>
  <c r="T53" i="44" s="1"/>
  <c r="U54" i="44" s="1"/>
  <c r="O37" i="52"/>
  <c r="O23" i="52"/>
  <c r="S52" i="30"/>
  <c r="T53" i="30" s="1"/>
  <c r="U54" i="30" s="1"/>
  <c r="D37" i="44"/>
  <c r="D54" i="44" s="1"/>
  <c r="G37" i="48"/>
  <c r="G54" i="48" s="1"/>
  <c r="D36" i="34"/>
  <c r="D53" i="34" s="1"/>
  <c r="D37" i="28"/>
  <c r="D54" i="28" s="1"/>
  <c r="F36" i="32"/>
  <c r="F53" i="32" s="1"/>
  <c r="F36" i="41"/>
  <c r="F53" i="41" s="1"/>
  <c r="F36" i="35"/>
  <c r="F53" i="35" s="1"/>
  <c r="P17" i="52"/>
  <c r="S53" i="37"/>
  <c r="T54" i="37" s="1"/>
  <c r="N39" i="52"/>
  <c r="S51" i="45"/>
  <c r="T52" i="45" s="1"/>
  <c r="U53" i="45" s="1"/>
  <c r="V54" i="45" s="1"/>
  <c r="D37" i="47"/>
  <c r="D54" i="47" s="1"/>
  <c r="D37" i="30"/>
  <c r="D54" i="30" s="1"/>
  <c r="C37" i="31"/>
  <c r="C54" i="31" s="1"/>
  <c r="S52" i="47"/>
  <c r="O43" i="52"/>
  <c r="I37" i="36"/>
  <c r="F36" i="46"/>
  <c r="F53" i="46" s="1"/>
  <c r="T51" i="38"/>
  <c r="S51" i="30"/>
  <c r="T52" i="30" s="1"/>
  <c r="U53" i="30" s="1"/>
  <c r="V54" i="30" s="1"/>
  <c r="N23" i="52"/>
  <c r="S51" i="33"/>
  <c r="T52" i="33" s="1"/>
  <c r="U53" i="33" s="1"/>
  <c r="V54" i="33" s="1"/>
  <c r="N9" i="52"/>
  <c r="I36" i="29"/>
  <c r="I53" i="29"/>
  <c r="Q53" i="29" s="1"/>
  <c r="T53" i="29" s="1"/>
  <c r="O11" i="52"/>
  <c r="S52" i="34"/>
  <c r="D36" i="45"/>
  <c r="D53" i="45" s="1"/>
  <c r="E36" i="47"/>
  <c r="E53" i="47" s="1"/>
  <c r="I36" i="36"/>
  <c r="I53" i="36"/>
  <c r="O53" i="36" s="1"/>
  <c r="R53" i="36" s="1"/>
  <c r="D36" i="46"/>
  <c r="D53" i="46" s="1"/>
  <c r="D36" i="39"/>
  <c r="D53" i="39" s="1"/>
  <c r="E37" i="38"/>
  <c r="E54" i="38" s="1"/>
  <c r="E36" i="36"/>
  <c r="E53" i="36" s="1"/>
  <c r="S51" i="11"/>
  <c r="T52" i="11" s="1"/>
  <c r="U53" i="11" s="1"/>
  <c r="V54" i="11" s="1"/>
  <c r="N21" i="52"/>
  <c r="P37" i="52"/>
  <c r="S53" i="44"/>
  <c r="T54" i="44" s="1"/>
  <c r="E36" i="30"/>
  <c r="E53" i="30" s="1"/>
  <c r="P13" i="52"/>
  <c r="S53" i="35"/>
  <c r="T54" i="35" s="1"/>
  <c r="S51" i="41"/>
  <c r="N31" i="52"/>
  <c r="S50" i="34"/>
  <c r="T51" i="34" s="1"/>
  <c r="U52" i="34" s="1"/>
  <c r="V53" i="34" s="1"/>
  <c r="W54" i="34" s="1"/>
  <c r="M11" i="52"/>
  <c r="N11" i="52"/>
  <c r="S51" i="34"/>
  <c r="T52" i="34" s="1"/>
  <c r="U53" i="34" s="1"/>
  <c r="V54" i="34" s="1"/>
  <c r="S53" i="45"/>
  <c r="T54" i="45" s="1"/>
  <c r="P39" i="52"/>
  <c r="G36" i="49"/>
  <c r="G53" i="49" s="1"/>
  <c r="E36" i="48"/>
  <c r="E53" i="48" s="1"/>
  <c r="G37" i="38"/>
  <c r="G54" i="38" s="1"/>
  <c r="P41" i="52"/>
  <c r="S53" i="46"/>
  <c r="T54" i="46" s="1"/>
  <c r="O39" i="52"/>
  <c r="S52" i="45"/>
  <c r="T53" i="45" s="1"/>
  <c r="U54" i="45" s="1"/>
  <c r="U52" i="29"/>
  <c r="V53" i="29" s="1"/>
  <c r="W54" i="29" s="1"/>
  <c r="O29" i="52"/>
  <c r="E36" i="31"/>
  <c r="E53" i="31" s="1"/>
  <c r="S54" i="38"/>
  <c r="Q25" i="52"/>
  <c r="I53" i="42"/>
  <c r="O53" i="42" s="1"/>
  <c r="R53" i="42" s="1"/>
  <c r="I36" i="42"/>
  <c r="D37" i="34"/>
  <c r="D54" i="34" s="1"/>
  <c r="C37" i="47"/>
  <c r="C54" i="47" s="1"/>
  <c r="C37" i="29"/>
  <c r="C54" i="29" s="1"/>
  <c r="M31" i="52"/>
  <c r="S50" i="41"/>
  <c r="T51" i="41" s="1"/>
  <c r="U52" i="41" s="1"/>
  <c r="V53" i="41" s="1"/>
  <c r="W54" i="41" s="1"/>
  <c r="I53" i="48"/>
  <c r="O53" i="48" s="1"/>
  <c r="R53" i="48" s="1"/>
  <c r="I36" i="48"/>
  <c r="E36" i="29"/>
  <c r="E53" i="29" s="1"/>
  <c r="O5" i="52"/>
  <c r="S52" i="32"/>
  <c r="T53" i="32" s="1"/>
  <c r="U54" i="32" s="1"/>
  <c r="G36" i="29"/>
  <c r="G53" i="29" s="1"/>
  <c r="M17" i="52"/>
  <c r="S50" i="37"/>
  <c r="I53" i="32"/>
  <c r="O53" i="32" s="1"/>
  <c r="R53" i="32" s="1"/>
  <c r="I36" i="32"/>
  <c r="O21" i="52"/>
  <c r="S52" i="11"/>
  <c r="T53" i="11" s="1"/>
  <c r="U54" i="11" s="1"/>
  <c r="Q35" i="52"/>
  <c r="S54" i="43"/>
  <c r="O49" i="52"/>
  <c r="S52" i="50"/>
  <c r="Q23" i="52"/>
  <c r="S54" i="30"/>
  <c r="G36" i="47"/>
  <c r="G53" i="47" s="1"/>
  <c r="S50" i="43"/>
  <c r="T51" i="43" s="1"/>
  <c r="U52" i="43" s="1"/>
  <c r="V53" i="43" s="1"/>
  <c r="W54" i="43" s="1"/>
  <c r="M35" i="52"/>
  <c r="E36" i="34"/>
  <c r="E53" i="34" s="1"/>
  <c r="E37" i="44"/>
  <c r="E54" i="44" s="1"/>
  <c r="C37" i="50"/>
  <c r="C54" i="50" s="1"/>
  <c r="S50" i="47"/>
  <c r="T51" i="47" s="1"/>
  <c r="U52" i="47" s="1"/>
  <c r="V53" i="47" s="1"/>
  <c r="W54" i="47" s="1"/>
  <c r="M43" i="52"/>
  <c r="D36" i="30"/>
  <c r="D53" i="30" s="1"/>
  <c r="H36" i="37"/>
  <c r="H53" i="37" s="1"/>
  <c r="S50" i="35"/>
  <c r="T51" i="35" s="1"/>
  <c r="U52" i="35" s="1"/>
  <c r="V53" i="35" s="1"/>
  <c r="W54" i="35" s="1"/>
  <c r="M13" i="52"/>
  <c r="S52" i="49"/>
  <c r="T53" i="49" s="1"/>
  <c r="U54" i="49" s="1"/>
  <c r="O47" i="52"/>
  <c r="D37" i="31"/>
  <c r="D54" i="31" s="1"/>
  <c r="I53" i="35"/>
  <c r="O53" i="35" s="1"/>
  <c r="R53" i="35" s="1"/>
  <c r="I36" i="35"/>
  <c r="G37" i="28"/>
  <c r="G54" i="28" s="1"/>
  <c r="G36" i="42"/>
  <c r="G53" i="42" s="1"/>
  <c r="H36" i="49"/>
  <c r="H53" i="49" s="1"/>
  <c r="F36" i="45"/>
  <c r="F53" i="45" s="1"/>
  <c r="F37" i="38"/>
  <c r="F54" i="38" s="1"/>
  <c r="P23" i="52"/>
  <c r="S53" i="30"/>
  <c r="T54" i="30" s="1"/>
  <c r="E36" i="39"/>
  <c r="E53" i="39" s="1"/>
  <c r="H36" i="41"/>
  <c r="H53" i="41" s="1"/>
  <c r="H36" i="30"/>
  <c r="H53" i="30" s="1"/>
  <c r="E36" i="32"/>
  <c r="E53" i="32" s="1"/>
  <c r="O9" i="52"/>
  <c r="S52" i="33"/>
  <c r="T53" i="33" s="1"/>
  <c r="U54" i="33" s="1"/>
  <c r="S53" i="49"/>
  <c r="T54" i="49" s="1"/>
  <c r="P47" i="52"/>
  <c r="E36" i="37"/>
  <c r="E53" i="37" s="1"/>
  <c r="D36" i="33"/>
  <c r="D53" i="33" s="1"/>
  <c r="O33" i="52"/>
  <c r="S52" i="42"/>
  <c r="T53" i="42" s="1"/>
  <c r="U54" i="42" s="1"/>
  <c r="E36" i="42"/>
  <c r="E53" i="42" s="1"/>
  <c r="S50" i="50"/>
  <c r="T51" i="50" s="1"/>
  <c r="U52" i="50" s="1"/>
  <c r="V53" i="50" s="1"/>
  <c r="W54" i="50" s="1"/>
  <c r="M49" i="52"/>
  <c r="I53" i="11"/>
  <c r="O53" i="11" s="1"/>
  <c r="R53" i="11" s="1"/>
  <c r="I36" i="11"/>
  <c r="S53" i="36"/>
  <c r="T54" i="36" s="1"/>
  <c r="P15" i="52"/>
  <c r="D36" i="32"/>
  <c r="D53" i="32" s="1"/>
  <c r="G37" i="50"/>
  <c r="G54" i="50" s="1"/>
  <c r="H37" i="28"/>
  <c r="H54" i="28" s="1"/>
  <c r="N35" i="52"/>
  <c r="S51" i="43"/>
  <c r="D36" i="35"/>
  <c r="D53" i="35" s="1"/>
  <c r="O93" i="4"/>
  <c r="B37" i="49"/>
  <c r="B54" i="49" s="1"/>
  <c r="B37" i="43"/>
  <c r="B54" i="43" s="1"/>
  <c r="B37" i="33"/>
  <c r="B54" i="33" s="1"/>
  <c r="B37" i="28"/>
  <c r="B54" i="28" s="1"/>
  <c r="H37" i="48" l="1"/>
  <c r="H54" i="48" s="1"/>
  <c r="F37" i="28"/>
  <c r="F54" i="28" s="1"/>
  <c r="G37" i="44"/>
  <c r="G54" i="44" s="1"/>
  <c r="G37" i="37"/>
  <c r="G54" i="37" s="1"/>
  <c r="E37" i="37"/>
  <c r="E54" i="37" s="1"/>
  <c r="F37" i="35"/>
  <c r="F54" i="35" s="1"/>
  <c r="E37" i="28"/>
  <c r="E54" i="28" s="1"/>
  <c r="G37" i="36"/>
  <c r="G54" i="36" s="1"/>
  <c r="H37" i="36"/>
  <c r="H54" i="36" s="1"/>
  <c r="D37" i="45"/>
  <c r="D54" i="45" s="1"/>
  <c r="C53" i="45"/>
  <c r="E37" i="49"/>
  <c r="E54" i="49" s="1"/>
  <c r="D53" i="49"/>
  <c r="O41" i="52"/>
  <c r="B24" i="47"/>
  <c r="B41" i="47" s="1"/>
  <c r="B24" i="11"/>
  <c r="B24" i="37"/>
  <c r="B41" i="37" s="1"/>
  <c r="B24" i="44"/>
  <c r="E37" i="43"/>
  <c r="E54" i="43" s="1"/>
  <c r="B24" i="28"/>
  <c r="B41" i="28" s="1"/>
  <c r="B24" i="39"/>
  <c r="B41" i="39" s="1"/>
  <c r="B24" i="43"/>
  <c r="B41" i="43" s="1"/>
  <c r="B24" i="49"/>
  <c r="B41" i="49" s="1"/>
  <c r="B24" i="48"/>
  <c r="B41" i="48" s="1"/>
  <c r="B24" i="33"/>
  <c r="B41" i="33" s="1"/>
  <c r="B24" i="30"/>
  <c r="B41" i="30" s="1"/>
  <c r="B24" i="42"/>
  <c r="B41" i="42" s="1"/>
  <c r="B24" i="45"/>
  <c r="B41" i="45" s="1"/>
  <c r="B24" i="41"/>
  <c r="B41" i="41" s="1"/>
  <c r="C25" i="38"/>
  <c r="C42" i="38" s="1"/>
  <c r="B24" i="46"/>
  <c r="B41" i="46" s="1"/>
  <c r="B24" i="50"/>
  <c r="B41" i="50" s="1"/>
  <c r="B24" i="32"/>
  <c r="B41" i="32" s="1"/>
  <c r="B24" i="34"/>
  <c r="B41" i="34" s="1"/>
  <c r="B24" i="31"/>
  <c r="B41" i="31" s="1"/>
  <c r="B24" i="36"/>
  <c r="B41" i="36" s="1"/>
  <c r="D37" i="39"/>
  <c r="D54" i="39" s="1"/>
  <c r="P51" i="52"/>
  <c r="P53" i="52" s="1"/>
  <c r="B37" i="39"/>
  <c r="B54" i="39" s="1"/>
  <c r="E37" i="35"/>
  <c r="E54" i="35" s="1"/>
  <c r="T52" i="41"/>
  <c r="F37" i="36"/>
  <c r="F54" i="36" s="1"/>
  <c r="E37" i="39"/>
  <c r="E54" i="39" s="1"/>
  <c r="E37" i="45"/>
  <c r="E54" i="45" s="1"/>
  <c r="E37" i="34"/>
  <c r="E54" i="34" s="1"/>
  <c r="S54" i="33"/>
  <c r="Q9" i="52"/>
  <c r="G37" i="30"/>
  <c r="G54" i="30" s="1"/>
  <c r="S54" i="39"/>
  <c r="Q27" i="52"/>
  <c r="H37" i="44"/>
  <c r="H54" i="44" s="1"/>
  <c r="R45" i="52"/>
  <c r="F37" i="43"/>
  <c r="F54" i="43" s="1"/>
  <c r="F37" i="45"/>
  <c r="F54" i="45" s="1"/>
  <c r="I37" i="11"/>
  <c r="I54" i="11"/>
  <c r="O54" i="11" s="1"/>
  <c r="R54" i="11" s="1"/>
  <c r="R21" i="52" s="1"/>
  <c r="I37" i="32"/>
  <c r="I54" i="32"/>
  <c r="O54" i="32" s="1"/>
  <c r="R54" i="32" s="1"/>
  <c r="R5" i="52" s="1"/>
  <c r="F37" i="46"/>
  <c r="F54" i="46" s="1"/>
  <c r="E37" i="32"/>
  <c r="E54" i="32" s="1"/>
  <c r="E37" i="33"/>
  <c r="E54" i="33" s="1"/>
  <c r="I54" i="30"/>
  <c r="O54" i="30" s="1"/>
  <c r="R54" i="30" s="1"/>
  <c r="R23" i="52" s="1"/>
  <c r="I37" i="30"/>
  <c r="I37" i="37"/>
  <c r="I54" i="37"/>
  <c r="O54" i="37" s="1"/>
  <c r="R54" i="37" s="1"/>
  <c r="R17" i="52" s="1"/>
  <c r="T53" i="50"/>
  <c r="U54" i="50" s="1"/>
  <c r="T51" i="37"/>
  <c r="H37" i="49"/>
  <c r="H54" i="49" s="1"/>
  <c r="G37" i="35"/>
  <c r="G54" i="35" s="1"/>
  <c r="I54" i="31"/>
  <c r="O54" i="31" s="1"/>
  <c r="R54" i="31" s="1"/>
  <c r="I37" i="31"/>
  <c r="F37" i="11"/>
  <c r="F54" i="11" s="1"/>
  <c r="E37" i="42"/>
  <c r="E54" i="42" s="1"/>
  <c r="F37" i="49"/>
  <c r="F54" i="49" s="1"/>
  <c r="H37" i="37"/>
  <c r="H54" i="37" s="1"/>
  <c r="G37" i="33"/>
  <c r="G54" i="33" s="1"/>
  <c r="T51" i="48"/>
  <c r="I54" i="39"/>
  <c r="O54" i="39" s="1"/>
  <c r="R54" i="39" s="1"/>
  <c r="I37" i="39"/>
  <c r="E37" i="50"/>
  <c r="E54" i="50" s="1"/>
  <c r="T52" i="31"/>
  <c r="H37" i="30"/>
  <c r="H54" i="30" s="1"/>
  <c r="G37" i="31"/>
  <c r="G54" i="31" s="1"/>
  <c r="Q21" i="52"/>
  <c r="S54" i="11"/>
  <c r="F37" i="42"/>
  <c r="F54" i="42" s="1"/>
  <c r="F37" i="32"/>
  <c r="F54" i="32" s="1"/>
  <c r="I37" i="41"/>
  <c r="I54" i="41"/>
  <c r="O54" i="41" s="1"/>
  <c r="R54" i="41" s="1"/>
  <c r="I37" i="49"/>
  <c r="I54" i="49"/>
  <c r="O54" i="49" s="1"/>
  <c r="R54" i="49" s="1"/>
  <c r="H37" i="42"/>
  <c r="H54" i="42" s="1"/>
  <c r="Q13" i="52"/>
  <c r="S54" i="35"/>
  <c r="E37" i="30"/>
  <c r="E54" i="30" s="1"/>
  <c r="F37" i="34"/>
  <c r="F54" i="34" s="1"/>
  <c r="Q5" i="52"/>
  <c r="S54" i="32"/>
  <c r="H37" i="29"/>
  <c r="H54" i="29" s="1"/>
  <c r="Q45" i="52"/>
  <c r="S54" i="48"/>
  <c r="F37" i="31"/>
  <c r="F54" i="31" s="1"/>
  <c r="U54" i="29"/>
  <c r="Q29" i="52"/>
  <c r="R15" i="52"/>
  <c r="T53" i="47"/>
  <c r="U54" i="47" s="1"/>
  <c r="G37" i="41"/>
  <c r="G54" i="41" s="1"/>
  <c r="I54" i="47"/>
  <c r="O54" i="47" s="1"/>
  <c r="R54" i="47" s="1"/>
  <c r="I37" i="47"/>
  <c r="I54" i="34"/>
  <c r="O54" i="34" s="1"/>
  <c r="R54" i="34" s="1"/>
  <c r="I37" i="34"/>
  <c r="E37" i="31"/>
  <c r="E54" i="31" s="1"/>
  <c r="G37" i="34"/>
  <c r="G54" i="34" s="1"/>
  <c r="S54" i="47"/>
  <c r="Q43" i="52"/>
  <c r="G37" i="39"/>
  <c r="G54" i="39" s="1"/>
  <c r="G37" i="49"/>
  <c r="G54" i="49" s="1"/>
  <c r="T52" i="35"/>
  <c r="E37" i="48"/>
  <c r="E54" i="48" s="1"/>
  <c r="F37" i="50"/>
  <c r="F54" i="50" s="1"/>
  <c r="I37" i="50"/>
  <c r="I54" i="50"/>
  <c r="O54" i="50" s="1"/>
  <c r="R54" i="50" s="1"/>
  <c r="H37" i="35"/>
  <c r="H54" i="35" s="1"/>
  <c r="N51" i="52"/>
  <c r="N53" i="52" s="1"/>
  <c r="P93" i="4"/>
  <c r="X54" i="46"/>
  <c r="R42" i="52" s="1"/>
  <c r="F37" i="39"/>
  <c r="F54" i="39" s="1"/>
  <c r="S54" i="42"/>
  <c r="X54" i="42" s="1"/>
  <c r="R34" i="52" s="1"/>
  <c r="Q33" i="52"/>
  <c r="F37" i="30"/>
  <c r="F54" i="30" s="1"/>
  <c r="Q15" i="52"/>
  <c r="S54" i="36"/>
  <c r="X54" i="36" s="1"/>
  <c r="R16" i="52" s="1"/>
  <c r="G37" i="46"/>
  <c r="G54" i="46" s="1"/>
  <c r="H37" i="31"/>
  <c r="H54" i="31" s="1"/>
  <c r="Q31" i="52"/>
  <c r="S54" i="41"/>
  <c r="G37" i="29"/>
  <c r="G54" i="29" s="1"/>
  <c r="F37" i="41"/>
  <c r="F54" i="41" s="1"/>
  <c r="I37" i="44"/>
  <c r="I54" i="44"/>
  <c r="O54" i="44" s="1"/>
  <c r="R54" i="44" s="1"/>
  <c r="R37" i="52" s="1"/>
  <c r="H37" i="50"/>
  <c r="H54" i="50" s="1"/>
  <c r="H37" i="32"/>
  <c r="H54" i="32" s="1"/>
  <c r="T51" i="32"/>
  <c r="T52" i="43"/>
  <c r="G37" i="45"/>
  <c r="G54" i="45" s="1"/>
  <c r="H37" i="47"/>
  <c r="H54" i="47" s="1"/>
  <c r="F37" i="29"/>
  <c r="F54" i="29" s="1"/>
  <c r="F37" i="47"/>
  <c r="F54" i="47" s="1"/>
  <c r="G37" i="32"/>
  <c r="G54" i="32" s="1"/>
  <c r="S54" i="45"/>
  <c r="Q39" i="52"/>
  <c r="E37" i="29"/>
  <c r="E54" i="29" s="1"/>
  <c r="E37" i="41"/>
  <c r="E54" i="41" s="1"/>
  <c r="F37" i="44"/>
  <c r="F54" i="44" s="1"/>
  <c r="E37" i="11"/>
  <c r="E54" i="11" s="1"/>
  <c r="V51" i="29"/>
  <c r="I37" i="35"/>
  <c r="I54" i="35"/>
  <c r="O54" i="35" s="1"/>
  <c r="R54" i="35" s="1"/>
  <c r="H37" i="33"/>
  <c r="H54" i="33" s="1"/>
  <c r="H37" i="45"/>
  <c r="H54" i="45" s="1"/>
  <c r="G37" i="42"/>
  <c r="G54" i="42" s="1"/>
  <c r="S54" i="49"/>
  <c r="Q47" i="52"/>
  <c r="E37" i="36"/>
  <c r="E54" i="36" s="1"/>
  <c r="F37" i="37"/>
  <c r="F54" i="37" s="1"/>
  <c r="F37" i="48"/>
  <c r="F54" i="48" s="1"/>
  <c r="E37" i="46"/>
  <c r="E54" i="46" s="1"/>
  <c r="T53" i="34"/>
  <c r="U54" i="34" s="1"/>
  <c r="U52" i="38"/>
  <c r="G37" i="43"/>
  <c r="G54" i="43" s="1"/>
  <c r="H37" i="34"/>
  <c r="H54" i="34" s="1"/>
  <c r="F37" i="33"/>
  <c r="F54" i="33" s="1"/>
  <c r="R33" i="52"/>
  <c r="S54" i="34"/>
  <c r="Q11" i="52"/>
  <c r="H37" i="11"/>
  <c r="H54" i="11" s="1"/>
  <c r="S50" i="45"/>
  <c r="C67" i="52" s="1"/>
  <c r="M39" i="52"/>
  <c r="M51" i="52" s="1"/>
  <c r="M53" i="52" s="1"/>
  <c r="H37" i="41"/>
  <c r="H54" i="41" s="1"/>
  <c r="G37" i="11"/>
  <c r="G54" i="11" s="1"/>
  <c r="H37" i="43"/>
  <c r="H54" i="43" s="1"/>
  <c r="Q49" i="52"/>
  <c r="S54" i="50"/>
  <c r="I37" i="33"/>
  <c r="I54" i="33"/>
  <c r="O54" i="33" s="1"/>
  <c r="R54" i="33" s="1"/>
  <c r="R9" i="52" s="1"/>
  <c r="H37" i="39"/>
  <c r="H54" i="39" s="1"/>
  <c r="B37" i="46"/>
  <c r="B54" i="46" s="1"/>
  <c r="X54" i="28"/>
  <c r="R20" i="52" s="1"/>
  <c r="B37" i="45"/>
  <c r="B54" i="45" s="1"/>
  <c r="C25" i="11" l="1"/>
  <c r="C42" i="11" s="1"/>
  <c r="B41" i="11"/>
  <c r="C25" i="44"/>
  <c r="C42" i="44" s="1"/>
  <c r="B41" i="44"/>
  <c r="C25" i="37"/>
  <c r="C42" i="37" s="1"/>
  <c r="B24" i="35"/>
  <c r="B24" i="29"/>
  <c r="B41" i="29" s="1"/>
  <c r="C25" i="47"/>
  <c r="C42" i="47" s="1"/>
  <c r="C25" i="32"/>
  <c r="C42" i="32" s="1"/>
  <c r="C25" i="48"/>
  <c r="C42" i="48" s="1"/>
  <c r="C25" i="49"/>
  <c r="C42" i="49" s="1"/>
  <c r="C25" i="39"/>
  <c r="C42" i="39" s="1"/>
  <c r="C25" i="46"/>
  <c r="C42" i="46" s="1"/>
  <c r="C25" i="34"/>
  <c r="C42" i="34" s="1"/>
  <c r="D26" i="44"/>
  <c r="D43" i="44" s="1"/>
  <c r="C25" i="43"/>
  <c r="C42" i="43" s="1"/>
  <c r="C25" i="28"/>
  <c r="C42" i="28" s="1"/>
  <c r="C25" i="50"/>
  <c r="C42" i="50" s="1"/>
  <c r="C25" i="30"/>
  <c r="C42" i="30" s="1"/>
  <c r="C25" i="36"/>
  <c r="C42" i="36" s="1"/>
  <c r="D26" i="38"/>
  <c r="D43" i="38" s="1"/>
  <c r="C25" i="41"/>
  <c r="C42" i="41" s="1"/>
  <c r="C25" i="42"/>
  <c r="C42" i="42" s="1"/>
  <c r="C25" i="33"/>
  <c r="C42" i="33" s="1"/>
  <c r="C25" i="31"/>
  <c r="C42" i="31" s="1"/>
  <c r="C25" i="45"/>
  <c r="C42" i="45" s="1"/>
  <c r="C93" i="4"/>
  <c r="X54" i="30"/>
  <c r="R24" i="52" s="1"/>
  <c r="X54" i="33"/>
  <c r="R10" i="52" s="1"/>
  <c r="W52" i="29"/>
  <c r="U52" i="32"/>
  <c r="R47" i="52"/>
  <c r="X54" i="49"/>
  <c r="R48" i="52" s="1"/>
  <c r="U53" i="31"/>
  <c r="U53" i="43"/>
  <c r="R43" i="52"/>
  <c r="X54" i="47"/>
  <c r="R44" i="52" s="1"/>
  <c r="T51" i="45"/>
  <c r="R31" i="52"/>
  <c r="U52" i="48"/>
  <c r="R7" i="52"/>
  <c r="U53" i="41"/>
  <c r="X54" i="44"/>
  <c r="R38" i="52" s="1"/>
  <c r="U53" i="35"/>
  <c r="X54" i="39"/>
  <c r="R28" i="52" s="1"/>
  <c r="R27" i="52"/>
  <c r="U52" i="37"/>
  <c r="V53" i="38"/>
  <c r="R13" i="52"/>
  <c r="R49" i="52"/>
  <c r="X54" i="50"/>
  <c r="R50" i="52" s="1"/>
  <c r="R11" i="52"/>
  <c r="X54" i="34"/>
  <c r="R12" i="52" s="1"/>
  <c r="X54" i="11"/>
  <c r="R22" i="52" s="1"/>
  <c r="D26" i="11" l="1"/>
  <c r="D43" i="11" s="1"/>
  <c r="C25" i="35"/>
  <c r="C42" i="35" s="1"/>
  <c r="B41" i="35"/>
  <c r="D26" i="47"/>
  <c r="D26" i="37"/>
  <c r="D43" i="37" s="1"/>
  <c r="B72" i="52"/>
  <c r="H72" i="52" s="1"/>
  <c r="C25" i="29"/>
  <c r="D26" i="36"/>
  <c r="D43" i="36" s="1"/>
  <c r="D26" i="28"/>
  <c r="D43" i="28" s="1"/>
  <c r="D26" i="45"/>
  <c r="D43" i="45" s="1"/>
  <c r="D26" i="42"/>
  <c r="D43" i="42" s="1"/>
  <c r="E27" i="44"/>
  <c r="E44" i="44" s="1"/>
  <c r="D26" i="46"/>
  <c r="D43" i="46" s="1"/>
  <c r="D26" i="49"/>
  <c r="D43" i="49" s="1"/>
  <c r="D26" i="35"/>
  <c r="D43" i="35" s="1"/>
  <c r="D26" i="31"/>
  <c r="D43" i="31" s="1"/>
  <c r="E27" i="38"/>
  <c r="E44" i="38" s="1"/>
  <c r="D26" i="50"/>
  <c r="D43" i="50" s="1"/>
  <c r="D26" i="32"/>
  <c r="D43" i="32" s="1"/>
  <c r="D26" i="41"/>
  <c r="D43" i="41" s="1"/>
  <c r="D26" i="43"/>
  <c r="D43" i="43" s="1"/>
  <c r="D26" i="30"/>
  <c r="D43" i="30" s="1"/>
  <c r="D26" i="33"/>
  <c r="D43" i="33" s="1"/>
  <c r="E27" i="11"/>
  <c r="E44" i="11" s="1"/>
  <c r="D26" i="34"/>
  <c r="D43" i="34" s="1"/>
  <c r="D26" i="39"/>
  <c r="D43" i="39" s="1"/>
  <c r="D26" i="48"/>
  <c r="D43" i="48" s="1"/>
  <c r="V53" i="37"/>
  <c r="V54" i="35"/>
  <c r="X54" i="35" s="1"/>
  <c r="R14" i="52" s="1"/>
  <c r="V54" i="41"/>
  <c r="X54" i="41" s="1"/>
  <c r="R32" i="52" s="1"/>
  <c r="V53" i="48"/>
  <c r="U52" i="45"/>
  <c r="V54" i="43"/>
  <c r="X54" i="43" s="1"/>
  <c r="R36" i="52" s="1"/>
  <c r="X53" i="29"/>
  <c r="W54" i="38"/>
  <c r="X54" i="38" s="1"/>
  <c r="R26" i="52" s="1"/>
  <c r="V54" i="31"/>
  <c r="X54" i="31" s="1"/>
  <c r="R8" i="52" s="1"/>
  <c r="V53" i="32"/>
  <c r="R51" i="52"/>
  <c r="R53" i="52" s="1"/>
  <c r="D26" i="29" l="1"/>
  <c r="D43" i="29" s="1"/>
  <c r="C42" i="29"/>
  <c r="E27" i="47"/>
  <c r="E44" i="47" s="1"/>
  <c r="D43" i="47"/>
  <c r="E27" i="37"/>
  <c r="C73" i="52"/>
  <c r="H73" i="52" s="1"/>
  <c r="E27" i="35"/>
  <c r="E44" i="35" s="1"/>
  <c r="E27" i="36"/>
  <c r="E44" i="36" s="1"/>
  <c r="E27" i="48"/>
  <c r="E44" i="48" s="1"/>
  <c r="E27" i="29"/>
  <c r="E44" i="29" s="1"/>
  <c r="D74" i="52"/>
  <c r="H74" i="52" s="1"/>
  <c r="E27" i="32"/>
  <c r="E44" i="32" s="1"/>
  <c r="F28" i="44"/>
  <c r="F45" i="44" s="1"/>
  <c r="E27" i="42"/>
  <c r="E44" i="42" s="1"/>
  <c r="E27" i="28"/>
  <c r="E44" i="28" s="1"/>
  <c r="F28" i="38"/>
  <c r="F45" i="38" s="1"/>
  <c r="E27" i="46"/>
  <c r="E44" i="46" s="1"/>
  <c r="E27" i="45"/>
  <c r="E44" i="45" s="1"/>
  <c r="E27" i="34"/>
  <c r="E44" i="34" s="1"/>
  <c r="E27" i="33"/>
  <c r="E44" i="33" s="1"/>
  <c r="E27" i="43"/>
  <c r="E44" i="43" s="1"/>
  <c r="E27" i="39"/>
  <c r="E44" i="39" s="1"/>
  <c r="F28" i="11"/>
  <c r="F45" i="11" s="1"/>
  <c r="E27" i="30"/>
  <c r="E44" i="30" s="1"/>
  <c r="E27" i="41"/>
  <c r="E44" i="41" s="1"/>
  <c r="E27" i="50"/>
  <c r="E44" i="50" s="1"/>
  <c r="E27" i="31"/>
  <c r="E44" i="31" s="1"/>
  <c r="E27" i="49"/>
  <c r="E44" i="49" s="1"/>
  <c r="Y54" i="29"/>
  <c r="Z54" i="29" s="1"/>
  <c r="R30" i="52" s="1"/>
  <c r="V53" i="45"/>
  <c r="W54" i="37"/>
  <c r="X54" i="37" s="1"/>
  <c r="R18" i="52" s="1"/>
  <c r="W54" i="48"/>
  <c r="X54" i="48" s="1"/>
  <c r="R46" i="52" s="1"/>
  <c r="W54" i="32"/>
  <c r="X54" i="32" s="1"/>
  <c r="R6" i="52" s="1"/>
  <c r="F28" i="47" l="1"/>
  <c r="F45" i="47" s="1"/>
  <c r="F28" i="37"/>
  <c r="F45" i="37" s="1"/>
  <c r="E44" i="37"/>
  <c r="F28" i="34"/>
  <c r="F45" i="34" s="1"/>
  <c r="F28" i="42"/>
  <c r="F45" i="42" s="1"/>
  <c r="F28" i="29"/>
  <c r="F45" i="29" s="1"/>
  <c r="F28" i="36"/>
  <c r="F45" i="36" s="1"/>
  <c r="F28" i="49"/>
  <c r="F45" i="49" s="1"/>
  <c r="F28" i="50"/>
  <c r="F45" i="50" s="1"/>
  <c r="F28" i="30"/>
  <c r="F45" i="30" s="1"/>
  <c r="F28" i="39"/>
  <c r="F45" i="39" s="1"/>
  <c r="F28" i="33"/>
  <c r="F45" i="33" s="1"/>
  <c r="G29" i="38"/>
  <c r="G46" i="38" s="1"/>
  <c r="F28" i="28"/>
  <c r="F45" i="28" s="1"/>
  <c r="G29" i="44"/>
  <c r="G46" i="44" s="1"/>
  <c r="F28" i="45"/>
  <c r="F45" i="45" s="1"/>
  <c r="F28" i="46"/>
  <c r="F45" i="46" s="1"/>
  <c r="F28" i="35"/>
  <c r="F45" i="35" s="1"/>
  <c r="F28" i="31"/>
  <c r="F45" i="31" s="1"/>
  <c r="F28" i="41"/>
  <c r="F45" i="41" s="1"/>
  <c r="G29" i="11"/>
  <c r="G46" i="11" s="1"/>
  <c r="F28" i="43"/>
  <c r="F45" i="43" s="1"/>
  <c r="G29" i="47"/>
  <c r="G46" i="47" s="1"/>
  <c r="F28" i="32"/>
  <c r="F45" i="32" s="1"/>
  <c r="E75" i="52"/>
  <c r="H75" i="52" s="1"/>
  <c r="F28" i="48"/>
  <c r="F45" i="48" s="1"/>
  <c r="W54" i="45"/>
  <c r="X54" i="45" s="1"/>
  <c r="R40" i="52" s="1"/>
  <c r="R52" i="52" s="1"/>
  <c r="R54" i="52" s="1"/>
  <c r="G29" i="37" l="1"/>
  <c r="G46" i="37" s="1"/>
  <c r="G29" i="41"/>
  <c r="G46" i="41" s="1"/>
  <c r="G29" i="28"/>
  <c r="G46" i="28" s="1"/>
  <c r="G29" i="43"/>
  <c r="G46" i="43" s="1"/>
  <c r="G29" i="33"/>
  <c r="G46" i="33" s="1"/>
  <c r="G29" i="34"/>
  <c r="G46" i="34" s="1"/>
  <c r="H30" i="47"/>
  <c r="H47" i="47" s="1"/>
  <c r="G29" i="31"/>
  <c r="G46" i="31" s="1"/>
  <c r="G29" i="46"/>
  <c r="G46" i="46" s="1"/>
  <c r="G29" i="39"/>
  <c r="G46" i="39" s="1"/>
  <c r="G29" i="50"/>
  <c r="G46" i="50" s="1"/>
  <c r="G29" i="36"/>
  <c r="G46" i="36" s="1"/>
  <c r="G29" i="42"/>
  <c r="G46" i="42" s="1"/>
  <c r="G29" i="35"/>
  <c r="G46" i="35" s="1"/>
  <c r="G29" i="45"/>
  <c r="G46" i="45" s="1"/>
  <c r="G29" i="30"/>
  <c r="G46" i="30" s="1"/>
  <c r="G29" i="49"/>
  <c r="G46" i="49" s="1"/>
  <c r="G29" i="32"/>
  <c r="G46" i="32" s="1"/>
  <c r="F76" i="52"/>
  <c r="H76" i="52" s="1"/>
  <c r="G29" i="29"/>
  <c r="G46" i="29" s="1"/>
  <c r="G29" i="48"/>
  <c r="G46" i="48" s="1"/>
  <c r="H30" i="11"/>
  <c r="H47" i="11" s="1"/>
  <c r="H30" i="44"/>
  <c r="H47" i="44" s="1"/>
  <c r="H30" i="38"/>
  <c r="H47" i="38" s="1"/>
  <c r="H30" i="37" l="1"/>
  <c r="H47" i="37" s="1"/>
  <c r="I31" i="44"/>
  <c r="I48" i="44"/>
  <c r="O48" i="44" s="1"/>
  <c r="R48" i="44" s="1"/>
  <c r="H30" i="42"/>
  <c r="H47" i="42" s="1"/>
  <c r="I48" i="37"/>
  <c r="O48" i="37" s="1"/>
  <c r="R48" i="37" s="1"/>
  <c r="H30" i="29"/>
  <c r="H47" i="29" s="1"/>
  <c r="H30" i="45"/>
  <c r="H47" i="45" s="1"/>
  <c r="H30" i="46"/>
  <c r="H47" i="46" s="1"/>
  <c r="I31" i="38"/>
  <c r="I48" i="38"/>
  <c r="O48" i="38" s="1"/>
  <c r="R48" i="38" s="1"/>
  <c r="I31" i="11"/>
  <c r="I48" i="11"/>
  <c r="O48" i="11" s="1"/>
  <c r="R48" i="11" s="1"/>
  <c r="H30" i="32"/>
  <c r="H47" i="32" s="1"/>
  <c r="G77" i="52"/>
  <c r="H77" i="52" s="1"/>
  <c r="H30" i="30"/>
  <c r="H47" i="30" s="1"/>
  <c r="H30" i="35"/>
  <c r="H47" i="35" s="1"/>
  <c r="H30" i="43"/>
  <c r="H47" i="43" s="1"/>
  <c r="H30" i="49"/>
  <c r="H47" i="49" s="1"/>
  <c r="H30" i="50"/>
  <c r="H47" i="50" s="1"/>
  <c r="I31" i="47"/>
  <c r="I48" i="47"/>
  <c r="O48" i="47" s="1"/>
  <c r="R48" i="47" s="1"/>
  <c r="H30" i="33"/>
  <c r="H47" i="33" s="1"/>
  <c r="H30" i="41"/>
  <c r="H47" i="41" s="1"/>
  <c r="H30" i="48"/>
  <c r="H47" i="48" s="1"/>
  <c r="H30" i="36"/>
  <c r="H47" i="36" s="1"/>
  <c r="H30" i="39"/>
  <c r="H47" i="39" s="1"/>
  <c r="H30" i="31"/>
  <c r="H47" i="31" s="1"/>
  <c r="H30" i="34"/>
  <c r="H47" i="34" s="1"/>
  <c r="H30" i="28"/>
  <c r="H47" i="28" s="1"/>
  <c r="I31" i="37" l="1"/>
  <c r="I31" i="48"/>
  <c r="I48" i="48"/>
  <c r="O48" i="48" s="1"/>
  <c r="R48" i="48" s="1"/>
  <c r="I48" i="50"/>
  <c r="O48" i="50" s="1"/>
  <c r="R48" i="50" s="1"/>
  <c r="I31" i="50"/>
  <c r="I31" i="30"/>
  <c r="I48" i="30"/>
  <c r="O48" i="30" s="1"/>
  <c r="R48" i="30" s="1"/>
  <c r="I31" i="32"/>
  <c r="I48" i="32"/>
  <c r="O48" i="32" s="1"/>
  <c r="R48" i="32" s="1"/>
  <c r="I31" i="45"/>
  <c r="I48" i="45"/>
  <c r="O48" i="45" s="1"/>
  <c r="R48" i="45" s="1"/>
  <c r="I48" i="36"/>
  <c r="O48" i="36" s="1"/>
  <c r="R48" i="36" s="1"/>
  <c r="I31" i="36"/>
  <c r="S49" i="44"/>
  <c r="L37" i="52"/>
  <c r="X48" i="44"/>
  <c r="L38" i="52" s="1"/>
  <c r="I31" i="31"/>
  <c r="I48" i="31"/>
  <c r="O48" i="31" s="1"/>
  <c r="R48" i="31" s="1"/>
  <c r="L43" i="52"/>
  <c r="S49" i="47"/>
  <c r="X48" i="47"/>
  <c r="L44" i="52" s="1"/>
  <c r="I31" i="49"/>
  <c r="I48" i="49"/>
  <c r="O48" i="49" s="1"/>
  <c r="R48" i="49" s="1"/>
  <c r="I48" i="35"/>
  <c r="O48" i="35" s="1"/>
  <c r="R48" i="35" s="1"/>
  <c r="I31" i="35"/>
  <c r="I31" i="46"/>
  <c r="I48" i="46"/>
  <c r="O48" i="46" s="1"/>
  <c r="R48" i="46" s="1"/>
  <c r="I48" i="29"/>
  <c r="Q48" i="29" s="1"/>
  <c r="T48" i="29" s="1"/>
  <c r="I31" i="29"/>
  <c r="I31" i="42"/>
  <c r="I48" i="42"/>
  <c r="O48" i="42" s="1"/>
  <c r="R48" i="42" s="1"/>
  <c r="I31" i="39"/>
  <c r="I48" i="39"/>
  <c r="O48" i="39" s="1"/>
  <c r="R48" i="39" s="1"/>
  <c r="S49" i="37"/>
  <c r="L17" i="52"/>
  <c r="X48" i="37"/>
  <c r="L18" i="52" s="1"/>
  <c r="I31" i="28"/>
  <c r="I48" i="28"/>
  <c r="O48" i="28" s="1"/>
  <c r="R48" i="28" s="1"/>
  <c r="I31" i="41"/>
  <c r="I48" i="41"/>
  <c r="O48" i="41" s="1"/>
  <c r="R48" i="41" s="1"/>
  <c r="S49" i="38"/>
  <c r="L25" i="52"/>
  <c r="X48" i="38"/>
  <c r="L26" i="52" s="1"/>
  <c r="I48" i="34"/>
  <c r="O48" i="34" s="1"/>
  <c r="R48" i="34" s="1"/>
  <c r="I31" i="34"/>
  <c r="I31" i="33"/>
  <c r="I48" i="33"/>
  <c r="O48" i="33" s="1"/>
  <c r="R48" i="33" s="1"/>
  <c r="I31" i="43"/>
  <c r="I48" i="43"/>
  <c r="O48" i="43" s="1"/>
  <c r="R48" i="43" s="1"/>
  <c r="S49" i="11"/>
  <c r="L21" i="52"/>
  <c r="X48" i="11"/>
  <c r="L22" i="52" s="1"/>
  <c r="L19" i="52" l="1"/>
  <c r="S49" i="28"/>
  <c r="X48" i="28"/>
  <c r="L20" i="52" s="1"/>
  <c r="T50" i="37"/>
  <c r="X49" i="37"/>
  <c r="M18" i="52" s="1"/>
  <c r="L9" i="52"/>
  <c r="S49" i="33"/>
  <c r="X48" i="33"/>
  <c r="L10" i="52" s="1"/>
  <c r="L41" i="52"/>
  <c r="S49" i="46"/>
  <c r="X48" i="46"/>
  <c r="L42" i="52" s="1"/>
  <c r="S49" i="45"/>
  <c r="L39" i="52"/>
  <c r="X48" i="45"/>
  <c r="L40" i="52" s="1"/>
  <c r="L45" i="52"/>
  <c r="S49" i="48"/>
  <c r="X48" i="48"/>
  <c r="L46" i="52" s="1"/>
  <c r="L11" i="52"/>
  <c r="S49" i="34"/>
  <c r="X48" i="34"/>
  <c r="L12" i="52" s="1"/>
  <c r="S49" i="41"/>
  <c r="L31" i="52"/>
  <c r="X48" i="41"/>
  <c r="L32" i="52" s="1"/>
  <c r="Z48" i="29"/>
  <c r="L30" i="52" s="1"/>
  <c r="L29" i="52"/>
  <c r="U49" i="29"/>
  <c r="S49" i="35"/>
  <c r="X48" i="35"/>
  <c r="L14" i="52" s="1"/>
  <c r="L13" i="52"/>
  <c r="T50" i="47"/>
  <c r="X49" i="47"/>
  <c r="M44" i="52" s="1"/>
  <c r="S49" i="36"/>
  <c r="L15" i="52"/>
  <c r="X48" i="36"/>
  <c r="L16" i="52" s="1"/>
  <c r="L49" i="52"/>
  <c r="S49" i="50"/>
  <c r="X48" i="50"/>
  <c r="L50" i="52" s="1"/>
  <c r="T50" i="11"/>
  <c r="X49" i="11"/>
  <c r="M22" i="52" s="1"/>
  <c r="L7" i="52"/>
  <c r="X48" i="31"/>
  <c r="L8" i="52" s="1"/>
  <c r="S49" i="31"/>
  <c r="T50" i="44"/>
  <c r="X49" i="44"/>
  <c r="M38" i="52" s="1"/>
  <c r="S49" i="42"/>
  <c r="X48" i="42"/>
  <c r="L34" i="52" s="1"/>
  <c r="L33" i="52"/>
  <c r="S49" i="49"/>
  <c r="L47" i="52"/>
  <c r="X48" i="49"/>
  <c r="L48" i="52" s="1"/>
  <c r="L23" i="52"/>
  <c r="S49" i="30"/>
  <c r="X48" i="30"/>
  <c r="L24" i="52" s="1"/>
  <c r="S49" i="43"/>
  <c r="L35" i="52"/>
  <c r="X48" i="43"/>
  <c r="L36" i="52" s="1"/>
  <c r="T50" i="38"/>
  <c r="X49" i="38"/>
  <c r="M26" i="52" s="1"/>
  <c r="L27" i="52"/>
  <c r="S49" i="39"/>
  <c r="X48" i="39"/>
  <c r="L28" i="52" s="1"/>
  <c r="S49" i="32"/>
  <c r="B65" i="52"/>
  <c r="H65" i="52" s="1"/>
  <c r="X48" i="32"/>
  <c r="L6" i="52" s="1"/>
  <c r="L5" i="52"/>
  <c r="T50" i="32" l="1"/>
  <c r="C66" i="52"/>
  <c r="H66" i="52" s="1"/>
  <c r="X49" i="32"/>
  <c r="M6" i="52" s="1"/>
  <c r="T50" i="43"/>
  <c r="X49" i="43"/>
  <c r="M36" i="52" s="1"/>
  <c r="T50" i="31"/>
  <c r="X49" i="31"/>
  <c r="M8" i="52" s="1"/>
  <c r="U51" i="11"/>
  <c r="X50" i="11"/>
  <c r="N22" i="52" s="1"/>
  <c r="U51" i="47"/>
  <c r="X50" i="47"/>
  <c r="N44" i="52" s="1"/>
  <c r="V50" i="29"/>
  <c r="Z49" i="29"/>
  <c r="M30" i="52" s="1"/>
  <c r="T50" i="46"/>
  <c r="X49" i="46"/>
  <c r="M42" i="52" s="1"/>
  <c r="T50" i="28"/>
  <c r="X49" i="28"/>
  <c r="M20" i="52" s="1"/>
  <c r="U51" i="44"/>
  <c r="X50" i="44"/>
  <c r="N38" i="52" s="1"/>
  <c r="T50" i="35"/>
  <c r="X49" i="35"/>
  <c r="M14" i="52" s="1"/>
  <c r="T50" i="34"/>
  <c r="X49" i="34"/>
  <c r="M12" i="52" s="1"/>
  <c r="T50" i="33"/>
  <c r="X49" i="33"/>
  <c r="M10" i="52" s="1"/>
  <c r="L51" i="52"/>
  <c r="L53" i="52" s="1"/>
  <c r="U51" i="38"/>
  <c r="X50" i="38"/>
  <c r="N26" i="52" s="1"/>
  <c r="T50" i="42"/>
  <c r="X49" i="42"/>
  <c r="M34" i="52" s="1"/>
  <c r="T50" i="41"/>
  <c r="X49" i="41"/>
  <c r="M32" i="52" s="1"/>
  <c r="T50" i="39"/>
  <c r="X49" i="39"/>
  <c r="M28" i="52" s="1"/>
  <c r="T50" i="30"/>
  <c r="X49" i="30"/>
  <c r="M24" i="52" s="1"/>
  <c r="T50" i="49"/>
  <c r="X49" i="49"/>
  <c r="M48" i="52" s="1"/>
  <c r="T50" i="50"/>
  <c r="X49" i="50"/>
  <c r="M50" i="52" s="1"/>
  <c r="T50" i="36"/>
  <c r="X49" i="36"/>
  <c r="M16" i="52" s="1"/>
  <c r="T50" i="48"/>
  <c r="X49" i="48"/>
  <c r="M46" i="52" s="1"/>
  <c r="T50" i="45"/>
  <c r="X49" i="45"/>
  <c r="M40" i="52" s="1"/>
  <c r="U51" i="37"/>
  <c r="X50" i="37"/>
  <c r="N18" i="52" s="1"/>
  <c r="L52" i="52"/>
  <c r="L54" i="52" s="1"/>
  <c r="U51" i="36" l="1"/>
  <c r="X50" i="36"/>
  <c r="N16" i="52" s="1"/>
  <c r="U51" i="42"/>
  <c r="X50" i="42"/>
  <c r="N34" i="52" s="1"/>
  <c r="U51" i="32"/>
  <c r="D67" i="52"/>
  <c r="H67" i="52" s="1"/>
  <c r="X50" i="32"/>
  <c r="N6" i="52" s="1"/>
  <c r="U51" i="34"/>
  <c r="X50" i="34"/>
  <c r="N12" i="52" s="1"/>
  <c r="V52" i="44"/>
  <c r="X51" i="44"/>
  <c r="O38" i="52" s="1"/>
  <c r="U51" i="46"/>
  <c r="X50" i="46"/>
  <c r="N42" i="52" s="1"/>
  <c r="V52" i="47"/>
  <c r="X51" i="47"/>
  <c r="O44" i="52" s="1"/>
  <c r="U51" i="31"/>
  <c r="X50" i="31"/>
  <c r="N8" i="52" s="1"/>
  <c r="V52" i="37"/>
  <c r="X51" i="37"/>
  <c r="O18" i="52" s="1"/>
  <c r="U51" i="48"/>
  <c r="X50" i="48"/>
  <c r="N46" i="52" s="1"/>
  <c r="U51" i="50"/>
  <c r="X50" i="50"/>
  <c r="N50" i="52" s="1"/>
  <c r="U51" i="30"/>
  <c r="X50" i="30"/>
  <c r="N24" i="52" s="1"/>
  <c r="U51" i="41"/>
  <c r="X50" i="41"/>
  <c r="N32" i="52" s="1"/>
  <c r="V52" i="38"/>
  <c r="X51" i="38"/>
  <c r="O26" i="52" s="1"/>
  <c r="M52" i="52"/>
  <c r="M54" i="52" s="1"/>
  <c r="U51" i="45"/>
  <c r="X50" i="45"/>
  <c r="N40" i="52" s="1"/>
  <c r="U51" i="49"/>
  <c r="X50" i="49"/>
  <c r="N48" i="52" s="1"/>
  <c r="U51" i="39"/>
  <c r="X50" i="39"/>
  <c r="N28" i="52" s="1"/>
  <c r="U51" i="33"/>
  <c r="X50" i="33"/>
  <c r="N10" i="52" s="1"/>
  <c r="U51" i="35"/>
  <c r="X50" i="35"/>
  <c r="N14" i="52" s="1"/>
  <c r="U51" i="28"/>
  <c r="X50" i="28"/>
  <c r="N20" i="52" s="1"/>
  <c r="W51" i="29"/>
  <c r="Z50" i="29"/>
  <c r="N30" i="52" s="1"/>
  <c r="V52" i="11"/>
  <c r="X51" i="11"/>
  <c r="O22" i="52" s="1"/>
  <c r="U51" i="43"/>
  <c r="X50" i="43"/>
  <c r="N36" i="52" s="1"/>
  <c r="V52" i="41" l="1"/>
  <c r="X51" i="41"/>
  <c r="O32" i="52" s="1"/>
  <c r="V52" i="50"/>
  <c r="X51" i="50"/>
  <c r="O50" i="52" s="1"/>
  <c r="W53" i="47"/>
  <c r="X53" i="47" s="1"/>
  <c r="Q44" i="52" s="1"/>
  <c r="X52" i="47"/>
  <c r="P44" i="52" s="1"/>
  <c r="W53" i="44"/>
  <c r="X53" i="44" s="1"/>
  <c r="Q38" i="52" s="1"/>
  <c r="Q51" i="52" s="1"/>
  <c r="Q53" i="52" s="1"/>
  <c r="X52" i="44"/>
  <c r="P38" i="52" s="1"/>
  <c r="W53" i="11"/>
  <c r="X53" i="11" s="1"/>
  <c r="Q22" i="52" s="1"/>
  <c r="X52" i="11"/>
  <c r="P22" i="52" s="1"/>
  <c r="V52" i="28"/>
  <c r="X51" i="28"/>
  <c r="O20" i="52" s="1"/>
  <c r="V52" i="33"/>
  <c r="X51" i="33"/>
  <c r="O10" i="52" s="1"/>
  <c r="V52" i="49"/>
  <c r="X51" i="49"/>
  <c r="O48" i="52" s="1"/>
  <c r="V52" i="32"/>
  <c r="X51" i="32"/>
  <c r="O6" i="52" s="1"/>
  <c r="V52" i="36"/>
  <c r="X51" i="36"/>
  <c r="O16" i="52" s="1"/>
  <c r="W53" i="37"/>
  <c r="X53" i="37" s="1"/>
  <c r="Q18" i="52" s="1"/>
  <c r="X52" i="37"/>
  <c r="P18" i="52" s="1"/>
  <c r="V52" i="43"/>
  <c r="X51" i="43"/>
  <c r="O36" i="52" s="1"/>
  <c r="O51" i="52" s="1"/>
  <c r="O53" i="52" s="1"/>
  <c r="X52" i="29"/>
  <c r="Z51" i="29"/>
  <c r="O30" i="52" s="1"/>
  <c r="V52" i="35"/>
  <c r="X51" i="35"/>
  <c r="O14" i="52" s="1"/>
  <c r="V52" i="39"/>
  <c r="X51" i="39"/>
  <c r="O28" i="52" s="1"/>
  <c r="V52" i="45"/>
  <c r="X51" i="45"/>
  <c r="O40" i="52" s="1"/>
  <c r="V52" i="42"/>
  <c r="X51" i="42"/>
  <c r="O34" i="52" s="1"/>
  <c r="W53" i="38"/>
  <c r="X53" i="38" s="1"/>
  <c r="Q26" i="52" s="1"/>
  <c r="X52" i="38"/>
  <c r="P26" i="52" s="1"/>
  <c r="V52" i="30"/>
  <c r="X51" i="30"/>
  <c r="O24" i="52" s="1"/>
  <c r="V52" i="48"/>
  <c r="X51" i="48"/>
  <c r="O46" i="52" s="1"/>
  <c r="V52" i="31"/>
  <c r="X51" i="31"/>
  <c r="O8" i="52" s="1"/>
  <c r="V52" i="46"/>
  <c r="X51" i="46"/>
  <c r="O42" i="52" s="1"/>
  <c r="V52" i="34"/>
  <c r="X51" i="34"/>
  <c r="O12" i="52" s="1"/>
  <c r="N52" i="52"/>
  <c r="N54" i="52" s="1"/>
  <c r="W53" i="34" l="1"/>
  <c r="X53" i="34" s="1"/>
  <c r="Q12" i="52" s="1"/>
  <c r="X52" i="34"/>
  <c r="P12" i="52" s="1"/>
  <c r="W53" i="31"/>
  <c r="X53" i="31" s="1"/>
  <c r="Q8" i="52" s="1"/>
  <c r="X52" i="31"/>
  <c r="P8" i="52" s="1"/>
  <c r="W53" i="30"/>
  <c r="X53" i="30" s="1"/>
  <c r="Q24" i="52" s="1"/>
  <c r="X52" i="30"/>
  <c r="P24" i="52" s="1"/>
  <c r="W53" i="42"/>
  <c r="X53" i="42" s="1"/>
  <c r="Q34" i="52" s="1"/>
  <c r="X52" i="42"/>
  <c r="P34" i="52" s="1"/>
  <c r="W53" i="39"/>
  <c r="X53" i="39" s="1"/>
  <c r="Q28" i="52" s="1"/>
  <c r="X52" i="39"/>
  <c r="P28" i="52" s="1"/>
  <c r="Y53" i="29"/>
  <c r="Z53" i="29" s="1"/>
  <c r="Q30" i="52" s="1"/>
  <c r="Z52" i="29"/>
  <c r="P30" i="52" s="1"/>
  <c r="W53" i="32"/>
  <c r="X53" i="32" s="1"/>
  <c r="Q6" i="52" s="1"/>
  <c r="X52" i="32"/>
  <c r="P6" i="52" s="1"/>
  <c r="W53" i="33"/>
  <c r="X53" i="33" s="1"/>
  <c r="Q10" i="52" s="1"/>
  <c r="X52" i="33"/>
  <c r="P10" i="52" s="1"/>
  <c r="W53" i="41"/>
  <c r="X53" i="41" s="1"/>
  <c r="Q32" i="52" s="1"/>
  <c r="X52" i="41"/>
  <c r="P32" i="52" s="1"/>
  <c r="W53" i="46"/>
  <c r="X53" i="46" s="1"/>
  <c r="Q42" i="52" s="1"/>
  <c r="X52" i="46"/>
  <c r="P42" i="52" s="1"/>
  <c r="W53" i="48"/>
  <c r="X53" i="48" s="1"/>
  <c r="Q46" i="52" s="1"/>
  <c r="X52" i="48"/>
  <c r="P46" i="52" s="1"/>
  <c r="W53" i="45"/>
  <c r="X53" i="45" s="1"/>
  <c r="Q40" i="52" s="1"/>
  <c r="X52" i="45"/>
  <c r="P40" i="52" s="1"/>
  <c r="W53" i="35"/>
  <c r="X53" i="35" s="1"/>
  <c r="Q14" i="52" s="1"/>
  <c r="X52" i="35"/>
  <c r="P14" i="52" s="1"/>
  <c r="W53" i="43"/>
  <c r="X53" i="43" s="1"/>
  <c r="Q36" i="52" s="1"/>
  <c r="X52" i="43"/>
  <c r="P36" i="52" s="1"/>
  <c r="W53" i="36"/>
  <c r="X53" i="36" s="1"/>
  <c r="Q16" i="52" s="1"/>
  <c r="X52" i="36"/>
  <c r="P16" i="52" s="1"/>
  <c r="W53" i="49"/>
  <c r="X53" i="49" s="1"/>
  <c r="Q48" i="52" s="1"/>
  <c r="X52" i="49"/>
  <c r="P48" i="52" s="1"/>
  <c r="W53" i="28"/>
  <c r="X53" i="28" s="1"/>
  <c r="Q20" i="52" s="1"/>
  <c r="X52" i="28"/>
  <c r="P20" i="52" s="1"/>
  <c r="W53" i="50"/>
  <c r="X53" i="50" s="1"/>
  <c r="Q50" i="52" s="1"/>
  <c r="X52" i="50"/>
  <c r="P50" i="52" s="1"/>
  <c r="O52" i="52"/>
  <c r="O54" i="52" s="1"/>
  <c r="Q52" i="52" l="1"/>
  <c r="Q54" i="52" s="1"/>
  <c r="P52" i="52"/>
  <c r="P54" i="52" s="1"/>
</calcChain>
</file>

<file path=xl/sharedStrings.xml><?xml version="1.0" encoding="utf-8"?>
<sst xmlns="http://schemas.openxmlformats.org/spreadsheetml/2006/main" count="3214" uniqueCount="427">
  <si>
    <t>Totals</t>
  </si>
  <si>
    <t>P1</t>
  </si>
  <si>
    <t>School</t>
  </si>
  <si>
    <t>Associated Secondary</t>
  </si>
  <si>
    <t>Abbeyhill Primary School</t>
  </si>
  <si>
    <t>Balgreen Primary School</t>
  </si>
  <si>
    <t>Blackhall Primary School</t>
  </si>
  <si>
    <t>Bonaly Primary School</t>
  </si>
  <si>
    <t>Broomhouse Primary School</t>
  </si>
  <si>
    <t>Broughton Primary School</t>
  </si>
  <si>
    <t>Brunstane Primary School</t>
  </si>
  <si>
    <t>Bruntsfield Primary School</t>
  </si>
  <si>
    <t>Buckstone Primary School</t>
  </si>
  <si>
    <t>Canal View Primary School</t>
  </si>
  <si>
    <t>Carrick Knowe Primary School</t>
  </si>
  <si>
    <t>Castleview Primary School</t>
  </si>
  <si>
    <t>Clermiston Primary School</t>
  </si>
  <si>
    <t>Clovenstone Primary School</t>
  </si>
  <si>
    <t>Colinton Primary School</t>
  </si>
  <si>
    <t>Corstorphine Primary School</t>
  </si>
  <si>
    <t>Craigentinny Primary School</t>
  </si>
  <si>
    <t>Craiglockhart Primary School</t>
  </si>
  <si>
    <t>Craigour Park Primary School</t>
  </si>
  <si>
    <t>Craigroyston Primary School</t>
  </si>
  <si>
    <t>Cramond Primary School</t>
  </si>
  <si>
    <t>Currie Primary School</t>
  </si>
  <si>
    <t>Dalmeny Primary School</t>
  </si>
  <si>
    <t>Dalry Primary School</t>
  </si>
  <si>
    <t>Davidson's Mains Primary School</t>
  </si>
  <si>
    <t>Dean Park Primary School</t>
  </si>
  <si>
    <t>Duddingston Primary School</t>
  </si>
  <si>
    <t>East Craigs Primary School</t>
  </si>
  <si>
    <t>Echline Primary School</t>
  </si>
  <si>
    <t>Ferryhill Primary School</t>
  </si>
  <si>
    <t>Flora Stevenson Primary School</t>
  </si>
  <si>
    <t>Forthview Primary School</t>
  </si>
  <si>
    <t>Fox Covert ND Primary School</t>
  </si>
  <si>
    <t>Fox Covert RC Primary School</t>
  </si>
  <si>
    <t>Gilmerton Primary School</t>
  </si>
  <si>
    <t>Gracemount Primary School</t>
  </si>
  <si>
    <t>Granton Primary School</t>
  </si>
  <si>
    <t>Gylemuir Primary School</t>
  </si>
  <si>
    <t>Hermitage Park Primary School</t>
  </si>
  <si>
    <t>Hillwood Primary School</t>
  </si>
  <si>
    <t>Holy Cross RC Primary School</t>
  </si>
  <si>
    <t>James Gillespie's Primary School</t>
  </si>
  <si>
    <t>Juniper Green Primary School</t>
  </si>
  <si>
    <t>Kirkliston Primary School</t>
  </si>
  <si>
    <t>Leith Primary School</t>
  </si>
  <si>
    <t>Leith Walk Primary School</t>
  </si>
  <si>
    <t>Liberton Primary School</t>
  </si>
  <si>
    <t>Longstone Primary School</t>
  </si>
  <si>
    <t>Lorne Primary School</t>
  </si>
  <si>
    <t>Murrayburn Primary School</t>
  </si>
  <si>
    <t>Nether Currie Primary School</t>
  </si>
  <si>
    <t>Newcraighall Primary School</t>
  </si>
  <si>
    <t>Niddrie Mill Primary School</t>
  </si>
  <si>
    <t>Oxgangs Primary School</t>
  </si>
  <si>
    <t>Parsons Green Primary School</t>
  </si>
  <si>
    <t>Pentland Primary School</t>
  </si>
  <si>
    <t>Pirniehall Primary School</t>
  </si>
  <si>
    <t>Preston Street Primary School</t>
  </si>
  <si>
    <t>Prestonfield Primary School</t>
  </si>
  <si>
    <t>Queensferry Primary School</t>
  </si>
  <si>
    <t>Ratho Primary School</t>
  </si>
  <si>
    <t>Roseburn Primary School</t>
  </si>
  <si>
    <t>Royal Mile Primary School</t>
  </si>
  <si>
    <t>Sciennes Primary School</t>
  </si>
  <si>
    <t>Sighthill Primary School</t>
  </si>
  <si>
    <t>South Morningside Primary School</t>
  </si>
  <si>
    <t>St Catherine's RC Primary School</t>
  </si>
  <si>
    <t>St Cuthbert's RC Primary School</t>
  </si>
  <si>
    <t>St David's RC Primary School</t>
  </si>
  <si>
    <t>St Francis' RC Primary School</t>
  </si>
  <si>
    <t>St John Vianney RC Primary School</t>
  </si>
  <si>
    <t>St John's RC Primary School</t>
  </si>
  <si>
    <t>St Joseph's RC Primary School</t>
  </si>
  <si>
    <t>St Margaret's RC Primary School</t>
  </si>
  <si>
    <t>St Mark's RC Primary School</t>
  </si>
  <si>
    <t>St Mary's RC Primary School (Edin.)</t>
  </si>
  <si>
    <t>St Mary's RC Primary School (Leith)</t>
  </si>
  <si>
    <t>St Ninian's RC Primary School</t>
  </si>
  <si>
    <t>St Peter's RC Primary School</t>
  </si>
  <si>
    <t>Stenhouse Primary School</t>
  </si>
  <si>
    <t>Stockbridge Primary School</t>
  </si>
  <si>
    <t>The Royal High Primary School</t>
  </si>
  <si>
    <t>Tollcross Primary School</t>
  </si>
  <si>
    <t>Towerbank Primary School</t>
  </si>
  <si>
    <t>Trinity Primary School</t>
  </si>
  <si>
    <t>Victoria Primary School</t>
  </si>
  <si>
    <t>Wardie Primary School</t>
  </si>
  <si>
    <t>Bun-sgoil Taobh na Pairce</t>
  </si>
  <si>
    <t>Boroughmuir High School</t>
  </si>
  <si>
    <t>Broughton High School</t>
  </si>
  <si>
    <t>Craigmount High School</t>
  </si>
  <si>
    <t>Craigroyston Community High School</t>
  </si>
  <si>
    <t>Drummond Community High School</t>
  </si>
  <si>
    <t>Balerno Community High School</t>
  </si>
  <si>
    <t>Castlebrae Community High School</t>
  </si>
  <si>
    <t>Currie Community High School</t>
  </si>
  <si>
    <t>Forrester High School</t>
  </si>
  <si>
    <t>Gracemount High School</t>
  </si>
  <si>
    <t>Holy Rood RC High School</t>
  </si>
  <si>
    <t>James Gillespie's High School</t>
  </si>
  <si>
    <t>Leith Academy</t>
  </si>
  <si>
    <t>Liberton High School</t>
  </si>
  <si>
    <t>Portobello High School</t>
  </si>
  <si>
    <t>Queensferry Community High School</t>
  </si>
  <si>
    <t>St Augustine's RC High School</t>
  </si>
  <si>
    <t>St Thomas of Aquin's RC High School</t>
  </si>
  <si>
    <t>The Royal High School</t>
  </si>
  <si>
    <t>Trinity Academy</t>
  </si>
  <si>
    <t>Tynecastle High School</t>
  </si>
  <si>
    <t>Wester Hailes Education Centre</t>
  </si>
  <si>
    <t>Year</t>
  </si>
  <si>
    <t>P2</t>
  </si>
  <si>
    <t>P3</t>
  </si>
  <si>
    <t>P4</t>
  </si>
  <si>
    <t>P5</t>
  </si>
  <si>
    <t>P6</t>
  </si>
  <si>
    <t>P7</t>
  </si>
  <si>
    <t>S1</t>
  </si>
  <si>
    <t>S2</t>
  </si>
  <si>
    <t>S3</t>
  </si>
  <si>
    <t>S4</t>
  </si>
  <si>
    <t>S5</t>
  </si>
  <si>
    <t>S6</t>
  </si>
  <si>
    <t>Table 1: Firhill High School Actual ND Catchment Population by Year Group</t>
  </si>
  <si>
    <t>Projected P1 Catchment Populations (inc. Developments)</t>
  </si>
  <si>
    <t>P1-P2</t>
  </si>
  <si>
    <t>P2-P3</t>
  </si>
  <si>
    <t>P3-P4</t>
  </si>
  <si>
    <t>P4-P5</t>
  </si>
  <si>
    <t>P5-P6</t>
  </si>
  <si>
    <t>P6-P7</t>
  </si>
  <si>
    <t>P7-S1</t>
  </si>
  <si>
    <t>Non-Catchment Pupils</t>
  </si>
  <si>
    <t>S1 Catchment Pupils Retained</t>
  </si>
  <si>
    <t>Total</t>
  </si>
  <si>
    <t>(%)</t>
  </si>
  <si>
    <t>S4-S5</t>
  </si>
  <si>
    <t>S5-S6</t>
  </si>
  <si>
    <t>Pupil Generation (with Cracemount/Lib Split)</t>
  </si>
  <si>
    <t>HLA Year</t>
  </si>
  <si>
    <t>15/16</t>
  </si>
  <si>
    <t>16/17</t>
  </si>
  <si>
    <t>17/18</t>
  </si>
  <si>
    <t>18/19</t>
  </si>
  <si>
    <t>19/20</t>
  </si>
  <si>
    <t>20/21</t>
  </si>
  <si>
    <t>21/22</t>
  </si>
  <si>
    <t>22/23</t>
  </si>
  <si>
    <t>23/24</t>
  </si>
  <si>
    <t>24/25</t>
  </si>
  <si>
    <t>NDHS - S1 Intake Yr</t>
  </si>
  <si>
    <t>25/26</t>
  </si>
  <si>
    <t xml:space="preserve">Balerno </t>
  </si>
  <si>
    <t xml:space="preserve">Boroughmuir </t>
  </si>
  <si>
    <t xml:space="preserve">Broughton </t>
  </si>
  <si>
    <t xml:space="preserve">Castlebrae </t>
  </si>
  <si>
    <t xml:space="preserve">Craigmount </t>
  </si>
  <si>
    <t xml:space="preserve">Craigroyston </t>
  </si>
  <si>
    <t xml:space="preserve">Currie </t>
  </si>
  <si>
    <t xml:space="preserve">Drummond </t>
  </si>
  <si>
    <t xml:space="preserve">Firrhill </t>
  </si>
  <si>
    <t xml:space="preserve">Forrester </t>
  </si>
  <si>
    <t xml:space="preserve">G'mount Lib </t>
  </si>
  <si>
    <t xml:space="preserve">Gracemount </t>
  </si>
  <si>
    <t xml:space="preserve">J Gillespie's </t>
  </si>
  <si>
    <t xml:space="preserve">Leith </t>
  </si>
  <si>
    <t xml:space="preserve">Liberton </t>
  </si>
  <si>
    <t xml:space="preserve">Portobello </t>
  </si>
  <si>
    <t xml:space="preserve">Queensferry </t>
  </si>
  <si>
    <t xml:space="preserve">The Royal High </t>
  </si>
  <si>
    <t xml:space="preserve">Trinity </t>
  </si>
  <si>
    <t xml:space="preserve">Tynecastle </t>
  </si>
  <si>
    <t xml:space="preserve">WHEC </t>
  </si>
  <si>
    <t>Gmount/Lib dual</t>
  </si>
  <si>
    <t>Gracemount (90%)</t>
  </si>
  <si>
    <t>Liberton (10%)</t>
  </si>
  <si>
    <t>Check</t>
  </si>
  <si>
    <t>Revised Total with readjustment</t>
  </si>
  <si>
    <t>Cumulative Totals</t>
  </si>
  <si>
    <t>NDHS</t>
  </si>
  <si>
    <t>Combined ND and RC Pupil Generation</t>
  </si>
  <si>
    <t>Year on Year Totals</t>
  </si>
  <si>
    <t>2015-16</t>
  </si>
  <si>
    <t>ND</t>
  </si>
  <si>
    <t>RC (St Aug Adj)</t>
  </si>
  <si>
    <t>Cummulative</t>
  </si>
  <si>
    <t>Est S1 from Development</t>
  </si>
  <si>
    <t>S1 Intake Limit</t>
  </si>
  <si>
    <t>SCHOOL INFORMATION</t>
  </si>
  <si>
    <t>Notional Capacity</t>
  </si>
  <si>
    <t>Table 2: Firhill High School Projected ND Catchment Population by Year Group</t>
  </si>
  <si>
    <t>Table 3: Firhill High School Actual Roll by Year Group</t>
  </si>
  <si>
    <t>Table 4: Firhill High School Projected Roll by Year Group</t>
  </si>
  <si>
    <t>S1 CATCHMENT POPULATION ACTUAL and PROJECTED</t>
  </si>
  <si>
    <t>SCHOOL ROLL ACTUAL and PROJECTED</t>
  </si>
  <si>
    <t>Table 1: Drummond Community High School Actual ND Catchment Population by Year Group</t>
  </si>
  <si>
    <t>Table 2: Drummond Community High School Projected ND Catchment Population by Year Group</t>
  </si>
  <si>
    <t>Table 3: Drummond Community High School Actual Roll by Year Group</t>
  </si>
  <si>
    <t>Table 4: Drummond Community High School Projected Roll by Year Group</t>
  </si>
  <si>
    <t>Rate Applied</t>
  </si>
  <si>
    <t>Catchment Retained</t>
  </si>
  <si>
    <t>Table 3: James Gillespie's High School Actual Roll by Year Group</t>
  </si>
  <si>
    <t>Table 4: James Gillespie's High School Projected Roll by Year Group</t>
  </si>
  <si>
    <t>Table 2: James Gillespie's High School Projected ND &amp; GME Catchment Population by Year Group</t>
  </si>
  <si>
    <t>Table 1: James Gillespie's High School Actual ND &amp; Resident GME Catchment Population by Year Group</t>
  </si>
  <si>
    <t>S1 GME (non JGHS catchment)</t>
  </si>
  <si>
    <t>*</t>
  </si>
  <si>
    <t>3yr Average</t>
  </si>
  <si>
    <t>3yr Average Drop-off Rates</t>
  </si>
  <si>
    <t>Comments:</t>
  </si>
  <si>
    <t>Table 1: Forrester High School Actual ND Catchment Population by Year Group</t>
  </si>
  <si>
    <t>Table 3: Forrester High School Actual Roll by Year Group</t>
  </si>
  <si>
    <t>Table 2: Forrester High School Projected ND Catchment Population by Year Group</t>
  </si>
  <si>
    <t>Table 4: Forrester High School Projected Roll by Year Group</t>
  </si>
  <si>
    <t>Table 1: Boroughmuir High School Actual ND Catchment Population by Year Group</t>
  </si>
  <si>
    <t>Table 3: Boroughmuir High School Actual Roll by Year Group</t>
  </si>
  <si>
    <t>Table 2: Boroughmuir High School Projected ND Catchment Population by Year Group</t>
  </si>
  <si>
    <t>Table 4: Boroughmuir High School Projected Roll by Year Group</t>
  </si>
  <si>
    <t>S1 ND CATCHMENT POPULATION ACTUAL and PROJECTED</t>
  </si>
  <si>
    <t>ADDITIONAL INFORMATION</t>
  </si>
  <si>
    <t>Table 5: S1 Catchment Pop attending RC Sector</t>
  </si>
  <si>
    <t xml:space="preserve">No. </t>
  </si>
  <si>
    <t>As % of Total Catchment Pop.</t>
  </si>
  <si>
    <t>Table 1: Balerno Community High School Actual ND Catchment Population by Year Group</t>
  </si>
  <si>
    <t>Table 3: Balerno Community High School Actual Roll by Year Group</t>
  </si>
  <si>
    <t>Table 2: Balerno Community High School Projected ND Catchment Population by Year Group</t>
  </si>
  <si>
    <t>Table 4: Balerno Community High School Projected Roll by Year Group</t>
  </si>
  <si>
    <t>Table 1: Broughton High School Actual ND Catchment Population by Year Group</t>
  </si>
  <si>
    <t>Table 3: Broughton High School Actual Roll by Year Group</t>
  </si>
  <si>
    <t>Table 2: Broughton High School Projected ND Catchment Population by Year Group</t>
  </si>
  <si>
    <t>Table 4: Broughton High School Projected Roll by Year Group</t>
  </si>
  <si>
    <t>Table 1: Castlebrae Community High School Actual ND Catchment Population by Year Group</t>
  </si>
  <si>
    <t>Table 3: Castlebrae Community High School Actual Roll by Year Group</t>
  </si>
  <si>
    <t>Table 2: Castlebrae Community High School Projected ND Catchment Population by Year Group</t>
  </si>
  <si>
    <t>Table 4: Castlebrae Community High School Projected Roll by Year Group</t>
  </si>
  <si>
    <t>Table 1: Craigmount High School Actual ND Catchment Population by Year Group</t>
  </si>
  <si>
    <t>Table 3: Craigmount High School Actual Roll by Year Group</t>
  </si>
  <si>
    <t>Table 2: Craigmount High School Projected ND Catchment Population by Year Group</t>
  </si>
  <si>
    <t>Table 4: Craigmount High School Projected Roll by Year Group</t>
  </si>
  <si>
    <t>Table 1: Craigroyston Community High School Actual ND Catchment Population by Year Group</t>
  </si>
  <si>
    <t>Table 3: Craigroyston Community High School Actual Roll by Year Group</t>
  </si>
  <si>
    <t>Table 2: Craigroyston Community High School Projected ND Catchment Population by Year Group</t>
  </si>
  <si>
    <t>Table 4: Craigroyston Community High School Projected Roll by Year Group</t>
  </si>
  <si>
    <t>Table 1: Currie Community High School Actual ND Catchment Population by Year Group</t>
  </si>
  <si>
    <t>Table 3: Currie Community High School Actual Roll by Year Group</t>
  </si>
  <si>
    <t>Table 2: Currie Community High School Projected ND Catchment Population by Year Group</t>
  </si>
  <si>
    <t>Table 4: Currie Community High School Projected Roll by Year Group</t>
  </si>
  <si>
    <t>Table 3: Gracemount High School Actual Roll by Year Group</t>
  </si>
  <si>
    <t>Table 2: Gracemount High School Projected ND Catchment Population by Year Group</t>
  </si>
  <si>
    <t>Table 4: Gracemount High School Projected Roll by Year Group</t>
  </si>
  <si>
    <t>Table 1: Gracemount High School Actual ND Catchment Population (inc. dual feeder area) by Year Group</t>
  </si>
  <si>
    <t>Table 6: Dual catchment area P1 ND population</t>
  </si>
  <si>
    <t>3yr Avg.</t>
  </si>
  <si>
    <t xml:space="preserve"> - Dual catchment area 3yr Average P1 ND pupil generation is included in the projected Gracemount HS P1 ND catchment population in Table 2.</t>
  </si>
  <si>
    <t>Table 5: S1 Catchment Pop attending ND Sector</t>
  </si>
  <si>
    <t>Table 1: Holy Rood RC High School Actual RC Catchment Population by Year Group</t>
  </si>
  <si>
    <t>Table 3: Holy Rood RC High School Actual Roll by Year Group</t>
  </si>
  <si>
    <t>Table 2: Holy Rood RC High School Projected RC Catchment Population by Year Group</t>
  </si>
  <si>
    <t>RC HS Pupil Generation</t>
  </si>
  <si>
    <t>Yr 1</t>
  </si>
  <si>
    <t>Yr 2</t>
  </si>
  <si>
    <t>Yr 3</t>
  </si>
  <si>
    <t>Yr 4</t>
  </si>
  <si>
    <t>Yr 5</t>
  </si>
  <si>
    <t>Yr 6</t>
  </si>
  <si>
    <t>Yr 7</t>
  </si>
  <si>
    <t>Yr 8</t>
  </si>
  <si>
    <t>Yr 9</t>
  </si>
  <si>
    <t>Yr 10</t>
  </si>
  <si>
    <t>RC HS</t>
  </si>
  <si>
    <t>School Yr Impact on S1</t>
  </si>
  <si>
    <t>Holy Rood</t>
  </si>
  <si>
    <t>St Augustine's</t>
  </si>
  <si>
    <t>St Thomas fo Aquin's</t>
  </si>
  <si>
    <t>Table 1: Leith Academy Actual ND Catchment Population by Year Group</t>
  </si>
  <si>
    <t>Table 3: Leith Academy Actual Roll by Year Group</t>
  </si>
  <si>
    <t>Table 4: Leith Academy Projected Roll by Year Group</t>
  </si>
  <si>
    <t>Table 1: Liberton High School Actual ND Catchment Population by Year Group</t>
  </si>
  <si>
    <t>Table 2: Liberton High School Projected ND Catchment Population by Year Group</t>
  </si>
  <si>
    <t>Table 2: Leith Academy Projected ND Catchment Population by Year Group</t>
  </si>
  <si>
    <t>Table 1: Portobello High School Actual ND Catchment Population by Year Group</t>
  </si>
  <si>
    <t>Table 3: Portobello High School Actual Roll by Year Group</t>
  </si>
  <si>
    <t>Table 2: Portobello High School Projected ND Catchment Population by Year Group</t>
  </si>
  <si>
    <t>Table 4: Portobello High School Projected Roll by Year Group</t>
  </si>
  <si>
    <t>Table 1: St Augustine's RC High School Actual RC Catchment Population by Year Group</t>
  </si>
  <si>
    <t>Table 3: St Augustine's RC High School Actual Roll by Year Group</t>
  </si>
  <si>
    <t>Table 2: St Augustine's RC High School Projected RC Catchment Population by Year Group</t>
  </si>
  <si>
    <t>Table 4: St Augustine's High School Projected Roll by Year Group</t>
  </si>
  <si>
    <t>Table 1: St Thomas of Aquin's RC High School Actual RC Catchment Population by Year Group</t>
  </si>
  <si>
    <t>Table 3: St Thomas of Aquin's RC High School Actual Roll by Year Group</t>
  </si>
  <si>
    <t>Table 2: St Thomas of Aquin's RC High School Projected RC Catchment Population by Year Group</t>
  </si>
  <si>
    <t>Table 4: St Thomas of Aquin's High School Projected Roll by Year Group</t>
  </si>
  <si>
    <t>Table 1: The Royal High School Actual ND Catchment Population by Year Group</t>
  </si>
  <si>
    <t>Table 3: The Royal High School Actual Roll by Year Group</t>
  </si>
  <si>
    <t>Table 2: The Royal High School Projected ND Catchment Population by Year Group</t>
  </si>
  <si>
    <t>Table 4: The Royal High School Projected Roll by Year Group</t>
  </si>
  <si>
    <t>Table 1: Trinity Academy Actual ND Catchment Population by Year Group</t>
  </si>
  <si>
    <t>Table 3: Trinity Academy Actual Roll by Year Group</t>
  </si>
  <si>
    <t>Table 2: Trinity Academy Projected ND Catchment Population by Year Group</t>
  </si>
  <si>
    <t>Table 4: Trinity Academy Projected Roll by Year Group</t>
  </si>
  <si>
    <t>Table 1: Tynecastle High School Actual ND Catchment Population by Year Group</t>
  </si>
  <si>
    <t>Table 3: Tynecastle High School Actual Roll by Year Group</t>
  </si>
  <si>
    <t>Table 2: Tynecastle High School Projected ND Catchment Population by Year Group</t>
  </si>
  <si>
    <t>Table 4: Tynecastle High School Projected Roll by Year Group</t>
  </si>
  <si>
    <t>Table 1: Wester Hailes Education Centre Actual ND Catchment Population by Year Group</t>
  </si>
  <si>
    <t>Table 3: Wester Hailes Education Centre Actual Roll by Year Group</t>
  </si>
  <si>
    <t>Table 2: Wester Hailes Education Centre Projected ND Catchment Population by Year Group</t>
  </si>
  <si>
    <t>Table 4: Wester Hailes Education Centre Projected Roll by Year Group</t>
  </si>
  <si>
    <t>S1 Intake</t>
  </si>
  <si>
    <t>Total Roll</t>
  </si>
  <si>
    <t>Firrhill High School</t>
  </si>
  <si>
    <t>TOTAL</t>
  </si>
  <si>
    <t xml:space="preserve"> - No significant change in patterns of attendance to RC sector</t>
  </si>
  <si>
    <t xml:space="preserve"> - Different to DD projections by maximum of 14 S1 pupils (catchment retained) in 2022 however, DD projections excluded intake limit and non-catchment.</t>
  </si>
  <si>
    <t>Table 6: S1 Pupils attending Balerno High from Kirknewton</t>
  </si>
  <si>
    <t>3yr Avg</t>
  </si>
  <si>
    <t xml:space="preserve"> - Kirknewton pupil numbers to be completed/updated.</t>
  </si>
  <si>
    <t xml:space="preserve"> *(estimate from Aug 14 Registrations)</t>
  </si>
  <si>
    <t xml:space="preserve"> - Balerno High School's catchment area includes Kirknewton (West Lothian Council) for which catchment analysis is not currently available.</t>
  </si>
  <si>
    <t xml:space="preserve"> - Table 6 provides details of pupils attending S1 from Kirknewton.  The 3yr average is added to the Catchment pupils retained.</t>
  </si>
  <si>
    <t xml:space="preserve"> - Non-catchment figures have been adjusted by the figures in Table 6 otherwise Kirknewton pupils will be included as non-catchment</t>
  </si>
  <si>
    <t xml:space="preserve"> - No obvious upward trend in retention rate.  2015 retention rate may be spike.  Accordingly, projection assumes 3yr average until analysis of 2016 intake and catchment population possible.</t>
  </si>
  <si>
    <t xml:space="preserve"> - No. of pupils attending RC sector has reduced annually, however, impact is small due to low numbers.</t>
  </si>
  <si>
    <t>5yr Median</t>
  </si>
  <si>
    <t xml:space="preserve"> - S1 registrations for 2016 suggest that the projection is significantly lower than actual.  This appears to be attributable to a high retention rate. </t>
  </si>
  <si>
    <t>Max</t>
  </si>
  <si>
    <t xml:space="preserve"> - Maximum previous retention rate applied (60.6%) but analysis of 2016 intake may result in projections increasing further than shown.</t>
  </si>
  <si>
    <t xml:space="preserve"> - Current registrations support projection.  Catchment growth appears manageable (even at 100% retention) and there is not yet evidence of changing patterns of catchment retention.</t>
  </si>
  <si>
    <t xml:space="preserve"> - Retention rate and RC attendance rates have remained reasonably constant and 2016 registrations support projections. </t>
  </si>
  <si>
    <t xml:space="preserve"> - 2014 dip in the retention rate coincided with higher percentage attending RC.  Given growth forecast in P1, higher 2015 retention rate is assumed. </t>
  </si>
  <si>
    <t xml:space="preserve"> - Higher retention rate means projection more closely matches intake suggested by 2016 registrations.</t>
  </si>
  <si>
    <t>Table 1: Queensferry High School Actual ND Catchment Population by Year Group</t>
  </si>
  <si>
    <t>Table 3: Queensferry High School Actual Roll by Year Group</t>
  </si>
  <si>
    <t>Table 2: Queensferry High School Projected ND Catchment Population by Year Group</t>
  </si>
  <si>
    <t>Table 4: Queensferry High School Projected Roll by Year Group</t>
  </si>
  <si>
    <t xml:space="preserve"> - Projection supported by registrations for August 2016.  Accordingly retention rate unchanged - DD projections retention rate increases to 95%</t>
  </si>
  <si>
    <t>Capacity updated from 1,150 to 1,300 (23 May 2016)</t>
  </si>
  <si>
    <t xml:space="preserve"> - 17/08/16 Retention rate adjusted to 5yr Median to overcome 2013 rate which drags 3yr average down to 29.9%.</t>
  </si>
  <si>
    <t xml:space="preserve"> - 17/08/16 Registrations for 2016 suggest that retention rate may rise however this remains to be confirmed.</t>
  </si>
  <si>
    <t xml:space="preserve">All Schools Catchment Projection by Stage </t>
  </si>
  <si>
    <t xml:space="preserve">All Schools Roll Projection by Stage </t>
  </si>
  <si>
    <t>BALERNO</t>
  </si>
  <si>
    <t>BOROUGHMUIR</t>
  </si>
  <si>
    <t>BROUGHTON</t>
  </si>
  <si>
    <t>CASTLEBRAE</t>
  </si>
  <si>
    <t>CRAIGMOUNT</t>
  </si>
  <si>
    <t>CRAIGROYSTON</t>
  </si>
  <si>
    <t>CURRIE</t>
  </si>
  <si>
    <t>DRUMMOND</t>
  </si>
  <si>
    <t>FIRRHILL</t>
  </si>
  <si>
    <t>FORRESTER</t>
  </si>
  <si>
    <t>GRACEMOUNT</t>
  </si>
  <si>
    <t>HOLYROOD</t>
  </si>
  <si>
    <t>JAMES GILLESPIES</t>
  </si>
  <si>
    <t>LEITH</t>
  </si>
  <si>
    <t>LIBERTON</t>
  </si>
  <si>
    <t>PORTOBELLO</t>
  </si>
  <si>
    <t>QUEENSFERRY</t>
  </si>
  <si>
    <t>ST AUGUSTINES</t>
  </si>
  <si>
    <t>ST THOMAS OF AQUIN'S</t>
  </si>
  <si>
    <t>THE ROYAL HIGH</t>
  </si>
  <si>
    <t>TRINITY</t>
  </si>
  <si>
    <t>TYNECASTLE</t>
  </si>
  <si>
    <t>WESTER HAILES</t>
  </si>
  <si>
    <t>Capacity</t>
  </si>
  <si>
    <t>% Catchment ND captured at peak (from 2002)</t>
  </si>
  <si>
    <t xml:space="preserve"> - 25/08/16: Historic capture peak of 69.1% (2007) assumed </t>
  </si>
  <si>
    <t>Completions</t>
  </si>
  <si>
    <t>26/27</t>
  </si>
  <si>
    <t>27/28</t>
  </si>
  <si>
    <t>28/29</t>
  </si>
  <si>
    <t>29/30</t>
  </si>
  <si>
    <t>30/31</t>
  </si>
  <si>
    <t>31/32</t>
  </si>
  <si>
    <t>32/33</t>
  </si>
  <si>
    <t>Expected registrations</t>
  </si>
  <si>
    <t>5yr Median Drop-off Rates</t>
  </si>
  <si>
    <t xml:space="preserve"> - 01/09/16 Drop off rates changed to 5yr Median as 3yr average skewing figures</t>
  </si>
  <si>
    <t xml:space="preserve"> - 02/09/16 Retention rate adjusted so that peak (previous high from 2002) is applied at completion of development (2026) and this is reached incrementally.</t>
  </si>
  <si>
    <t xml:space="preserve"> - 02/09/16 Retention rate adjusted so that assumed rate of 95% is applied at completion of development and this is reached incrementally.</t>
  </si>
  <si>
    <t>Table 4: Liberton High School Actual Roll by Year Group</t>
  </si>
  <si>
    <t>Table 5: Liberton High School Projected Roll by Year Group</t>
  </si>
  <si>
    <t>Table 4: Holy Rood RC High School Projected Roll by Year Group</t>
  </si>
  <si>
    <t>Table 2: James Gillespie's High School Projected ND Catchment Population by Year Group</t>
  </si>
  <si>
    <t>Table 2: Leith Academy High School Projected RC Catchment Population by Year Group</t>
  </si>
  <si>
    <t>Table 2: Tynecsatle High School Projected ND Catchment Population by Year Group</t>
  </si>
  <si>
    <t>09/09/16 - Highest retention rate of 89.8% (2006) assumed.</t>
  </si>
  <si>
    <t>09/09/2016 - Retention rate increase to 91.9% (highest recorded rate 2003) assumed</t>
  </si>
  <si>
    <t>09/09/2016 - Retention rate increase to 94.7% (highest recorded rate 2012) assumed</t>
  </si>
  <si>
    <t>09/09/2016 - Retention rate increase to 71.7% (highest recorded rate 2002) assumed</t>
  </si>
  <si>
    <t xml:space="preserve"> - Projection may be overstated as a) birth rate on which P1 projections based will already include development growth and b) NRS projections on which P1 projections based (from 2020) show growth when actual data shows citywide drop.</t>
  </si>
  <si>
    <t>Projected Secondary Roll</t>
  </si>
  <si>
    <t>Actual Secondary Roll</t>
  </si>
  <si>
    <t>Secondary Estate Capacity</t>
  </si>
  <si>
    <t>NRS Projected City 12-17 Yrs Population (2014 based)</t>
  </si>
  <si>
    <t>33/34</t>
  </si>
  <si>
    <t>Catchment and Roll Projections, Produced 09 September 2016</t>
  </si>
  <si>
    <t>S1 Denominational Catchment Pupils</t>
  </si>
  <si>
    <t>S1 Denominational Catchment Retained</t>
  </si>
  <si>
    <t>GME Pupils</t>
  </si>
  <si>
    <t>*GME Figures not included in P1 projections</t>
  </si>
  <si>
    <t>Beyond 2034</t>
  </si>
  <si>
    <t>34/35</t>
  </si>
  <si>
    <t>• November 2018 - Retention rate adjusted so that peak 83.2% (previous high from 2002) is applied at completion of development (2026) and this is reached incrementally.</t>
  </si>
  <si>
    <t xml:space="preserve"> - • November 2018 - The current projections use a 3 year average capture rate.  However, the % of S1 pupils captured by the school from the available population has increased in each of the past 3 years and in 2018 it was 55%.  By comparison Forrester HS and Liberton HS have 3 year average capture rates of 69% and 63% respectively.  For the purposes of this projection we have assumed that Castlebrae’s increase in the % of S1 pupils captured would increase incrementally over the life of the projection to match that of Forrester (69%).
• November 2018 - At primary level approximately 23% of primary pupils living in Castlebrae’s catchment are in the RC sector.  This jumps to 54% when we get to secondary.  we believe this switch manifests itself in our projections through a drop in the number of ND pupils in the P7 one year and the S1 the next.  The drop off rate between P7 and S1 in the Castlebrae catchment is currently 45% - a huge number.  The next closest is WHEC which has a 13.7% drop between P7 and S1.  Accordingly, to reflect a continuing trend of people looking for placements in the RC sector beyond the city average, but acknowledging that RC schools will reach saturation point, we have artificially reduced the P7-S1 drop off to 15%.
</t>
  </si>
  <si>
    <t>BOROUGH</t>
  </si>
  <si>
    <t>BROUGHT</t>
  </si>
  <si>
    <t>CASTLEB</t>
  </si>
  <si>
    <t>CMOUNT</t>
  </si>
  <si>
    <t>CROYSTON</t>
  </si>
  <si>
    <t>DRUMM</t>
  </si>
  <si>
    <t>FIRRH</t>
  </si>
  <si>
    <t>FORRES</t>
  </si>
  <si>
    <t>GRACEM</t>
  </si>
  <si>
    <t>JAMESG</t>
  </si>
  <si>
    <t>School 
Sheet names
Excluding not includedon other data set</t>
  </si>
  <si>
    <t>LEITH_A</t>
  </si>
  <si>
    <t>LIBERT</t>
  </si>
  <si>
    <t>PORTOB</t>
  </si>
  <si>
    <t>QUEENSF</t>
  </si>
  <si>
    <t>THE_ROYAL</t>
  </si>
  <si>
    <t>TYNECA</t>
  </si>
  <si>
    <t>WHEC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</si>
</sst>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0.0%"/>
    <numFmt numFmtId="165" formatCode="[$-809]dd\ mmmm\ yyyy;@"/>
  </numFmts>
  <fonts count="46" x14ac:knownFonts="1">
    <font>
      <sz val="11"/>
      <color theme="1"/>
      <name val="Calibri"/>
      <family val="2"/>
      <scheme val="minor"/>
    </font>
    <font>
      <sz val="10"/>
      <color theme="1"/>
      <name val="Arial"/>
      <family val="2"/>
    </font>
    <font>
      <sz val="11"/>
      <color theme="1"/>
      <name val="Calibri"/>
      <family val="2"/>
      <scheme val="minor"/>
    </font>
    <font>
      <sz val="10"/>
      <name val="Arial"/>
      <family val="2"/>
    </font>
    <font>
      <sz val="10"/>
      <name val="Arial"/>
      <family val="2"/>
    </font>
    <font>
      <b/>
      <sz val="10"/>
      <name val="Arial"/>
      <family val="2"/>
    </font>
    <font>
      <sz val="10"/>
      <color rgb="FFFF0000"/>
      <name val="Arial"/>
      <family val="2"/>
    </font>
    <font>
      <b/>
      <sz val="10"/>
      <color rgb="FFFF0000"/>
      <name val="Arial"/>
      <family val="2"/>
    </font>
    <font>
      <sz val="10"/>
      <color theme="1"/>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0"/>
      <color indexed="10"/>
      <name val="Arial"/>
      <family val="2"/>
    </font>
    <font>
      <b/>
      <sz val="10"/>
      <color theme="1"/>
      <name val="Arial"/>
      <family val="2"/>
    </font>
    <font>
      <b/>
      <sz val="10"/>
      <color theme="0"/>
      <name val="Arial"/>
      <family val="2"/>
    </font>
    <font>
      <b/>
      <sz val="11"/>
      <name val="Calibri"/>
      <family val="2"/>
      <scheme val="minor"/>
    </font>
    <font>
      <sz val="11"/>
      <name val="Calibri"/>
      <family val="2"/>
    </font>
    <font>
      <sz val="10"/>
      <color theme="0"/>
      <name val="Arial"/>
      <family val="2"/>
    </font>
    <font>
      <sz val="10"/>
      <color rgb="FF9C0006"/>
      <name val="Arial"/>
      <family val="2"/>
    </font>
    <font>
      <b/>
      <sz val="10"/>
      <color rgb="FFFA7D0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4"/>
      <color theme="1"/>
      <name val="Calibri"/>
      <family val="2"/>
      <scheme val="minor"/>
    </font>
    <font>
      <b/>
      <sz val="12"/>
      <color theme="1"/>
      <name val="Calibri"/>
      <family val="2"/>
      <scheme val="minor"/>
    </font>
    <font>
      <b/>
      <sz val="11"/>
      <color rgb="FFFF0000"/>
      <name val="Calibri"/>
      <family val="2"/>
      <scheme val="minor"/>
    </font>
    <font>
      <i/>
      <sz val="11"/>
      <color theme="1"/>
      <name val="Calibri"/>
      <family val="2"/>
      <scheme val="minor"/>
    </font>
    <font>
      <b/>
      <i/>
      <sz val="11"/>
      <color theme="1"/>
      <name val="Calibri"/>
      <family val="2"/>
      <scheme val="minor"/>
    </font>
    <font>
      <u/>
      <sz val="11"/>
      <color theme="10"/>
      <name val="Calibri"/>
      <family val="2"/>
    </font>
    <font>
      <sz val="12"/>
      <color theme="1"/>
      <name val="Calibri"/>
      <family val="2"/>
      <scheme val="minor"/>
    </font>
    <font>
      <sz val="10"/>
      <color theme="1"/>
      <name val="Calibri"/>
      <family val="2"/>
      <scheme val="minor"/>
    </font>
    <font>
      <sz val="10"/>
      <name val="Arial"/>
      <family val="2"/>
    </font>
    <font>
      <sz val="10"/>
      <color indexed="8"/>
      <name val="Arial"/>
      <family val="2"/>
    </font>
    <font>
      <b/>
      <sz val="10"/>
      <color indexed="10"/>
      <name val="Arial"/>
      <family val="2"/>
    </font>
    <font>
      <b/>
      <sz val="10"/>
      <color indexed="8"/>
      <name val="Arial"/>
      <family val="2"/>
    </font>
    <font>
      <sz val="10"/>
      <name val="Arial"/>
      <family val="2"/>
    </font>
    <font>
      <u/>
      <sz val="8"/>
      <color indexed="12"/>
      <name val="Arial"/>
      <family val="2"/>
    </font>
    <font>
      <sz val="11"/>
      <color indexed="8"/>
      <name val="Calibri"/>
      <family val="2"/>
    </font>
    <font>
      <b/>
      <sz val="8"/>
      <color theme="1"/>
      <name val="Calibri"/>
      <family val="2"/>
      <scheme val="minor"/>
    </font>
    <font>
      <sz val="11"/>
      <name val="Calibri"/>
      <family val="2"/>
      <scheme val="minor"/>
    </font>
  </fonts>
  <fills count="68">
    <fill>
      <patternFill patternType="none"/>
    </fill>
    <fill>
      <patternFill patternType="gray125"/>
    </fill>
    <fill>
      <patternFill patternType="solid">
        <fgColor theme="9" tint="0.59999389629810485"/>
        <bgColor indexed="64"/>
      </patternFill>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theme="0"/>
        <bgColor indexed="64"/>
      </patternFill>
    </fill>
    <fill>
      <patternFill patternType="solid">
        <fgColor theme="8" tint="0.39997558519241921"/>
        <bgColor indexed="64"/>
      </patternFill>
    </fill>
    <fill>
      <patternFill patternType="solid">
        <fgColor theme="1"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8" tint="0.79998168889431442"/>
        <bgColor indexed="64"/>
      </patternFill>
    </fill>
    <fill>
      <patternFill patternType="solid">
        <fgColor rgb="FFD8D8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indexed="22"/>
        <bgColor indexed="0"/>
      </patternFill>
    </fill>
    <fill>
      <patternFill patternType="solid">
        <fgColor theme="3" tint="0.79998168889431442"/>
        <bgColor indexed="64"/>
      </patternFill>
    </fill>
    <fill>
      <patternFill patternType="solid">
        <fgColor indexed="4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6"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thin">
        <color indexed="64"/>
      </bottom>
      <diagonal/>
    </border>
    <border>
      <left style="medium">
        <color rgb="FFFF0000"/>
      </left>
      <right style="medium">
        <color rgb="FFFF0000"/>
      </right>
      <top style="thin">
        <color indexed="64"/>
      </top>
      <bottom style="medium">
        <color rgb="FFFF0000"/>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rgb="FFFF0000"/>
      </left>
      <right/>
      <top style="thin">
        <color indexed="64"/>
      </top>
      <bottom style="thin">
        <color indexed="64"/>
      </bottom>
      <diagonal/>
    </border>
    <border>
      <left style="medium">
        <color rgb="FFFF0000"/>
      </left>
      <right/>
      <top style="thin">
        <color indexed="64"/>
      </top>
      <bottom style="medium">
        <color rgb="FFFF0000"/>
      </bottom>
      <diagonal/>
    </border>
    <border>
      <left style="medium">
        <color rgb="FFFF0000"/>
      </left>
      <right style="medium">
        <color rgb="FFFF0000"/>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medium">
        <color rgb="FFFF0000"/>
      </left>
      <right style="medium">
        <color rgb="FFFF0000"/>
      </right>
      <top style="thin">
        <color theme="1"/>
      </top>
      <bottom style="thin">
        <color theme="1"/>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rgb="FFFF0000"/>
      </left>
      <right style="medium">
        <color rgb="FFFF0000"/>
      </right>
      <top style="thin">
        <color indexed="64"/>
      </top>
      <bottom/>
      <diagonal/>
    </border>
    <border>
      <left/>
      <right/>
      <top/>
      <bottom style="thin">
        <color theme="1"/>
      </bottom>
      <diagonal/>
    </border>
    <border>
      <left/>
      <right style="medium">
        <color rgb="FFFF0000"/>
      </right>
      <top style="thin">
        <color indexed="64"/>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right style="medium">
        <color rgb="FFFF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top style="thin">
        <color indexed="64"/>
      </top>
      <bottom/>
      <diagonal/>
    </border>
    <border>
      <left/>
      <right style="thin">
        <color indexed="64"/>
      </right>
      <top style="thin">
        <color indexed="64"/>
      </top>
      <bottom/>
      <diagonal/>
    </border>
  </borders>
  <cellStyleXfs count="96">
    <xf numFmtId="0" fontId="0" fillId="0" borderId="0"/>
    <xf numFmtId="0" fontId="3" fillId="0" borderId="0"/>
    <xf numFmtId="44" fontId="2" fillId="0" borderId="0" applyFont="0" applyFill="0" applyBorder="0" applyAlignment="0" applyProtection="0"/>
    <xf numFmtId="0" fontId="4" fillId="0" borderId="0"/>
    <xf numFmtId="0" fontId="2" fillId="0" borderId="0"/>
    <xf numFmtId="0" fontId="4" fillId="0" borderId="0"/>
    <xf numFmtId="0" fontId="4" fillId="0" borderId="0"/>
    <xf numFmtId="0" fontId="4" fillId="0" borderId="0"/>
    <xf numFmtId="0" fontId="8" fillId="0" borderId="0"/>
    <xf numFmtId="0" fontId="2" fillId="0" borderId="0"/>
    <xf numFmtId="0" fontId="4" fillId="0" borderId="0"/>
    <xf numFmtId="0" fontId="4" fillId="0" borderId="0"/>
    <xf numFmtId="0" fontId="2" fillId="0" borderId="0"/>
    <xf numFmtId="0" fontId="8" fillId="0" borderId="0"/>
    <xf numFmtId="0" fontId="4" fillId="0" borderId="0"/>
    <xf numFmtId="0" fontId="4" fillId="0" borderId="0"/>
    <xf numFmtId="0" fontId="4" fillId="0" borderId="0"/>
    <xf numFmtId="0" fontId="8" fillId="0" borderId="0"/>
    <xf numFmtId="0" fontId="2" fillId="0" borderId="0"/>
    <xf numFmtId="0" fontId="2"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37" borderId="0" applyNumberFormat="0" applyBorder="0" applyAlignment="0" applyProtection="0"/>
    <xf numFmtId="0" fontId="8" fillId="41"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38" borderId="0" applyNumberFormat="0" applyBorder="0" applyAlignment="0" applyProtection="0"/>
    <xf numFmtId="0" fontId="8" fillId="42"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7" fillId="35" borderId="0" applyNumberFormat="0" applyBorder="0" applyAlignment="0" applyProtection="0"/>
    <xf numFmtId="0" fontId="17" fillId="39" borderId="0" applyNumberFormat="0" applyBorder="0" applyAlignment="0" applyProtection="0"/>
    <xf numFmtId="0" fontId="17" fillId="43"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36" borderId="0" applyNumberFormat="0" applyBorder="0" applyAlignment="0" applyProtection="0"/>
    <xf numFmtId="0" fontId="17" fillId="40" borderId="0" applyNumberFormat="0" applyBorder="0" applyAlignment="0" applyProtection="0"/>
    <xf numFmtId="0" fontId="18" fillId="14" borderId="0" applyNumberFormat="0" applyBorder="0" applyAlignment="0" applyProtection="0"/>
    <xf numFmtId="0" fontId="19" fillId="17" borderId="17" applyNumberFormat="0" applyAlignment="0" applyProtection="0"/>
    <xf numFmtId="0" fontId="14" fillId="18" borderId="20" applyNumberFormat="0" applyAlignment="0" applyProtection="0"/>
    <xf numFmtId="0" fontId="20" fillId="0" borderId="0" applyNumberFormat="0" applyFill="0" applyBorder="0" applyAlignment="0" applyProtection="0"/>
    <xf numFmtId="0" fontId="21" fillId="13" borderId="0" applyNumberFormat="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16" borderId="17" applyNumberFormat="0" applyAlignment="0" applyProtection="0"/>
    <xf numFmtId="0" fontId="26" fillId="0" borderId="19" applyNumberFormat="0" applyFill="0" applyAlignment="0" applyProtection="0"/>
    <xf numFmtId="0" fontId="27" fillId="15" borderId="0" applyNumberFormat="0" applyBorder="0" applyAlignment="0" applyProtection="0"/>
    <xf numFmtId="0" fontId="2" fillId="0" borderId="0"/>
    <xf numFmtId="0" fontId="4" fillId="0" borderId="0"/>
    <xf numFmtId="0" fontId="4" fillId="0" borderId="0"/>
    <xf numFmtId="0" fontId="4" fillId="0" borderId="0"/>
    <xf numFmtId="0" fontId="4" fillId="0" borderId="0"/>
    <xf numFmtId="0" fontId="4" fillId="0" borderId="0"/>
    <xf numFmtId="0" fontId="2" fillId="0" borderId="0"/>
    <xf numFmtId="3" fontId="4" fillId="0" borderId="0"/>
    <xf numFmtId="3" fontId="4" fillId="0" borderId="0"/>
    <xf numFmtId="0" fontId="8" fillId="19" borderId="21" applyNumberFormat="0" applyFont="0" applyAlignment="0" applyProtection="0"/>
    <xf numFmtId="0" fontId="28" fillId="17" borderId="18" applyNumberFormat="0" applyAlignment="0" applyProtection="0"/>
    <xf numFmtId="0" fontId="13" fillId="0" borderId="22" applyNumberFormat="0" applyFill="0" applyAlignment="0" applyProtection="0"/>
    <xf numFmtId="0" fontId="6" fillId="0" borderId="0" applyNumberFormat="0" applyFill="0" applyBorder="0" applyAlignment="0" applyProtection="0"/>
    <xf numFmtId="0" fontId="34" fillId="0" borderId="0" applyNumberFormat="0" applyFill="0" applyBorder="0" applyAlignment="0" applyProtection="0">
      <alignment vertical="top"/>
      <protection locked="0"/>
    </xf>
    <xf numFmtId="0" fontId="37" fillId="0" borderId="0"/>
    <xf numFmtId="0" fontId="3" fillId="0" borderId="0"/>
    <xf numFmtId="0" fontId="41" fillId="0" borderId="0"/>
    <xf numFmtId="0" fontId="42"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2" fillId="0" borderId="0"/>
    <xf numFmtId="0" fontId="2" fillId="0" borderId="0"/>
    <xf numFmtId="0" fontId="2" fillId="0" borderId="0"/>
    <xf numFmtId="0" fontId="38" fillId="0" borderId="0"/>
    <xf numFmtId="0" fontId="3" fillId="0" borderId="0"/>
    <xf numFmtId="0" fontId="2" fillId="0" borderId="0"/>
    <xf numFmtId="0" fontId="2" fillId="0" borderId="0"/>
    <xf numFmtId="0" fontId="1" fillId="0" borderId="0"/>
  </cellStyleXfs>
  <cellXfs count="428">
    <xf numFmtId="0" fontId="0" fillId="0" borderId="0" xfId="0"/>
    <xf numFmtId="0" fontId="3" fillId="0" borderId="0" xfId="1"/>
    <xf numFmtId="1" fontId="3" fillId="0" borderId="0" xfId="1" applyNumberFormat="1" applyAlignment="1">
      <alignment horizontal="center"/>
    </xf>
    <xf numFmtId="0" fontId="4" fillId="0" borderId="0" xfId="1" applyFont="1" applyAlignment="1">
      <alignment horizontal="center"/>
    </xf>
    <xf numFmtId="0" fontId="4" fillId="0" borderId="0" xfId="1" applyFont="1"/>
    <xf numFmtId="3" fontId="5" fillId="0" borderId="1" xfId="1" applyNumberFormat="1" applyFont="1" applyBorder="1" applyAlignment="1">
      <alignment horizontal="center"/>
    </xf>
    <xf numFmtId="0" fontId="5" fillId="0" borderId="1" xfId="1" applyFont="1" applyFill="1" applyBorder="1"/>
    <xf numFmtId="1" fontId="4" fillId="5" borderId="1" xfId="1" applyNumberFormat="1" applyFont="1" applyFill="1" applyBorder="1" applyAlignment="1">
      <alignment horizontal="center" vertical="top"/>
    </xf>
    <xf numFmtId="0" fontId="6" fillId="0" borderId="0" xfId="1" applyFont="1"/>
    <xf numFmtId="1" fontId="5" fillId="3" borderId="1" xfId="1" applyNumberFormat="1" applyFont="1" applyFill="1" applyBorder="1" applyAlignment="1">
      <alignment horizontal="center"/>
    </xf>
    <xf numFmtId="0" fontId="5" fillId="3" borderId="1" xfId="1" applyFont="1" applyFill="1" applyBorder="1"/>
    <xf numFmtId="0" fontId="5" fillId="3" borderId="1" xfId="1" applyFont="1" applyFill="1" applyBorder="1" applyAlignment="1">
      <alignment wrapText="1"/>
    </xf>
    <xf numFmtId="1" fontId="5" fillId="0" borderId="0" xfId="1" applyNumberFormat="1" applyFont="1" applyFill="1" applyBorder="1" applyAlignment="1">
      <alignment horizontal="left" vertical="top"/>
    </xf>
    <xf numFmtId="1" fontId="4" fillId="0" borderId="0" xfId="1" applyNumberFormat="1" applyFont="1" applyFill="1" applyBorder="1" applyAlignment="1">
      <alignment horizontal="left" vertical="top"/>
    </xf>
    <xf numFmtId="0" fontId="3" fillId="0" borderId="0" xfId="1" applyFill="1"/>
    <xf numFmtId="0" fontId="5" fillId="0" borderId="1" xfId="1" applyFont="1" applyFill="1" applyBorder="1" applyAlignment="1">
      <alignment horizontal="center"/>
    </xf>
    <xf numFmtId="0" fontId="4" fillId="0" borderId="7" xfId="1" applyFont="1" applyFill="1" applyBorder="1"/>
    <xf numFmtId="0" fontId="4" fillId="0" borderId="6" xfId="1" applyFont="1" applyFill="1" applyBorder="1"/>
    <xf numFmtId="1" fontId="6" fillId="5" borderId="1" xfId="1" applyNumberFormat="1" applyFont="1" applyFill="1" applyBorder="1" applyAlignment="1">
      <alignment horizontal="center" vertical="top"/>
    </xf>
    <xf numFmtId="0" fontId="8" fillId="2" borderId="1" xfId="0" applyFont="1" applyFill="1" applyBorder="1" applyAlignment="1">
      <alignment horizontal="center"/>
    </xf>
    <xf numFmtId="0" fontId="8" fillId="4" borderId="1" xfId="0" applyFont="1" applyFill="1" applyBorder="1" applyAlignment="1">
      <alignment horizontal="center"/>
    </xf>
    <xf numFmtId="0" fontId="11" fillId="0" borderId="0" xfId="0" applyFont="1"/>
    <xf numFmtId="0" fontId="13" fillId="6" borderId="1" xfId="0" applyFont="1" applyFill="1" applyBorder="1" applyAlignment="1">
      <alignment horizontal="center"/>
    </xf>
    <xf numFmtId="164" fontId="0" fillId="0" borderId="0" xfId="0" applyNumberFormat="1"/>
    <xf numFmtId="0" fontId="5" fillId="6" borderId="1" xfId="0" applyFont="1" applyFill="1" applyBorder="1" applyAlignment="1">
      <alignment horizontal="center"/>
    </xf>
    <xf numFmtId="0" fontId="13" fillId="10" borderId="1" xfId="0" applyFont="1" applyFill="1" applyBorder="1" applyAlignment="1">
      <alignment horizontal="center"/>
    </xf>
    <xf numFmtId="0" fontId="14" fillId="12" borderId="1" xfId="0" applyFont="1" applyFill="1" applyBorder="1" applyAlignment="1">
      <alignment horizontal="center"/>
    </xf>
    <xf numFmtId="0" fontId="8" fillId="0" borderId="1" xfId="0" applyFont="1" applyFill="1" applyBorder="1" applyAlignment="1">
      <alignment horizontal="center"/>
    </xf>
    <xf numFmtId="0" fontId="8" fillId="0" borderId="5" xfId="0" applyFont="1" applyFill="1" applyBorder="1" applyAlignment="1">
      <alignment horizontal="center"/>
    </xf>
    <xf numFmtId="0" fontId="8" fillId="0" borderId="13" xfId="0" applyFont="1" applyFill="1" applyBorder="1" applyAlignment="1">
      <alignment horizontal="center"/>
    </xf>
    <xf numFmtId="0" fontId="8" fillId="0" borderId="10" xfId="0" applyFont="1" applyFill="1" applyBorder="1" applyAlignment="1">
      <alignment horizontal="center"/>
    </xf>
    <xf numFmtId="0" fontId="8" fillId="0" borderId="11" xfId="0" applyFont="1" applyFill="1" applyBorder="1" applyAlignment="1">
      <alignment horizontal="center"/>
    </xf>
    <xf numFmtId="0" fontId="8" fillId="0" borderId="12" xfId="0" applyFont="1" applyFill="1" applyBorder="1" applyAlignment="1">
      <alignment horizontal="center"/>
    </xf>
    <xf numFmtId="0" fontId="8" fillId="0" borderId="4" xfId="0" applyFont="1" applyFill="1" applyBorder="1" applyAlignment="1">
      <alignment horizontal="center"/>
    </xf>
    <xf numFmtId="1" fontId="8" fillId="0" borderId="1" xfId="0" applyNumberFormat="1" applyFont="1" applyFill="1" applyBorder="1" applyAlignment="1">
      <alignment horizontal="center"/>
    </xf>
    <xf numFmtId="1" fontId="0" fillId="0" borderId="1" xfId="0" applyNumberFormat="1" applyBorder="1" applyAlignment="1">
      <alignment horizontal="center"/>
    </xf>
    <xf numFmtId="0" fontId="0" fillId="0" borderId="1" xfId="0" applyBorder="1" applyAlignment="1">
      <alignment horizontal="center"/>
    </xf>
    <xf numFmtId="1" fontId="8" fillId="4" borderId="1" xfId="0" applyNumberFormat="1" applyFont="1" applyFill="1" applyBorder="1" applyAlignment="1">
      <alignment horizontal="center"/>
    </xf>
    <xf numFmtId="1" fontId="0" fillId="4" borderId="1" xfId="0" applyNumberFormat="1" applyFill="1" applyBorder="1" applyAlignment="1">
      <alignment horizontal="center"/>
    </xf>
    <xf numFmtId="0" fontId="0" fillId="0" borderId="0" xfId="0" applyAlignment="1">
      <alignment horizontal="center"/>
    </xf>
    <xf numFmtId="164" fontId="10" fillId="0" borderId="1" xfId="0" applyNumberFormat="1" applyFont="1" applyBorder="1" applyAlignment="1">
      <alignment horizontal="center"/>
    </xf>
    <xf numFmtId="1" fontId="8" fillId="2" borderId="1" xfId="0" applyNumberFormat="1" applyFont="1" applyFill="1" applyBorder="1" applyAlignment="1">
      <alignment horizontal="center"/>
    </xf>
    <xf numFmtId="1" fontId="8" fillId="11" borderId="1" xfId="0" applyNumberFormat="1" applyFont="1" applyFill="1" applyBorder="1" applyAlignment="1">
      <alignment horizontal="center"/>
    </xf>
    <xf numFmtId="1" fontId="8" fillId="8" borderId="1" xfId="0" applyNumberFormat="1" applyFont="1" applyFill="1" applyBorder="1" applyAlignment="1">
      <alignment horizontal="center"/>
    </xf>
    <xf numFmtId="0" fontId="8" fillId="8" borderId="1" xfId="0" applyFont="1" applyFill="1" applyBorder="1" applyAlignment="1">
      <alignment horizontal="center"/>
    </xf>
    <xf numFmtId="0" fontId="8" fillId="11" borderId="1" xfId="0" applyFont="1" applyFill="1" applyBorder="1" applyAlignment="1">
      <alignment horizontal="center"/>
    </xf>
    <xf numFmtId="1" fontId="4" fillId="0" borderId="1" xfId="0" applyNumberFormat="1" applyFont="1" applyBorder="1" applyAlignment="1">
      <alignment horizontal="center"/>
    </xf>
    <xf numFmtId="0" fontId="6" fillId="0" borderId="1" xfId="0" applyFont="1" applyBorder="1" applyAlignment="1">
      <alignment horizontal="center"/>
    </xf>
    <xf numFmtId="0" fontId="0" fillId="0" borderId="0" xfId="0" applyBorder="1"/>
    <xf numFmtId="0" fontId="0" fillId="0" borderId="0" xfId="0" applyBorder="1" applyAlignment="1">
      <alignment horizontal="center" vertical="center" wrapText="1"/>
    </xf>
    <xf numFmtId="164" fontId="0" fillId="0" borderId="0" xfId="0" applyNumberFormat="1" applyBorder="1" applyAlignment="1">
      <alignment horizontal="center"/>
    </xf>
    <xf numFmtId="0" fontId="10" fillId="0" borderId="1" xfId="0" applyFont="1" applyBorder="1" applyAlignment="1">
      <alignment horizontal="center"/>
    </xf>
    <xf numFmtId="0" fontId="8" fillId="0" borderId="0" xfId="0" applyFont="1" applyAlignment="1">
      <alignment horizontal="center"/>
    </xf>
    <xf numFmtId="0" fontId="8" fillId="0" borderId="1" xfId="0" applyFont="1" applyBorder="1" applyAlignment="1">
      <alignment horizontal="center" vertical="center"/>
    </xf>
    <xf numFmtId="0" fontId="0" fillId="0" borderId="0" xfId="0" applyBorder="1" applyAlignment="1">
      <alignment horizontal="center"/>
    </xf>
    <xf numFmtId="0" fontId="11" fillId="0" borderId="0" xfId="0" applyFont="1" applyBorder="1" applyAlignment="1">
      <alignment horizontal="center" vertical="center" wrapText="1"/>
    </xf>
    <xf numFmtId="164" fontId="0" fillId="0" borderId="10" xfId="0" applyNumberFormat="1" applyBorder="1" applyAlignment="1">
      <alignment horizontal="center"/>
    </xf>
    <xf numFmtId="164" fontId="0" fillId="0" borderId="11" xfId="0" applyNumberFormat="1" applyBorder="1" applyAlignment="1">
      <alignment horizontal="center"/>
    </xf>
    <xf numFmtId="164" fontId="0" fillId="0" borderId="12" xfId="0" applyNumberFormat="1" applyBorder="1" applyAlignment="1">
      <alignment horizontal="center"/>
    </xf>
    <xf numFmtId="164" fontId="10" fillId="0" borderId="0" xfId="0" applyNumberFormat="1" applyFont="1" applyFill="1" applyBorder="1" applyAlignment="1">
      <alignment horizontal="center"/>
    </xf>
    <xf numFmtId="0" fontId="0" fillId="0" borderId="24" xfId="0" applyBorder="1" applyAlignment="1"/>
    <xf numFmtId="0" fontId="8" fillId="0" borderId="4" xfId="0" applyFont="1" applyBorder="1" applyAlignment="1">
      <alignment horizontal="center" vertical="center"/>
    </xf>
    <xf numFmtId="0" fontId="8" fillId="0" borderId="9" xfId="0" applyFont="1" applyBorder="1" applyAlignment="1">
      <alignment horizontal="center" vertical="center"/>
    </xf>
    <xf numFmtId="0" fontId="8" fillId="0" borderId="5"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11"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11" borderId="4" xfId="0" applyFont="1" applyFill="1" applyBorder="1" applyAlignment="1">
      <alignment horizontal="center" vertical="center"/>
    </xf>
    <xf numFmtId="0" fontId="8" fillId="8" borderId="4" xfId="0" applyFont="1" applyFill="1" applyBorder="1" applyAlignment="1">
      <alignment horizontal="center" vertical="center"/>
    </xf>
    <xf numFmtId="0" fontId="5" fillId="0" borderId="0" xfId="0" applyFont="1"/>
    <xf numFmtId="0" fontId="4" fillId="0" borderId="0" xfId="0" applyFont="1"/>
    <xf numFmtId="0" fontId="4" fillId="0" borderId="0" xfId="0" applyFont="1" applyAlignment="1">
      <alignment horizontal="center"/>
    </xf>
    <xf numFmtId="0" fontId="5" fillId="0" borderId="0" xfId="0" applyFont="1" applyAlignment="1">
      <alignment horizontal="center"/>
    </xf>
    <xf numFmtId="0" fontId="0" fillId="0" borderId="23" xfId="0" applyBorder="1" applyAlignment="1">
      <alignment horizontal="center"/>
    </xf>
    <xf numFmtId="0" fontId="16" fillId="0" borderId="26" xfId="0" applyFont="1" applyBorder="1"/>
    <xf numFmtId="0" fontId="0" fillId="0" borderId="26" xfId="0" applyBorder="1" applyAlignment="1">
      <alignment horizontal="center"/>
    </xf>
    <xf numFmtId="0" fontId="7" fillId="0" borderId="0" xfId="0" applyFont="1"/>
    <xf numFmtId="0" fontId="6" fillId="0" borderId="0" xfId="0" applyFont="1" applyAlignment="1">
      <alignment horizontal="center"/>
    </xf>
    <xf numFmtId="0" fontId="6" fillId="0" borderId="0" xfId="0" applyFont="1" applyBorder="1" applyAlignment="1">
      <alignment horizontal="center"/>
    </xf>
    <xf numFmtId="1" fontId="0" fillId="0" borderId="0" xfId="0" applyNumberFormat="1" applyAlignment="1">
      <alignment horizontal="center"/>
    </xf>
    <xf numFmtId="1" fontId="0" fillId="0" borderId="0" xfId="0" applyNumberFormat="1" applyBorder="1" applyAlignment="1">
      <alignment horizontal="center"/>
    </xf>
    <xf numFmtId="0" fontId="4" fillId="0" borderId="26" xfId="0" applyFont="1" applyBorder="1"/>
    <xf numFmtId="1" fontId="6" fillId="0" borderId="0" xfId="0" applyNumberFormat="1" applyFont="1" applyAlignment="1">
      <alignment horizontal="center"/>
    </xf>
    <xf numFmtId="1" fontId="4" fillId="0" borderId="0" xfId="0" applyNumberFormat="1" applyFont="1" applyAlignment="1">
      <alignment horizontal="center"/>
    </xf>
    <xf numFmtId="0" fontId="5" fillId="0" borderId="26" xfId="0" applyFont="1" applyBorder="1"/>
    <xf numFmtId="0" fontId="5" fillId="0" borderId="0" xfId="0" applyFont="1" applyFill="1" applyBorder="1"/>
    <xf numFmtId="0" fontId="5" fillId="0" borderId="1" xfId="0" applyFont="1" applyBorder="1"/>
    <xf numFmtId="0" fontId="5" fillId="0" borderId="1" xfId="0" applyFont="1" applyBorder="1" applyAlignment="1">
      <alignment horizontal="center"/>
    </xf>
    <xf numFmtId="0" fontId="7" fillId="0" borderId="1" xfId="0" applyFont="1" applyBorder="1"/>
    <xf numFmtId="1" fontId="6" fillId="0" borderId="1" xfId="0" applyNumberFormat="1" applyFont="1" applyBorder="1" applyAlignment="1">
      <alignment horizontal="center"/>
    </xf>
    <xf numFmtId="0" fontId="5" fillId="0" borderId="3" xfId="0" applyFont="1" applyFill="1" applyBorder="1"/>
    <xf numFmtId="1" fontId="5" fillId="44" borderId="1" xfId="0" applyNumberFormat="1" applyFont="1" applyFill="1" applyBorder="1" applyAlignment="1">
      <alignment horizontal="center"/>
    </xf>
    <xf numFmtId="0" fontId="6" fillId="0" borderId="1" xfId="0" applyFont="1" applyBorder="1" applyAlignment="1">
      <alignment horizontal="left"/>
    </xf>
    <xf numFmtId="0" fontId="4" fillId="0" borderId="0" xfId="0" applyFont="1" applyFill="1" applyBorder="1"/>
    <xf numFmtId="0" fontId="5" fillId="0" borderId="26" xfId="0" applyFont="1" applyFill="1" applyBorder="1"/>
    <xf numFmtId="1" fontId="0" fillId="0" borderId="26" xfId="0" applyNumberFormat="1" applyBorder="1" applyAlignment="1">
      <alignment horizontal="center"/>
    </xf>
    <xf numFmtId="1" fontId="8" fillId="7" borderId="1" xfId="0" applyNumberFormat="1" applyFont="1" applyFill="1" applyBorder="1" applyAlignment="1">
      <alignment horizontal="center"/>
    </xf>
    <xf numFmtId="3" fontId="0" fillId="0" borderId="1" xfId="0" applyNumberFormat="1" applyFont="1" applyBorder="1" applyAlignment="1">
      <alignment horizontal="center"/>
    </xf>
    <xf numFmtId="0" fontId="8" fillId="4" borderId="1" xfId="0" applyFont="1" applyFill="1" applyBorder="1" applyAlignment="1">
      <alignment horizontal="center" vertical="center"/>
    </xf>
    <xf numFmtId="0" fontId="29" fillId="0" borderId="0" xfId="0" applyFont="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center" vertical="center"/>
    </xf>
    <xf numFmtId="164" fontId="0" fillId="45" borderId="1" xfId="0" applyNumberFormat="1" applyFill="1" applyBorder="1" applyAlignment="1">
      <alignment horizontal="center"/>
    </xf>
    <xf numFmtId="0" fontId="0" fillId="0" borderId="0" xfId="0" applyAlignment="1">
      <alignment horizontal="left"/>
    </xf>
    <xf numFmtId="1" fontId="0" fillId="0" borderId="0" xfId="0" applyNumberFormat="1"/>
    <xf numFmtId="164" fontId="0" fillId="0" borderId="5" xfId="0" applyNumberFormat="1" applyBorder="1" applyAlignment="1">
      <alignment horizontal="center"/>
    </xf>
    <xf numFmtId="0" fontId="0" fillId="0" borderId="5" xfId="0" applyBorder="1" applyAlignment="1">
      <alignment horizontal="center"/>
    </xf>
    <xf numFmtId="0" fontId="8" fillId="0" borderId="29" xfId="0" applyFont="1" applyFill="1" applyBorder="1" applyAlignment="1">
      <alignment horizontal="center"/>
    </xf>
    <xf numFmtId="0" fontId="8" fillId="0" borderId="30" xfId="0" applyFont="1" applyFill="1" applyBorder="1" applyAlignment="1">
      <alignment horizont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13" xfId="0" applyFont="1" applyBorder="1" applyAlignment="1">
      <alignment horizontal="center" vertical="center"/>
    </xf>
    <xf numFmtId="0" fontId="11" fillId="0" borderId="24" xfId="0" applyFont="1" applyBorder="1" applyAlignment="1">
      <alignment horizontal="center" vertical="center" wrapText="1"/>
    </xf>
    <xf numFmtId="0" fontId="11" fillId="6" borderId="2" xfId="0" applyFont="1" applyFill="1" applyBorder="1" applyAlignment="1">
      <alignment horizontal="center"/>
    </xf>
    <xf numFmtId="0" fontId="15" fillId="6" borderId="2" xfId="0" applyFont="1" applyFill="1" applyBorder="1" applyAlignment="1">
      <alignment horizontal="center"/>
    </xf>
    <xf numFmtId="0" fontId="11" fillId="0" borderId="2" xfId="0" applyFont="1" applyBorder="1" applyAlignment="1">
      <alignment horizontal="center" vertical="center" wrapText="1"/>
    </xf>
    <xf numFmtId="0" fontId="9" fillId="9" borderId="2" xfId="0" applyFont="1" applyFill="1" applyBorder="1" applyAlignment="1">
      <alignment horizontal="center"/>
    </xf>
    <xf numFmtId="0" fontId="8" fillId="0" borderId="28" xfId="0" applyFont="1" applyBorder="1" applyAlignment="1">
      <alignment horizontal="center" vertical="center"/>
    </xf>
    <xf numFmtId="0" fontId="8" fillId="0" borderId="31" xfId="0" applyFont="1" applyBorder="1" applyAlignment="1">
      <alignment horizontal="center" vertical="center"/>
    </xf>
    <xf numFmtId="0" fontId="11" fillId="0" borderId="2" xfId="0" applyFont="1" applyBorder="1" applyAlignment="1">
      <alignment horizontal="center" vertical="center" wrapText="1"/>
    </xf>
    <xf numFmtId="0" fontId="8" fillId="0" borderId="4" xfId="0" applyFont="1" applyFill="1" applyBorder="1" applyAlignment="1">
      <alignment horizontal="center"/>
    </xf>
    <xf numFmtId="0" fontId="8" fillId="0" borderId="4" xfId="0" applyFont="1" applyFill="1" applyBorder="1" applyAlignment="1">
      <alignment horizontal="center"/>
    </xf>
    <xf numFmtId="0" fontId="11" fillId="0" borderId="2" xfId="0" applyFont="1" applyBorder="1" applyAlignment="1">
      <alignment horizontal="center" vertical="center" wrapText="1"/>
    </xf>
    <xf numFmtId="0" fontId="8" fillId="10" borderId="1" xfId="0" applyFont="1" applyFill="1" applyBorder="1" applyAlignment="1">
      <alignment horizontal="center"/>
    </xf>
    <xf numFmtId="0" fontId="30" fillId="0" borderId="0" xfId="0" applyFont="1"/>
    <xf numFmtId="0" fontId="11" fillId="0" borderId="0" xfId="0" applyFont="1" applyBorder="1" applyAlignment="1">
      <alignment horizontal="center"/>
    </xf>
    <xf numFmtId="0" fontId="0" fillId="0" borderId="0" xfId="0" applyBorder="1" applyAlignment="1"/>
    <xf numFmtId="0" fontId="11" fillId="0" borderId="0" xfId="0" applyFont="1" applyBorder="1" applyAlignment="1"/>
    <xf numFmtId="0" fontId="8" fillId="0" borderId="0" xfId="0" applyFont="1" applyFill="1" applyBorder="1" applyAlignment="1">
      <alignment horizontal="center"/>
    </xf>
    <xf numFmtId="0" fontId="0" fillId="0" borderId="1" xfId="0" applyBorder="1" applyAlignment="1">
      <alignment vertical="center"/>
    </xf>
    <xf numFmtId="0" fontId="5" fillId="6" borderId="1" xfId="0" applyFont="1" applyFill="1" applyBorder="1" applyAlignment="1">
      <alignment horizontal="center" vertical="center"/>
    </xf>
    <xf numFmtId="0" fontId="11" fillId="6" borderId="1" xfId="0" applyFont="1" applyFill="1" applyBorder="1" applyAlignment="1">
      <alignment vertical="center"/>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0" borderId="1" xfId="0" applyFont="1" applyBorder="1" applyAlignment="1">
      <alignment horizontal="center"/>
    </xf>
    <xf numFmtId="0" fontId="31" fillId="0" borderId="1" xfId="0" applyFont="1" applyBorder="1" applyAlignment="1">
      <alignment horizontal="center"/>
    </xf>
    <xf numFmtId="1" fontId="8" fillId="0" borderId="0" xfId="0" applyNumberFormat="1" applyFont="1" applyFill="1" applyBorder="1" applyAlignment="1">
      <alignment horizontal="center"/>
    </xf>
    <xf numFmtId="1" fontId="0" fillId="0" borderId="0" xfId="0" applyNumberFormat="1" applyFill="1" applyBorder="1" applyAlignment="1">
      <alignment horizontal="center"/>
    </xf>
    <xf numFmtId="0" fontId="3" fillId="0" borderId="0" xfId="0" applyFont="1" applyAlignment="1">
      <alignment horizontal="center"/>
    </xf>
    <xf numFmtId="0" fontId="5" fillId="46" borderId="0" xfId="0" applyFont="1" applyFill="1"/>
    <xf numFmtId="0" fontId="5" fillId="46" borderId="0" xfId="0" applyFont="1" applyFill="1" applyAlignment="1">
      <alignment horizontal="center"/>
    </xf>
    <xf numFmtId="0" fontId="7" fillId="46" borderId="0" xfId="0" applyFont="1" applyFill="1" applyAlignment="1">
      <alignment horizontal="center"/>
    </xf>
    <xf numFmtId="0" fontId="3" fillId="0" borderId="0" xfId="0" applyFont="1"/>
    <xf numFmtId="0" fontId="3" fillId="0" borderId="26" xfId="0" applyFont="1" applyBorder="1"/>
    <xf numFmtId="0" fontId="8" fillId="0" borderId="26" xfId="0" applyFont="1" applyBorder="1" applyAlignment="1">
      <alignment horizontal="center"/>
    </xf>
    <xf numFmtId="0" fontId="11" fillId="47" borderId="32" xfId="0" applyFont="1" applyFill="1" applyBorder="1" applyAlignment="1">
      <alignment vertical="center"/>
    </xf>
    <xf numFmtId="0" fontId="11" fillId="47" borderId="33" xfId="0" applyFont="1"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11" fillId="47" borderId="33" xfId="0" applyFont="1" applyFill="1" applyBorder="1" applyAlignment="1">
      <alignment horizontal="center" vertical="center" wrapText="1"/>
    </xf>
    <xf numFmtId="0" fontId="32" fillId="0" borderId="0" xfId="0" applyFont="1" applyAlignment="1">
      <alignment horizontal="center"/>
    </xf>
    <xf numFmtId="0" fontId="33" fillId="47" borderId="33" xfId="0" applyFont="1" applyFill="1" applyBorder="1" applyAlignment="1">
      <alignment horizontal="center" vertical="center"/>
    </xf>
    <xf numFmtId="0" fontId="32" fillId="0" borderId="35" xfId="0" applyFont="1" applyBorder="1" applyAlignment="1">
      <alignment horizontal="center" vertical="center"/>
    </xf>
    <xf numFmtId="0" fontId="32" fillId="0" borderId="38" xfId="0" applyFont="1" applyBorder="1" applyAlignment="1">
      <alignment horizontal="center" vertical="center"/>
    </xf>
    <xf numFmtId="1" fontId="0" fillId="0" borderId="35" xfId="0" applyNumberFormat="1" applyBorder="1" applyAlignment="1">
      <alignment horizontal="center" vertical="center"/>
    </xf>
    <xf numFmtId="1" fontId="0" fillId="0" borderId="36" xfId="0" applyNumberFormat="1" applyBorder="1" applyAlignment="1">
      <alignment horizontal="center" vertical="center"/>
    </xf>
    <xf numFmtId="1" fontId="0" fillId="0" borderId="38" xfId="0" applyNumberFormat="1" applyBorder="1" applyAlignment="1">
      <alignment horizontal="center" vertical="center"/>
    </xf>
    <xf numFmtId="1" fontId="0" fillId="0" borderId="39" xfId="0" applyNumberFormat="1" applyBorder="1" applyAlignment="1">
      <alignment horizontal="center" vertical="center"/>
    </xf>
    <xf numFmtId="0" fontId="32" fillId="0" borderId="5" xfId="0" applyFont="1" applyBorder="1" applyAlignment="1">
      <alignment horizontal="center" vertical="center"/>
    </xf>
    <xf numFmtId="0" fontId="0" fillId="0" borderId="5" xfId="0" applyBorder="1" applyAlignment="1">
      <alignment horizontal="center" vertical="center"/>
    </xf>
    <xf numFmtId="0" fontId="33" fillId="48" borderId="46" xfId="0" applyFont="1" applyFill="1" applyBorder="1" applyAlignment="1">
      <alignment horizontal="center" vertical="center"/>
    </xf>
    <xf numFmtId="3" fontId="11" fillId="48" borderId="48" xfId="0" applyNumberFormat="1" applyFont="1" applyFill="1" applyBorder="1" applyAlignment="1">
      <alignment horizontal="center" vertical="center"/>
    </xf>
    <xf numFmtId="0" fontId="33" fillId="48" borderId="38" xfId="0" applyFont="1" applyFill="1" applyBorder="1" applyAlignment="1">
      <alignment horizontal="center" vertical="center"/>
    </xf>
    <xf numFmtId="3" fontId="11" fillId="48" borderId="42" xfId="0" applyNumberFormat="1" applyFont="1" applyFill="1" applyBorder="1" applyAlignment="1">
      <alignment horizontal="center" vertical="center"/>
    </xf>
    <xf numFmtId="0" fontId="35" fillId="0" borderId="0" xfId="0" applyFont="1" applyBorder="1" applyAlignment="1">
      <alignment horizontal="center" vertical="center" wrapText="1"/>
    </xf>
    <xf numFmtId="0" fontId="35" fillId="0" borderId="0" xfId="0" applyFont="1" applyAlignment="1">
      <alignment horizontal="center"/>
    </xf>
    <xf numFmtId="0" fontId="31" fillId="0" borderId="2" xfId="0" applyFont="1" applyBorder="1" applyAlignment="1">
      <alignment horizontal="center"/>
    </xf>
    <xf numFmtId="0" fontId="36" fillId="0" borderId="0" xfId="0" applyFont="1" applyBorder="1" applyAlignment="1">
      <alignment horizontal="left"/>
    </xf>
    <xf numFmtId="0" fontId="0" fillId="0" borderId="0" xfId="0" applyFont="1"/>
    <xf numFmtId="0" fontId="10" fillId="0" borderId="0" xfId="0" applyFont="1"/>
    <xf numFmtId="164" fontId="0" fillId="0" borderId="49" xfId="0" applyNumberFormat="1" applyBorder="1" applyAlignment="1">
      <alignment horizontal="center"/>
    </xf>
    <xf numFmtId="0" fontId="0" fillId="0" borderId="0" xfId="0" applyAlignment="1">
      <alignment horizontal="right"/>
    </xf>
    <xf numFmtId="0" fontId="36" fillId="0" borderId="0" xfId="0" applyFont="1" applyAlignment="1">
      <alignment horizontal="left"/>
    </xf>
    <xf numFmtId="1" fontId="0" fillId="0" borderId="0" xfId="0" applyNumberFormat="1" applyBorder="1" applyAlignment="1"/>
    <xf numFmtId="1" fontId="11" fillId="0" borderId="0" xfId="0" applyNumberFormat="1" applyFont="1" applyBorder="1" applyAlignment="1">
      <alignment horizontal="center"/>
    </xf>
    <xf numFmtId="0" fontId="5" fillId="0" borderId="1" xfId="0" applyFont="1" applyFill="1" applyBorder="1" applyAlignment="1">
      <alignment horizontal="center"/>
    </xf>
    <xf numFmtId="3" fontId="0" fillId="0" borderId="1" xfId="0" applyNumberFormat="1" applyBorder="1" applyAlignment="1">
      <alignment horizontal="center"/>
    </xf>
    <xf numFmtId="3" fontId="5" fillId="0" borderId="1" xfId="0" applyNumberFormat="1" applyFont="1" applyBorder="1" applyAlignment="1">
      <alignment horizontal="center"/>
    </xf>
    <xf numFmtId="3" fontId="0" fillId="0" borderId="0" xfId="0" applyNumberFormat="1" applyAlignment="1">
      <alignment horizontal="center"/>
    </xf>
    <xf numFmtId="3" fontId="0" fillId="0" borderId="0" xfId="0" applyNumberFormat="1"/>
    <xf numFmtId="10" fontId="0" fillId="0" borderId="0" xfId="0" applyNumberFormat="1" applyAlignment="1">
      <alignment horizontal="center"/>
    </xf>
    <xf numFmtId="17" fontId="11" fillId="0" borderId="0" xfId="0" applyNumberFormat="1" applyFont="1" applyAlignment="1">
      <alignment horizontal="center"/>
    </xf>
    <xf numFmtId="0" fontId="11" fillId="0" borderId="0" xfId="0" applyFont="1" applyAlignment="1">
      <alignment horizontal="center"/>
    </xf>
    <xf numFmtId="17" fontId="11" fillId="0" borderId="0" xfId="0" applyNumberFormat="1" applyFont="1"/>
    <xf numFmtId="0" fontId="5" fillId="0" borderId="50" xfId="83" applyFont="1" applyFill="1" applyBorder="1" applyAlignment="1">
      <alignment horizontal="left"/>
    </xf>
    <xf numFmtId="0" fontId="5" fillId="0" borderId="51" xfId="83" applyFont="1" applyFill="1" applyBorder="1" applyAlignment="1">
      <alignment horizontal="center"/>
    </xf>
    <xf numFmtId="0" fontId="5" fillId="0" borderId="0" xfId="83" applyFont="1" applyFill="1"/>
    <xf numFmtId="0" fontId="5" fillId="0" borderId="52" xfId="83" applyFont="1" applyFill="1" applyBorder="1" applyAlignment="1">
      <alignment horizontal="left"/>
    </xf>
    <xf numFmtId="0" fontId="3" fillId="0" borderId="0" xfId="83" applyFont="1" applyFill="1" applyBorder="1" applyAlignment="1">
      <alignment horizontal="center"/>
    </xf>
    <xf numFmtId="0" fontId="38" fillId="0" borderId="0" xfId="83" applyFont="1" applyFill="1" applyBorder="1" applyAlignment="1">
      <alignment horizontal="center"/>
    </xf>
    <xf numFmtId="0" fontId="37" fillId="0" borderId="0" xfId="83" applyFill="1"/>
    <xf numFmtId="0" fontId="39" fillId="0" borderId="52" xfId="83" applyFont="1" applyFill="1" applyBorder="1" applyAlignment="1">
      <alignment horizontal="left"/>
    </xf>
    <xf numFmtId="0" fontId="12" fillId="0" borderId="0" xfId="83" applyFont="1" applyFill="1" applyBorder="1" applyAlignment="1">
      <alignment horizontal="center"/>
    </xf>
    <xf numFmtId="0" fontId="12" fillId="0" borderId="0" xfId="83" applyFont="1" applyFill="1"/>
    <xf numFmtId="0" fontId="37" fillId="0" borderId="0" xfId="83" applyFill="1" applyAlignment="1">
      <alignment horizontal="left"/>
    </xf>
    <xf numFmtId="0" fontId="3" fillId="0" borderId="0" xfId="83" applyFont="1" applyFill="1" applyAlignment="1">
      <alignment horizontal="right"/>
    </xf>
    <xf numFmtId="0" fontId="37" fillId="0" borderId="0" xfId="83" applyFill="1" applyAlignment="1">
      <alignment horizontal="center"/>
    </xf>
    <xf numFmtId="0" fontId="3" fillId="0" borderId="53" xfId="0" applyFont="1" applyBorder="1" applyAlignment="1">
      <alignment horizontal="center"/>
    </xf>
    <xf numFmtId="0" fontId="3" fillId="0" borderId="53" xfId="0" applyNumberFormat="1" applyFont="1" applyBorder="1" applyAlignment="1">
      <alignment horizontal="center"/>
    </xf>
    <xf numFmtId="0" fontId="3" fillId="0" borderId="53" xfId="83" applyFont="1" applyFill="1" applyBorder="1"/>
    <xf numFmtId="0" fontId="8" fillId="0" borderId="53" xfId="83" applyFont="1" applyBorder="1" applyAlignment="1">
      <alignment horizontal="center"/>
    </xf>
    <xf numFmtId="0" fontId="3" fillId="0" borderId="53" xfId="83" applyFont="1" applyFill="1" applyBorder="1" applyAlignment="1">
      <alignment horizontal="center"/>
    </xf>
    <xf numFmtId="0" fontId="3" fillId="0" borderId="0" xfId="0" applyFont="1" applyBorder="1" applyAlignment="1">
      <alignment horizontal="center"/>
    </xf>
    <xf numFmtId="0" fontId="3" fillId="0" borderId="0" xfId="0" applyNumberFormat="1" applyFont="1" applyBorder="1" applyAlignment="1">
      <alignment horizontal="center"/>
    </xf>
    <xf numFmtId="0" fontId="3" fillId="0" borderId="0" xfId="83" applyFont="1" applyFill="1" applyBorder="1"/>
    <xf numFmtId="0" fontId="8" fillId="0" borderId="0" xfId="83" applyFont="1" applyBorder="1" applyAlignment="1">
      <alignment horizontal="center"/>
    </xf>
    <xf numFmtId="0" fontId="38" fillId="0" borderId="0" xfId="83" applyFont="1" applyFill="1" applyBorder="1" applyAlignment="1">
      <alignment horizontal="left"/>
    </xf>
    <xf numFmtId="0" fontId="12" fillId="0" borderId="0" xfId="83" applyFont="1" applyFill="1" applyBorder="1"/>
    <xf numFmtId="0" fontId="5" fillId="0" borderId="54" xfId="83" applyFont="1" applyFill="1" applyBorder="1" applyAlignment="1">
      <alignment horizontal="left"/>
    </xf>
    <xf numFmtId="0" fontId="5" fillId="0" borderId="53" xfId="83" applyFont="1" applyFill="1" applyBorder="1" applyAlignment="1">
      <alignment horizontal="center"/>
    </xf>
    <xf numFmtId="0" fontId="40" fillId="0" borderId="53" xfId="83" applyFont="1" applyFill="1" applyBorder="1" applyAlignment="1">
      <alignment horizontal="center"/>
    </xf>
    <xf numFmtId="0" fontId="5" fillId="0" borderId="53" xfId="83" applyFont="1" applyFill="1" applyBorder="1"/>
    <xf numFmtId="9" fontId="3" fillId="0" borderId="0" xfId="83" applyNumberFormat="1" applyFont="1" applyFill="1" applyBorder="1" applyAlignment="1">
      <alignment horizontal="center"/>
    </xf>
    <xf numFmtId="0" fontId="3" fillId="0" borderId="0" xfId="84"/>
    <xf numFmtId="0" fontId="3" fillId="0" borderId="0" xfId="84" applyAlignment="1">
      <alignment horizontal="center"/>
    </xf>
    <xf numFmtId="0" fontId="5" fillId="0" borderId="0" xfId="84" applyFont="1"/>
    <xf numFmtId="0" fontId="5" fillId="49" borderId="1" xfId="84" applyFont="1" applyFill="1" applyBorder="1"/>
    <xf numFmtId="0" fontId="5" fillId="0" borderId="1" xfId="84" applyFont="1" applyBorder="1"/>
    <xf numFmtId="0" fontId="5" fillId="0" borderId="1" xfId="84" applyFont="1" applyBorder="1" applyAlignment="1">
      <alignment horizontal="center"/>
    </xf>
    <xf numFmtId="0" fontId="3" fillId="49" borderId="1" xfId="84" applyFill="1" applyBorder="1"/>
    <xf numFmtId="0" fontId="5" fillId="0" borderId="1" xfId="84" applyFont="1" applyFill="1" applyBorder="1"/>
    <xf numFmtId="0" fontId="3" fillId="0" borderId="1" xfId="84" applyBorder="1"/>
    <xf numFmtId="0" fontId="3" fillId="0" borderId="1" xfId="84" applyFill="1" applyBorder="1"/>
    <xf numFmtId="0" fontId="5" fillId="0" borderId="1" xfId="85" applyFont="1" applyBorder="1"/>
    <xf numFmtId="0" fontId="43" fillId="50" borderId="55" xfId="91" applyFont="1" applyFill="1" applyBorder="1" applyAlignment="1">
      <alignment horizontal="center"/>
    </xf>
    <xf numFmtId="0" fontId="43" fillId="51" borderId="56" xfId="91" applyFont="1" applyFill="1" applyBorder="1" applyAlignment="1"/>
    <xf numFmtId="1" fontId="43" fillId="51" borderId="56" xfId="91" applyNumberFormat="1" applyFont="1" applyFill="1" applyBorder="1" applyAlignment="1"/>
    <xf numFmtId="1" fontId="0" fillId="0" borderId="23" xfId="0" applyNumberFormat="1" applyBorder="1" applyAlignment="1">
      <alignment horizontal="center"/>
    </xf>
    <xf numFmtId="0" fontId="5" fillId="6" borderId="5" xfId="0" applyFont="1" applyFill="1" applyBorder="1" applyAlignment="1">
      <alignment horizontal="center"/>
    </xf>
    <xf numFmtId="0" fontId="5" fillId="0" borderId="1" xfId="1" applyFont="1" applyBorder="1"/>
    <xf numFmtId="0" fontId="7" fillId="0" borderId="1" xfId="1" applyFont="1" applyBorder="1"/>
    <xf numFmtId="0" fontId="5" fillId="4" borderId="1" xfId="1" applyFont="1" applyFill="1" applyBorder="1"/>
    <xf numFmtId="0" fontId="0" fillId="0" borderId="41" xfId="0" applyBorder="1" applyAlignment="1">
      <alignment horizontal="center" vertical="center"/>
    </xf>
    <xf numFmtId="0" fontId="0" fillId="0" borderId="28" xfId="0" applyBorder="1" applyAlignment="1">
      <alignment horizontal="center" vertical="center"/>
    </xf>
    <xf numFmtId="0" fontId="0" fillId="0" borderId="35" xfId="0" applyBorder="1" applyAlignment="1">
      <alignment horizontal="center" vertical="center"/>
    </xf>
    <xf numFmtId="0" fontId="0" fillId="0" borderId="38" xfId="0" applyBorder="1" applyAlignment="1">
      <alignment horizontal="center" vertical="center"/>
    </xf>
    <xf numFmtId="0" fontId="3" fillId="0" borderId="0" xfId="84" applyFont="1"/>
    <xf numFmtId="0" fontId="3" fillId="49" borderId="1" xfId="84" applyFont="1" applyFill="1" applyBorder="1"/>
    <xf numFmtId="0" fontId="3" fillId="0" borderId="24" xfId="84" applyBorder="1"/>
    <xf numFmtId="0" fontId="3" fillId="0" borderId="0" xfId="84" applyBorder="1"/>
    <xf numFmtId="0" fontId="5" fillId="0" borderId="0" xfId="84" applyFont="1" applyBorder="1"/>
    <xf numFmtId="0" fontId="5" fillId="0" borderId="24" xfId="84" applyFont="1" applyBorder="1"/>
    <xf numFmtId="0" fontId="0" fillId="0" borderId="40" xfId="0" applyBorder="1" applyAlignment="1">
      <alignment horizontal="center" vertical="center"/>
    </xf>
    <xf numFmtId="1" fontId="0" fillId="0" borderId="40" xfId="0" applyNumberFormat="1" applyBorder="1" applyAlignment="1">
      <alignment horizontal="center" vertical="center"/>
    </xf>
    <xf numFmtId="1" fontId="0" fillId="0" borderId="41" xfId="0" applyNumberFormat="1"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165" fontId="11" fillId="0" borderId="0" xfId="0" applyNumberFormat="1" applyFont="1" applyAlignment="1">
      <alignment horizontal="left"/>
    </xf>
    <xf numFmtId="0" fontId="13" fillId="0" borderId="24" xfId="0" applyFont="1" applyFill="1" applyBorder="1" applyAlignment="1">
      <alignment horizontal="center"/>
    </xf>
    <xf numFmtId="0" fontId="11" fillId="0" borderId="2" xfId="0" applyFont="1" applyBorder="1" applyAlignment="1">
      <alignment horizontal="center" vertical="center" wrapText="1"/>
    </xf>
    <xf numFmtId="0" fontId="13" fillId="10" borderId="5" xfId="0" applyFont="1" applyFill="1" applyBorder="1" applyAlignment="1">
      <alignment horizontal="center"/>
    </xf>
    <xf numFmtId="0" fontId="8" fillId="11" borderId="5" xfId="0" applyFont="1" applyFill="1" applyBorder="1" applyAlignment="1">
      <alignment horizontal="center"/>
    </xf>
    <xf numFmtId="0" fontId="8" fillId="8" borderId="5" xfId="0" applyFont="1" applyFill="1" applyBorder="1" applyAlignment="1">
      <alignment horizontal="center"/>
    </xf>
    <xf numFmtId="0" fontId="8" fillId="2" borderId="5" xfId="0" applyFont="1" applyFill="1" applyBorder="1" applyAlignment="1">
      <alignment horizontal="center"/>
    </xf>
    <xf numFmtId="0" fontId="8" fillId="2" borderId="28" xfId="0" applyFont="1" applyFill="1" applyBorder="1" applyAlignment="1">
      <alignment horizontal="center"/>
    </xf>
    <xf numFmtId="1" fontId="0" fillId="0" borderId="11" xfId="0" applyNumberFormat="1" applyBorder="1" applyAlignment="1">
      <alignment horizontal="center"/>
    </xf>
    <xf numFmtId="0" fontId="8" fillId="11" borderId="5" xfId="0" applyFont="1" applyFill="1" applyBorder="1" applyAlignment="1">
      <alignment horizontal="center" vertical="center"/>
    </xf>
    <xf numFmtId="0" fontId="8" fillId="8" borderId="5" xfId="0" applyFont="1" applyFill="1" applyBorder="1" applyAlignment="1">
      <alignment horizontal="center" vertical="center"/>
    </xf>
    <xf numFmtId="0" fontId="8" fillId="2" borderId="5" xfId="0" applyFont="1" applyFill="1" applyBorder="1" applyAlignment="1">
      <alignment horizontal="center" vertical="center"/>
    </xf>
    <xf numFmtId="0" fontId="8" fillId="11" borderId="28" xfId="0" applyFont="1" applyFill="1" applyBorder="1" applyAlignment="1">
      <alignment horizontal="center" vertical="center"/>
    </xf>
    <xf numFmtId="0" fontId="8" fillId="8" borderId="24" xfId="0" applyFont="1" applyFill="1" applyBorder="1" applyAlignment="1">
      <alignment horizontal="center" vertical="center"/>
    </xf>
    <xf numFmtId="0" fontId="8" fillId="0" borderId="59" xfId="0" applyFont="1" applyBorder="1" applyAlignment="1">
      <alignment horizontal="center" vertical="center"/>
    </xf>
    <xf numFmtId="0" fontId="8" fillId="11" borderId="24" xfId="0" applyFont="1" applyFill="1" applyBorder="1" applyAlignment="1">
      <alignment horizontal="center" vertical="center"/>
    </xf>
    <xf numFmtId="0" fontId="8" fillId="8" borderId="3" xfId="0" applyFont="1" applyFill="1" applyBorder="1" applyAlignment="1">
      <alignment horizontal="center" vertical="center"/>
    </xf>
    <xf numFmtId="0" fontId="8" fillId="0" borderId="61" xfId="0" applyFont="1" applyBorder="1" applyAlignment="1">
      <alignment horizontal="center" vertical="center"/>
    </xf>
    <xf numFmtId="0" fontId="8" fillId="8" borderId="4" xfId="0" applyFont="1" applyFill="1" applyBorder="1" applyAlignment="1">
      <alignment horizontal="center"/>
    </xf>
    <xf numFmtId="0" fontId="8" fillId="2" borderId="8" xfId="0" applyFont="1" applyFill="1" applyBorder="1" applyAlignment="1">
      <alignment horizontal="center"/>
    </xf>
    <xf numFmtId="0" fontId="8" fillId="2" borderId="1" xfId="0" applyNumberFormat="1" applyFont="1" applyFill="1" applyBorder="1" applyAlignment="1">
      <alignment horizontal="center"/>
    </xf>
    <xf numFmtId="0" fontId="14" fillId="12" borderId="5" xfId="0" applyFont="1" applyFill="1" applyBorder="1" applyAlignment="1">
      <alignment horizontal="center"/>
    </xf>
    <xf numFmtId="0" fontId="8" fillId="10" borderId="0" xfId="0" applyFont="1" applyFill="1" applyBorder="1" applyAlignment="1">
      <alignment horizontal="center"/>
    </xf>
    <xf numFmtId="0" fontId="0" fillId="0" borderId="2" xfId="0" applyBorder="1" applyAlignment="1">
      <alignment horizontal="center"/>
    </xf>
    <xf numFmtId="0" fontId="13" fillId="10" borderId="0" xfId="0" applyFont="1" applyFill="1" applyBorder="1" applyAlignment="1">
      <alignment horizontal="center"/>
    </xf>
    <xf numFmtId="0" fontId="10" fillId="0" borderId="0" xfId="0" applyFont="1" applyBorder="1" applyAlignment="1">
      <alignment horizontal="center"/>
    </xf>
    <xf numFmtId="0" fontId="8" fillId="2" borderId="4" xfId="0" applyFont="1" applyFill="1" applyBorder="1" applyAlignment="1">
      <alignment horizontal="center" vertical="center"/>
    </xf>
    <xf numFmtId="0" fontId="8" fillId="0" borderId="9" xfId="0" applyFont="1" applyFill="1" applyBorder="1" applyAlignment="1">
      <alignment horizontal="center" vertical="center"/>
    </xf>
    <xf numFmtId="0" fontId="8" fillId="8" borderId="12" xfId="0" applyFont="1" applyFill="1" applyBorder="1" applyAlignment="1">
      <alignment horizontal="center" vertical="center"/>
    </xf>
    <xf numFmtId="0" fontId="8" fillId="8" borderId="30" xfId="0" applyFont="1" applyFill="1" applyBorder="1" applyAlignment="1">
      <alignment horizontal="center" vertical="center"/>
    </xf>
    <xf numFmtId="0" fontId="8" fillId="11" borderId="8" xfId="0" applyFont="1" applyFill="1" applyBorder="1" applyAlignment="1">
      <alignment horizontal="center" vertical="center"/>
    </xf>
    <xf numFmtId="1" fontId="0" fillId="0" borderId="12" xfId="0" applyNumberFormat="1" applyBorder="1" applyAlignment="1">
      <alignment horizontal="center"/>
    </xf>
    <xf numFmtId="1" fontId="3" fillId="0" borderId="0" xfId="1" applyNumberFormat="1" applyFill="1" applyAlignment="1">
      <alignment horizontal="center"/>
    </xf>
    <xf numFmtId="0" fontId="5" fillId="52" borderId="62" xfId="92" applyFont="1" applyFill="1" applyBorder="1" applyAlignment="1">
      <alignment horizontal="center" vertical="center"/>
    </xf>
    <xf numFmtId="0" fontId="5" fillId="3" borderId="62" xfId="92" applyFont="1" applyFill="1" applyBorder="1" applyAlignment="1">
      <alignment horizontal="center" vertical="center"/>
    </xf>
    <xf numFmtId="0" fontId="2" fillId="0" borderId="0" xfId="93"/>
    <xf numFmtId="3" fontId="5" fillId="0" borderId="62" xfId="92" applyNumberFormat="1" applyFont="1" applyBorder="1" applyAlignment="1">
      <alignment horizontal="left"/>
    </xf>
    <xf numFmtId="3" fontId="5" fillId="2" borderId="62" xfId="92" applyNumberFormat="1" applyFont="1" applyFill="1" applyBorder="1" applyAlignment="1">
      <alignment horizontal="center"/>
    </xf>
    <xf numFmtId="3" fontId="5" fillId="0" borderId="62" xfId="92" applyNumberFormat="1" applyFont="1" applyBorder="1" applyAlignment="1">
      <alignment horizontal="center"/>
    </xf>
    <xf numFmtId="0" fontId="11" fillId="0" borderId="0" xfId="93" applyFont="1" applyAlignment="1">
      <alignment horizontal="left"/>
    </xf>
    <xf numFmtId="0" fontId="11" fillId="0" borderId="62" xfId="93" applyFont="1" applyBorder="1"/>
    <xf numFmtId="0" fontId="2" fillId="0" borderId="62" xfId="93" applyBorder="1"/>
    <xf numFmtId="3" fontId="11" fillId="0" borderId="62" xfId="93" applyNumberFormat="1" applyFont="1" applyBorder="1" applyAlignment="1">
      <alignment horizontal="center"/>
    </xf>
    <xf numFmtId="3" fontId="3" fillId="10" borderId="0" xfId="1" applyNumberFormat="1" applyFont="1" applyFill="1"/>
    <xf numFmtId="0" fontId="4" fillId="53" borderId="1" xfId="3" applyFont="1" applyFill="1" applyBorder="1"/>
    <xf numFmtId="0" fontId="8" fillId="53" borderId="1" xfId="0" applyFont="1" applyFill="1" applyBorder="1"/>
    <xf numFmtId="0" fontId="4" fillId="54" borderId="1" xfId="3" applyFont="1" applyFill="1" applyBorder="1"/>
    <xf numFmtId="0" fontId="4" fillId="51" borderId="1" xfId="3" applyFont="1" applyFill="1" applyBorder="1"/>
    <xf numFmtId="0" fontId="4" fillId="51" borderId="1" xfId="1" applyFont="1" applyFill="1" applyBorder="1"/>
    <xf numFmtId="0" fontId="4" fillId="44" borderId="1" xfId="3" applyFont="1" applyFill="1" applyBorder="1"/>
    <xf numFmtId="0" fontId="4" fillId="44" borderId="1" xfId="1" applyFont="1" applyFill="1" applyBorder="1"/>
    <xf numFmtId="0" fontId="4" fillId="55" borderId="1" xfId="3" applyFont="1" applyFill="1" applyBorder="1"/>
    <xf numFmtId="0" fontId="8" fillId="55" borderId="1" xfId="0" applyFont="1" applyFill="1" applyBorder="1"/>
    <xf numFmtId="0" fontId="4" fillId="56" borderId="1" xfId="3" applyFont="1" applyFill="1" applyBorder="1"/>
    <xf numFmtId="0" fontId="4" fillId="56" borderId="1" xfId="1" applyFont="1" applyFill="1" applyBorder="1"/>
    <xf numFmtId="0" fontId="4" fillId="45" borderId="1" xfId="3" applyFont="1" applyFill="1" applyBorder="1"/>
    <xf numFmtId="0" fontId="4" fillId="45" borderId="1" xfId="1" applyFont="1" applyFill="1" applyBorder="1"/>
    <xf numFmtId="0" fontId="4" fillId="7" borderId="1" xfId="3" applyFont="1" applyFill="1" applyBorder="1"/>
    <xf numFmtId="0" fontId="8" fillId="7" borderId="1" xfId="0" applyFont="1" applyFill="1" applyBorder="1"/>
    <xf numFmtId="0" fontId="4" fillId="57" borderId="1" xfId="3" applyFont="1" applyFill="1" applyBorder="1"/>
    <xf numFmtId="0" fontId="4" fillId="54" borderId="1" xfId="1" applyFont="1" applyFill="1" applyBorder="1"/>
    <xf numFmtId="0" fontId="4" fillId="58" borderId="1" xfId="3" applyFont="1" applyFill="1" applyBorder="1"/>
    <xf numFmtId="0" fontId="4" fillId="58" borderId="1" xfId="1" applyFont="1" applyFill="1" applyBorder="1"/>
    <xf numFmtId="0" fontId="4" fillId="59" borderId="1" xfId="3" applyFont="1" applyFill="1" applyBorder="1"/>
    <xf numFmtId="0" fontId="4" fillId="59" borderId="1" xfId="1" applyFont="1" applyFill="1" applyBorder="1"/>
    <xf numFmtId="0" fontId="4" fillId="60" borderId="1" xfId="3" applyFont="1" applyFill="1" applyBorder="1"/>
    <xf numFmtId="0" fontId="4" fillId="60" borderId="1" xfId="1" applyFont="1" applyFill="1" applyBorder="1"/>
    <xf numFmtId="0" fontId="12" fillId="8" borderId="1" xfId="3" applyFont="1" applyFill="1" applyBorder="1"/>
    <xf numFmtId="0" fontId="6" fillId="8" borderId="1" xfId="1" applyFont="1" applyFill="1" applyBorder="1"/>
    <xf numFmtId="0" fontId="12" fillId="61" borderId="1" xfId="3" applyFont="1" applyFill="1" applyBorder="1"/>
    <xf numFmtId="0" fontId="6" fillId="61" borderId="1" xfId="1" applyFont="1" applyFill="1" applyBorder="1"/>
    <xf numFmtId="0" fontId="4" fillId="62" borderId="1" xfId="3" applyFont="1" applyFill="1" applyBorder="1"/>
    <xf numFmtId="0" fontId="4" fillId="62" borderId="1" xfId="1" applyFont="1" applyFill="1" applyBorder="1"/>
    <xf numFmtId="0" fontId="4" fillId="2" borderId="1" xfId="3" applyFont="1" applyFill="1" applyBorder="1"/>
    <xf numFmtId="0" fontId="4" fillId="2" borderId="1" xfId="1" applyFont="1" applyFill="1" applyBorder="1"/>
    <xf numFmtId="0" fontId="4" fillId="63" borderId="1" xfId="3" applyFont="1" applyFill="1" applyBorder="1"/>
    <xf numFmtId="0" fontId="4" fillId="63" borderId="1" xfId="1" applyFont="1" applyFill="1" applyBorder="1"/>
    <xf numFmtId="0" fontId="4" fillId="64" borderId="1" xfId="3" applyFont="1" applyFill="1" applyBorder="1"/>
    <xf numFmtId="0" fontId="4" fillId="64" borderId="1" xfId="1" applyFont="1" applyFill="1" applyBorder="1"/>
    <xf numFmtId="0" fontId="4" fillId="65" borderId="1" xfId="3" applyFont="1" applyFill="1" applyBorder="1"/>
    <xf numFmtId="0" fontId="4" fillId="65" borderId="1" xfId="1" applyFont="1" applyFill="1" applyBorder="1"/>
    <xf numFmtId="0" fontId="4" fillId="66" borderId="1" xfId="3" applyFont="1" applyFill="1" applyBorder="1"/>
    <xf numFmtId="0" fontId="4" fillId="66" borderId="1" xfId="1" applyFont="1" applyFill="1" applyBorder="1"/>
    <xf numFmtId="0" fontId="12" fillId="11" borderId="1" xfId="3" applyFont="1" applyFill="1" applyBorder="1"/>
    <xf numFmtId="0" fontId="6" fillId="11" borderId="1" xfId="1" applyFont="1" applyFill="1" applyBorder="1"/>
    <xf numFmtId="0" fontId="4" fillId="67" borderId="1" xfId="3" applyFont="1" applyFill="1" applyBorder="1"/>
    <xf numFmtId="0" fontId="4" fillId="67" borderId="1" xfId="1" applyFont="1" applyFill="1" applyBorder="1"/>
    <xf numFmtId="1" fontId="17" fillId="9" borderId="1" xfId="1" applyNumberFormat="1" applyFont="1" applyFill="1" applyBorder="1" applyAlignment="1">
      <alignment horizontal="center" vertical="top"/>
    </xf>
    <xf numFmtId="0" fontId="43" fillId="51" borderId="63" xfId="91" applyFont="1" applyFill="1" applyBorder="1" applyAlignment="1"/>
    <xf numFmtId="0" fontId="1" fillId="0" borderId="0" xfId="95"/>
    <xf numFmtId="0" fontId="3" fillId="57" borderId="1" xfId="1" applyFont="1" applyFill="1" applyBorder="1"/>
    <xf numFmtId="0" fontId="5" fillId="0" borderId="0" xfId="0" applyFont="1" applyBorder="1" applyAlignment="1">
      <alignment horizontal="center"/>
    </xf>
    <xf numFmtId="0" fontId="13" fillId="0" borderId="0" xfId="0" applyFont="1" applyBorder="1" applyAlignment="1">
      <alignment horizontal="center"/>
    </xf>
    <xf numFmtId="0" fontId="0" fillId="0" borderId="0" xfId="0" applyBorder="1" applyAlignment="1">
      <alignment horizontal="left"/>
    </xf>
    <xf numFmtId="0" fontId="13"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44" fillId="0" borderId="0" xfId="0" applyFont="1" applyAlignment="1">
      <alignment horizontal="right"/>
    </xf>
    <xf numFmtId="1" fontId="0" fillId="0" borderId="1" xfId="0" applyNumberFormat="1" applyFill="1" applyBorder="1" applyAlignment="1">
      <alignment horizontal="center"/>
    </xf>
    <xf numFmtId="0" fontId="5" fillId="10" borderId="1" xfId="0" applyFont="1" applyFill="1" applyBorder="1" applyAlignment="1">
      <alignment horizontal="center" vertical="center"/>
    </xf>
    <xf numFmtId="0" fontId="45" fillId="7" borderId="1" xfId="0" applyFont="1" applyFill="1" applyBorder="1" applyAlignment="1">
      <alignment horizontal="center" vertical="center"/>
    </xf>
    <xf numFmtId="0" fontId="43" fillId="50" borderId="66" xfId="91" applyFont="1" applyFill="1" applyBorder="1" applyAlignment="1">
      <alignment horizontal="center"/>
    </xf>
    <xf numFmtId="0" fontId="43" fillId="50" borderId="67" xfId="91" applyFont="1" applyFill="1" applyBorder="1" applyAlignment="1">
      <alignment horizontal="center"/>
    </xf>
    <xf numFmtId="0" fontId="43" fillId="50" borderId="65" xfId="91" applyFont="1" applyFill="1" applyBorder="1" applyAlignment="1">
      <alignment horizontal="center"/>
    </xf>
    <xf numFmtId="0" fontId="1" fillId="0" borderId="0" xfId="95" applyAlignment="1">
      <alignment horizontal="center"/>
    </xf>
    <xf numFmtId="0" fontId="2" fillId="0" borderId="0" xfId="0" applyFont="1" applyAlignment="1">
      <alignment horizontal="center"/>
    </xf>
    <xf numFmtId="0" fontId="2" fillId="0" borderId="0" xfId="95" applyFont="1"/>
    <xf numFmtId="0" fontId="2" fillId="0" borderId="0" xfId="95" applyFont="1" applyAlignment="1">
      <alignment horizontal="center"/>
    </xf>
    <xf numFmtId="164" fontId="10" fillId="4" borderId="1" xfId="0" applyNumberFormat="1" applyFont="1" applyFill="1" applyBorder="1" applyAlignment="1">
      <alignment horizontal="center"/>
    </xf>
    <xf numFmtId="164" fontId="0" fillId="4" borderId="1" xfId="0" applyNumberFormat="1" applyFill="1" applyBorder="1" applyAlignment="1">
      <alignment horizontal="center"/>
    </xf>
    <xf numFmtId="0" fontId="11" fillId="4" borderId="68" xfId="0" applyFont="1" applyFill="1" applyBorder="1" applyAlignment="1">
      <alignment horizontal="center" wrapText="1"/>
    </xf>
    <xf numFmtId="0" fontId="11" fillId="4" borderId="69" xfId="0" applyFont="1" applyFill="1" applyBorder="1" applyAlignment="1">
      <alignment horizontal="center" wrapText="1"/>
    </xf>
    <xf numFmtId="0" fontId="11" fillId="4" borderId="24" xfId="0" applyFont="1" applyFill="1" applyBorder="1" applyAlignment="1">
      <alignment horizontal="center" wrapText="1"/>
    </xf>
    <xf numFmtId="0" fontId="11" fillId="4" borderId="25" xfId="0" applyFont="1" applyFill="1" applyBorder="1" applyAlignment="1">
      <alignment horizontal="center" wrapText="1"/>
    </xf>
    <xf numFmtId="0" fontId="11" fillId="4" borderId="8" xfId="0" applyFont="1" applyFill="1" applyBorder="1" applyAlignment="1">
      <alignment horizontal="center" wrapText="1"/>
    </xf>
    <xf numFmtId="0" fontId="11" fillId="4" borderId="6" xfId="0" applyFont="1" applyFill="1" applyBorder="1" applyAlignment="1">
      <alignment horizontal="center" wrapText="1"/>
    </xf>
    <xf numFmtId="0" fontId="11" fillId="48" borderId="45" xfId="0" applyFont="1" applyFill="1" applyBorder="1" applyAlignment="1">
      <alignment vertical="center"/>
    </xf>
    <xf numFmtId="0" fontId="11" fillId="48" borderId="43" xfId="0" applyFont="1" applyFill="1" applyBorder="1" applyAlignment="1">
      <alignment vertical="center"/>
    </xf>
    <xf numFmtId="3" fontId="11" fillId="48" borderId="46" xfId="0" applyNumberFormat="1" applyFont="1" applyFill="1" applyBorder="1" applyAlignment="1">
      <alignment horizontal="center" vertical="center"/>
    </xf>
    <xf numFmtId="3" fontId="11" fillId="48" borderId="38" xfId="0" applyNumberFormat="1" applyFont="1" applyFill="1" applyBorder="1" applyAlignment="1">
      <alignment horizontal="center" vertical="center"/>
    </xf>
    <xf numFmtId="3" fontId="11" fillId="48" borderId="47" xfId="0" applyNumberFormat="1" applyFont="1" applyFill="1" applyBorder="1" applyAlignment="1">
      <alignment horizontal="center" vertical="center"/>
    </xf>
    <xf numFmtId="0" fontId="11" fillId="48" borderId="41" xfId="0" applyFont="1" applyFill="1" applyBorder="1" applyAlignment="1">
      <alignment horizontal="center" vertical="center"/>
    </xf>
    <xf numFmtId="3" fontId="0" fillId="0" borderId="40" xfId="0" applyNumberFormat="1" applyBorder="1" applyAlignment="1">
      <alignment horizontal="center" vertical="center"/>
    </xf>
    <xf numFmtId="0" fontId="0" fillId="0" borderId="41" xfId="0" applyBorder="1" applyAlignment="1">
      <alignment horizontal="center" vertical="center"/>
    </xf>
    <xf numFmtId="0" fontId="0" fillId="0" borderId="28" xfId="0" applyBorder="1" applyAlignment="1">
      <alignment horizontal="center" vertical="center"/>
    </xf>
    <xf numFmtId="0" fontId="0" fillId="0" borderId="35" xfId="0" applyBorder="1" applyAlignment="1">
      <alignment horizontal="center" vertical="center"/>
    </xf>
    <xf numFmtId="0" fontId="0" fillId="0" borderId="38" xfId="0" applyBorder="1" applyAlignment="1">
      <alignment horizontal="center" vertical="center"/>
    </xf>
    <xf numFmtId="0" fontId="0" fillId="0" borderId="5" xfId="0" applyBorder="1" applyAlignment="1">
      <alignment horizontal="center" vertical="center"/>
    </xf>
    <xf numFmtId="0" fontId="34" fillId="0" borderId="34" xfId="82" applyBorder="1" applyAlignment="1" applyProtection="1">
      <alignment vertical="center"/>
    </xf>
    <xf numFmtId="0" fontId="34" fillId="0" borderId="44" xfId="82" applyBorder="1" applyAlignment="1" applyProtection="1">
      <alignment vertical="center"/>
    </xf>
    <xf numFmtId="0" fontId="34" fillId="0" borderId="37" xfId="82" applyBorder="1" applyAlignment="1" applyProtection="1">
      <alignment vertical="center"/>
    </xf>
    <xf numFmtId="0" fontId="11" fillId="0" borderId="2" xfId="0" applyFont="1" applyBorder="1" applyAlignment="1">
      <alignment horizontal="center" vertical="center" wrapText="1"/>
    </xf>
    <xf numFmtId="0" fontId="0" fillId="0" borderId="2" xfId="0" applyBorder="1" applyAlignment="1"/>
    <xf numFmtId="0" fontId="0" fillId="0" borderId="1" xfId="0" applyBorder="1" applyAlignment="1"/>
    <xf numFmtId="164" fontId="10" fillId="0" borderId="4" xfId="0" applyNumberFormat="1" applyFont="1" applyBorder="1" applyAlignment="1">
      <alignment horizontal="right" vertical="center"/>
    </xf>
    <xf numFmtId="164" fontId="10" fillId="0" borderId="27" xfId="0" applyNumberFormat="1" applyFont="1" applyBorder="1" applyAlignment="1">
      <alignment horizontal="right" vertical="center"/>
    </xf>
    <xf numFmtId="0" fontId="0" fillId="0" borderId="9" xfId="0" applyBorder="1" applyAlignment="1">
      <alignment horizontal="right"/>
    </xf>
    <xf numFmtId="0" fontId="8" fillId="0" borderId="1" xfId="0" applyFont="1" applyFill="1" applyBorder="1" applyAlignment="1">
      <alignment horizontal="center"/>
    </xf>
    <xf numFmtId="0" fontId="0" fillId="0" borderId="4" xfId="0" applyBorder="1" applyAlignment="1">
      <alignment horizontal="center"/>
    </xf>
    <xf numFmtId="0" fontId="11" fillId="0" borderId="5"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wrapText="1"/>
    </xf>
    <xf numFmtId="0" fontId="8" fillId="0" borderId="4" xfId="0" applyFont="1" applyFill="1" applyBorder="1" applyAlignment="1">
      <alignment horizontal="center"/>
    </xf>
    <xf numFmtId="0" fontId="0" fillId="0" borderId="27" xfId="0" applyBorder="1" applyAlignment="1">
      <alignment horizontal="center"/>
    </xf>
    <xf numFmtId="0" fontId="8" fillId="0" borderId="28" xfId="0" applyFont="1" applyFill="1" applyBorder="1" applyAlignment="1">
      <alignment horizontal="center"/>
    </xf>
    <xf numFmtId="0" fontId="0" fillId="0" borderId="23" xfId="0" applyBorder="1" applyAlignment="1">
      <alignment horizontal="center"/>
    </xf>
    <xf numFmtId="164" fontId="0" fillId="0" borderId="4" xfId="0" applyNumberFormat="1" applyBorder="1" applyAlignment="1">
      <alignment horizontal="center" wrapText="1"/>
    </xf>
    <xf numFmtId="0" fontId="0" fillId="0" borderId="9" xfId="0" applyBorder="1" applyAlignment="1">
      <alignment wrapText="1"/>
    </xf>
    <xf numFmtId="0" fontId="11" fillId="0" borderId="28" xfId="0" applyFont="1" applyBorder="1" applyAlignment="1">
      <alignment horizontal="center" vertical="center" wrapText="1"/>
    </xf>
    <xf numFmtId="0" fontId="0" fillId="0" borderId="1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8" xfId="0" applyBorder="1" applyAlignment="1">
      <alignment horizontal="center" wrapText="1"/>
    </xf>
    <xf numFmtId="0" fontId="0" fillId="0" borderId="6" xfId="0" applyBorder="1" applyAlignment="1">
      <alignment horizontal="center" wrapText="1"/>
    </xf>
    <xf numFmtId="0" fontId="0" fillId="0" borderId="5" xfId="0" applyBorder="1" applyAlignment="1">
      <alignment horizontal="center" vertic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vertical="center"/>
    </xf>
    <xf numFmtId="164" fontId="0" fillId="0" borderId="1" xfId="0" applyNumberFormat="1" applyBorder="1" applyAlignment="1">
      <alignment horizontal="center"/>
    </xf>
    <xf numFmtId="0" fontId="11" fillId="0" borderId="0" xfId="0" applyFont="1" applyAlignment="1">
      <alignment wrapText="1"/>
    </xf>
    <xf numFmtId="0" fontId="0" fillId="0" borderId="0" xfId="0" applyAlignment="1">
      <alignment wrapText="1"/>
    </xf>
    <xf numFmtId="0" fontId="0" fillId="0" borderId="7" xfId="0" applyBorder="1" applyAlignment="1">
      <alignment wrapText="1"/>
    </xf>
    <xf numFmtId="0" fontId="0" fillId="0" borderId="23"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wrapText="1"/>
    </xf>
    <xf numFmtId="0" fontId="0" fillId="0" borderId="60" xfId="0" applyBorder="1" applyAlignment="1">
      <alignment horizontal="center" wrapText="1"/>
    </xf>
    <xf numFmtId="0" fontId="8" fillId="0" borderId="9" xfId="0" applyFont="1" applyFill="1" applyBorder="1" applyAlignment="1">
      <alignment horizontal="center"/>
    </xf>
    <xf numFmtId="0" fontId="8" fillId="0" borderId="64" xfId="0" applyFont="1" applyFill="1" applyBorder="1" applyAlignment="1">
      <alignment horizontal="center"/>
    </xf>
    <xf numFmtId="0" fontId="11" fillId="0" borderId="3" xfId="0" applyFont="1" applyBorder="1" applyAlignment="1">
      <alignment horizontal="center" vertical="center" wrapText="1"/>
    </xf>
    <xf numFmtId="0" fontId="3" fillId="49" borderId="7" xfId="84" applyFill="1" applyBorder="1" applyAlignment="1">
      <alignment horizontal="center"/>
    </xf>
    <xf numFmtId="0" fontId="3" fillId="0" borderId="7" xfId="84" applyBorder="1" applyAlignment="1">
      <alignment horizontal="center"/>
    </xf>
  </cellXfs>
  <cellStyles count="96">
    <cellStyle name="20% - Accent1 2" xfId="33"/>
    <cellStyle name="20% - Accent2 2" xfId="34"/>
    <cellStyle name="20% - Accent3 2" xfId="35"/>
    <cellStyle name="20% - Accent4 2" xfId="36"/>
    <cellStyle name="20% - Accent5 2" xfId="37"/>
    <cellStyle name="20% - Accent6 2" xfId="38"/>
    <cellStyle name="40% - Accent1 2" xfId="39"/>
    <cellStyle name="40% - Accent2 2" xfId="40"/>
    <cellStyle name="40% - Accent3 2" xfId="41"/>
    <cellStyle name="40% - Accent4 2" xfId="42"/>
    <cellStyle name="40% - Accent5 2" xfId="43"/>
    <cellStyle name="40% - Accent6 2" xfId="44"/>
    <cellStyle name="60% - Accent1 2" xfId="45"/>
    <cellStyle name="60% - Accent2 2" xfId="46"/>
    <cellStyle name="60% - Accent3 2" xfId="47"/>
    <cellStyle name="60% - Accent4 2" xfId="48"/>
    <cellStyle name="60% - Accent5 2" xfId="49"/>
    <cellStyle name="60% - Accent6 2" xfId="50"/>
    <cellStyle name="Accent1 2" xfId="51"/>
    <cellStyle name="Accent2 2" xfId="52"/>
    <cellStyle name="Accent3 2" xfId="53"/>
    <cellStyle name="Accent4 2" xfId="54"/>
    <cellStyle name="Accent5 2" xfId="55"/>
    <cellStyle name="Accent6 2" xfId="56"/>
    <cellStyle name="Bad 2" xfId="57"/>
    <cellStyle name="Calculation 2" xfId="58"/>
    <cellStyle name="Check Cell 2" xfId="59"/>
    <cellStyle name="Currency 2" xfId="2"/>
    <cellStyle name="Explanatory Text 2" xfId="60"/>
    <cellStyle name="Good 2" xfId="61"/>
    <cellStyle name="Heading 1 2" xfId="62"/>
    <cellStyle name="Heading 2 2" xfId="63"/>
    <cellStyle name="Heading 3 2" xfId="64"/>
    <cellStyle name="Heading 4 2" xfId="65"/>
    <cellStyle name="Hyperlink" xfId="82" builtinId="8"/>
    <cellStyle name="Hyperlink 2" xfId="86"/>
    <cellStyle name="Hyperlink 3" xfId="87"/>
    <cellStyle name="Input 2" xfId="66"/>
    <cellStyle name="Linked Cell 2" xfId="67"/>
    <cellStyle name="Neutral 2" xfId="68"/>
    <cellStyle name="Normal" xfId="0" builtinId="0"/>
    <cellStyle name="Normal 10" xfId="83"/>
    <cellStyle name="Normal 10 2" xfId="88"/>
    <cellStyle name="Normal 11" xfId="85"/>
    <cellStyle name="Normal 12" xfId="89"/>
    <cellStyle name="Normal 13" xfId="90"/>
    <cellStyle name="Normal 14" xfId="94"/>
    <cellStyle name="Normal 15" xfId="93"/>
    <cellStyle name="Normal 16" xfId="95"/>
    <cellStyle name="Normal 2" xfId="1"/>
    <cellStyle name="Normal 2 2" xfId="3"/>
    <cellStyle name="Normal 2 2 2" xfId="4"/>
    <cellStyle name="Normal 2 2 3" xfId="5"/>
    <cellStyle name="Normal 2 2 4" xfId="92"/>
    <cellStyle name="Normal 2 3" xfId="6"/>
    <cellStyle name="Normal 2 3 2" xfId="7"/>
    <cellStyle name="Normal 2 3 3" xfId="8"/>
    <cellStyle name="Normal 2 4" xfId="69"/>
    <cellStyle name="Normal 2 5" xfId="70"/>
    <cellStyle name="Normal 3" xfId="9"/>
    <cellStyle name="Normal 3 2" xfId="10"/>
    <cellStyle name="Normal 3 2 2" xfId="11"/>
    <cellStyle name="Normal 3 2 3" xfId="12"/>
    <cellStyle name="Normal 3 3" xfId="13"/>
    <cellStyle name="Normal 3 4" xfId="71"/>
    <cellStyle name="Normal 3 4 2" xfId="72"/>
    <cellStyle name="Normal 3 5" xfId="84"/>
    <cellStyle name="Normal 4" xfId="14"/>
    <cellStyle name="Normal 4 2" xfId="15"/>
    <cellStyle name="Normal 4 2 2" xfId="16"/>
    <cellStyle name="Normal 4 2 3" xfId="17"/>
    <cellStyle name="Normal 4 2 4" xfId="18"/>
    <cellStyle name="Normal 4 3" xfId="19"/>
    <cellStyle name="Normal 4 4" xfId="20"/>
    <cellStyle name="Normal 5" xfId="21"/>
    <cellStyle name="Normal 5 2" xfId="22"/>
    <cellStyle name="Normal 5 2 2" xfId="23"/>
    <cellStyle name="Normal 5 3" xfId="24"/>
    <cellStyle name="Normal 5 4" xfId="25"/>
    <cellStyle name="Normal 6" xfId="26"/>
    <cellStyle name="Normal 7" xfId="27"/>
    <cellStyle name="Normal 7 2" xfId="28"/>
    <cellStyle name="Normal 7 3" xfId="29"/>
    <cellStyle name="Normal 7 4" xfId="73"/>
    <cellStyle name="Normal 7 4 2" xfId="74"/>
    <cellStyle name="Normal 7 5" xfId="75"/>
    <cellStyle name="Normal 8" xfId="30"/>
    <cellStyle name="Normal 8 2" xfId="31"/>
    <cellStyle name="Normal 9" xfId="32"/>
    <cellStyle name="Normal_Sheet1" xfId="91"/>
    <cellStyle name="Normal10" xfId="76"/>
    <cellStyle name="Normal10 2" xfId="77"/>
    <cellStyle name="Note 2" xfId="78"/>
    <cellStyle name="Output 2" xfId="79"/>
    <cellStyle name="Total 2" xfId="80"/>
    <cellStyle name="Warning Text 2" xfId="81"/>
  </cellStyles>
  <dxfs count="96">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Graphs!$A$3</c:f>
              <c:strCache>
                <c:ptCount val="1"/>
                <c:pt idx="0">
                  <c:v>Projected Secondary Roll</c:v>
                </c:pt>
              </c:strCache>
            </c:strRef>
          </c:tx>
          <c:spPr>
            <a:ln w="41275"/>
          </c:spPr>
          <c:dPt>
            <c:idx val="6"/>
            <c:marker>
              <c:symbol val="none"/>
            </c:marker>
            <c:bubble3D val="0"/>
            <c:extLst>
              <c:ext xmlns:c16="http://schemas.microsoft.com/office/drawing/2014/chart" uri="{C3380CC4-5D6E-409C-BE32-E72D297353CC}">
                <c16:uniqueId val="{00000000-E33F-4DDC-91D2-970FAF31EDAF}"/>
              </c:ext>
            </c:extLst>
          </c:dPt>
          <c:dLbls>
            <c:dLbl>
              <c:idx val="13"/>
              <c:layout>
                <c:manualLayout>
                  <c:x val="1.9374722103798103E-2"/>
                  <c:y val="9.756097560975618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3F-4DDC-91D2-970FAF31EDAF}"/>
                </c:ext>
              </c:extLst>
            </c:dLbl>
            <c:dLbl>
              <c:idx val="2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3F-4DDC-91D2-970FAF31EDAF}"/>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Graphs!$B$2:$V$2</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Graphs!$B$3:$V$3</c:f>
              <c:numCache>
                <c:formatCode>#,##0</c:formatCode>
                <c:ptCount val="21"/>
                <c:pt idx="6">
                  <c:v>18145</c:v>
                </c:pt>
                <c:pt idx="7">
                  <c:v>18488</c:v>
                </c:pt>
                <c:pt idx="8">
                  <c:v>19026</c:v>
                </c:pt>
                <c:pt idx="9">
                  <c:v>19704</c:v>
                </c:pt>
                <c:pt idx="10">
                  <c:v>20664</c:v>
                </c:pt>
                <c:pt idx="11">
                  <c:v>21550</c:v>
                </c:pt>
                <c:pt idx="12">
                  <c:v>22499</c:v>
                </c:pt>
                <c:pt idx="13">
                  <c:v>22982</c:v>
                </c:pt>
                <c:pt idx="14">
                  <c:v>23456</c:v>
                </c:pt>
                <c:pt idx="15">
                  <c:v>23836</c:v>
                </c:pt>
                <c:pt idx="16">
                  <c:v>24093</c:v>
                </c:pt>
                <c:pt idx="17">
                  <c:v>24350</c:v>
                </c:pt>
                <c:pt idx="18">
                  <c:v>24606</c:v>
                </c:pt>
                <c:pt idx="19">
                  <c:v>24994</c:v>
                </c:pt>
                <c:pt idx="20">
                  <c:v>25285</c:v>
                </c:pt>
              </c:numCache>
            </c:numRef>
          </c:val>
          <c:smooth val="0"/>
          <c:extLst>
            <c:ext xmlns:c16="http://schemas.microsoft.com/office/drawing/2014/chart" uri="{C3380CC4-5D6E-409C-BE32-E72D297353CC}">
              <c16:uniqueId val="{00000003-E33F-4DDC-91D2-970FAF31EDAF}"/>
            </c:ext>
          </c:extLst>
        </c:ser>
        <c:ser>
          <c:idx val="2"/>
          <c:order val="1"/>
          <c:tx>
            <c:strRef>
              <c:f>Graphs!$A$4</c:f>
              <c:strCache>
                <c:ptCount val="1"/>
                <c:pt idx="0">
                  <c:v>Actual Secondary Roll</c:v>
                </c:pt>
              </c:strCache>
            </c:strRef>
          </c:tx>
          <c:spPr>
            <a:ln w="38100"/>
          </c:spPr>
          <c:dLbls>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3F-4DDC-91D2-970FAF31EDAF}"/>
                </c:ext>
              </c:extLst>
            </c:dLbl>
            <c:spPr>
              <a:noFill/>
              <a:ln>
                <a:noFill/>
              </a:ln>
              <a:effectLst/>
            </c:spPr>
            <c:txPr>
              <a:bodyPr/>
              <a:lstStyle/>
              <a:p>
                <a:pPr>
                  <a:defRPr sz="1200" b="1"/>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Graphs!$B$2:$V$2</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Graphs!$B$4:$V$4</c:f>
              <c:numCache>
                <c:formatCode>#,##0</c:formatCode>
                <c:ptCount val="21"/>
                <c:pt idx="0">
                  <c:v>18964</c:v>
                </c:pt>
                <c:pt idx="1">
                  <c:v>18721</c:v>
                </c:pt>
                <c:pt idx="2">
                  <c:v>18514</c:v>
                </c:pt>
                <c:pt idx="3">
                  <c:v>18366</c:v>
                </c:pt>
                <c:pt idx="4">
                  <c:v>18279</c:v>
                </c:pt>
                <c:pt idx="5">
                  <c:v>18163</c:v>
                </c:pt>
                <c:pt idx="6">
                  <c:v>18145</c:v>
                </c:pt>
              </c:numCache>
            </c:numRef>
          </c:val>
          <c:smooth val="0"/>
          <c:extLst>
            <c:ext xmlns:c16="http://schemas.microsoft.com/office/drawing/2014/chart" uri="{C3380CC4-5D6E-409C-BE32-E72D297353CC}">
              <c16:uniqueId val="{00000005-E33F-4DDC-91D2-970FAF31EDAF}"/>
            </c:ext>
          </c:extLst>
        </c:ser>
        <c:ser>
          <c:idx val="3"/>
          <c:order val="2"/>
          <c:tx>
            <c:strRef>
              <c:f>Graphs!$A$5</c:f>
              <c:strCache>
                <c:ptCount val="1"/>
                <c:pt idx="0">
                  <c:v>Secondary Estate Capacity</c:v>
                </c:pt>
              </c:strCache>
            </c:strRef>
          </c:tx>
          <c:spPr>
            <a:ln w="63500"/>
          </c:spPr>
          <c:marker>
            <c:symbol val="none"/>
          </c:marker>
          <c:dLbls>
            <c:dLbl>
              <c:idx val="3"/>
              <c:layout>
                <c:manualLayout>
                  <c:x val="-1.5852045357652941E-2"/>
                  <c:y val="-2.9268292682926848E-2"/>
                </c:manualLayout>
              </c:layout>
              <c:spPr/>
              <c:txPr>
                <a:bodyPr/>
                <a:lstStyle/>
                <a:p>
                  <a:pPr>
                    <a:defRPr sz="1200" b="1"/>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3F-4DDC-91D2-970FAF31EDA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Graphs!$B$2:$V$2</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Graphs!$B$5:$V$5</c:f>
              <c:numCache>
                <c:formatCode>#,##0</c:formatCode>
                <c:ptCount val="21"/>
                <c:pt idx="0">
                  <c:v>22165</c:v>
                </c:pt>
                <c:pt idx="1">
                  <c:v>22165</c:v>
                </c:pt>
                <c:pt idx="2">
                  <c:v>22165</c:v>
                </c:pt>
                <c:pt idx="3">
                  <c:v>22165</c:v>
                </c:pt>
                <c:pt idx="4">
                  <c:v>22165</c:v>
                </c:pt>
                <c:pt idx="5">
                  <c:v>22165</c:v>
                </c:pt>
                <c:pt idx="6">
                  <c:v>22165</c:v>
                </c:pt>
                <c:pt idx="7">
                  <c:v>22165</c:v>
                </c:pt>
                <c:pt idx="8">
                  <c:v>22165</c:v>
                </c:pt>
                <c:pt idx="9">
                  <c:v>22165</c:v>
                </c:pt>
                <c:pt idx="10">
                  <c:v>22165</c:v>
                </c:pt>
                <c:pt idx="11">
                  <c:v>22165</c:v>
                </c:pt>
                <c:pt idx="12">
                  <c:v>22165</c:v>
                </c:pt>
                <c:pt idx="13">
                  <c:v>22165</c:v>
                </c:pt>
                <c:pt idx="14">
                  <c:v>22165</c:v>
                </c:pt>
                <c:pt idx="15">
                  <c:v>22165</c:v>
                </c:pt>
                <c:pt idx="16">
                  <c:v>22165</c:v>
                </c:pt>
                <c:pt idx="17">
                  <c:v>22165</c:v>
                </c:pt>
                <c:pt idx="18">
                  <c:v>22165</c:v>
                </c:pt>
                <c:pt idx="19">
                  <c:v>22165</c:v>
                </c:pt>
                <c:pt idx="20">
                  <c:v>22165</c:v>
                </c:pt>
              </c:numCache>
            </c:numRef>
          </c:val>
          <c:smooth val="0"/>
          <c:extLst>
            <c:ext xmlns:c16="http://schemas.microsoft.com/office/drawing/2014/chart" uri="{C3380CC4-5D6E-409C-BE32-E72D297353CC}">
              <c16:uniqueId val="{00000007-E33F-4DDC-91D2-970FAF31EDAF}"/>
            </c:ext>
          </c:extLst>
        </c:ser>
        <c:dLbls>
          <c:showLegendKey val="0"/>
          <c:showVal val="0"/>
          <c:showCatName val="0"/>
          <c:showSerName val="0"/>
          <c:showPercent val="0"/>
          <c:showBubbleSize val="0"/>
        </c:dLbls>
        <c:marker val="1"/>
        <c:smooth val="0"/>
        <c:axId val="481092232"/>
        <c:axId val="656393720"/>
      </c:lineChart>
      <c:catAx>
        <c:axId val="481092232"/>
        <c:scaling>
          <c:orientation val="minMax"/>
        </c:scaling>
        <c:delete val="0"/>
        <c:axPos val="b"/>
        <c:numFmt formatCode="General" sourceLinked="1"/>
        <c:majorTickMark val="out"/>
        <c:minorTickMark val="none"/>
        <c:tickLblPos val="nextTo"/>
        <c:txPr>
          <a:bodyPr rot="-5400000" vert="horz"/>
          <a:lstStyle/>
          <a:p>
            <a:pPr>
              <a:defRPr sz="1200" b="0"/>
            </a:pPr>
            <a:endParaRPr lang="en-US"/>
          </a:p>
        </c:txPr>
        <c:crossAx val="656393720"/>
        <c:crosses val="autoZero"/>
        <c:auto val="1"/>
        <c:lblAlgn val="ctr"/>
        <c:lblOffset val="100"/>
        <c:noMultiLvlLbl val="0"/>
      </c:catAx>
      <c:valAx>
        <c:axId val="656393720"/>
        <c:scaling>
          <c:orientation val="minMax"/>
          <c:min val="15000"/>
        </c:scaling>
        <c:delete val="0"/>
        <c:axPos val="l"/>
        <c:majorGridlines/>
        <c:numFmt formatCode="#,##0" sourceLinked="1"/>
        <c:majorTickMark val="out"/>
        <c:minorTickMark val="none"/>
        <c:tickLblPos val="nextTo"/>
        <c:txPr>
          <a:bodyPr/>
          <a:lstStyle/>
          <a:p>
            <a:pPr>
              <a:defRPr sz="1200" b="0"/>
            </a:pPr>
            <a:endParaRPr lang="en-US"/>
          </a:p>
        </c:txPr>
        <c:crossAx val="481092232"/>
        <c:crosses val="autoZero"/>
        <c:crossBetween val="between"/>
      </c:valAx>
    </c:plotArea>
    <c:legend>
      <c:legendPos val="r"/>
      <c:overlay val="0"/>
    </c:legend>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295275</xdr:colOff>
      <xdr:row>46</xdr:row>
      <xdr:rowOff>142875</xdr:rowOff>
    </xdr:to>
    <xdr:pic>
      <xdr:nvPicPr>
        <xdr:cNvPr id="1028" name="Picture 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8829675" cy="8905875"/>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3" name="Down Arrow 2">
          <a:extLst>
            <a:ext uri="{FF2B5EF4-FFF2-40B4-BE49-F238E27FC236}">
              <a16:creationId xmlns:a16="http://schemas.microsoft.com/office/drawing/2014/main" id="{00000000-0008-0000-0A00-000003000000}"/>
            </a:ext>
          </a:extLst>
        </xdr:cNvPr>
        <xdr:cNvSpPr/>
      </xdr:nvSpPr>
      <xdr:spPr>
        <a:xfrm>
          <a:off x="7143750" y="48863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5" name="Down Arrow 4">
          <a:extLst>
            <a:ext uri="{FF2B5EF4-FFF2-40B4-BE49-F238E27FC236}">
              <a16:creationId xmlns:a16="http://schemas.microsoft.com/office/drawing/2014/main" id="{00000000-0008-0000-0A00-000005000000}"/>
            </a:ext>
          </a:extLst>
        </xdr:cNvPr>
        <xdr:cNvSpPr/>
      </xdr:nvSpPr>
      <xdr:spPr>
        <a:xfrm>
          <a:off x="503872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6" name="Down Arrow 5">
          <a:extLst>
            <a:ext uri="{FF2B5EF4-FFF2-40B4-BE49-F238E27FC236}">
              <a16:creationId xmlns:a16="http://schemas.microsoft.com/office/drawing/2014/main" id="{00000000-0008-0000-0A00-000006000000}"/>
            </a:ext>
          </a:extLst>
        </xdr:cNvPr>
        <xdr:cNvSpPr/>
      </xdr:nvSpPr>
      <xdr:spPr>
        <a:xfrm>
          <a:off x="4438650"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7" name="Down Arrow 6">
          <a:extLst>
            <a:ext uri="{FF2B5EF4-FFF2-40B4-BE49-F238E27FC236}">
              <a16:creationId xmlns:a16="http://schemas.microsoft.com/office/drawing/2014/main" id="{00000000-0008-0000-0A00-000007000000}"/>
            </a:ext>
          </a:extLst>
        </xdr:cNvPr>
        <xdr:cNvSpPr/>
      </xdr:nvSpPr>
      <xdr:spPr>
        <a:xfrm>
          <a:off x="38385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8" name="Down Arrow 7">
          <a:extLst>
            <a:ext uri="{FF2B5EF4-FFF2-40B4-BE49-F238E27FC236}">
              <a16:creationId xmlns:a16="http://schemas.microsoft.com/office/drawing/2014/main" id="{00000000-0008-0000-0A00-000008000000}"/>
            </a:ext>
          </a:extLst>
        </xdr:cNvPr>
        <xdr:cNvSpPr/>
      </xdr:nvSpPr>
      <xdr:spPr>
        <a:xfrm>
          <a:off x="32289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9" name="Down Arrow 8">
          <a:extLst>
            <a:ext uri="{FF2B5EF4-FFF2-40B4-BE49-F238E27FC236}">
              <a16:creationId xmlns:a16="http://schemas.microsoft.com/office/drawing/2014/main" id="{00000000-0008-0000-0A00-000009000000}"/>
            </a:ext>
          </a:extLst>
        </xdr:cNvPr>
        <xdr:cNvSpPr/>
      </xdr:nvSpPr>
      <xdr:spPr>
        <a:xfrm>
          <a:off x="2609850" y="4924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10" name="Down Arrow 9">
          <a:extLst>
            <a:ext uri="{FF2B5EF4-FFF2-40B4-BE49-F238E27FC236}">
              <a16:creationId xmlns:a16="http://schemas.microsoft.com/office/drawing/2014/main" id="{00000000-0008-0000-0A00-00000A000000}"/>
            </a:ext>
          </a:extLst>
        </xdr:cNvPr>
        <xdr:cNvSpPr/>
      </xdr:nvSpPr>
      <xdr:spPr>
        <a:xfrm>
          <a:off x="20097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11" name="Down Arrow 10">
          <a:extLst>
            <a:ext uri="{FF2B5EF4-FFF2-40B4-BE49-F238E27FC236}">
              <a16:creationId xmlns:a16="http://schemas.microsoft.com/office/drawing/2014/main" id="{00000000-0008-0000-0A00-00000B000000}"/>
            </a:ext>
          </a:extLst>
        </xdr:cNvPr>
        <xdr:cNvSpPr/>
      </xdr:nvSpPr>
      <xdr:spPr>
        <a:xfrm>
          <a:off x="138112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20" name="Down Arrow 19">
          <a:extLst>
            <a:ext uri="{FF2B5EF4-FFF2-40B4-BE49-F238E27FC236}">
              <a16:creationId xmlns:a16="http://schemas.microsoft.com/office/drawing/2014/main" id="{00000000-0008-0000-0A00-000014000000}"/>
            </a:ext>
          </a:extLst>
        </xdr:cNvPr>
        <xdr:cNvSpPr/>
      </xdr:nvSpPr>
      <xdr:spPr>
        <a:xfrm rot="16200000">
          <a:off x="7005641" y="64341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1" name="Bent Arrow 20">
          <a:extLst>
            <a:ext uri="{FF2B5EF4-FFF2-40B4-BE49-F238E27FC236}">
              <a16:creationId xmlns:a16="http://schemas.microsoft.com/office/drawing/2014/main" id="{00000000-0008-0000-0A00-000015000000}"/>
            </a:ext>
          </a:extLst>
        </xdr:cNvPr>
        <xdr:cNvSpPr/>
      </xdr:nvSpPr>
      <xdr:spPr>
        <a:xfrm rot="5400000">
          <a:off x="9172572" y="3519488"/>
          <a:ext cx="461964"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22" name="Down Arrow 21">
          <a:extLst>
            <a:ext uri="{FF2B5EF4-FFF2-40B4-BE49-F238E27FC236}">
              <a16:creationId xmlns:a16="http://schemas.microsoft.com/office/drawing/2014/main" id="{00000000-0008-0000-0A00-000016000000}"/>
            </a:ext>
          </a:extLst>
        </xdr:cNvPr>
        <xdr:cNvSpPr/>
      </xdr:nvSpPr>
      <xdr:spPr>
        <a:xfrm rot="16200000">
          <a:off x="8272467" y="64341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104779</xdr:colOff>
      <xdr:row>40</xdr:row>
      <xdr:rowOff>85725</xdr:rowOff>
    </xdr:from>
    <xdr:to>
      <xdr:col>9</xdr:col>
      <xdr:colOff>457204</xdr:colOff>
      <xdr:row>48</xdr:row>
      <xdr:rowOff>123825</xdr:rowOff>
    </xdr:to>
    <xdr:sp macro="" textlink="">
      <xdr:nvSpPr>
        <xdr:cNvPr id="23" name="Down Arrow 22">
          <a:extLst>
            <a:ext uri="{FF2B5EF4-FFF2-40B4-BE49-F238E27FC236}">
              <a16:creationId xmlns:a16="http://schemas.microsoft.com/office/drawing/2014/main" id="{00000000-0008-0000-0A00-000017000000}"/>
            </a:ext>
          </a:extLst>
        </xdr:cNvPr>
        <xdr:cNvSpPr/>
      </xdr:nvSpPr>
      <xdr:spPr>
        <a:xfrm rot="16200000">
          <a:off x="4986342"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25" name="Down Arrow 24">
          <a:extLst>
            <a:ext uri="{FF2B5EF4-FFF2-40B4-BE49-F238E27FC236}">
              <a16:creationId xmlns:a16="http://schemas.microsoft.com/office/drawing/2014/main" id="{00000000-0008-0000-0A00-000019000000}"/>
            </a:ext>
          </a:extLst>
        </xdr:cNvPr>
        <xdr:cNvSpPr/>
      </xdr:nvSpPr>
      <xdr:spPr>
        <a:xfrm>
          <a:off x="12553950" y="48958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26" name="Down Arrow 25">
          <a:extLst>
            <a:ext uri="{FF2B5EF4-FFF2-40B4-BE49-F238E27FC236}">
              <a16:creationId xmlns:a16="http://schemas.microsoft.com/office/drawing/2014/main" id="{00000000-0008-0000-0A00-00001A000000}"/>
            </a:ext>
          </a:extLst>
        </xdr:cNvPr>
        <xdr:cNvSpPr/>
      </xdr:nvSpPr>
      <xdr:spPr>
        <a:xfrm>
          <a:off x="119538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29" name="Down Arrow 28">
          <a:extLst>
            <a:ext uri="{FF2B5EF4-FFF2-40B4-BE49-F238E27FC236}">
              <a16:creationId xmlns:a16="http://schemas.microsoft.com/office/drawing/2014/main" id="{00000000-0008-0000-0A00-00001D000000}"/>
            </a:ext>
          </a:extLst>
        </xdr:cNvPr>
        <xdr:cNvSpPr/>
      </xdr:nvSpPr>
      <xdr:spPr>
        <a:xfrm rot="16200000">
          <a:off x="5338768" y="3433761"/>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30" name="Down Arrow 29">
          <a:extLst>
            <a:ext uri="{FF2B5EF4-FFF2-40B4-BE49-F238E27FC236}">
              <a16:creationId xmlns:a16="http://schemas.microsoft.com/office/drawing/2014/main" id="{00000000-0008-0000-0A00-00001E000000}"/>
            </a:ext>
          </a:extLst>
        </xdr:cNvPr>
        <xdr:cNvSpPr/>
      </xdr:nvSpPr>
      <xdr:spPr>
        <a:xfrm rot="16200000">
          <a:off x="7367593" y="3443286"/>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31" name="Down Arrow 30">
          <a:extLst>
            <a:ext uri="{FF2B5EF4-FFF2-40B4-BE49-F238E27FC236}">
              <a16:creationId xmlns:a16="http://schemas.microsoft.com/office/drawing/2014/main" id="{00000000-0008-0000-0A00-00001F000000}"/>
            </a:ext>
          </a:extLst>
        </xdr:cNvPr>
        <xdr:cNvSpPr/>
      </xdr:nvSpPr>
      <xdr:spPr>
        <a:xfrm rot="16200000">
          <a:off x="8634418" y="3433761"/>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A00-000013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0A00-000018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0A00-00001B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0A00-00001C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0A00-000020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0A00-000021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4" name="Bent Arrow 33">
          <a:extLst>
            <a:ext uri="{FF2B5EF4-FFF2-40B4-BE49-F238E27FC236}">
              <a16:creationId xmlns:a16="http://schemas.microsoft.com/office/drawing/2014/main" id="{00000000-0008-0000-0A00-000022000000}"/>
            </a:ext>
          </a:extLst>
        </xdr:cNvPr>
        <xdr:cNvSpPr/>
      </xdr:nvSpPr>
      <xdr:spPr>
        <a:xfrm rot="5400000">
          <a:off x="9448797" y="3262313"/>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3" name="Down Arrow 2">
          <a:extLst>
            <a:ext uri="{FF2B5EF4-FFF2-40B4-BE49-F238E27FC236}">
              <a16:creationId xmlns:a16="http://schemas.microsoft.com/office/drawing/2014/main" id="{00000000-0008-0000-0B00-000003000000}"/>
            </a:ext>
          </a:extLst>
        </xdr:cNvPr>
        <xdr:cNvSpPr/>
      </xdr:nvSpPr>
      <xdr:spPr>
        <a:xfrm>
          <a:off x="6858000" y="48863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5" name="Down Arrow 4">
          <a:extLst>
            <a:ext uri="{FF2B5EF4-FFF2-40B4-BE49-F238E27FC236}">
              <a16:creationId xmlns:a16="http://schemas.microsoft.com/office/drawing/2014/main" id="{00000000-0008-0000-0B00-000005000000}"/>
            </a:ext>
          </a:extLst>
        </xdr:cNvPr>
        <xdr:cNvSpPr/>
      </xdr:nvSpPr>
      <xdr:spPr>
        <a:xfrm>
          <a:off x="503872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6" name="Down Arrow 5">
          <a:extLst>
            <a:ext uri="{FF2B5EF4-FFF2-40B4-BE49-F238E27FC236}">
              <a16:creationId xmlns:a16="http://schemas.microsoft.com/office/drawing/2014/main" id="{00000000-0008-0000-0B00-000006000000}"/>
            </a:ext>
          </a:extLst>
        </xdr:cNvPr>
        <xdr:cNvSpPr/>
      </xdr:nvSpPr>
      <xdr:spPr>
        <a:xfrm>
          <a:off x="4438650"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7" name="Down Arrow 6">
          <a:extLst>
            <a:ext uri="{FF2B5EF4-FFF2-40B4-BE49-F238E27FC236}">
              <a16:creationId xmlns:a16="http://schemas.microsoft.com/office/drawing/2014/main" id="{00000000-0008-0000-0B00-000007000000}"/>
            </a:ext>
          </a:extLst>
        </xdr:cNvPr>
        <xdr:cNvSpPr/>
      </xdr:nvSpPr>
      <xdr:spPr>
        <a:xfrm>
          <a:off x="38385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8" name="Down Arrow 7">
          <a:extLst>
            <a:ext uri="{FF2B5EF4-FFF2-40B4-BE49-F238E27FC236}">
              <a16:creationId xmlns:a16="http://schemas.microsoft.com/office/drawing/2014/main" id="{00000000-0008-0000-0B00-000008000000}"/>
            </a:ext>
          </a:extLst>
        </xdr:cNvPr>
        <xdr:cNvSpPr/>
      </xdr:nvSpPr>
      <xdr:spPr>
        <a:xfrm>
          <a:off x="32289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9" name="Down Arrow 8">
          <a:extLst>
            <a:ext uri="{FF2B5EF4-FFF2-40B4-BE49-F238E27FC236}">
              <a16:creationId xmlns:a16="http://schemas.microsoft.com/office/drawing/2014/main" id="{00000000-0008-0000-0B00-000009000000}"/>
            </a:ext>
          </a:extLst>
        </xdr:cNvPr>
        <xdr:cNvSpPr/>
      </xdr:nvSpPr>
      <xdr:spPr>
        <a:xfrm>
          <a:off x="2609850" y="4924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10" name="Down Arrow 9">
          <a:extLst>
            <a:ext uri="{FF2B5EF4-FFF2-40B4-BE49-F238E27FC236}">
              <a16:creationId xmlns:a16="http://schemas.microsoft.com/office/drawing/2014/main" id="{00000000-0008-0000-0B00-00000A000000}"/>
            </a:ext>
          </a:extLst>
        </xdr:cNvPr>
        <xdr:cNvSpPr/>
      </xdr:nvSpPr>
      <xdr:spPr>
        <a:xfrm>
          <a:off x="20097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11" name="Down Arrow 10">
          <a:extLst>
            <a:ext uri="{FF2B5EF4-FFF2-40B4-BE49-F238E27FC236}">
              <a16:creationId xmlns:a16="http://schemas.microsoft.com/office/drawing/2014/main" id="{00000000-0008-0000-0B00-00000B000000}"/>
            </a:ext>
          </a:extLst>
        </xdr:cNvPr>
        <xdr:cNvSpPr/>
      </xdr:nvSpPr>
      <xdr:spPr>
        <a:xfrm>
          <a:off x="138112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21" name="Down Arrow 20">
          <a:extLst>
            <a:ext uri="{FF2B5EF4-FFF2-40B4-BE49-F238E27FC236}">
              <a16:creationId xmlns:a16="http://schemas.microsoft.com/office/drawing/2014/main" id="{00000000-0008-0000-0B00-000015000000}"/>
            </a:ext>
          </a:extLst>
        </xdr:cNvPr>
        <xdr:cNvSpPr/>
      </xdr:nvSpPr>
      <xdr:spPr>
        <a:xfrm rot="16200000">
          <a:off x="6719891" y="64341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0B00-000016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23" name="Down Arrow 22">
          <a:extLst>
            <a:ext uri="{FF2B5EF4-FFF2-40B4-BE49-F238E27FC236}">
              <a16:creationId xmlns:a16="http://schemas.microsoft.com/office/drawing/2014/main" id="{00000000-0008-0000-0B00-000017000000}"/>
            </a:ext>
          </a:extLst>
        </xdr:cNvPr>
        <xdr:cNvSpPr/>
      </xdr:nvSpPr>
      <xdr:spPr>
        <a:xfrm rot="16200000">
          <a:off x="7986717" y="64341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95254</xdr:colOff>
      <xdr:row>40</xdr:row>
      <xdr:rowOff>66675</xdr:rowOff>
    </xdr:from>
    <xdr:to>
      <xdr:col>9</xdr:col>
      <xdr:colOff>447679</xdr:colOff>
      <xdr:row>48</xdr:row>
      <xdr:rowOff>104775</xdr:rowOff>
    </xdr:to>
    <xdr:sp macro="" textlink="">
      <xdr:nvSpPr>
        <xdr:cNvPr id="24" name="Down Arrow 23">
          <a:extLst>
            <a:ext uri="{FF2B5EF4-FFF2-40B4-BE49-F238E27FC236}">
              <a16:creationId xmlns:a16="http://schemas.microsoft.com/office/drawing/2014/main" id="{00000000-0008-0000-0B00-000018000000}"/>
            </a:ext>
          </a:extLst>
        </xdr:cNvPr>
        <xdr:cNvSpPr/>
      </xdr:nvSpPr>
      <xdr:spPr>
        <a:xfrm rot="16200000">
          <a:off x="4976817"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26" name="Down Arrow 25">
          <a:extLst>
            <a:ext uri="{FF2B5EF4-FFF2-40B4-BE49-F238E27FC236}">
              <a16:creationId xmlns:a16="http://schemas.microsoft.com/office/drawing/2014/main" id="{00000000-0008-0000-0B00-00001A000000}"/>
            </a:ext>
          </a:extLst>
        </xdr:cNvPr>
        <xdr:cNvSpPr/>
      </xdr:nvSpPr>
      <xdr:spPr>
        <a:xfrm>
          <a:off x="12553950" y="48958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27" name="Down Arrow 26">
          <a:extLst>
            <a:ext uri="{FF2B5EF4-FFF2-40B4-BE49-F238E27FC236}">
              <a16:creationId xmlns:a16="http://schemas.microsoft.com/office/drawing/2014/main" id="{00000000-0008-0000-0B00-00001B000000}"/>
            </a:ext>
          </a:extLst>
        </xdr:cNvPr>
        <xdr:cNvSpPr/>
      </xdr:nvSpPr>
      <xdr:spPr>
        <a:xfrm>
          <a:off x="119538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30" name="Down Arrow 29">
          <a:extLst>
            <a:ext uri="{FF2B5EF4-FFF2-40B4-BE49-F238E27FC236}">
              <a16:creationId xmlns:a16="http://schemas.microsoft.com/office/drawing/2014/main" id="{00000000-0008-0000-0B00-00001E000000}"/>
            </a:ext>
          </a:extLst>
        </xdr:cNvPr>
        <xdr:cNvSpPr/>
      </xdr:nvSpPr>
      <xdr:spPr>
        <a:xfrm rot="16200000">
          <a:off x="5338768" y="3433761"/>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31" name="Down Arrow 30">
          <a:extLst>
            <a:ext uri="{FF2B5EF4-FFF2-40B4-BE49-F238E27FC236}">
              <a16:creationId xmlns:a16="http://schemas.microsoft.com/office/drawing/2014/main" id="{00000000-0008-0000-0B00-00001F000000}"/>
            </a:ext>
          </a:extLst>
        </xdr:cNvPr>
        <xdr:cNvSpPr/>
      </xdr:nvSpPr>
      <xdr:spPr>
        <a:xfrm rot="16200000">
          <a:off x="7367593" y="3443286"/>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32" name="Down Arrow 31">
          <a:extLst>
            <a:ext uri="{FF2B5EF4-FFF2-40B4-BE49-F238E27FC236}">
              <a16:creationId xmlns:a16="http://schemas.microsoft.com/office/drawing/2014/main" id="{00000000-0008-0000-0B00-000020000000}"/>
            </a:ext>
          </a:extLst>
        </xdr:cNvPr>
        <xdr:cNvSpPr/>
      </xdr:nvSpPr>
      <xdr:spPr>
        <a:xfrm rot="16200000">
          <a:off x="8634418" y="3433761"/>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19" name="Bent Arrow 18">
          <a:extLst>
            <a:ext uri="{FF2B5EF4-FFF2-40B4-BE49-F238E27FC236}">
              <a16:creationId xmlns:a16="http://schemas.microsoft.com/office/drawing/2014/main" id="{00000000-0008-0000-0B00-000013000000}"/>
            </a:ext>
          </a:extLst>
        </xdr:cNvPr>
        <xdr:cNvSpPr/>
      </xdr:nvSpPr>
      <xdr:spPr>
        <a:xfrm rot="5400000">
          <a:off x="9439272"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B00-000014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0B00-000019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0B00-00001C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0B00-00001D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0B00-000021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0B00-000022000000}"/>
            </a:ext>
          </a:extLst>
        </xdr:cNvPr>
        <xdr:cNvSpPr/>
      </xdr:nvSpPr>
      <xdr:spPr>
        <a:xfrm rot="5400000">
          <a:off x="9444035"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5" name="Bent Arrow 34">
          <a:extLst>
            <a:ext uri="{FF2B5EF4-FFF2-40B4-BE49-F238E27FC236}">
              <a16:creationId xmlns:a16="http://schemas.microsoft.com/office/drawing/2014/main" id="{00000000-0008-0000-0B00-000023000000}"/>
            </a:ext>
          </a:extLst>
        </xdr:cNvPr>
        <xdr:cNvSpPr/>
      </xdr:nvSpPr>
      <xdr:spPr>
        <a:xfrm rot="5400000">
          <a:off x="9439272"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C00-000002000000}"/>
            </a:ext>
          </a:extLst>
        </xdr:cNvPr>
        <xdr:cNvSpPr/>
      </xdr:nvSpPr>
      <xdr:spPr>
        <a:xfrm>
          <a:off x="7143750" y="4524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C00-000003000000}"/>
            </a:ext>
          </a:extLst>
        </xdr:cNvPr>
        <xdr:cNvSpPr/>
      </xdr:nvSpPr>
      <xdr:spPr>
        <a:xfrm>
          <a:off x="5038725" y="4543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C00-000004000000}"/>
            </a:ext>
          </a:extLst>
        </xdr:cNvPr>
        <xdr:cNvSpPr/>
      </xdr:nvSpPr>
      <xdr:spPr>
        <a:xfrm>
          <a:off x="4438650" y="45529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C00-000005000000}"/>
            </a:ext>
          </a:extLst>
        </xdr:cNvPr>
        <xdr:cNvSpPr/>
      </xdr:nvSpPr>
      <xdr:spPr>
        <a:xfrm>
          <a:off x="3838575" y="4543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C00-000006000000}"/>
            </a:ext>
          </a:extLst>
        </xdr:cNvPr>
        <xdr:cNvSpPr/>
      </xdr:nvSpPr>
      <xdr:spPr>
        <a:xfrm>
          <a:off x="3228975" y="45529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C00-000007000000}"/>
            </a:ext>
          </a:extLst>
        </xdr:cNvPr>
        <xdr:cNvSpPr/>
      </xdr:nvSpPr>
      <xdr:spPr>
        <a:xfrm>
          <a:off x="2609850" y="45624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C00-000008000000}"/>
            </a:ext>
          </a:extLst>
        </xdr:cNvPr>
        <xdr:cNvSpPr/>
      </xdr:nvSpPr>
      <xdr:spPr>
        <a:xfrm>
          <a:off x="2009775" y="45529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C00-000009000000}"/>
            </a:ext>
          </a:extLst>
        </xdr:cNvPr>
        <xdr:cNvSpPr/>
      </xdr:nvSpPr>
      <xdr:spPr>
        <a:xfrm>
          <a:off x="1381125" y="45529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C00-00000A000000}"/>
            </a:ext>
          </a:extLst>
        </xdr:cNvPr>
        <xdr:cNvSpPr/>
      </xdr:nvSpPr>
      <xdr:spPr>
        <a:xfrm rot="16200000">
          <a:off x="7005641" y="60721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C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C00-00000C000000}"/>
            </a:ext>
          </a:extLst>
        </xdr:cNvPr>
        <xdr:cNvSpPr/>
      </xdr:nvSpPr>
      <xdr:spPr>
        <a:xfrm rot="16200000">
          <a:off x="8348667" y="60721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85729</xdr:colOff>
      <xdr:row>40</xdr:row>
      <xdr:rowOff>85725</xdr:rowOff>
    </xdr:from>
    <xdr:to>
      <xdr:col>9</xdr:col>
      <xdr:colOff>438154</xdr:colOff>
      <xdr:row>48</xdr:row>
      <xdr:rowOff>123825</xdr:rowOff>
    </xdr:to>
    <xdr:sp macro="" textlink="">
      <xdr:nvSpPr>
        <xdr:cNvPr id="13" name="Down Arrow 12">
          <a:extLst>
            <a:ext uri="{FF2B5EF4-FFF2-40B4-BE49-F238E27FC236}">
              <a16:creationId xmlns:a16="http://schemas.microsoft.com/office/drawing/2014/main" id="{00000000-0008-0000-0C00-00000D000000}"/>
            </a:ext>
          </a:extLst>
        </xdr:cNvPr>
        <xdr:cNvSpPr/>
      </xdr:nvSpPr>
      <xdr:spPr>
        <a:xfrm rot="16200000">
          <a:off x="4967292"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C00-00000E000000}"/>
            </a:ext>
          </a:extLst>
        </xdr:cNvPr>
        <xdr:cNvSpPr/>
      </xdr:nvSpPr>
      <xdr:spPr>
        <a:xfrm>
          <a:off x="12630150" y="4533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C00-00000F000000}"/>
            </a:ext>
          </a:extLst>
        </xdr:cNvPr>
        <xdr:cNvSpPr/>
      </xdr:nvSpPr>
      <xdr:spPr>
        <a:xfrm>
          <a:off x="12030075" y="4543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C00-000010000000}"/>
            </a:ext>
          </a:extLst>
        </xdr:cNvPr>
        <xdr:cNvSpPr/>
      </xdr:nvSpPr>
      <xdr:spPr>
        <a:xfrm rot="16200000">
          <a:off x="5329243" y="34242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C00-000011000000}"/>
            </a:ext>
          </a:extLst>
        </xdr:cNvPr>
        <xdr:cNvSpPr/>
      </xdr:nvSpPr>
      <xdr:spPr>
        <a:xfrm rot="16200000">
          <a:off x="7358068" y="34337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C00-000012000000}"/>
            </a:ext>
          </a:extLst>
        </xdr:cNvPr>
        <xdr:cNvSpPr/>
      </xdr:nvSpPr>
      <xdr:spPr>
        <a:xfrm rot="16200000">
          <a:off x="8701093" y="34242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C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0" name="Bent Arrow 19">
          <a:extLst>
            <a:ext uri="{FF2B5EF4-FFF2-40B4-BE49-F238E27FC236}">
              <a16:creationId xmlns:a16="http://schemas.microsoft.com/office/drawing/2014/main" id="{00000000-0008-0000-0C00-000014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0C00-000015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0C00-000016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0C00-000017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0C00-000018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0C00-000019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0C00-00001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7" name="Bent Arrow 26">
          <a:extLst>
            <a:ext uri="{FF2B5EF4-FFF2-40B4-BE49-F238E27FC236}">
              <a16:creationId xmlns:a16="http://schemas.microsoft.com/office/drawing/2014/main" id="{00000000-0008-0000-0C00-00001B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D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D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D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D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D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D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D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D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D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D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D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209554</xdr:colOff>
      <xdr:row>40</xdr:row>
      <xdr:rowOff>66675</xdr:rowOff>
    </xdr:from>
    <xdr:to>
      <xdr:col>9</xdr:col>
      <xdr:colOff>561979</xdr:colOff>
      <xdr:row>48</xdr:row>
      <xdr:rowOff>104775</xdr:rowOff>
    </xdr:to>
    <xdr:sp macro="" textlink="">
      <xdr:nvSpPr>
        <xdr:cNvPr id="13" name="Down Arrow 12">
          <a:extLst>
            <a:ext uri="{FF2B5EF4-FFF2-40B4-BE49-F238E27FC236}">
              <a16:creationId xmlns:a16="http://schemas.microsoft.com/office/drawing/2014/main" id="{00000000-0008-0000-0D00-00000D000000}"/>
            </a:ext>
          </a:extLst>
        </xdr:cNvPr>
        <xdr:cNvSpPr/>
      </xdr:nvSpPr>
      <xdr:spPr>
        <a:xfrm rot="16200000">
          <a:off x="5091117"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D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D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D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D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D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D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D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1" name="Bent Arrow 20">
          <a:extLst>
            <a:ext uri="{FF2B5EF4-FFF2-40B4-BE49-F238E27FC236}">
              <a16:creationId xmlns:a16="http://schemas.microsoft.com/office/drawing/2014/main" id="{00000000-0008-0000-0D00-000015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0D00-000016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0D00-000017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0D00-000018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0D00-000019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0D00-00001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0D00-00001B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8" name="Bent Arrow 27">
          <a:extLst>
            <a:ext uri="{FF2B5EF4-FFF2-40B4-BE49-F238E27FC236}">
              <a16:creationId xmlns:a16="http://schemas.microsoft.com/office/drawing/2014/main" id="{00000000-0008-0000-0D00-00001C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E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E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E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E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E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E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E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E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E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E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E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95254</xdr:colOff>
      <xdr:row>40</xdr:row>
      <xdr:rowOff>76200</xdr:rowOff>
    </xdr:from>
    <xdr:to>
      <xdr:col>9</xdr:col>
      <xdr:colOff>447679</xdr:colOff>
      <xdr:row>48</xdr:row>
      <xdr:rowOff>114300</xdr:rowOff>
    </xdr:to>
    <xdr:sp macro="" textlink="">
      <xdr:nvSpPr>
        <xdr:cNvPr id="13" name="Down Arrow 12">
          <a:extLst>
            <a:ext uri="{FF2B5EF4-FFF2-40B4-BE49-F238E27FC236}">
              <a16:creationId xmlns:a16="http://schemas.microsoft.com/office/drawing/2014/main" id="{00000000-0008-0000-0E00-00000D000000}"/>
            </a:ext>
          </a:extLst>
        </xdr:cNvPr>
        <xdr:cNvSpPr/>
      </xdr:nvSpPr>
      <xdr:spPr>
        <a:xfrm rot="16200000">
          <a:off x="4976817" y="55102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E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E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E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E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E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E00-000013000000}"/>
            </a:ext>
          </a:extLst>
        </xdr:cNvPr>
        <xdr:cNvSpPr/>
      </xdr:nvSpPr>
      <xdr:spPr>
        <a:xfrm rot="5400000">
          <a:off x="9615485" y="327660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E00-000014000000}"/>
            </a:ext>
          </a:extLst>
        </xdr:cNvPr>
        <xdr:cNvSpPr/>
      </xdr:nvSpPr>
      <xdr:spPr>
        <a:xfrm rot="5400000">
          <a:off x="9615485" y="327660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0E00-000015000000}"/>
            </a:ext>
          </a:extLst>
        </xdr:cNvPr>
        <xdr:cNvSpPr/>
      </xdr:nvSpPr>
      <xdr:spPr>
        <a:xfrm rot="5400000">
          <a:off x="9615485" y="327660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2" name="Bent Arrow 21">
          <a:extLst>
            <a:ext uri="{FF2B5EF4-FFF2-40B4-BE49-F238E27FC236}">
              <a16:creationId xmlns:a16="http://schemas.microsoft.com/office/drawing/2014/main" id="{00000000-0008-0000-0E00-000016000000}"/>
            </a:ext>
          </a:extLst>
        </xdr:cNvPr>
        <xdr:cNvSpPr/>
      </xdr:nvSpPr>
      <xdr:spPr>
        <a:xfrm rot="5400000">
          <a:off x="9610722" y="327183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0E00-000017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0E00-000018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0E00-000019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0E00-00001A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0E00-00001B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0E00-00001C000000}"/>
            </a:ext>
          </a:extLst>
        </xdr:cNvPr>
        <xdr:cNvSpPr/>
      </xdr:nvSpPr>
      <xdr:spPr>
        <a:xfrm rot="5400000">
          <a:off x="9615485"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9" name="Bent Arrow 28">
          <a:extLst>
            <a:ext uri="{FF2B5EF4-FFF2-40B4-BE49-F238E27FC236}">
              <a16:creationId xmlns:a16="http://schemas.microsoft.com/office/drawing/2014/main" id="{00000000-0008-0000-0E00-00001D000000}"/>
            </a:ext>
          </a:extLst>
        </xdr:cNvPr>
        <xdr:cNvSpPr/>
      </xdr:nvSpPr>
      <xdr:spPr>
        <a:xfrm rot="5400000">
          <a:off x="9610722" y="327183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3" name="Down Arrow 2">
          <a:extLst>
            <a:ext uri="{FF2B5EF4-FFF2-40B4-BE49-F238E27FC236}">
              <a16:creationId xmlns:a16="http://schemas.microsoft.com/office/drawing/2014/main" id="{00000000-0008-0000-0F00-000003000000}"/>
            </a:ext>
          </a:extLst>
        </xdr:cNvPr>
        <xdr:cNvSpPr/>
      </xdr:nvSpPr>
      <xdr:spPr>
        <a:xfrm>
          <a:off x="7143750" y="48863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5" name="Down Arrow 4">
          <a:extLst>
            <a:ext uri="{FF2B5EF4-FFF2-40B4-BE49-F238E27FC236}">
              <a16:creationId xmlns:a16="http://schemas.microsoft.com/office/drawing/2014/main" id="{00000000-0008-0000-0F00-000005000000}"/>
            </a:ext>
          </a:extLst>
        </xdr:cNvPr>
        <xdr:cNvSpPr/>
      </xdr:nvSpPr>
      <xdr:spPr>
        <a:xfrm>
          <a:off x="503872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6" name="Down Arrow 5">
          <a:extLst>
            <a:ext uri="{FF2B5EF4-FFF2-40B4-BE49-F238E27FC236}">
              <a16:creationId xmlns:a16="http://schemas.microsoft.com/office/drawing/2014/main" id="{00000000-0008-0000-0F00-000006000000}"/>
            </a:ext>
          </a:extLst>
        </xdr:cNvPr>
        <xdr:cNvSpPr/>
      </xdr:nvSpPr>
      <xdr:spPr>
        <a:xfrm>
          <a:off x="4438650"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7" name="Down Arrow 6">
          <a:extLst>
            <a:ext uri="{FF2B5EF4-FFF2-40B4-BE49-F238E27FC236}">
              <a16:creationId xmlns:a16="http://schemas.microsoft.com/office/drawing/2014/main" id="{00000000-0008-0000-0F00-000007000000}"/>
            </a:ext>
          </a:extLst>
        </xdr:cNvPr>
        <xdr:cNvSpPr/>
      </xdr:nvSpPr>
      <xdr:spPr>
        <a:xfrm>
          <a:off x="38385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8" name="Down Arrow 7">
          <a:extLst>
            <a:ext uri="{FF2B5EF4-FFF2-40B4-BE49-F238E27FC236}">
              <a16:creationId xmlns:a16="http://schemas.microsoft.com/office/drawing/2014/main" id="{00000000-0008-0000-0F00-000008000000}"/>
            </a:ext>
          </a:extLst>
        </xdr:cNvPr>
        <xdr:cNvSpPr/>
      </xdr:nvSpPr>
      <xdr:spPr>
        <a:xfrm>
          <a:off x="32289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9" name="Down Arrow 8">
          <a:extLst>
            <a:ext uri="{FF2B5EF4-FFF2-40B4-BE49-F238E27FC236}">
              <a16:creationId xmlns:a16="http://schemas.microsoft.com/office/drawing/2014/main" id="{00000000-0008-0000-0F00-000009000000}"/>
            </a:ext>
          </a:extLst>
        </xdr:cNvPr>
        <xdr:cNvSpPr/>
      </xdr:nvSpPr>
      <xdr:spPr>
        <a:xfrm>
          <a:off x="2609850" y="49244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10" name="Down Arrow 9">
          <a:extLst>
            <a:ext uri="{FF2B5EF4-FFF2-40B4-BE49-F238E27FC236}">
              <a16:creationId xmlns:a16="http://schemas.microsoft.com/office/drawing/2014/main" id="{00000000-0008-0000-0F00-00000A000000}"/>
            </a:ext>
          </a:extLst>
        </xdr:cNvPr>
        <xdr:cNvSpPr/>
      </xdr:nvSpPr>
      <xdr:spPr>
        <a:xfrm>
          <a:off x="200977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11" name="Down Arrow 10">
          <a:extLst>
            <a:ext uri="{FF2B5EF4-FFF2-40B4-BE49-F238E27FC236}">
              <a16:creationId xmlns:a16="http://schemas.microsoft.com/office/drawing/2014/main" id="{00000000-0008-0000-0F00-00000B000000}"/>
            </a:ext>
          </a:extLst>
        </xdr:cNvPr>
        <xdr:cNvSpPr/>
      </xdr:nvSpPr>
      <xdr:spPr>
        <a:xfrm>
          <a:off x="1381125" y="49149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20" name="Down Arrow 19">
          <a:extLst>
            <a:ext uri="{FF2B5EF4-FFF2-40B4-BE49-F238E27FC236}">
              <a16:creationId xmlns:a16="http://schemas.microsoft.com/office/drawing/2014/main" id="{00000000-0008-0000-0F00-000014000000}"/>
            </a:ext>
          </a:extLst>
        </xdr:cNvPr>
        <xdr:cNvSpPr/>
      </xdr:nvSpPr>
      <xdr:spPr>
        <a:xfrm rot="16200000">
          <a:off x="7005641" y="64341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17</xdr:col>
      <xdr:colOff>80961</xdr:colOff>
      <xdr:row>19</xdr:row>
      <xdr:rowOff>57150</xdr:rowOff>
    </xdr:from>
    <xdr:to>
      <xdr:col>19</xdr:col>
      <xdr:colOff>476248</xdr:colOff>
      <xdr:row>20</xdr:row>
      <xdr:rowOff>309564</xdr:rowOff>
    </xdr:to>
    <xdr:sp macro="" textlink="">
      <xdr:nvSpPr>
        <xdr:cNvPr id="21" name="Bent Arrow 20">
          <a:extLst>
            <a:ext uri="{FF2B5EF4-FFF2-40B4-BE49-F238E27FC236}">
              <a16:creationId xmlns:a16="http://schemas.microsoft.com/office/drawing/2014/main" id="{00000000-0008-0000-0F00-000015000000}"/>
            </a:ext>
          </a:extLst>
        </xdr:cNvPr>
        <xdr:cNvSpPr/>
      </xdr:nvSpPr>
      <xdr:spPr>
        <a:xfrm rot="5400000">
          <a:off x="10572748" y="3529013"/>
          <a:ext cx="442914"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85729</xdr:colOff>
      <xdr:row>40</xdr:row>
      <xdr:rowOff>76202</xdr:rowOff>
    </xdr:from>
    <xdr:to>
      <xdr:col>17</xdr:col>
      <xdr:colOff>438154</xdr:colOff>
      <xdr:row>48</xdr:row>
      <xdr:rowOff>114302</xdr:rowOff>
    </xdr:to>
    <xdr:sp macro="" textlink="">
      <xdr:nvSpPr>
        <xdr:cNvPr id="22" name="Down Arrow 21">
          <a:extLst>
            <a:ext uri="{FF2B5EF4-FFF2-40B4-BE49-F238E27FC236}">
              <a16:creationId xmlns:a16="http://schemas.microsoft.com/office/drawing/2014/main" id="{00000000-0008-0000-0F00-000016000000}"/>
            </a:ext>
          </a:extLst>
        </xdr:cNvPr>
        <xdr:cNvSpPr/>
      </xdr:nvSpPr>
      <xdr:spPr>
        <a:xfrm rot="16200000">
          <a:off x="8272467" y="64341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142878</xdr:colOff>
      <xdr:row>41</xdr:row>
      <xdr:rowOff>85725</xdr:rowOff>
    </xdr:from>
    <xdr:to>
      <xdr:col>9</xdr:col>
      <xdr:colOff>495303</xdr:colOff>
      <xdr:row>49</xdr:row>
      <xdr:rowOff>123825</xdr:rowOff>
    </xdr:to>
    <xdr:sp macro="" textlink="">
      <xdr:nvSpPr>
        <xdr:cNvPr id="23" name="Down Arrow 22">
          <a:extLst>
            <a:ext uri="{FF2B5EF4-FFF2-40B4-BE49-F238E27FC236}">
              <a16:creationId xmlns:a16="http://schemas.microsoft.com/office/drawing/2014/main" id="{00000000-0008-0000-0F00-000017000000}"/>
            </a:ext>
          </a:extLst>
        </xdr:cNvPr>
        <xdr:cNvSpPr/>
      </xdr:nvSpPr>
      <xdr:spPr>
        <a:xfrm rot="16200000">
          <a:off x="5024441" y="91392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24</xdr:col>
      <xdr:colOff>180975</xdr:colOff>
      <xdr:row>20</xdr:row>
      <xdr:rowOff>66675</xdr:rowOff>
    </xdr:from>
    <xdr:to>
      <xdr:col>24</xdr:col>
      <xdr:colOff>438150</xdr:colOff>
      <xdr:row>20</xdr:row>
      <xdr:rowOff>295275</xdr:rowOff>
    </xdr:to>
    <xdr:sp macro="" textlink="">
      <xdr:nvSpPr>
        <xdr:cNvPr id="25" name="Down Arrow 24">
          <a:extLst>
            <a:ext uri="{FF2B5EF4-FFF2-40B4-BE49-F238E27FC236}">
              <a16:creationId xmlns:a16="http://schemas.microsoft.com/office/drawing/2014/main" id="{00000000-0008-0000-0F00-000019000000}"/>
            </a:ext>
          </a:extLst>
        </xdr:cNvPr>
        <xdr:cNvSpPr/>
      </xdr:nvSpPr>
      <xdr:spPr>
        <a:xfrm>
          <a:off x="12553950" y="48958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23</xdr:col>
      <xdr:colOff>190500</xdr:colOff>
      <xdr:row>20</xdr:row>
      <xdr:rowOff>76200</xdr:rowOff>
    </xdr:from>
    <xdr:to>
      <xdr:col>23</xdr:col>
      <xdr:colOff>447675</xdr:colOff>
      <xdr:row>20</xdr:row>
      <xdr:rowOff>304800</xdr:rowOff>
    </xdr:to>
    <xdr:sp macro="" textlink="">
      <xdr:nvSpPr>
        <xdr:cNvPr id="26" name="Down Arrow 25">
          <a:extLst>
            <a:ext uri="{FF2B5EF4-FFF2-40B4-BE49-F238E27FC236}">
              <a16:creationId xmlns:a16="http://schemas.microsoft.com/office/drawing/2014/main" id="{00000000-0008-0000-0F00-00001A000000}"/>
            </a:ext>
          </a:extLst>
        </xdr:cNvPr>
        <xdr:cNvSpPr/>
      </xdr:nvSpPr>
      <xdr:spPr>
        <a:xfrm>
          <a:off x="11953875" y="49053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30" name="Down Arrow 29">
          <a:extLst>
            <a:ext uri="{FF2B5EF4-FFF2-40B4-BE49-F238E27FC236}">
              <a16:creationId xmlns:a16="http://schemas.microsoft.com/office/drawing/2014/main" id="{00000000-0008-0000-0F00-00001E000000}"/>
            </a:ext>
          </a:extLst>
        </xdr:cNvPr>
        <xdr:cNvSpPr/>
      </xdr:nvSpPr>
      <xdr:spPr>
        <a:xfrm rot="16200000">
          <a:off x="7367593" y="3443286"/>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17</xdr:col>
      <xdr:colOff>85730</xdr:colOff>
      <xdr:row>12</xdr:row>
      <xdr:rowOff>76199</xdr:rowOff>
    </xdr:from>
    <xdr:to>
      <xdr:col>17</xdr:col>
      <xdr:colOff>438155</xdr:colOff>
      <xdr:row>16</xdr:row>
      <xdr:rowOff>142873</xdr:rowOff>
    </xdr:to>
    <xdr:sp macro="" textlink="">
      <xdr:nvSpPr>
        <xdr:cNvPr id="31" name="Down Arrow 30">
          <a:extLst>
            <a:ext uri="{FF2B5EF4-FFF2-40B4-BE49-F238E27FC236}">
              <a16:creationId xmlns:a16="http://schemas.microsoft.com/office/drawing/2014/main" id="{00000000-0008-0000-0F00-00001F000000}"/>
            </a:ext>
          </a:extLst>
        </xdr:cNvPr>
        <xdr:cNvSpPr/>
      </xdr:nvSpPr>
      <xdr:spPr>
        <a:xfrm rot="16200000">
          <a:off x="8634418" y="3433761"/>
          <a:ext cx="83819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14</xdr:col>
      <xdr:colOff>276225</xdr:colOff>
      <xdr:row>18</xdr:row>
      <xdr:rowOff>123825</xdr:rowOff>
    </xdr:from>
    <xdr:to>
      <xdr:col>14</xdr:col>
      <xdr:colOff>533400</xdr:colOff>
      <xdr:row>39</xdr:row>
      <xdr:rowOff>76200</xdr:rowOff>
    </xdr:to>
    <xdr:sp macro="" textlink="">
      <xdr:nvSpPr>
        <xdr:cNvPr id="34" name="Down Arrow 33">
          <a:extLst>
            <a:ext uri="{FF2B5EF4-FFF2-40B4-BE49-F238E27FC236}">
              <a16:creationId xmlns:a16="http://schemas.microsoft.com/office/drawing/2014/main" id="{00000000-0008-0000-0F00-000022000000}"/>
            </a:ext>
          </a:extLst>
        </xdr:cNvPr>
        <xdr:cNvSpPr/>
      </xdr:nvSpPr>
      <xdr:spPr>
        <a:xfrm>
          <a:off x="8334375" y="4210050"/>
          <a:ext cx="257175" cy="8763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85729</xdr:colOff>
      <xdr:row>40</xdr:row>
      <xdr:rowOff>57150</xdr:rowOff>
    </xdr:from>
    <xdr:to>
      <xdr:col>15</xdr:col>
      <xdr:colOff>438154</xdr:colOff>
      <xdr:row>48</xdr:row>
      <xdr:rowOff>95250</xdr:rowOff>
    </xdr:to>
    <xdr:sp macro="" textlink="">
      <xdr:nvSpPr>
        <xdr:cNvPr id="35" name="Down Arrow 34">
          <a:extLst>
            <a:ext uri="{FF2B5EF4-FFF2-40B4-BE49-F238E27FC236}">
              <a16:creationId xmlns:a16="http://schemas.microsoft.com/office/drawing/2014/main" id="{00000000-0008-0000-0F00-000023000000}"/>
            </a:ext>
          </a:extLst>
        </xdr:cNvPr>
        <xdr:cNvSpPr/>
      </xdr:nvSpPr>
      <xdr:spPr>
        <a:xfrm rot="16200000">
          <a:off x="8329617" y="64150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95249</xdr:rowOff>
    </xdr:from>
    <xdr:to>
      <xdr:col>15</xdr:col>
      <xdr:colOff>438155</xdr:colOff>
      <xdr:row>16</xdr:row>
      <xdr:rowOff>161923</xdr:rowOff>
    </xdr:to>
    <xdr:sp macro="" textlink="">
      <xdr:nvSpPr>
        <xdr:cNvPr id="36" name="Down Arrow 35">
          <a:extLst>
            <a:ext uri="{FF2B5EF4-FFF2-40B4-BE49-F238E27FC236}">
              <a16:creationId xmlns:a16="http://schemas.microsoft.com/office/drawing/2014/main" id="{00000000-0008-0000-0F00-000024000000}"/>
            </a:ext>
          </a:extLst>
        </xdr:cNvPr>
        <xdr:cNvSpPr/>
      </xdr:nvSpPr>
      <xdr:spPr>
        <a:xfrm rot="16200000">
          <a:off x="8682043" y="34432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14</xdr:col>
      <xdr:colOff>276223</xdr:colOff>
      <xdr:row>54</xdr:row>
      <xdr:rowOff>66674</xdr:rowOff>
    </xdr:from>
    <xdr:to>
      <xdr:col>14</xdr:col>
      <xdr:colOff>533398</xdr:colOff>
      <xdr:row>56</xdr:row>
      <xdr:rowOff>133348</xdr:rowOff>
    </xdr:to>
    <xdr:sp macro="" textlink="">
      <xdr:nvSpPr>
        <xdr:cNvPr id="24" name="Down Arrow 23">
          <a:extLst>
            <a:ext uri="{FF2B5EF4-FFF2-40B4-BE49-F238E27FC236}">
              <a16:creationId xmlns:a16="http://schemas.microsoft.com/office/drawing/2014/main" id="{00000000-0008-0000-0F00-000018000000}"/>
            </a:ext>
          </a:extLst>
        </xdr:cNvPr>
        <xdr:cNvSpPr/>
      </xdr:nvSpPr>
      <xdr:spPr>
        <a:xfrm rot="10800000">
          <a:off x="8410573" y="6791324"/>
          <a:ext cx="257175" cy="457199"/>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27" name="Bent Arrow 26">
          <a:extLst>
            <a:ext uri="{FF2B5EF4-FFF2-40B4-BE49-F238E27FC236}">
              <a16:creationId xmlns:a16="http://schemas.microsoft.com/office/drawing/2014/main" id="{00000000-0008-0000-0F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28" name="Bent Arrow 27">
          <a:extLst>
            <a:ext uri="{FF2B5EF4-FFF2-40B4-BE49-F238E27FC236}">
              <a16:creationId xmlns:a16="http://schemas.microsoft.com/office/drawing/2014/main" id="{00000000-0008-0000-0F00-00001C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29" name="Bent Arrow 28">
          <a:extLst>
            <a:ext uri="{FF2B5EF4-FFF2-40B4-BE49-F238E27FC236}">
              <a16:creationId xmlns:a16="http://schemas.microsoft.com/office/drawing/2014/main" id="{00000000-0008-0000-0F00-00001D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32" name="Bent Arrow 31">
          <a:extLst>
            <a:ext uri="{FF2B5EF4-FFF2-40B4-BE49-F238E27FC236}">
              <a16:creationId xmlns:a16="http://schemas.microsoft.com/office/drawing/2014/main" id="{00000000-0008-0000-0F00-000020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80960</xdr:colOff>
      <xdr:row>19</xdr:row>
      <xdr:rowOff>38100</xdr:rowOff>
    </xdr:from>
    <xdr:to>
      <xdr:col>19</xdr:col>
      <xdr:colOff>476247</xdr:colOff>
      <xdr:row>20</xdr:row>
      <xdr:rowOff>309564</xdr:rowOff>
    </xdr:to>
    <xdr:sp macro="" textlink="">
      <xdr:nvSpPr>
        <xdr:cNvPr id="33" name="Bent Arrow 32">
          <a:extLst>
            <a:ext uri="{FF2B5EF4-FFF2-40B4-BE49-F238E27FC236}">
              <a16:creationId xmlns:a16="http://schemas.microsoft.com/office/drawing/2014/main" id="{00000000-0008-0000-0F00-000021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37" name="Bent Arrow 36">
          <a:extLst>
            <a:ext uri="{FF2B5EF4-FFF2-40B4-BE49-F238E27FC236}">
              <a16:creationId xmlns:a16="http://schemas.microsoft.com/office/drawing/2014/main" id="{00000000-0008-0000-0F00-000025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38" name="Bent Arrow 37">
          <a:extLst>
            <a:ext uri="{FF2B5EF4-FFF2-40B4-BE49-F238E27FC236}">
              <a16:creationId xmlns:a16="http://schemas.microsoft.com/office/drawing/2014/main" id="{00000000-0008-0000-0F00-000026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39" name="Bent Arrow 38">
          <a:extLst>
            <a:ext uri="{FF2B5EF4-FFF2-40B4-BE49-F238E27FC236}">
              <a16:creationId xmlns:a16="http://schemas.microsoft.com/office/drawing/2014/main" id="{00000000-0008-0000-0F00-000027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40" name="Bent Arrow 39">
          <a:extLst>
            <a:ext uri="{FF2B5EF4-FFF2-40B4-BE49-F238E27FC236}">
              <a16:creationId xmlns:a16="http://schemas.microsoft.com/office/drawing/2014/main" id="{00000000-0008-0000-0F00-000028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41" name="Bent Arrow 40">
          <a:extLst>
            <a:ext uri="{FF2B5EF4-FFF2-40B4-BE49-F238E27FC236}">
              <a16:creationId xmlns:a16="http://schemas.microsoft.com/office/drawing/2014/main" id="{00000000-0008-0000-0F00-000029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80961</xdr:colOff>
      <xdr:row>19</xdr:row>
      <xdr:rowOff>47625</xdr:rowOff>
    </xdr:from>
    <xdr:to>
      <xdr:col>19</xdr:col>
      <xdr:colOff>476248</xdr:colOff>
      <xdr:row>20</xdr:row>
      <xdr:rowOff>309564</xdr:rowOff>
    </xdr:to>
    <xdr:sp macro="" textlink="">
      <xdr:nvSpPr>
        <xdr:cNvPr id="42" name="Bent Arrow 41">
          <a:extLst>
            <a:ext uri="{FF2B5EF4-FFF2-40B4-BE49-F238E27FC236}">
              <a16:creationId xmlns:a16="http://schemas.microsoft.com/office/drawing/2014/main" id="{00000000-0008-0000-0F00-00002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17</xdr:col>
      <xdr:colOff>80960</xdr:colOff>
      <xdr:row>19</xdr:row>
      <xdr:rowOff>38100</xdr:rowOff>
    </xdr:from>
    <xdr:to>
      <xdr:col>19</xdr:col>
      <xdr:colOff>476247</xdr:colOff>
      <xdr:row>20</xdr:row>
      <xdr:rowOff>309564</xdr:rowOff>
    </xdr:to>
    <xdr:sp macro="" textlink="">
      <xdr:nvSpPr>
        <xdr:cNvPr id="43" name="Bent Arrow 42">
          <a:extLst>
            <a:ext uri="{FF2B5EF4-FFF2-40B4-BE49-F238E27FC236}">
              <a16:creationId xmlns:a16="http://schemas.microsoft.com/office/drawing/2014/main" id="{00000000-0008-0000-0F00-00002B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0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0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0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0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0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0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0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0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0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0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0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85729</xdr:colOff>
      <xdr:row>40</xdr:row>
      <xdr:rowOff>85725</xdr:rowOff>
    </xdr:from>
    <xdr:to>
      <xdr:col>9</xdr:col>
      <xdr:colOff>438154</xdr:colOff>
      <xdr:row>48</xdr:row>
      <xdr:rowOff>123825</xdr:rowOff>
    </xdr:to>
    <xdr:sp macro="" textlink="">
      <xdr:nvSpPr>
        <xdr:cNvPr id="13" name="Down Arrow 12">
          <a:extLst>
            <a:ext uri="{FF2B5EF4-FFF2-40B4-BE49-F238E27FC236}">
              <a16:creationId xmlns:a16="http://schemas.microsoft.com/office/drawing/2014/main" id="{00000000-0008-0000-1000-00000D000000}"/>
            </a:ext>
          </a:extLst>
        </xdr:cNvPr>
        <xdr:cNvSpPr/>
      </xdr:nvSpPr>
      <xdr:spPr>
        <a:xfrm rot="16200000">
          <a:off x="4967292"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0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0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0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0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0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0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0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0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0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3" name="Bent Arrow 22">
          <a:extLst>
            <a:ext uri="{FF2B5EF4-FFF2-40B4-BE49-F238E27FC236}">
              <a16:creationId xmlns:a16="http://schemas.microsoft.com/office/drawing/2014/main" id="{00000000-0008-0000-1000-000017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000-000018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000-000019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000-00001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000-00001B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000-00001C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0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0" name="Bent Arrow 29">
          <a:extLst>
            <a:ext uri="{FF2B5EF4-FFF2-40B4-BE49-F238E27FC236}">
              <a16:creationId xmlns:a16="http://schemas.microsoft.com/office/drawing/2014/main" id="{00000000-0008-0000-1000-00001E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1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1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1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1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1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1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1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1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1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1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1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95253</xdr:colOff>
      <xdr:row>41</xdr:row>
      <xdr:rowOff>76200</xdr:rowOff>
    </xdr:from>
    <xdr:to>
      <xdr:col>9</xdr:col>
      <xdr:colOff>447678</xdr:colOff>
      <xdr:row>49</xdr:row>
      <xdr:rowOff>114300</xdr:rowOff>
    </xdr:to>
    <xdr:sp macro="" textlink="">
      <xdr:nvSpPr>
        <xdr:cNvPr id="13" name="Down Arrow 12">
          <a:extLst>
            <a:ext uri="{FF2B5EF4-FFF2-40B4-BE49-F238E27FC236}">
              <a16:creationId xmlns:a16="http://schemas.microsoft.com/office/drawing/2014/main" id="{00000000-0008-0000-1100-00000D000000}"/>
            </a:ext>
          </a:extLst>
        </xdr:cNvPr>
        <xdr:cNvSpPr/>
      </xdr:nvSpPr>
      <xdr:spPr>
        <a:xfrm rot="16200000">
          <a:off x="4976816" y="91297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1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1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1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1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1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1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1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1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1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1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4" name="Bent Arrow 23">
          <a:extLst>
            <a:ext uri="{FF2B5EF4-FFF2-40B4-BE49-F238E27FC236}">
              <a16:creationId xmlns:a16="http://schemas.microsoft.com/office/drawing/2014/main" id="{00000000-0008-0000-1100-000018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100-000019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100-00001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100-00001B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100-00001C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1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1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1" name="Bent Arrow 30">
          <a:extLst>
            <a:ext uri="{FF2B5EF4-FFF2-40B4-BE49-F238E27FC236}">
              <a16:creationId xmlns:a16="http://schemas.microsoft.com/office/drawing/2014/main" id="{00000000-0008-0000-1100-00001F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2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2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2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2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2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2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2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2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2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2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2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95254</xdr:colOff>
      <xdr:row>40</xdr:row>
      <xdr:rowOff>114300</xdr:rowOff>
    </xdr:from>
    <xdr:to>
      <xdr:col>9</xdr:col>
      <xdr:colOff>447679</xdr:colOff>
      <xdr:row>48</xdr:row>
      <xdr:rowOff>152400</xdr:rowOff>
    </xdr:to>
    <xdr:sp macro="" textlink="">
      <xdr:nvSpPr>
        <xdr:cNvPr id="13" name="Down Arrow 12">
          <a:extLst>
            <a:ext uri="{FF2B5EF4-FFF2-40B4-BE49-F238E27FC236}">
              <a16:creationId xmlns:a16="http://schemas.microsoft.com/office/drawing/2014/main" id="{00000000-0008-0000-1200-00000D000000}"/>
            </a:ext>
          </a:extLst>
        </xdr:cNvPr>
        <xdr:cNvSpPr/>
      </xdr:nvSpPr>
      <xdr:spPr>
        <a:xfrm rot="16200000">
          <a:off x="4976817" y="55483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2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2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2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2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2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2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2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2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2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2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2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5" name="Bent Arrow 24">
          <a:extLst>
            <a:ext uri="{FF2B5EF4-FFF2-40B4-BE49-F238E27FC236}">
              <a16:creationId xmlns:a16="http://schemas.microsoft.com/office/drawing/2014/main" id="{00000000-0008-0000-1200-000019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200-00001A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200-00001B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200-00001C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2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2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2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2" name="Bent Arrow 31">
          <a:extLst>
            <a:ext uri="{FF2B5EF4-FFF2-40B4-BE49-F238E27FC236}">
              <a16:creationId xmlns:a16="http://schemas.microsoft.com/office/drawing/2014/main" id="{00000000-0008-0000-1200-000020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3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3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3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3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3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3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3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3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3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300-00000B000000}"/>
            </a:ext>
          </a:extLst>
        </xdr:cNvPr>
        <xdr:cNvSpPr/>
      </xdr:nvSpPr>
      <xdr:spPr>
        <a:xfrm rot="5400000">
          <a:off x="9186860" y="3524251"/>
          <a:ext cx="452439" cy="9286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3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104778</xdr:colOff>
      <xdr:row>41</xdr:row>
      <xdr:rowOff>76200</xdr:rowOff>
    </xdr:from>
    <xdr:to>
      <xdr:col>9</xdr:col>
      <xdr:colOff>457203</xdr:colOff>
      <xdr:row>49</xdr:row>
      <xdr:rowOff>114300</xdr:rowOff>
    </xdr:to>
    <xdr:sp macro="" textlink="">
      <xdr:nvSpPr>
        <xdr:cNvPr id="13" name="Down Arrow 12">
          <a:extLst>
            <a:ext uri="{FF2B5EF4-FFF2-40B4-BE49-F238E27FC236}">
              <a16:creationId xmlns:a16="http://schemas.microsoft.com/office/drawing/2014/main" id="{00000000-0008-0000-1300-00000D000000}"/>
            </a:ext>
          </a:extLst>
        </xdr:cNvPr>
        <xdr:cNvSpPr/>
      </xdr:nvSpPr>
      <xdr:spPr>
        <a:xfrm rot="16200000">
          <a:off x="4986341" y="91297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3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3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3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3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3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3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3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3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3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3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3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3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6" name="Bent Arrow 25">
          <a:extLst>
            <a:ext uri="{FF2B5EF4-FFF2-40B4-BE49-F238E27FC236}">
              <a16:creationId xmlns:a16="http://schemas.microsoft.com/office/drawing/2014/main" id="{00000000-0008-0000-1300-00001A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300-00001B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300-00001C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3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3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3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3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3" name="Bent Arrow 32">
          <a:extLst>
            <a:ext uri="{FF2B5EF4-FFF2-40B4-BE49-F238E27FC236}">
              <a16:creationId xmlns:a16="http://schemas.microsoft.com/office/drawing/2014/main" id="{00000000-0008-0000-1300-000021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714374</xdr:colOff>
      <xdr:row>14</xdr:row>
      <xdr:rowOff>47625</xdr:rowOff>
    </xdr:from>
    <xdr:to>
      <xdr:col>8</xdr:col>
      <xdr:colOff>476250</xdr:colOff>
      <xdr:row>34</xdr:row>
      <xdr:rowOff>142875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4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4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4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4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4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4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4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4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4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4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4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114305</xdr:colOff>
      <xdr:row>40</xdr:row>
      <xdr:rowOff>114300</xdr:rowOff>
    </xdr:from>
    <xdr:to>
      <xdr:col>9</xdr:col>
      <xdr:colOff>466730</xdr:colOff>
      <xdr:row>48</xdr:row>
      <xdr:rowOff>152400</xdr:rowOff>
    </xdr:to>
    <xdr:sp macro="" textlink="">
      <xdr:nvSpPr>
        <xdr:cNvPr id="13" name="Down Arrow 12">
          <a:extLst>
            <a:ext uri="{FF2B5EF4-FFF2-40B4-BE49-F238E27FC236}">
              <a16:creationId xmlns:a16="http://schemas.microsoft.com/office/drawing/2014/main" id="{00000000-0008-0000-1400-00000D000000}"/>
            </a:ext>
          </a:extLst>
        </xdr:cNvPr>
        <xdr:cNvSpPr/>
      </xdr:nvSpPr>
      <xdr:spPr>
        <a:xfrm rot="16200000">
          <a:off x="4995868" y="55483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4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4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4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4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4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400-000013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4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4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4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4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4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4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4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7" name="Bent Arrow 26">
          <a:extLst>
            <a:ext uri="{FF2B5EF4-FFF2-40B4-BE49-F238E27FC236}">
              <a16:creationId xmlns:a16="http://schemas.microsoft.com/office/drawing/2014/main" id="{00000000-0008-0000-1400-00001B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400-00001C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4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4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4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4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4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4" name="Bent Arrow 33">
          <a:extLst>
            <a:ext uri="{FF2B5EF4-FFF2-40B4-BE49-F238E27FC236}">
              <a16:creationId xmlns:a16="http://schemas.microsoft.com/office/drawing/2014/main" id="{00000000-0008-0000-1400-000022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5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5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5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5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5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5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5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5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41</xdr:row>
      <xdr:rowOff>76200</xdr:rowOff>
    </xdr:from>
    <xdr:to>
      <xdr:col>13</xdr:col>
      <xdr:colOff>438153</xdr:colOff>
      <xdr:row>49</xdr:row>
      <xdr:rowOff>114300</xdr:rowOff>
    </xdr:to>
    <xdr:sp macro="" textlink="">
      <xdr:nvSpPr>
        <xdr:cNvPr id="10" name="Down Arrow 9">
          <a:extLst>
            <a:ext uri="{FF2B5EF4-FFF2-40B4-BE49-F238E27FC236}">
              <a16:creationId xmlns:a16="http://schemas.microsoft.com/office/drawing/2014/main" id="{00000000-0008-0000-15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500-00000B000000}"/>
            </a:ext>
          </a:extLst>
        </xdr:cNvPr>
        <xdr:cNvSpPr/>
      </xdr:nvSpPr>
      <xdr:spPr>
        <a:xfrm rot="5400000">
          <a:off x="9186860" y="3524251"/>
          <a:ext cx="452439" cy="9286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41</xdr:row>
      <xdr:rowOff>76202</xdr:rowOff>
    </xdr:from>
    <xdr:to>
      <xdr:col>15</xdr:col>
      <xdr:colOff>438154</xdr:colOff>
      <xdr:row>49</xdr:row>
      <xdr:rowOff>114302</xdr:rowOff>
    </xdr:to>
    <xdr:sp macro="" textlink="">
      <xdr:nvSpPr>
        <xdr:cNvPr id="12" name="Down Arrow 11">
          <a:extLst>
            <a:ext uri="{FF2B5EF4-FFF2-40B4-BE49-F238E27FC236}">
              <a16:creationId xmlns:a16="http://schemas.microsoft.com/office/drawing/2014/main" id="{00000000-0008-0000-15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104778</xdr:colOff>
      <xdr:row>42</xdr:row>
      <xdr:rowOff>85725</xdr:rowOff>
    </xdr:from>
    <xdr:to>
      <xdr:col>9</xdr:col>
      <xdr:colOff>457203</xdr:colOff>
      <xdr:row>50</xdr:row>
      <xdr:rowOff>123825</xdr:rowOff>
    </xdr:to>
    <xdr:sp macro="" textlink="">
      <xdr:nvSpPr>
        <xdr:cNvPr id="13" name="Down Arrow 12">
          <a:extLst>
            <a:ext uri="{FF2B5EF4-FFF2-40B4-BE49-F238E27FC236}">
              <a16:creationId xmlns:a16="http://schemas.microsoft.com/office/drawing/2014/main" id="{00000000-0008-0000-1500-00000D000000}"/>
            </a:ext>
          </a:extLst>
        </xdr:cNvPr>
        <xdr:cNvSpPr/>
      </xdr:nvSpPr>
      <xdr:spPr>
        <a:xfrm rot="16200000">
          <a:off x="4986341" y="91392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5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5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13</xdr:row>
      <xdr:rowOff>76199</xdr:rowOff>
    </xdr:from>
    <xdr:to>
      <xdr:col>9</xdr:col>
      <xdr:colOff>447680</xdr:colOff>
      <xdr:row>17</xdr:row>
      <xdr:rowOff>142873</xdr:rowOff>
    </xdr:to>
    <xdr:sp macro="" textlink="">
      <xdr:nvSpPr>
        <xdr:cNvPr id="16" name="Down Arrow 15">
          <a:extLst>
            <a:ext uri="{FF2B5EF4-FFF2-40B4-BE49-F238E27FC236}">
              <a16:creationId xmlns:a16="http://schemas.microsoft.com/office/drawing/2014/main" id="{00000000-0008-0000-15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13</xdr:row>
      <xdr:rowOff>85724</xdr:rowOff>
    </xdr:from>
    <xdr:to>
      <xdr:col>13</xdr:col>
      <xdr:colOff>438155</xdr:colOff>
      <xdr:row>17</xdr:row>
      <xdr:rowOff>152398</xdr:rowOff>
    </xdr:to>
    <xdr:sp macro="" textlink="">
      <xdr:nvSpPr>
        <xdr:cNvPr id="17" name="Down Arrow 16">
          <a:extLst>
            <a:ext uri="{FF2B5EF4-FFF2-40B4-BE49-F238E27FC236}">
              <a16:creationId xmlns:a16="http://schemas.microsoft.com/office/drawing/2014/main" id="{00000000-0008-0000-15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13</xdr:row>
      <xdr:rowOff>76199</xdr:rowOff>
    </xdr:from>
    <xdr:to>
      <xdr:col>15</xdr:col>
      <xdr:colOff>438155</xdr:colOff>
      <xdr:row>17</xdr:row>
      <xdr:rowOff>142873</xdr:rowOff>
    </xdr:to>
    <xdr:sp macro="" textlink="">
      <xdr:nvSpPr>
        <xdr:cNvPr id="18" name="Down Arrow 17">
          <a:extLst>
            <a:ext uri="{FF2B5EF4-FFF2-40B4-BE49-F238E27FC236}">
              <a16:creationId xmlns:a16="http://schemas.microsoft.com/office/drawing/2014/main" id="{00000000-0008-0000-15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5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500-000014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5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5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5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5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5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5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5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8" name="Bent Arrow 27">
          <a:extLst>
            <a:ext uri="{FF2B5EF4-FFF2-40B4-BE49-F238E27FC236}">
              <a16:creationId xmlns:a16="http://schemas.microsoft.com/office/drawing/2014/main" id="{00000000-0008-0000-1500-00001C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500-00001D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5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5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5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5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1500-000022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5" name="Bent Arrow 34">
          <a:extLst>
            <a:ext uri="{FF2B5EF4-FFF2-40B4-BE49-F238E27FC236}">
              <a16:creationId xmlns:a16="http://schemas.microsoft.com/office/drawing/2014/main" id="{00000000-0008-0000-1500-000023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6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6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6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6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6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6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6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6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41</xdr:row>
      <xdr:rowOff>76200</xdr:rowOff>
    </xdr:from>
    <xdr:to>
      <xdr:col>13</xdr:col>
      <xdr:colOff>438153</xdr:colOff>
      <xdr:row>49</xdr:row>
      <xdr:rowOff>114300</xdr:rowOff>
    </xdr:to>
    <xdr:sp macro="" textlink="">
      <xdr:nvSpPr>
        <xdr:cNvPr id="10" name="Down Arrow 9">
          <a:extLst>
            <a:ext uri="{FF2B5EF4-FFF2-40B4-BE49-F238E27FC236}">
              <a16:creationId xmlns:a16="http://schemas.microsoft.com/office/drawing/2014/main" id="{00000000-0008-0000-16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6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41</xdr:row>
      <xdr:rowOff>76202</xdr:rowOff>
    </xdr:from>
    <xdr:to>
      <xdr:col>15</xdr:col>
      <xdr:colOff>438154</xdr:colOff>
      <xdr:row>49</xdr:row>
      <xdr:rowOff>114302</xdr:rowOff>
    </xdr:to>
    <xdr:sp macro="" textlink="">
      <xdr:nvSpPr>
        <xdr:cNvPr id="12" name="Down Arrow 11">
          <a:extLst>
            <a:ext uri="{FF2B5EF4-FFF2-40B4-BE49-F238E27FC236}">
              <a16:creationId xmlns:a16="http://schemas.microsoft.com/office/drawing/2014/main" id="{00000000-0008-0000-16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104779</xdr:colOff>
      <xdr:row>41</xdr:row>
      <xdr:rowOff>114300</xdr:rowOff>
    </xdr:from>
    <xdr:to>
      <xdr:col>9</xdr:col>
      <xdr:colOff>457204</xdr:colOff>
      <xdr:row>49</xdr:row>
      <xdr:rowOff>152400</xdr:rowOff>
    </xdr:to>
    <xdr:sp macro="" textlink="">
      <xdr:nvSpPr>
        <xdr:cNvPr id="13" name="Down Arrow 12">
          <a:extLst>
            <a:ext uri="{FF2B5EF4-FFF2-40B4-BE49-F238E27FC236}">
              <a16:creationId xmlns:a16="http://schemas.microsoft.com/office/drawing/2014/main" id="{00000000-0008-0000-1600-00000D000000}"/>
            </a:ext>
          </a:extLst>
        </xdr:cNvPr>
        <xdr:cNvSpPr/>
      </xdr:nvSpPr>
      <xdr:spPr>
        <a:xfrm rot="16200000">
          <a:off x="4986342" y="55483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6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6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13</xdr:row>
      <xdr:rowOff>76199</xdr:rowOff>
    </xdr:from>
    <xdr:to>
      <xdr:col>9</xdr:col>
      <xdr:colOff>447680</xdr:colOff>
      <xdr:row>17</xdr:row>
      <xdr:rowOff>142873</xdr:rowOff>
    </xdr:to>
    <xdr:sp macro="" textlink="">
      <xdr:nvSpPr>
        <xdr:cNvPr id="16" name="Down Arrow 15">
          <a:extLst>
            <a:ext uri="{FF2B5EF4-FFF2-40B4-BE49-F238E27FC236}">
              <a16:creationId xmlns:a16="http://schemas.microsoft.com/office/drawing/2014/main" id="{00000000-0008-0000-16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13</xdr:row>
      <xdr:rowOff>85724</xdr:rowOff>
    </xdr:from>
    <xdr:to>
      <xdr:col>13</xdr:col>
      <xdr:colOff>438155</xdr:colOff>
      <xdr:row>17</xdr:row>
      <xdr:rowOff>152398</xdr:rowOff>
    </xdr:to>
    <xdr:sp macro="" textlink="">
      <xdr:nvSpPr>
        <xdr:cNvPr id="17" name="Down Arrow 16">
          <a:extLst>
            <a:ext uri="{FF2B5EF4-FFF2-40B4-BE49-F238E27FC236}">
              <a16:creationId xmlns:a16="http://schemas.microsoft.com/office/drawing/2014/main" id="{00000000-0008-0000-16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13</xdr:row>
      <xdr:rowOff>76199</xdr:rowOff>
    </xdr:from>
    <xdr:to>
      <xdr:col>15</xdr:col>
      <xdr:colOff>438155</xdr:colOff>
      <xdr:row>17</xdr:row>
      <xdr:rowOff>142873</xdr:rowOff>
    </xdr:to>
    <xdr:sp macro="" textlink="">
      <xdr:nvSpPr>
        <xdr:cNvPr id="18" name="Down Arrow 17">
          <a:extLst>
            <a:ext uri="{FF2B5EF4-FFF2-40B4-BE49-F238E27FC236}">
              <a16:creationId xmlns:a16="http://schemas.microsoft.com/office/drawing/2014/main" id="{00000000-0008-0000-16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600-000013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6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600-000015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6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6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6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6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6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6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600-00001C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9" name="Bent Arrow 28">
          <a:extLst>
            <a:ext uri="{FF2B5EF4-FFF2-40B4-BE49-F238E27FC236}">
              <a16:creationId xmlns:a16="http://schemas.microsoft.com/office/drawing/2014/main" id="{00000000-0008-0000-1600-00001D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600-00001E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6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6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6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1600-000022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5" name="Bent Arrow 34">
          <a:extLst>
            <a:ext uri="{FF2B5EF4-FFF2-40B4-BE49-F238E27FC236}">
              <a16:creationId xmlns:a16="http://schemas.microsoft.com/office/drawing/2014/main" id="{00000000-0008-0000-1600-000023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6" name="Bent Arrow 35">
          <a:extLst>
            <a:ext uri="{FF2B5EF4-FFF2-40B4-BE49-F238E27FC236}">
              <a16:creationId xmlns:a16="http://schemas.microsoft.com/office/drawing/2014/main" id="{00000000-0008-0000-1600-000024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7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7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7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7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7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7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7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7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41</xdr:row>
      <xdr:rowOff>76200</xdr:rowOff>
    </xdr:from>
    <xdr:to>
      <xdr:col>13</xdr:col>
      <xdr:colOff>438153</xdr:colOff>
      <xdr:row>49</xdr:row>
      <xdr:rowOff>114300</xdr:rowOff>
    </xdr:to>
    <xdr:sp macro="" textlink="">
      <xdr:nvSpPr>
        <xdr:cNvPr id="10" name="Down Arrow 9">
          <a:extLst>
            <a:ext uri="{FF2B5EF4-FFF2-40B4-BE49-F238E27FC236}">
              <a16:creationId xmlns:a16="http://schemas.microsoft.com/office/drawing/2014/main" id="{00000000-0008-0000-17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700-00000B000000}"/>
            </a:ext>
          </a:extLst>
        </xdr:cNvPr>
        <xdr:cNvSpPr/>
      </xdr:nvSpPr>
      <xdr:spPr>
        <a:xfrm rot="5400000">
          <a:off x="9186860" y="3524251"/>
          <a:ext cx="452439" cy="9286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41</xdr:row>
      <xdr:rowOff>76202</xdr:rowOff>
    </xdr:from>
    <xdr:to>
      <xdr:col>15</xdr:col>
      <xdr:colOff>438154</xdr:colOff>
      <xdr:row>49</xdr:row>
      <xdr:rowOff>114302</xdr:rowOff>
    </xdr:to>
    <xdr:sp macro="" textlink="">
      <xdr:nvSpPr>
        <xdr:cNvPr id="12" name="Down Arrow 11">
          <a:extLst>
            <a:ext uri="{FF2B5EF4-FFF2-40B4-BE49-F238E27FC236}">
              <a16:creationId xmlns:a16="http://schemas.microsoft.com/office/drawing/2014/main" id="{00000000-0008-0000-17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85730</xdr:colOff>
      <xdr:row>41</xdr:row>
      <xdr:rowOff>114300</xdr:rowOff>
    </xdr:from>
    <xdr:to>
      <xdr:col>9</xdr:col>
      <xdr:colOff>438155</xdr:colOff>
      <xdr:row>49</xdr:row>
      <xdr:rowOff>152400</xdr:rowOff>
    </xdr:to>
    <xdr:sp macro="" textlink="">
      <xdr:nvSpPr>
        <xdr:cNvPr id="13" name="Down Arrow 12">
          <a:extLst>
            <a:ext uri="{FF2B5EF4-FFF2-40B4-BE49-F238E27FC236}">
              <a16:creationId xmlns:a16="http://schemas.microsoft.com/office/drawing/2014/main" id="{00000000-0008-0000-1700-00000D000000}"/>
            </a:ext>
          </a:extLst>
        </xdr:cNvPr>
        <xdr:cNvSpPr/>
      </xdr:nvSpPr>
      <xdr:spPr>
        <a:xfrm rot="16200000">
          <a:off x="4967293" y="554831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7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7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13</xdr:row>
      <xdr:rowOff>76199</xdr:rowOff>
    </xdr:from>
    <xdr:to>
      <xdr:col>9</xdr:col>
      <xdr:colOff>447680</xdr:colOff>
      <xdr:row>17</xdr:row>
      <xdr:rowOff>142873</xdr:rowOff>
    </xdr:to>
    <xdr:sp macro="" textlink="">
      <xdr:nvSpPr>
        <xdr:cNvPr id="16" name="Down Arrow 15">
          <a:extLst>
            <a:ext uri="{FF2B5EF4-FFF2-40B4-BE49-F238E27FC236}">
              <a16:creationId xmlns:a16="http://schemas.microsoft.com/office/drawing/2014/main" id="{00000000-0008-0000-17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13</xdr:row>
      <xdr:rowOff>85724</xdr:rowOff>
    </xdr:from>
    <xdr:to>
      <xdr:col>13</xdr:col>
      <xdr:colOff>438155</xdr:colOff>
      <xdr:row>17</xdr:row>
      <xdr:rowOff>152398</xdr:rowOff>
    </xdr:to>
    <xdr:sp macro="" textlink="">
      <xdr:nvSpPr>
        <xdr:cNvPr id="17" name="Down Arrow 16">
          <a:extLst>
            <a:ext uri="{FF2B5EF4-FFF2-40B4-BE49-F238E27FC236}">
              <a16:creationId xmlns:a16="http://schemas.microsoft.com/office/drawing/2014/main" id="{00000000-0008-0000-17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13</xdr:row>
      <xdr:rowOff>76199</xdr:rowOff>
    </xdr:from>
    <xdr:to>
      <xdr:col>15</xdr:col>
      <xdr:colOff>438155</xdr:colOff>
      <xdr:row>17</xdr:row>
      <xdr:rowOff>142873</xdr:rowOff>
    </xdr:to>
    <xdr:sp macro="" textlink="">
      <xdr:nvSpPr>
        <xdr:cNvPr id="18" name="Down Arrow 17">
          <a:extLst>
            <a:ext uri="{FF2B5EF4-FFF2-40B4-BE49-F238E27FC236}">
              <a16:creationId xmlns:a16="http://schemas.microsoft.com/office/drawing/2014/main" id="{00000000-0008-0000-17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7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700-000014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7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700-000016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7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7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7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7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7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700-00001C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700-00001D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0" name="Bent Arrow 29">
          <a:extLst>
            <a:ext uri="{FF2B5EF4-FFF2-40B4-BE49-F238E27FC236}">
              <a16:creationId xmlns:a16="http://schemas.microsoft.com/office/drawing/2014/main" id="{00000000-0008-0000-1700-00001E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700-00001F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7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7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1700-000022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5" name="Bent Arrow 34">
          <a:extLst>
            <a:ext uri="{FF2B5EF4-FFF2-40B4-BE49-F238E27FC236}">
              <a16:creationId xmlns:a16="http://schemas.microsoft.com/office/drawing/2014/main" id="{00000000-0008-0000-1700-000023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6" name="Bent Arrow 35">
          <a:extLst>
            <a:ext uri="{FF2B5EF4-FFF2-40B4-BE49-F238E27FC236}">
              <a16:creationId xmlns:a16="http://schemas.microsoft.com/office/drawing/2014/main" id="{00000000-0008-0000-1700-000024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7" name="Bent Arrow 36">
          <a:extLst>
            <a:ext uri="{FF2B5EF4-FFF2-40B4-BE49-F238E27FC236}">
              <a16:creationId xmlns:a16="http://schemas.microsoft.com/office/drawing/2014/main" id="{00000000-0008-0000-1700-000025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8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8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8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8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8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8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8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8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41</xdr:row>
      <xdr:rowOff>76200</xdr:rowOff>
    </xdr:from>
    <xdr:to>
      <xdr:col>13</xdr:col>
      <xdr:colOff>438153</xdr:colOff>
      <xdr:row>49</xdr:row>
      <xdr:rowOff>114300</xdr:rowOff>
    </xdr:to>
    <xdr:sp macro="" textlink="">
      <xdr:nvSpPr>
        <xdr:cNvPr id="10" name="Down Arrow 9">
          <a:extLst>
            <a:ext uri="{FF2B5EF4-FFF2-40B4-BE49-F238E27FC236}">
              <a16:creationId xmlns:a16="http://schemas.microsoft.com/office/drawing/2014/main" id="{00000000-0008-0000-18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800-00000B000000}"/>
            </a:ext>
          </a:extLst>
        </xdr:cNvPr>
        <xdr:cNvSpPr/>
      </xdr:nvSpPr>
      <xdr:spPr>
        <a:xfrm rot="5400000">
          <a:off x="9186860" y="3524251"/>
          <a:ext cx="452439"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41</xdr:row>
      <xdr:rowOff>76202</xdr:rowOff>
    </xdr:from>
    <xdr:to>
      <xdr:col>15</xdr:col>
      <xdr:colOff>438154</xdr:colOff>
      <xdr:row>49</xdr:row>
      <xdr:rowOff>114302</xdr:rowOff>
    </xdr:to>
    <xdr:sp macro="" textlink="">
      <xdr:nvSpPr>
        <xdr:cNvPr id="12" name="Down Arrow 11">
          <a:extLst>
            <a:ext uri="{FF2B5EF4-FFF2-40B4-BE49-F238E27FC236}">
              <a16:creationId xmlns:a16="http://schemas.microsoft.com/office/drawing/2014/main" id="{00000000-0008-0000-18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104779</xdr:colOff>
      <xdr:row>41</xdr:row>
      <xdr:rowOff>104775</xdr:rowOff>
    </xdr:from>
    <xdr:to>
      <xdr:col>9</xdr:col>
      <xdr:colOff>457204</xdr:colOff>
      <xdr:row>49</xdr:row>
      <xdr:rowOff>142875</xdr:rowOff>
    </xdr:to>
    <xdr:sp macro="" textlink="">
      <xdr:nvSpPr>
        <xdr:cNvPr id="13" name="Down Arrow 12">
          <a:extLst>
            <a:ext uri="{FF2B5EF4-FFF2-40B4-BE49-F238E27FC236}">
              <a16:creationId xmlns:a16="http://schemas.microsoft.com/office/drawing/2014/main" id="{00000000-0008-0000-1800-00000D000000}"/>
            </a:ext>
          </a:extLst>
        </xdr:cNvPr>
        <xdr:cNvSpPr/>
      </xdr:nvSpPr>
      <xdr:spPr>
        <a:xfrm rot="16200000">
          <a:off x="4986342" y="55387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8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8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13</xdr:row>
      <xdr:rowOff>76199</xdr:rowOff>
    </xdr:from>
    <xdr:to>
      <xdr:col>9</xdr:col>
      <xdr:colOff>447680</xdr:colOff>
      <xdr:row>17</xdr:row>
      <xdr:rowOff>142873</xdr:rowOff>
    </xdr:to>
    <xdr:sp macro="" textlink="">
      <xdr:nvSpPr>
        <xdr:cNvPr id="16" name="Down Arrow 15">
          <a:extLst>
            <a:ext uri="{FF2B5EF4-FFF2-40B4-BE49-F238E27FC236}">
              <a16:creationId xmlns:a16="http://schemas.microsoft.com/office/drawing/2014/main" id="{00000000-0008-0000-18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13</xdr:row>
      <xdr:rowOff>85724</xdr:rowOff>
    </xdr:from>
    <xdr:to>
      <xdr:col>13</xdr:col>
      <xdr:colOff>438155</xdr:colOff>
      <xdr:row>17</xdr:row>
      <xdr:rowOff>152398</xdr:rowOff>
    </xdr:to>
    <xdr:sp macro="" textlink="">
      <xdr:nvSpPr>
        <xdr:cNvPr id="17" name="Down Arrow 16">
          <a:extLst>
            <a:ext uri="{FF2B5EF4-FFF2-40B4-BE49-F238E27FC236}">
              <a16:creationId xmlns:a16="http://schemas.microsoft.com/office/drawing/2014/main" id="{00000000-0008-0000-18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13</xdr:row>
      <xdr:rowOff>76199</xdr:rowOff>
    </xdr:from>
    <xdr:to>
      <xdr:col>15</xdr:col>
      <xdr:colOff>438155</xdr:colOff>
      <xdr:row>17</xdr:row>
      <xdr:rowOff>142873</xdr:rowOff>
    </xdr:to>
    <xdr:sp macro="" textlink="">
      <xdr:nvSpPr>
        <xdr:cNvPr id="18" name="Down Arrow 17">
          <a:extLst>
            <a:ext uri="{FF2B5EF4-FFF2-40B4-BE49-F238E27FC236}">
              <a16:creationId xmlns:a16="http://schemas.microsoft.com/office/drawing/2014/main" id="{00000000-0008-0000-18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800-000013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800-000014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800-000015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800-000016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800-000017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800-000018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8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8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8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800-00001C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800-00001D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800-00001E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1" name="Bent Arrow 30">
          <a:extLst>
            <a:ext uri="{FF2B5EF4-FFF2-40B4-BE49-F238E27FC236}">
              <a16:creationId xmlns:a16="http://schemas.microsoft.com/office/drawing/2014/main" id="{00000000-0008-0000-1800-00001F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2" name="Bent Arrow 31">
          <a:extLst>
            <a:ext uri="{FF2B5EF4-FFF2-40B4-BE49-F238E27FC236}">
              <a16:creationId xmlns:a16="http://schemas.microsoft.com/office/drawing/2014/main" id="{00000000-0008-0000-1800-000020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8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1800-000022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5" name="Bent Arrow 34">
          <a:extLst>
            <a:ext uri="{FF2B5EF4-FFF2-40B4-BE49-F238E27FC236}">
              <a16:creationId xmlns:a16="http://schemas.microsoft.com/office/drawing/2014/main" id="{00000000-0008-0000-1800-000023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6" name="Bent Arrow 35">
          <a:extLst>
            <a:ext uri="{FF2B5EF4-FFF2-40B4-BE49-F238E27FC236}">
              <a16:creationId xmlns:a16="http://schemas.microsoft.com/office/drawing/2014/main" id="{00000000-0008-0000-1800-000024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7" name="Bent Arrow 36">
          <a:extLst>
            <a:ext uri="{FF2B5EF4-FFF2-40B4-BE49-F238E27FC236}">
              <a16:creationId xmlns:a16="http://schemas.microsoft.com/office/drawing/2014/main" id="{00000000-0008-0000-1800-000025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8" name="Bent Arrow 37">
          <a:extLst>
            <a:ext uri="{FF2B5EF4-FFF2-40B4-BE49-F238E27FC236}">
              <a16:creationId xmlns:a16="http://schemas.microsoft.com/office/drawing/2014/main" id="{00000000-0008-0000-1800-000026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19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19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19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19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19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19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19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19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19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1900-00000B000000}"/>
            </a:ext>
          </a:extLst>
        </xdr:cNvPr>
        <xdr:cNvSpPr/>
      </xdr:nvSpPr>
      <xdr:spPr>
        <a:xfrm rot="5400000">
          <a:off x="9186860" y="3514726"/>
          <a:ext cx="452439" cy="928687"/>
        </a:xfrm>
        <a:prstGeom prst="bentArrow">
          <a:avLst>
            <a:gd name="adj1" fmla="val 20238"/>
            <a:gd name="adj2" fmla="val 25000"/>
            <a:gd name="adj3" fmla="val 25000"/>
            <a:gd name="adj4" fmla="val 4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19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104779</xdr:colOff>
      <xdr:row>40</xdr:row>
      <xdr:rowOff>66675</xdr:rowOff>
    </xdr:from>
    <xdr:to>
      <xdr:col>9</xdr:col>
      <xdr:colOff>457204</xdr:colOff>
      <xdr:row>48</xdr:row>
      <xdr:rowOff>104775</xdr:rowOff>
    </xdr:to>
    <xdr:sp macro="" textlink="">
      <xdr:nvSpPr>
        <xdr:cNvPr id="13" name="Down Arrow 12">
          <a:extLst>
            <a:ext uri="{FF2B5EF4-FFF2-40B4-BE49-F238E27FC236}">
              <a16:creationId xmlns:a16="http://schemas.microsoft.com/office/drawing/2014/main" id="{00000000-0008-0000-1900-00000D000000}"/>
            </a:ext>
          </a:extLst>
        </xdr:cNvPr>
        <xdr:cNvSpPr/>
      </xdr:nvSpPr>
      <xdr:spPr>
        <a:xfrm rot="16200000">
          <a:off x="4986342"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19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19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19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19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19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1900-000013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1900-000014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1900-000015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1900-000016000000}"/>
            </a:ext>
          </a:extLst>
        </xdr:cNvPr>
        <xdr:cNvSpPr/>
      </xdr:nvSpPr>
      <xdr:spPr>
        <a:xfrm rot="5400000">
          <a:off x="9453560" y="3257551"/>
          <a:ext cx="452439" cy="1462087"/>
        </a:xfrm>
        <a:prstGeom prst="bentArrow">
          <a:avLst>
            <a:gd name="adj1" fmla="val 20238"/>
            <a:gd name="adj2" fmla="val 25000"/>
            <a:gd name="adj3" fmla="val 25000"/>
            <a:gd name="adj4" fmla="val 164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1900-000017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4" name="Bent Arrow 23">
          <a:extLst>
            <a:ext uri="{FF2B5EF4-FFF2-40B4-BE49-F238E27FC236}">
              <a16:creationId xmlns:a16="http://schemas.microsoft.com/office/drawing/2014/main" id="{00000000-0008-0000-1900-000018000000}"/>
            </a:ext>
          </a:extLst>
        </xdr:cNvPr>
        <xdr:cNvSpPr/>
      </xdr:nvSpPr>
      <xdr:spPr>
        <a:xfrm rot="5400000">
          <a:off x="9453560" y="3257551"/>
          <a:ext cx="452439" cy="1462087"/>
        </a:xfrm>
        <a:prstGeom prst="bentArrow">
          <a:avLst>
            <a:gd name="adj1" fmla="val 20238"/>
            <a:gd name="adj2" fmla="val 25000"/>
            <a:gd name="adj3" fmla="val 25000"/>
            <a:gd name="adj4" fmla="val 375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5" name="Bent Arrow 24">
          <a:extLst>
            <a:ext uri="{FF2B5EF4-FFF2-40B4-BE49-F238E27FC236}">
              <a16:creationId xmlns:a16="http://schemas.microsoft.com/office/drawing/2014/main" id="{00000000-0008-0000-1900-000019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6" name="Bent Arrow 25">
          <a:extLst>
            <a:ext uri="{FF2B5EF4-FFF2-40B4-BE49-F238E27FC236}">
              <a16:creationId xmlns:a16="http://schemas.microsoft.com/office/drawing/2014/main" id="{00000000-0008-0000-1900-00001A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7" name="Bent Arrow 26">
          <a:extLst>
            <a:ext uri="{FF2B5EF4-FFF2-40B4-BE49-F238E27FC236}">
              <a16:creationId xmlns:a16="http://schemas.microsoft.com/office/drawing/2014/main" id="{00000000-0008-0000-1900-00001B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8" name="Bent Arrow 27">
          <a:extLst>
            <a:ext uri="{FF2B5EF4-FFF2-40B4-BE49-F238E27FC236}">
              <a16:creationId xmlns:a16="http://schemas.microsoft.com/office/drawing/2014/main" id="{00000000-0008-0000-1900-00001C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9" name="Bent Arrow 28">
          <a:extLst>
            <a:ext uri="{FF2B5EF4-FFF2-40B4-BE49-F238E27FC236}">
              <a16:creationId xmlns:a16="http://schemas.microsoft.com/office/drawing/2014/main" id="{00000000-0008-0000-1900-00001D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0" name="Bent Arrow 29">
          <a:extLst>
            <a:ext uri="{FF2B5EF4-FFF2-40B4-BE49-F238E27FC236}">
              <a16:creationId xmlns:a16="http://schemas.microsoft.com/office/drawing/2014/main" id="{00000000-0008-0000-1900-00001E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1" name="Bent Arrow 30">
          <a:extLst>
            <a:ext uri="{FF2B5EF4-FFF2-40B4-BE49-F238E27FC236}">
              <a16:creationId xmlns:a16="http://schemas.microsoft.com/office/drawing/2014/main" id="{00000000-0008-0000-1900-00001F000000}"/>
            </a:ext>
          </a:extLst>
        </xdr:cNvPr>
        <xdr:cNvSpPr/>
      </xdr:nvSpPr>
      <xdr:spPr>
        <a:xfrm rot="5400000">
          <a:off x="9453560" y="3257551"/>
          <a:ext cx="452439"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2" name="Bent Arrow 31">
          <a:extLst>
            <a:ext uri="{FF2B5EF4-FFF2-40B4-BE49-F238E27FC236}">
              <a16:creationId xmlns:a16="http://schemas.microsoft.com/office/drawing/2014/main" id="{00000000-0008-0000-1900-000020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3" name="Bent Arrow 32">
          <a:extLst>
            <a:ext uri="{FF2B5EF4-FFF2-40B4-BE49-F238E27FC236}">
              <a16:creationId xmlns:a16="http://schemas.microsoft.com/office/drawing/2014/main" id="{00000000-0008-0000-1900-000021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4" name="Bent Arrow 33">
          <a:extLst>
            <a:ext uri="{FF2B5EF4-FFF2-40B4-BE49-F238E27FC236}">
              <a16:creationId xmlns:a16="http://schemas.microsoft.com/office/drawing/2014/main" id="{00000000-0008-0000-1900-000022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5" name="Bent Arrow 34">
          <a:extLst>
            <a:ext uri="{FF2B5EF4-FFF2-40B4-BE49-F238E27FC236}">
              <a16:creationId xmlns:a16="http://schemas.microsoft.com/office/drawing/2014/main" id="{00000000-0008-0000-1900-000023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6" name="Bent Arrow 35">
          <a:extLst>
            <a:ext uri="{FF2B5EF4-FFF2-40B4-BE49-F238E27FC236}">
              <a16:creationId xmlns:a16="http://schemas.microsoft.com/office/drawing/2014/main" id="{00000000-0008-0000-1900-000024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7" name="Bent Arrow 36">
          <a:extLst>
            <a:ext uri="{FF2B5EF4-FFF2-40B4-BE49-F238E27FC236}">
              <a16:creationId xmlns:a16="http://schemas.microsoft.com/office/drawing/2014/main" id="{00000000-0008-0000-1900-000025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38" name="Bent Arrow 37">
          <a:extLst>
            <a:ext uri="{FF2B5EF4-FFF2-40B4-BE49-F238E27FC236}">
              <a16:creationId xmlns:a16="http://schemas.microsoft.com/office/drawing/2014/main" id="{00000000-0008-0000-1900-000026000000}"/>
            </a:ext>
          </a:extLst>
        </xdr:cNvPr>
        <xdr:cNvSpPr/>
      </xdr:nvSpPr>
      <xdr:spPr>
        <a:xfrm rot="5400000">
          <a:off x="9453560" y="325755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39" name="Bent Arrow 38">
          <a:extLst>
            <a:ext uri="{FF2B5EF4-FFF2-40B4-BE49-F238E27FC236}">
              <a16:creationId xmlns:a16="http://schemas.microsoft.com/office/drawing/2014/main" id="{00000000-0008-0000-1900-000027000000}"/>
            </a:ext>
          </a:extLst>
        </xdr:cNvPr>
        <xdr:cNvSpPr/>
      </xdr:nvSpPr>
      <xdr:spPr>
        <a:xfrm rot="5400000">
          <a:off x="9448797"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3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3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3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3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3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3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3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3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3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11" name="Bent Arrow 10">
          <a:extLst>
            <a:ext uri="{FF2B5EF4-FFF2-40B4-BE49-F238E27FC236}">
              <a16:creationId xmlns:a16="http://schemas.microsoft.com/office/drawing/2014/main" id="{00000000-0008-0000-0300-00000B000000}"/>
            </a:ext>
          </a:extLst>
        </xdr:cNvPr>
        <xdr:cNvSpPr/>
      </xdr:nvSpPr>
      <xdr:spPr>
        <a:xfrm rot="5400000">
          <a:off x="9172572" y="3519488"/>
          <a:ext cx="461964" cy="9286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300-00000C000000}"/>
            </a:ext>
          </a:extLst>
        </xdr:cNvPr>
        <xdr:cNvSpPr/>
      </xdr:nvSpPr>
      <xdr:spPr>
        <a:xfrm rot="16200000">
          <a:off x="8339142"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85729</xdr:colOff>
      <xdr:row>40</xdr:row>
      <xdr:rowOff>95250</xdr:rowOff>
    </xdr:from>
    <xdr:to>
      <xdr:col>9</xdr:col>
      <xdr:colOff>438154</xdr:colOff>
      <xdr:row>48</xdr:row>
      <xdr:rowOff>133350</xdr:rowOff>
    </xdr:to>
    <xdr:sp macro="" textlink="">
      <xdr:nvSpPr>
        <xdr:cNvPr id="13" name="Down Arrow 12">
          <a:extLst>
            <a:ext uri="{FF2B5EF4-FFF2-40B4-BE49-F238E27FC236}">
              <a16:creationId xmlns:a16="http://schemas.microsoft.com/office/drawing/2014/main" id="{00000000-0008-0000-0300-00000D000000}"/>
            </a:ext>
          </a:extLst>
        </xdr:cNvPr>
        <xdr:cNvSpPr/>
      </xdr:nvSpPr>
      <xdr:spPr>
        <a:xfrm rot="16200000">
          <a:off x="4967292" y="552926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300-00000E000000}"/>
            </a:ext>
          </a:extLst>
        </xdr:cNvPr>
        <xdr:cNvSpPr/>
      </xdr:nvSpPr>
      <xdr:spPr>
        <a:xfrm>
          <a:off x="12620625"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300-00000F000000}"/>
            </a:ext>
          </a:extLst>
        </xdr:cNvPr>
        <xdr:cNvSpPr/>
      </xdr:nvSpPr>
      <xdr:spPr>
        <a:xfrm>
          <a:off x="120205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3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3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300-000012000000}"/>
            </a:ext>
          </a:extLst>
        </xdr:cNvPr>
        <xdr:cNvSpPr/>
      </xdr:nvSpPr>
      <xdr:spPr>
        <a:xfrm rot="16200000">
          <a:off x="8691568"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14</xdr:col>
      <xdr:colOff>104775</xdr:colOff>
      <xdr:row>55</xdr:row>
      <xdr:rowOff>1</xdr:rowOff>
    </xdr:from>
    <xdr:to>
      <xdr:col>14</xdr:col>
      <xdr:colOff>542925</xdr:colOff>
      <xdr:row>66</xdr:row>
      <xdr:rowOff>142876</xdr:rowOff>
    </xdr:to>
    <xdr:sp macro="" textlink="">
      <xdr:nvSpPr>
        <xdr:cNvPr id="20" name="Bent-Up Arrow 19">
          <a:extLst>
            <a:ext uri="{FF2B5EF4-FFF2-40B4-BE49-F238E27FC236}">
              <a16:creationId xmlns:a16="http://schemas.microsoft.com/office/drawing/2014/main" id="{00000000-0008-0000-0300-000014000000}"/>
            </a:ext>
          </a:extLst>
        </xdr:cNvPr>
        <xdr:cNvSpPr/>
      </xdr:nvSpPr>
      <xdr:spPr>
        <a:xfrm>
          <a:off x="8162925" y="10753726"/>
          <a:ext cx="438150" cy="2476500"/>
        </a:xfrm>
        <a:prstGeom prst="bentUpArrow">
          <a:avLst>
            <a:gd name="adj1" fmla="val 25000"/>
            <a:gd name="adj2" fmla="val 25000"/>
            <a:gd name="adj3" fmla="val 25000"/>
          </a:avLst>
        </a:prstGeom>
        <a:solidFill>
          <a:schemeClr val="bg1">
            <a:lumMod val="8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400-000002000000}"/>
            </a:ext>
          </a:extLst>
        </xdr:cNvPr>
        <xdr:cNvSpPr/>
      </xdr:nvSpPr>
      <xdr:spPr>
        <a:xfrm>
          <a:off x="7143750" y="39528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400-000003000000}"/>
            </a:ext>
          </a:extLst>
        </xdr:cNvPr>
        <xdr:cNvSpPr/>
      </xdr:nvSpPr>
      <xdr:spPr>
        <a:xfrm>
          <a:off x="503872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400-000004000000}"/>
            </a:ext>
          </a:extLst>
        </xdr:cNvPr>
        <xdr:cNvSpPr/>
      </xdr:nvSpPr>
      <xdr:spPr>
        <a:xfrm>
          <a:off x="44386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400-000005000000}"/>
            </a:ext>
          </a:extLst>
        </xdr:cNvPr>
        <xdr:cNvSpPr/>
      </xdr:nvSpPr>
      <xdr:spPr>
        <a:xfrm>
          <a:off x="38385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400-000006000000}"/>
            </a:ext>
          </a:extLst>
        </xdr:cNvPr>
        <xdr:cNvSpPr/>
      </xdr:nvSpPr>
      <xdr:spPr>
        <a:xfrm>
          <a:off x="32289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400-000007000000}"/>
            </a:ext>
          </a:extLst>
        </xdr:cNvPr>
        <xdr:cNvSpPr/>
      </xdr:nvSpPr>
      <xdr:spPr>
        <a:xfrm>
          <a:off x="2609850"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400-000008000000}"/>
            </a:ext>
          </a:extLst>
        </xdr:cNvPr>
        <xdr:cNvSpPr/>
      </xdr:nvSpPr>
      <xdr:spPr>
        <a:xfrm>
          <a:off x="200977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400-000009000000}"/>
            </a:ext>
          </a:extLst>
        </xdr:cNvPr>
        <xdr:cNvSpPr/>
      </xdr:nvSpPr>
      <xdr:spPr>
        <a:xfrm>
          <a:off x="1381125"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400-00000A000000}"/>
            </a:ext>
          </a:extLst>
        </xdr:cNvPr>
        <xdr:cNvSpPr/>
      </xdr:nvSpPr>
      <xdr:spPr>
        <a:xfrm rot="16200000">
          <a:off x="7005641" y="5500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4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400-00000C000000}"/>
            </a:ext>
          </a:extLst>
        </xdr:cNvPr>
        <xdr:cNvSpPr/>
      </xdr:nvSpPr>
      <xdr:spPr>
        <a:xfrm rot="16200000">
          <a:off x="8348667" y="550068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76203</xdr:colOff>
      <xdr:row>40</xdr:row>
      <xdr:rowOff>76200</xdr:rowOff>
    </xdr:from>
    <xdr:to>
      <xdr:col>9</xdr:col>
      <xdr:colOff>428628</xdr:colOff>
      <xdr:row>48</xdr:row>
      <xdr:rowOff>114300</xdr:rowOff>
    </xdr:to>
    <xdr:sp macro="" textlink="">
      <xdr:nvSpPr>
        <xdr:cNvPr id="13" name="Down Arrow 12">
          <a:extLst>
            <a:ext uri="{FF2B5EF4-FFF2-40B4-BE49-F238E27FC236}">
              <a16:creationId xmlns:a16="http://schemas.microsoft.com/office/drawing/2014/main" id="{00000000-0008-0000-0400-00000D000000}"/>
            </a:ext>
          </a:extLst>
        </xdr:cNvPr>
        <xdr:cNvSpPr/>
      </xdr:nvSpPr>
      <xdr:spPr>
        <a:xfrm rot="16200000">
          <a:off x="4957766" y="8948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400-00000E000000}"/>
            </a:ext>
          </a:extLst>
        </xdr:cNvPr>
        <xdr:cNvSpPr/>
      </xdr:nvSpPr>
      <xdr:spPr>
        <a:xfrm>
          <a:off x="12630150" y="39624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400-00000F000000}"/>
            </a:ext>
          </a:extLst>
        </xdr:cNvPr>
        <xdr:cNvSpPr/>
      </xdr:nvSpPr>
      <xdr:spPr>
        <a:xfrm>
          <a:off x="12030075"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400-000010000000}"/>
            </a:ext>
          </a:extLst>
        </xdr:cNvPr>
        <xdr:cNvSpPr/>
      </xdr:nvSpPr>
      <xdr:spPr>
        <a:xfrm rot="16200000">
          <a:off x="532924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400-000011000000}"/>
            </a:ext>
          </a:extLst>
        </xdr:cNvPr>
        <xdr:cNvSpPr/>
      </xdr:nvSpPr>
      <xdr:spPr>
        <a:xfrm rot="16200000">
          <a:off x="7358068" y="286226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400-000012000000}"/>
            </a:ext>
          </a:extLst>
        </xdr:cNvPr>
        <xdr:cNvSpPr/>
      </xdr:nvSpPr>
      <xdr:spPr>
        <a:xfrm rot="16200000">
          <a:off x="8701093" y="285273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19" name="Bent Arrow 18">
          <a:extLst>
            <a:ext uri="{FF2B5EF4-FFF2-40B4-BE49-F238E27FC236}">
              <a16:creationId xmlns:a16="http://schemas.microsoft.com/office/drawing/2014/main" id="{00000000-0008-0000-0400-000013000000}"/>
            </a:ext>
          </a:extLst>
        </xdr:cNvPr>
        <xdr:cNvSpPr/>
      </xdr:nvSpPr>
      <xdr:spPr>
        <a:xfrm rot="5400000">
          <a:off x="9439272" y="325278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500-000002000000}"/>
            </a:ext>
          </a:extLst>
        </xdr:cNvPr>
        <xdr:cNvSpPr/>
      </xdr:nvSpPr>
      <xdr:spPr>
        <a:xfrm>
          <a:off x="71437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500-000003000000}"/>
            </a:ext>
          </a:extLst>
        </xdr:cNvPr>
        <xdr:cNvSpPr/>
      </xdr:nvSpPr>
      <xdr:spPr>
        <a:xfrm>
          <a:off x="503872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500-000004000000}"/>
            </a:ext>
          </a:extLst>
        </xdr:cNvPr>
        <xdr:cNvSpPr/>
      </xdr:nvSpPr>
      <xdr:spPr>
        <a:xfrm>
          <a:off x="4438650"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500-000005000000}"/>
            </a:ext>
          </a:extLst>
        </xdr:cNvPr>
        <xdr:cNvSpPr/>
      </xdr:nvSpPr>
      <xdr:spPr>
        <a:xfrm>
          <a:off x="38385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500-000006000000}"/>
            </a:ext>
          </a:extLst>
        </xdr:cNvPr>
        <xdr:cNvSpPr/>
      </xdr:nvSpPr>
      <xdr:spPr>
        <a:xfrm>
          <a:off x="32289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500-000007000000}"/>
            </a:ext>
          </a:extLst>
        </xdr:cNvPr>
        <xdr:cNvSpPr/>
      </xdr:nvSpPr>
      <xdr:spPr>
        <a:xfrm>
          <a:off x="2609850" y="40100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500-000008000000}"/>
            </a:ext>
          </a:extLst>
        </xdr:cNvPr>
        <xdr:cNvSpPr/>
      </xdr:nvSpPr>
      <xdr:spPr>
        <a:xfrm>
          <a:off x="20097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500-000009000000}"/>
            </a:ext>
          </a:extLst>
        </xdr:cNvPr>
        <xdr:cNvSpPr/>
      </xdr:nvSpPr>
      <xdr:spPr>
        <a:xfrm>
          <a:off x="138112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500-00000A000000}"/>
            </a:ext>
          </a:extLst>
        </xdr:cNvPr>
        <xdr:cNvSpPr/>
      </xdr:nvSpPr>
      <xdr:spPr>
        <a:xfrm rot="16200000">
          <a:off x="7005641"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5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500-00000C000000}"/>
            </a:ext>
          </a:extLst>
        </xdr:cNvPr>
        <xdr:cNvSpPr/>
      </xdr:nvSpPr>
      <xdr:spPr>
        <a:xfrm rot="16200000">
          <a:off x="8348667" y="55197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76204</xdr:colOff>
      <xdr:row>40</xdr:row>
      <xdr:rowOff>57150</xdr:rowOff>
    </xdr:from>
    <xdr:to>
      <xdr:col>9</xdr:col>
      <xdr:colOff>428629</xdr:colOff>
      <xdr:row>48</xdr:row>
      <xdr:rowOff>95250</xdr:rowOff>
    </xdr:to>
    <xdr:sp macro="" textlink="">
      <xdr:nvSpPr>
        <xdr:cNvPr id="13" name="Down Arrow 12">
          <a:extLst>
            <a:ext uri="{FF2B5EF4-FFF2-40B4-BE49-F238E27FC236}">
              <a16:creationId xmlns:a16="http://schemas.microsoft.com/office/drawing/2014/main" id="{00000000-0008-0000-0500-00000D000000}"/>
            </a:ext>
          </a:extLst>
        </xdr:cNvPr>
        <xdr:cNvSpPr/>
      </xdr:nvSpPr>
      <xdr:spPr>
        <a:xfrm rot="16200000">
          <a:off x="4957767" y="892968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500-00000E000000}"/>
            </a:ext>
          </a:extLst>
        </xdr:cNvPr>
        <xdr:cNvSpPr/>
      </xdr:nvSpPr>
      <xdr:spPr>
        <a:xfrm>
          <a:off x="126301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500-00000F000000}"/>
            </a:ext>
          </a:extLst>
        </xdr:cNvPr>
        <xdr:cNvSpPr/>
      </xdr:nvSpPr>
      <xdr:spPr>
        <a:xfrm>
          <a:off x="120300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500-000010000000}"/>
            </a:ext>
          </a:extLst>
        </xdr:cNvPr>
        <xdr:cNvSpPr/>
      </xdr:nvSpPr>
      <xdr:spPr>
        <a:xfrm rot="16200000">
          <a:off x="532924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500-000011000000}"/>
            </a:ext>
          </a:extLst>
        </xdr:cNvPr>
        <xdr:cNvSpPr/>
      </xdr:nvSpPr>
      <xdr:spPr>
        <a:xfrm rot="16200000">
          <a:off x="7358068" y="288131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500-000012000000}"/>
            </a:ext>
          </a:extLst>
        </xdr:cNvPr>
        <xdr:cNvSpPr/>
      </xdr:nvSpPr>
      <xdr:spPr>
        <a:xfrm rot="16200000">
          <a:off x="870109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500-000013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0" name="Bent Arrow 19">
          <a:extLst>
            <a:ext uri="{FF2B5EF4-FFF2-40B4-BE49-F238E27FC236}">
              <a16:creationId xmlns:a16="http://schemas.microsoft.com/office/drawing/2014/main" id="{00000000-0008-0000-0500-000014000000}"/>
            </a:ext>
          </a:extLst>
        </xdr:cNvPr>
        <xdr:cNvSpPr/>
      </xdr:nvSpPr>
      <xdr:spPr>
        <a:xfrm rot="5400000">
          <a:off x="9448797" y="3262313"/>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600-000002000000}"/>
            </a:ext>
          </a:extLst>
        </xdr:cNvPr>
        <xdr:cNvSpPr/>
      </xdr:nvSpPr>
      <xdr:spPr>
        <a:xfrm>
          <a:off x="71437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600-000003000000}"/>
            </a:ext>
          </a:extLst>
        </xdr:cNvPr>
        <xdr:cNvSpPr/>
      </xdr:nvSpPr>
      <xdr:spPr>
        <a:xfrm>
          <a:off x="503872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600-000004000000}"/>
            </a:ext>
          </a:extLst>
        </xdr:cNvPr>
        <xdr:cNvSpPr/>
      </xdr:nvSpPr>
      <xdr:spPr>
        <a:xfrm>
          <a:off x="4438650"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600-000005000000}"/>
            </a:ext>
          </a:extLst>
        </xdr:cNvPr>
        <xdr:cNvSpPr/>
      </xdr:nvSpPr>
      <xdr:spPr>
        <a:xfrm>
          <a:off x="38385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600-000006000000}"/>
            </a:ext>
          </a:extLst>
        </xdr:cNvPr>
        <xdr:cNvSpPr/>
      </xdr:nvSpPr>
      <xdr:spPr>
        <a:xfrm>
          <a:off x="32289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600-000007000000}"/>
            </a:ext>
          </a:extLst>
        </xdr:cNvPr>
        <xdr:cNvSpPr/>
      </xdr:nvSpPr>
      <xdr:spPr>
        <a:xfrm>
          <a:off x="2609850" y="40100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600-000008000000}"/>
            </a:ext>
          </a:extLst>
        </xdr:cNvPr>
        <xdr:cNvSpPr/>
      </xdr:nvSpPr>
      <xdr:spPr>
        <a:xfrm>
          <a:off x="20097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600-000009000000}"/>
            </a:ext>
          </a:extLst>
        </xdr:cNvPr>
        <xdr:cNvSpPr/>
      </xdr:nvSpPr>
      <xdr:spPr>
        <a:xfrm>
          <a:off x="138112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600-00000A000000}"/>
            </a:ext>
          </a:extLst>
        </xdr:cNvPr>
        <xdr:cNvSpPr/>
      </xdr:nvSpPr>
      <xdr:spPr>
        <a:xfrm rot="16200000">
          <a:off x="7005641"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6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600-00000C000000}"/>
            </a:ext>
          </a:extLst>
        </xdr:cNvPr>
        <xdr:cNvSpPr/>
      </xdr:nvSpPr>
      <xdr:spPr>
        <a:xfrm rot="16200000">
          <a:off x="8348667" y="55197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95254</xdr:colOff>
      <xdr:row>40</xdr:row>
      <xdr:rowOff>76200</xdr:rowOff>
    </xdr:from>
    <xdr:to>
      <xdr:col>9</xdr:col>
      <xdr:colOff>447679</xdr:colOff>
      <xdr:row>48</xdr:row>
      <xdr:rowOff>114300</xdr:rowOff>
    </xdr:to>
    <xdr:sp macro="" textlink="">
      <xdr:nvSpPr>
        <xdr:cNvPr id="13" name="Down Arrow 12">
          <a:extLst>
            <a:ext uri="{FF2B5EF4-FFF2-40B4-BE49-F238E27FC236}">
              <a16:creationId xmlns:a16="http://schemas.microsoft.com/office/drawing/2014/main" id="{00000000-0008-0000-0600-00000D000000}"/>
            </a:ext>
          </a:extLst>
        </xdr:cNvPr>
        <xdr:cNvSpPr/>
      </xdr:nvSpPr>
      <xdr:spPr>
        <a:xfrm rot="16200000">
          <a:off x="4976817" y="8958262"/>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600-00000E000000}"/>
            </a:ext>
          </a:extLst>
        </xdr:cNvPr>
        <xdr:cNvSpPr/>
      </xdr:nvSpPr>
      <xdr:spPr>
        <a:xfrm>
          <a:off x="126301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600-00000F000000}"/>
            </a:ext>
          </a:extLst>
        </xdr:cNvPr>
        <xdr:cNvSpPr/>
      </xdr:nvSpPr>
      <xdr:spPr>
        <a:xfrm>
          <a:off x="120300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600-000010000000}"/>
            </a:ext>
          </a:extLst>
        </xdr:cNvPr>
        <xdr:cNvSpPr/>
      </xdr:nvSpPr>
      <xdr:spPr>
        <a:xfrm rot="16200000">
          <a:off x="532924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600-000011000000}"/>
            </a:ext>
          </a:extLst>
        </xdr:cNvPr>
        <xdr:cNvSpPr/>
      </xdr:nvSpPr>
      <xdr:spPr>
        <a:xfrm rot="16200000">
          <a:off x="7358068" y="288131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600-000012000000}"/>
            </a:ext>
          </a:extLst>
        </xdr:cNvPr>
        <xdr:cNvSpPr/>
      </xdr:nvSpPr>
      <xdr:spPr>
        <a:xfrm rot="16200000">
          <a:off x="870109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600-000013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600-000014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1" name="Bent Arrow 20">
          <a:extLst>
            <a:ext uri="{FF2B5EF4-FFF2-40B4-BE49-F238E27FC236}">
              <a16:creationId xmlns:a16="http://schemas.microsoft.com/office/drawing/2014/main" id="{00000000-0008-0000-0600-000015000000}"/>
            </a:ext>
          </a:extLst>
        </xdr:cNvPr>
        <xdr:cNvSpPr/>
      </xdr:nvSpPr>
      <xdr:spPr>
        <a:xfrm rot="5400000">
          <a:off x="9448797" y="3262313"/>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700-000002000000}"/>
            </a:ext>
          </a:extLst>
        </xdr:cNvPr>
        <xdr:cNvSpPr/>
      </xdr:nvSpPr>
      <xdr:spPr>
        <a:xfrm>
          <a:off x="71437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700-000003000000}"/>
            </a:ext>
          </a:extLst>
        </xdr:cNvPr>
        <xdr:cNvSpPr/>
      </xdr:nvSpPr>
      <xdr:spPr>
        <a:xfrm>
          <a:off x="503872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700-000004000000}"/>
            </a:ext>
          </a:extLst>
        </xdr:cNvPr>
        <xdr:cNvSpPr/>
      </xdr:nvSpPr>
      <xdr:spPr>
        <a:xfrm>
          <a:off x="4438650"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700-000005000000}"/>
            </a:ext>
          </a:extLst>
        </xdr:cNvPr>
        <xdr:cNvSpPr/>
      </xdr:nvSpPr>
      <xdr:spPr>
        <a:xfrm>
          <a:off x="38385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700-000006000000}"/>
            </a:ext>
          </a:extLst>
        </xdr:cNvPr>
        <xdr:cNvSpPr/>
      </xdr:nvSpPr>
      <xdr:spPr>
        <a:xfrm>
          <a:off x="32289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700-000007000000}"/>
            </a:ext>
          </a:extLst>
        </xdr:cNvPr>
        <xdr:cNvSpPr/>
      </xdr:nvSpPr>
      <xdr:spPr>
        <a:xfrm>
          <a:off x="2609850" y="40100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700-000008000000}"/>
            </a:ext>
          </a:extLst>
        </xdr:cNvPr>
        <xdr:cNvSpPr/>
      </xdr:nvSpPr>
      <xdr:spPr>
        <a:xfrm>
          <a:off x="20097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700-000009000000}"/>
            </a:ext>
          </a:extLst>
        </xdr:cNvPr>
        <xdr:cNvSpPr/>
      </xdr:nvSpPr>
      <xdr:spPr>
        <a:xfrm>
          <a:off x="138112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700-00000A000000}"/>
            </a:ext>
          </a:extLst>
        </xdr:cNvPr>
        <xdr:cNvSpPr/>
      </xdr:nvSpPr>
      <xdr:spPr>
        <a:xfrm rot="16200000">
          <a:off x="7005641"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7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700-00000C000000}"/>
            </a:ext>
          </a:extLst>
        </xdr:cNvPr>
        <xdr:cNvSpPr/>
      </xdr:nvSpPr>
      <xdr:spPr>
        <a:xfrm rot="16200000">
          <a:off x="8348667" y="55197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85730</xdr:colOff>
      <xdr:row>40</xdr:row>
      <xdr:rowOff>76200</xdr:rowOff>
    </xdr:from>
    <xdr:to>
      <xdr:col>9</xdr:col>
      <xdr:colOff>438155</xdr:colOff>
      <xdr:row>48</xdr:row>
      <xdr:rowOff>114300</xdr:rowOff>
    </xdr:to>
    <xdr:sp macro="" textlink="">
      <xdr:nvSpPr>
        <xdr:cNvPr id="13" name="Down Arrow 12">
          <a:extLst>
            <a:ext uri="{FF2B5EF4-FFF2-40B4-BE49-F238E27FC236}">
              <a16:creationId xmlns:a16="http://schemas.microsoft.com/office/drawing/2014/main" id="{00000000-0008-0000-0700-00000D000000}"/>
            </a:ext>
          </a:extLst>
        </xdr:cNvPr>
        <xdr:cNvSpPr/>
      </xdr:nvSpPr>
      <xdr:spPr>
        <a:xfrm rot="16200000">
          <a:off x="4967293"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700-00000E000000}"/>
            </a:ext>
          </a:extLst>
        </xdr:cNvPr>
        <xdr:cNvSpPr/>
      </xdr:nvSpPr>
      <xdr:spPr>
        <a:xfrm>
          <a:off x="126301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700-00000F000000}"/>
            </a:ext>
          </a:extLst>
        </xdr:cNvPr>
        <xdr:cNvSpPr/>
      </xdr:nvSpPr>
      <xdr:spPr>
        <a:xfrm>
          <a:off x="120300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700-000010000000}"/>
            </a:ext>
          </a:extLst>
        </xdr:cNvPr>
        <xdr:cNvSpPr/>
      </xdr:nvSpPr>
      <xdr:spPr>
        <a:xfrm rot="16200000">
          <a:off x="532924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700-000011000000}"/>
            </a:ext>
          </a:extLst>
        </xdr:cNvPr>
        <xdr:cNvSpPr/>
      </xdr:nvSpPr>
      <xdr:spPr>
        <a:xfrm rot="16200000">
          <a:off x="7358068" y="288131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700-000012000000}"/>
            </a:ext>
          </a:extLst>
        </xdr:cNvPr>
        <xdr:cNvSpPr/>
      </xdr:nvSpPr>
      <xdr:spPr>
        <a:xfrm rot="16200000">
          <a:off x="870109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700-000013000000}"/>
            </a:ext>
          </a:extLst>
        </xdr:cNvPr>
        <xdr:cNvSpPr/>
      </xdr:nvSpPr>
      <xdr:spPr>
        <a:xfrm rot="5400000">
          <a:off x="9453560"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700-000014000000}"/>
            </a:ext>
          </a:extLst>
        </xdr:cNvPr>
        <xdr:cNvSpPr/>
      </xdr:nvSpPr>
      <xdr:spPr>
        <a:xfrm rot="5400000">
          <a:off x="9453560"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0700-000015000000}"/>
            </a:ext>
          </a:extLst>
        </xdr:cNvPr>
        <xdr:cNvSpPr/>
      </xdr:nvSpPr>
      <xdr:spPr>
        <a:xfrm rot="5400000">
          <a:off x="9453560" y="3276601"/>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2" name="Bent Arrow 21">
          <a:extLst>
            <a:ext uri="{FF2B5EF4-FFF2-40B4-BE49-F238E27FC236}">
              <a16:creationId xmlns:a16="http://schemas.microsoft.com/office/drawing/2014/main" id="{00000000-0008-0000-0700-000016000000}"/>
            </a:ext>
          </a:extLst>
        </xdr:cNvPr>
        <xdr:cNvSpPr/>
      </xdr:nvSpPr>
      <xdr:spPr>
        <a:xfrm rot="5400000">
          <a:off x="9448797" y="3271838"/>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800-000002000000}"/>
            </a:ext>
          </a:extLst>
        </xdr:cNvPr>
        <xdr:cNvSpPr/>
      </xdr:nvSpPr>
      <xdr:spPr>
        <a:xfrm>
          <a:off x="71437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800-000003000000}"/>
            </a:ext>
          </a:extLst>
        </xdr:cNvPr>
        <xdr:cNvSpPr/>
      </xdr:nvSpPr>
      <xdr:spPr>
        <a:xfrm>
          <a:off x="503872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800-000004000000}"/>
            </a:ext>
          </a:extLst>
        </xdr:cNvPr>
        <xdr:cNvSpPr/>
      </xdr:nvSpPr>
      <xdr:spPr>
        <a:xfrm>
          <a:off x="4438650"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800-000005000000}"/>
            </a:ext>
          </a:extLst>
        </xdr:cNvPr>
        <xdr:cNvSpPr/>
      </xdr:nvSpPr>
      <xdr:spPr>
        <a:xfrm>
          <a:off x="38385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800-000006000000}"/>
            </a:ext>
          </a:extLst>
        </xdr:cNvPr>
        <xdr:cNvSpPr/>
      </xdr:nvSpPr>
      <xdr:spPr>
        <a:xfrm>
          <a:off x="32289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800-000007000000}"/>
            </a:ext>
          </a:extLst>
        </xdr:cNvPr>
        <xdr:cNvSpPr/>
      </xdr:nvSpPr>
      <xdr:spPr>
        <a:xfrm>
          <a:off x="2609850" y="40100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800-000008000000}"/>
            </a:ext>
          </a:extLst>
        </xdr:cNvPr>
        <xdr:cNvSpPr/>
      </xdr:nvSpPr>
      <xdr:spPr>
        <a:xfrm>
          <a:off x="20097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800-000009000000}"/>
            </a:ext>
          </a:extLst>
        </xdr:cNvPr>
        <xdr:cNvSpPr/>
      </xdr:nvSpPr>
      <xdr:spPr>
        <a:xfrm>
          <a:off x="138112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800-00000A000000}"/>
            </a:ext>
          </a:extLst>
        </xdr:cNvPr>
        <xdr:cNvSpPr/>
      </xdr:nvSpPr>
      <xdr:spPr>
        <a:xfrm rot="16200000">
          <a:off x="7005641"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8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800-00000C000000}"/>
            </a:ext>
          </a:extLst>
        </xdr:cNvPr>
        <xdr:cNvSpPr/>
      </xdr:nvSpPr>
      <xdr:spPr>
        <a:xfrm rot="16200000">
          <a:off x="8348667" y="55197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85728</xdr:colOff>
      <xdr:row>41</xdr:row>
      <xdr:rowOff>76200</xdr:rowOff>
    </xdr:from>
    <xdr:to>
      <xdr:col>9</xdr:col>
      <xdr:colOff>438153</xdr:colOff>
      <xdr:row>49</xdr:row>
      <xdr:rowOff>114300</xdr:rowOff>
    </xdr:to>
    <xdr:sp macro="" textlink="">
      <xdr:nvSpPr>
        <xdr:cNvPr id="13" name="Down Arrow 12">
          <a:extLst>
            <a:ext uri="{FF2B5EF4-FFF2-40B4-BE49-F238E27FC236}">
              <a16:creationId xmlns:a16="http://schemas.microsoft.com/office/drawing/2014/main" id="{00000000-0008-0000-0800-00000D000000}"/>
            </a:ext>
          </a:extLst>
        </xdr:cNvPr>
        <xdr:cNvSpPr/>
      </xdr:nvSpPr>
      <xdr:spPr>
        <a:xfrm rot="16200000">
          <a:off x="4967291" y="91392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800-00000E000000}"/>
            </a:ext>
          </a:extLst>
        </xdr:cNvPr>
        <xdr:cNvSpPr/>
      </xdr:nvSpPr>
      <xdr:spPr>
        <a:xfrm>
          <a:off x="126301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800-00000F000000}"/>
            </a:ext>
          </a:extLst>
        </xdr:cNvPr>
        <xdr:cNvSpPr/>
      </xdr:nvSpPr>
      <xdr:spPr>
        <a:xfrm>
          <a:off x="120300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800-000010000000}"/>
            </a:ext>
          </a:extLst>
        </xdr:cNvPr>
        <xdr:cNvSpPr/>
      </xdr:nvSpPr>
      <xdr:spPr>
        <a:xfrm rot="16200000">
          <a:off x="532924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800-000011000000}"/>
            </a:ext>
          </a:extLst>
        </xdr:cNvPr>
        <xdr:cNvSpPr/>
      </xdr:nvSpPr>
      <xdr:spPr>
        <a:xfrm rot="16200000">
          <a:off x="7358068" y="288131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800-000012000000}"/>
            </a:ext>
          </a:extLst>
        </xdr:cNvPr>
        <xdr:cNvSpPr/>
      </xdr:nvSpPr>
      <xdr:spPr>
        <a:xfrm rot="16200000">
          <a:off x="870109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800-000013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800-000014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0800-000015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0800-000016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3" name="Bent Arrow 22">
          <a:extLst>
            <a:ext uri="{FF2B5EF4-FFF2-40B4-BE49-F238E27FC236}">
              <a16:creationId xmlns:a16="http://schemas.microsoft.com/office/drawing/2014/main" id="{00000000-0008-0000-0800-000017000000}"/>
            </a:ext>
          </a:extLst>
        </xdr:cNvPr>
        <xdr:cNvSpPr/>
      </xdr:nvSpPr>
      <xdr:spPr>
        <a:xfrm rot="5400000">
          <a:off x="9448797" y="3262313"/>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133350</xdr:colOff>
      <xdr:row>20</xdr:row>
      <xdr:rowOff>57150</xdr:rowOff>
    </xdr:from>
    <xdr:to>
      <xdr:col>12</xdr:col>
      <xdr:colOff>390525</xdr:colOff>
      <xdr:row>20</xdr:row>
      <xdr:rowOff>285750</xdr:rowOff>
    </xdr:to>
    <xdr:sp macro="" textlink="">
      <xdr:nvSpPr>
        <xdr:cNvPr id="2" name="Down Arrow 1">
          <a:extLst>
            <a:ext uri="{FF2B5EF4-FFF2-40B4-BE49-F238E27FC236}">
              <a16:creationId xmlns:a16="http://schemas.microsoft.com/office/drawing/2014/main" id="{00000000-0008-0000-0900-000002000000}"/>
            </a:ext>
          </a:extLst>
        </xdr:cNvPr>
        <xdr:cNvSpPr/>
      </xdr:nvSpPr>
      <xdr:spPr>
        <a:xfrm>
          <a:off x="7143750" y="39719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161925</xdr:colOff>
      <xdr:row>20</xdr:row>
      <xdr:rowOff>76200</xdr:rowOff>
    </xdr:from>
    <xdr:to>
      <xdr:col>8</xdr:col>
      <xdr:colOff>419100</xdr:colOff>
      <xdr:row>20</xdr:row>
      <xdr:rowOff>304800</xdr:rowOff>
    </xdr:to>
    <xdr:sp macro="" textlink="">
      <xdr:nvSpPr>
        <xdr:cNvPr id="3" name="Down Arrow 2">
          <a:extLst>
            <a:ext uri="{FF2B5EF4-FFF2-40B4-BE49-F238E27FC236}">
              <a16:creationId xmlns:a16="http://schemas.microsoft.com/office/drawing/2014/main" id="{00000000-0008-0000-0900-000003000000}"/>
            </a:ext>
          </a:extLst>
        </xdr:cNvPr>
        <xdr:cNvSpPr/>
      </xdr:nvSpPr>
      <xdr:spPr>
        <a:xfrm>
          <a:off x="503872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7</xdr:col>
      <xdr:colOff>171450</xdr:colOff>
      <xdr:row>20</xdr:row>
      <xdr:rowOff>85725</xdr:rowOff>
    </xdr:from>
    <xdr:to>
      <xdr:col>7</xdr:col>
      <xdr:colOff>428625</xdr:colOff>
      <xdr:row>20</xdr:row>
      <xdr:rowOff>314325</xdr:rowOff>
    </xdr:to>
    <xdr:sp macro="" textlink="">
      <xdr:nvSpPr>
        <xdr:cNvPr id="4" name="Down Arrow 3">
          <a:extLst>
            <a:ext uri="{FF2B5EF4-FFF2-40B4-BE49-F238E27FC236}">
              <a16:creationId xmlns:a16="http://schemas.microsoft.com/office/drawing/2014/main" id="{00000000-0008-0000-0900-000004000000}"/>
            </a:ext>
          </a:extLst>
        </xdr:cNvPr>
        <xdr:cNvSpPr/>
      </xdr:nvSpPr>
      <xdr:spPr>
        <a:xfrm>
          <a:off x="4438650"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6</xdr:col>
      <xdr:colOff>180975</xdr:colOff>
      <xdr:row>20</xdr:row>
      <xdr:rowOff>76200</xdr:rowOff>
    </xdr:from>
    <xdr:to>
      <xdr:col>6</xdr:col>
      <xdr:colOff>438150</xdr:colOff>
      <xdr:row>20</xdr:row>
      <xdr:rowOff>304800</xdr:rowOff>
    </xdr:to>
    <xdr:sp macro="" textlink="">
      <xdr:nvSpPr>
        <xdr:cNvPr id="5" name="Down Arrow 4">
          <a:extLst>
            <a:ext uri="{FF2B5EF4-FFF2-40B4-BE49-F238E27FC236}">
              <a16:creationId xmlns:a16="http://schemas.microsoft.com/office/drawing/2014/main" id="{00000000-0008-0000-0900-000005000000}"/>
            </a:ext>
          </a:extLst>
        </xdr:cNvPr>
        <xdr:cNvSpPr/>
      </xdr:nvSpPr>
      <xdr:spPr>
        <a:xfrm>
          <a:off x="38385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180975</xdr:colOff>
      <xdr:row>20</xdr:row>
      <xdr:rowOff>85725</xdr:rowOff>
    </xdr:from>
    <xdr:to>
      <xdr:col>5</xdr:col>
      <xdr:colOff>438150</xdr:colOff>
      <xdr:row>20</xdr:row>
      <xdr:rowOff>314325</xdr:rowOff>
    </xdr:to>
    <xdr:sp macro="" textlink="">
      <xdr:nvSpPr>
        <xdr:cNvPr id="6" name="Down Arrow 5">
          <a:extLst>
            <a:ext uri="{FF2B5EF4-FFF2-40B4-BE49-F238E27FC236}">
              <a16:creationId xmlns:a16="http://schemas.microsoft.com/office/drawing/2014/main" id="{00000000-0008-0000-0900-000006000000}"/>
            </a:ext>
          </a:extLst>
        </xdr:cNvPr>
        <xdr:cNvSpPr/>
      </xdr:nvSpPr>
      <xdr:spPr>
        <a:xfrm>
          <a:off x="32289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171450</xdr:colOff>
      <xdr:row>20</xdr:row>
      <xdr:rowOff>95250</xdr:rowOff>
    </xdr:from>
    <xdr:to>
      <xdr:col>4</xdr:col>
      <xdr:colOff>428625</xdr:colOff>
      <xdr:row>20</xdr:row>
      <xdr:rowOff>323850</xdr:rowOff>
    </xdr:to>
    <xdr:sp macro="" textlink="">
      <xdr:nvSpPr>
        <xdr:cNvPr id="7" name="Down Arrow 6">
          <a:extLst>
            <a:ext uri="{FF2B5EF4-FFF2-40B4-BE49-F238E27FC236}">
              <a16:creationId xmlns:a16="http://schemas.microsoft.com/office/drawing/2014/main" id="{00000000-0008-0000-0900-000007000000}"/>
            </a:ext>
          </a:extLst>
        </xdr:cNvPr>
        <xdr:cNvSpPr/>
      </xdr:nvSpPr>
      <xdr:spPr>
        <a:xfrm>
          <a:off x="2609850" y="401002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180975</xdr:colOff>
      <xdr:row>20</xdr:row>
      <xdr:rowOff>85725</xdr:rowOff>
    </xdr:from>
    <xdr:to>
      <xdr:col>3</xdr:col>
      <xdr:colOff>438150</xdr:colOff>
      <xdr:row>20</xdr:row>
      <xdr:rowOff>314325</xdr:rowOff>
    </xdr:to>
    <xdr:sp macro="" textlink="">
      <xdr:nvSpPr>
        <xdr:cNvPr id="8" name="Down Arrow 7">
          <a:extLst>
            <a:ext uri="{FF2B5EF4-FFF2-40B4-BE49-F238E27FC236}">
              <a16:creationId xmlns:a16="http://schemas.microsoft.com/office/drawing/2014/main" id="{00000000-0008-0000-0900-000008000000}"/>
            </a:ext>
          </a:extLst>
        </xdr:cNvPr>
        <xdr:cNvSpPr/>
      </xdr:nvSpPr>
      <xdr:spPr>
        <a:xfrm>
          <a:off x="200977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161925</xdr:colOff>
      <xdr:row>20</xdr:row>
      <xdr:rowOff>85725</xdr:rowOff>
    </xdr:from>
    <xdr:to>
      <xdr:col>2</xdr:col>
      <xdr:colOff>419100</xdr:colOff>
      <xdr:row>20</xdr:row>
      <xdr:rowOff>314325</xdr:rowOff>
    </xdr:to>
    <xdr:sp macro="" textlink="">
      <xdr:nvSpPr>
        <xdr:cNvPr id="9" name="Down Arrow 8">
          <a:extLst>
            <a:ext uri="{FF2B5EF4-FFF2-40B4-BE49-F238E27FC236}">
              <a16:creationId xmlns:a16="http://schemas.microsoft.com/office/drawing/2014/main" id="{00000000-0008-0000-0900-000009000000}"/>
            </a:ext>
          </a:extLst>
        </xdr:cNvPr>
        <xdr:cNvSpPr/>
      </xdr:nvSpPr>
      <xdr:spPr>
        <a:xfrm>
          <a:off x="1381125" y="400050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85728</xdr:colOff>
      <xdr:row>40</xdr:row>
      <xdr:rowOff>76200</xdr:rowOff>
    </xdr:from>
    <xdr:to>
      <xdr:col>13</xdr:col>
      <xdr:colOff>438153</xdr:colOff>
      <xdr:row>48</xdr:row>
      <xdr:rowOff>114300</xdr:rowOff>
    </xdr:to>
    <xdr:sp macro="" textlink="">
      <xdr:nvSpPr>
        <xdr:cNvPr id="10" name="Down Arrow 9">
          <a:extLst>
            <a:ext uri="{FF2B5EF4-FFF2-40B4-BE49-F238E27FC236}">
              <a16:creationId xmlns:a16="http://schemas.microsoft.com/office/drawing/2014/main" id="{00000000-0008-0000-0900-00000A000000}"/>
            </a:ext>
          </a:extLst>
        </xdr:cNvPr>
        <xdr:cNvSpPr/>
      </xdr:nvSpPr>
      <xdr:spPr>
        <a:xfrm rot="16200000">
          <a:off x="7005641" y="55197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1" name="Bent Arrow 10">
          <a:extLst>
            <a:ext uri="{FF2B5EF4-FFF2-40B4-BE49-F238E27FC236}">
              <a16:creationId xmlns:a16="http://schemas.microsoft.com/office/drawing/2014/main" id="{00000000-0008-0000-0900-00000B000000}"/>
            </a:ext>
          </a:extLst>
        </xdr:cNvPr>
        <xdr:cNvSpPr/>
      </xdr:nvSpPr>
      <xdr:spPr>
        <a:xfrm rot="5400000">
          <a:off x="9186860" y="3533776"/>
          <a:ext cx="452439" cy="9286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85729</xdr:colOff>
      <xdr:row>40</xdr:row>
      <xdr:rowOff>76202</xdr:rowOff>
    </xdr:from>
    <xdr:to>
      <xdr:col>15</xdr:col>
      <xdr:colOff>438154</xdr:colOff>
      <xdr:row>48</xdr:row>
      <xdr:rowOff>114302</xdr:rowOff>
    </xdr:to>
    <xdr:sp macro="" textlink="">
      <xdr:nvSpPr>
        <xdr:cNvPr id="12" name="Down Arrow 11">
          <a:extLst>
            <a:ext uri="{FF2B5EF4-FFF2-40B4-BE49-F238E27FC236}">
              <a16:creationId xmlns:a16="http://schemas.microsoft.com/office/drawing/2014/main" id="{00000000-0008-0000-0900-00000C000000}"/>
            </a:ext>
          </a:extLst>
        </xdr:cNvPr>
        <xdr:cNvSpPr/>
      </xdr:nvSpPr>
      <xdr:spPr>
        <a:xfrm rot="16200000">
          <a:off x="8348667" y="5519739"/>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95253</xdr:colOff>
      <xdr:row>41</xdr:row>
      <xdr:rowOff>76200</xdr:rowOff>
    </xdr:from>
    <xdr:to>
      <xdr:col>9</xdr:col>
      <xdr:colOff>447678</xdr:colOff>
      <xdr:row>49</xdr:row>
      <xdr:rowOff>114300</xdr:rowOff>
    </xdr:to>
    <xdr:sp macro="" textlink="">
      <xdr:nvSpPr>
        <xdr:cNvPr id="13" name="Down Arrow 12">
          <a:extLst>
            <a:ext uri="{FF2B5EF4-FFF2-40B4-BE49-F238E27FC236}">
              <a16:creationId xmlns:a16="http://schemas.microsoft.com/office/drawing/2014/main" id="{00000000-0008-0000-0900-00000D000000}"/>
            </a:ext>
          </a:extLst>
        </xdr:cNvPr>
        <xdr:cNvSpPr/>
      </xdr:nvSpPr>
      <xdr:spPr>
        <a:xfrm rot="16200000">
          <a:off x="4976816" y="9139237"/>
          <a:ext cx="1562100"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22</xdr:col>
      <xdr:colOff>180975</xdr:colOff>
      <xdr:row>20</xdr:row>
      <xdr:rowOff>66675</xdr:rowOff>
    </xdr:from>
    <xdr:to>
      <xdr:col>22</xdr:col>
      <xdr:colOff>438150</xdr:colOff>
      <xdr:row>20</xdr:row>
      <xdr:rowOff>295275</xdr:rowOff>
    </xdr:to>
    <xdr:sp macro="" textlink="">
      <xdr:nvSpPr>
        <xdr:cNvPr id="14" name="Down Arrow 13">
          <a:extLst>
            <a:ext uri="{FF2B5EF4-FFF2-40B4-BE49-F238E27FC236}">
              <a16:creationId xmlns:a16="http://schemas.microsoft.com/office/drawing/2014/main" id="{00000000-0008-0000-0900-00000E000000}"/>
            </a:ext>
          </a:extLst>
        </xdr:cNvPr>
        <xdr:cNvSpPr/>
      </xdr:nvSpPr>
      <xdr:spPr>
        <a:xfrm>
          <a:off x="12630150" y="3981450"/>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21</xdr:col>
      <xdr:colOff>190500</xdr:colOff>
      <xdr:row>20</xdr:row>
      <xdr:rowOff>76200</xdr:rowOff>
    </xdr:from>
    <xdr:to>
      <xdr:col>21</xdr:col>
      <xdr:colOff>447675</xdr:colOff>
      <xdr:row>20</xdr:row>
      <xdr:rowOff>304800</xdr:rowOff>
    </xdr:to>
    <xdr:sp macro="" textlink="">
      <xdr:nvSpPr>
        <xdr:cNvPr id="15" name="Down Arrow 14">
          <a:extLst>
            <a:ext uri="{FF2B5EF4-FFF2-40B4-BE49-F238E27FC236}">
              <a16:creationId xmlns:a16="http://schemas.microsoft.com/office/drawing/2014/main" id="{00000000-0008-0000-0900-00000F000000}"/>
            </a:ext>
          </a:extLst>
        </xdr:cNvPr>
        <xdr:cNvSpPr/>
      </xdr:nvSpPr>
      <xdr:spPr>
        <a:xfrm>
          <a:off x="12030075" y="3990975"/>
          <a:ext cx="257175" cy="228600"/>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95255</xdr:colOff>
      <xdr:row>12</xdr:row>
      <xdr:rowOff>76199</xdr:rowOff>
    </xdr:from>
    <xdr:to>
      <xdr:col>9</xdr:col>
      <xdr:colOff>447680</xdr:colOff>
      <xdr:row>16</xdr:row>
      <xdr:rowOff>142873</xdr:rowOff>
    </xdr:to>
    <xdr:sp macro="" textlink="">
      <xdr:nvSpPr>
        <xdr:cNvPr id="16" name="Down Arrow 15">
          <a:extLst>
            <a:ext uri="{FF2B5EF4-FFF2-40B4-BE49-F238E27FC236}">
              <a16:creationId xmlns:a16="http://schemas.microsoft.com/office/drawing/2014/main" id="{00000000-0008-0000-0900-000010000000}"/>
            </a:ext>
          </a:extLst>
        </xdr:cNvPr>
        <xdr:cNvSpPr/>
      </xdr:nvSpPr>
      <xdr:spPr>
        <a:xfrm rot="16200000">
          <a:off x="532924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13</xdr:col>
      <xdr:colOff>85730</xdr:colOff>
      <xdr:row>12</xdr:row>
      <xdr:rowOff>85724</xdr:rowOff>
    </xdr:from>
    <xdr:to>
      <xdr:col>13</xdr:col>
      <xdr:colOff>438155</xdr:colOff>
      <xdr:row>16</xdr:row>
      <xdr:rowOff>152398</xdr:rowOff>
    </xdr:to>
    <xdr:sp macro="" textlink="">
      <xdr:nvSpPr>
        <xdr:cNvPr id="17" name="Down Arrow 16">
          <a:extLst>
            <a:ext uri="{FF2B5EF4-FFF2-40B4-BE49-F238E27FC236}">
              <a16:creationId xmlns:a16="http://schemas.microsoft.com/office/drawing/2014/main" id="{00000000-0008-0000-0900-000011000000}"/>
            </a:ext>
          </a:extLst>
        </xdr:cNvPr>
        <xdr:cNvSpPr/>
      </xdr:nvSpPr>
      <xdr:spPr>
        <a:xfrm rot="16200000">
          <a:off x="7358068" y="2881311"/>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85730</xdr:colOff>
      <xdr:row>12</xdr:row>
      <xdr:rowOff>76199</xdr:rowOff>
    </xdr:from>
    <xdr:to>
      <xdr:col>15</xdr:col>
      <xdr:colOff>438155</xdr:colOff>
      <xdr:row>16</xdr:row>
      <xdr:rowOff>142873</xdr:rowOff>
    </xdr:to>
    <xdr:sp macro="" textlink="">
      <xdr:nvSpPr>
        <xdr:cNvPr id="18" name="Down Arrow 17">
          <a:extLst>
            <a:ext uri="{FF2B5EF4-FFF2-40B4-BE49-F238E27FC236}">
              <a16:creationId xmlns:a16="http://schemas.microsoft.com/office/drawing/2014/main" id="{00000000-0008-0000-0900-000012000000}"/>
            </a:ext>
          </a:extLst>
        </xdr:cNvPr>
        <xdr:cNvSpPr/>
      </xdr:nvSpPr>
      <xdr:spPr>
        <a:xfrm rot="16200000">
          <a:off x="8701093" y="2871786"/>
          <a:ext cx="857249" cy="352425"/>
        </a:xfrm>
        <a:prstGeom prst="downArrow">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19" name="Bent Arrow 18">
          <a:extLst>
            <a:ext uri="{FF2B5EF4-FFF2-40B4-BE49-F238E27FC236}">
              <a16:creationId xmlns:a16="http://schemas.microsoft.com/office/drawing/2014/main" id="{00000000-0008-0000-0900-000013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0" name="Bent Arrow 19">
          <a:extLst>
            <a:ext uri="{FF2B5EF4-FFF2-40B4-BE49-F238E27FC236}">
              <a16:creationId xmlns:a16="http://schemas.microsoft.com/office/drawing/2014/main" id="{00000000-0008-0000-0900-000014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1" name="Bent Arrow 20">
          <a:extLst>
            <a:ext uri="{FF2B5EF4-FFF2-40B4-BE49-F238E27FC236}">
              <a16:creationId xmlns:a16="http://schemas.microsoft.com/office/drawing/2014/main" id="{00000000-0008-0000-0900-000015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2" name="Bent Arrow 21">
          <a:extLst>
            <a:ext uri="{FF2B5EF4-FFF2-40B4-BE49-F238E27FC236}">
              <a16:creationId xmlns:a16="http://schemas.microsoft.com/office/drawing/2014/main" id="{00000000-0008-0000-0900-000016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80961</xdr:colOff>
      <xdr:row>19</xdr:row>
      <xdr:rowOff>47625</xdr:rowOff>
    </xdr:from>
    <xdr:to>
      <xdr:col>17</xdr:col>
      <xdr:colOff>476248</xdr:colOff>
      <xdr:row>20</xdr:row>
      <xdr:rowOff>309564</xdr:rowOff>
    </xdr:to>
    <xdr:sp macro="" textlink="">
      <xdr:nvSpPr>
        <xdr:cNvPr id="23" name="Bent Arrow 22">
          <a:extLst>
            <a:ext uri="{FF2B5EF4-FFF2-40B4-BE49-F238E27FC236}">
              <a16:creationId xmlns:a16="http://schemas.microsoft.com/office/drawing/2014/main" id="{00000000-0008-0000-0900-000017000000}"/>
            </a:ext>
          </a:extLst>
        </xdr:cNvPr>
        <xdr:cNvSpPr/>
      </xdr:nvSpPr>
      <xdr:spPr>
        <a:xfrm rot="5400000">
          <a:off x="9453560" y="3267076"/>
          <a:ext cx="452439" cy="1462087"/>
        </a:xfrm>
        <a:prstGeom prst="bentArrow">
          <a:avLst>
            <a:gd name="adj1" fmla="val 20238"/>
            <a:gd name="adj2" fmla="val 25000"/>
            <a:gd name="adj3" fmla="val 25000"/>
            <a:gd name="adj4" fmla="val 5855"/>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twoCellAnchor>
    <xdr:from>
      <xdr:col>15</xdr:col>
      <xdr:colOff>80960</xdr:colOff>
      <xdr:row>19</xdr:row>
      <xdr:rowOff>38100</xdr:rowOff>
    </xdr:from>
    <xdr:to>
      <xdr:col>17</xdr:col>
      <xdr:colOff>476247</xdr:colOff>
      <xdr:row>20</xdr:row>
      <xdr:rowOff>309564</xdr:rowOff>
    </xdr:to>
    <xdr:sp macro="" textlink="">
      <xdr:nvSpPr>
        <xdr:cNvPr id="24" name="Bent Arrow 23">
          <a:extLst>
            <a:ext uri="{FF2B5EF4-FFF2-40B4-BE49-F238E27FC236}">
              <a16:creationId xmlns:a16="http://schemas.microsoft.com/office/drawing/2014/main" id="{00000000-0008-0000-0900-000018000000}"/>
            </a:ext>
          </a:extLst>
        </xdr:cNvPr>
        <xdr:cNvSpPr/>
      </xdr:nvSpPr>
      <xdr:spPr>
        <a:xfrm rot="5400000">
          <a:off x="9448797" y="3262313"/>
          <a:ext cx="461964" cy="1462087"/>
        </a:xfrm>
        <a:prstGeom prst="bentArrow">
          <a:avLst>
            <a:gd name="adj1" fmla="val 20238"/>
            <a:gd name="adj2" fmla="val 25000"/>
            <a:gd name="adj3" fmla="val 25000"/>
            <a:gd name="adj4" fmla="val 0"/>
          </a:avLst>
        </a:prstGeom>
        <a:solidFill>
          <a:schemeClr val="bg1">
            <a:lumMod val="85000"/>
          </a:schemeClr>
        </a:solidFill>
        <a:ln>
          <a:solidFill>
            <a:schemeClr val="tx1">
              <a:lumMod val="50000"/>
              <a:lumOff val="50000"/>
              <a:alpha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ad.corp.edinburgh.gov.uk\departments\CF\Resources\Asset%20Planning\Projections\2018\Primary_Projections_2018_11_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CF\Resources\Asset%20Planning\Projections\2018\Primary_Projections_2018_11_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HODOLOGY"/>
      <sheetName val="Projection_Summary"/>
      <sheetName val="Graphs"/>
      <sheetName val="Abbeyhill"/>
      <sheetName val="Balgreen"/>
      <sheetName val="Blackhall"/>
      <sheetName val="Bonaly"/>
      <sheetName val="Broomhouse"/>
      <sheetName val="Broughton"/>
      <sheetName val="Brunstane"/>
      <sheetName val="Bruntsfield"/>
      <sheetName val="Buckstone"/>
      <sheetName val="Bun Sgoil Taobh na Pairce"/>
      <sheetName val="Canal View"/>
      <sheetName val="Carrick Knowe"/>
      <sheetName val="Castleview"/>
      <sheetName val="Clermiston"/>
      <sheetName val="Clovenstone"/>
      <sheetName val="Colinton"/>
      <sheetName val="Corstorphine"/>
      <sheetName val="Craigentinny"/>
      <sheetName val="Craiglockhart"/>
      <sheetName val="Craigour Park"/>
      <sheetName val="Craigroyston"/>
      <sheetName val="Cramond"/>
      <sheetName val="Currie"/>
      <sheetName val="Dalmeny"/>
      <sheetName val="Dalry"/>
      <sheetName val="Davidsons Mains"/>
      <sheetName val="Dean Park"/>
      <sheetName val="Duddingston"/>
      <sheetName val="East Craigs"/>
      <sheetName val="Echline"/>
      <sheetName val="Ferryhill"/>
      <sheetName val="Flora Stevenson"/>
      <sheetName val="Forthview"/>
      <sheetName val="Fox Covert ND"/>
      <sheetName val="Fox Covert RC"/>
      <sheetName val="Gilmerton"/>
      <sheetName val="Gracemount"/>
      <sheetName val="Granton"/>
      <sheetName val="Gylemuir"/>
      <sheetName val="Hermitage Park"/>
      <sheetName val="Hillwood"/>
      <sheetName val="Holy Cross RC"/>
      <sheetName val="James Gillespies"/>
      <sheetName val="Juniper Green"/>
      <sheetName val="Kirkliston"/>
      <sheetName val="Leith"/>
      <sheetName val="Leith Walk"/>
      <sheetName val="Liberton"/>
      <sheetName val="Longstone"/>
      <sheetName val="Lorne"/>
      <sheetName val="Murrayburn"/>
      <sheetName val="Nether Currie"/>
      <sheetName val="Newcraighall"/>
      <sheetName val="Niddrie Mill"/>
      <sheetName val="Oxgangs"/>
      <sheetName val="Parsons Green"/>
      <sheetName val="Pentland"/>
      <sheetName val="Pirniehall"/>
      <sheetName val="Preston Street"/>
      <sheetName val="Prestonfield"/>
      <sheetName val="Queensferry"/>
      <sheetName val="Ratho"/>
      <sheetName val="Roseburn"/>
      <sheetName val="Royal Mile"/>
      <sheetName val="Sciennes"/>
      <sheetName val="Sighthill"/>
      <sheetName val="South Morningside"/>
      <sheetName val="St Catherines RC"/>
      <sheetName val="St Cuthberts RC"/>
      <sheetName val="St Davids RC"/>
      <sheetName val="St Francis RC"/>
      <sheetName val="St John Vianney"/>
      <sheetName val="St Johns RC"/>
      <sheetName val="St Josephs RC"/>
      <sheetName val="St Margarets RC"/>
      <sheetName val="St Marks RC"/>
      <sheetName val="St Marys Edin"/>
      <sheetName val="St Marys Leith"/>
      <sheetName val="St Ninians RC"/>
      <sheetName val="St Peters RC"/>
      <sheetName val="Stenhouse"/>
      <sheetName val="Stockbridge"/>
      <sheetName val="The Royal High"/>
      <sheetName val="Tollcross"/>
      <sheetName val="Towerbank"/>
      <sheetName val="Trinity"/>
      <sheetName val="Victoria"/>
      <sheetName val="Wardie"/>
      <sheetName val="Capacity"/>
      <sheetName val="Catchment Births"/>
      <sheetName val="Housing Generation"/>
      <sheetName val="Cumulative pupils per year"/>
      <sheetName val="P1 Registration 2016"/>
      <sheetName val="Birth Estimate and NRS Data"/>
      <sheetName val="Catchment Projections"/>
      <sheetName val="Rolls"/>
      <sheetName val="All P1 In Catchment"/>
      <sheetName val="P1 Retained"/>
      <sheetName val="Adhoc Projections"/>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ow r="1">
          <cell r="A1" t="str">
            <v>Housing Development - August 2018</v>
          </cell>
          <cell r="B1">
            <v>2018</v>
          </cell>
          <cell r="J1">
            <v>2019</v>
          </cell>
          <cell r="R1">
            <v>2020</v>
          </cell>
          <cell r="Z1">
            <v>2021</v>
          </cell>
          <cell r="AH1">
            <v>2022</v>
          </cell>
          <cell r="AP1">
            <v>2023</v>
          </cell>
          <cell r="AX1">
            <v>2024</v>
          </cell>
          <cell r="BF1">
            <v>2025</v>
          </cell>
          <cell r="BN1">
            <v>2026</v>
          </cell>
          <cell r="BV1">
            <v>2027</v>
          </cell>
          <cell r="CD1">
            <v>2028</v>
          </cell>
          <cell r="CL1">
            <v>2029</v>
          </cell>
          <cell r="CT1">
            <v>2030</v>
          </cell>
          <cell r="DB1">
            <v>2031</v>
          </cell>
          <cell r="DJ1">
            <v>2032</v>
          </cell>
        </row>
        <row r="3">
          <cell r="B3">
            <v>2</v>
          </cell>
          <cell r="C3">
            <v>2</v>
          </cell>
          <cell r="D3">
            <v>1</v>
          </cell>
          <cell r="E3">
            <v>1</v>
          </cell>
          <cell r="F3">
            <v>1</v>
          </cell>
          <cell r="G3">
            <v>1</v>
          </cell>
          <cell r="H3">
            <v>1</v>
          </cell>
          <cell r="I3">
            <v>9</v>
          </cell>
          <cell r="J3">
            <v>1</v>
          </cell>
          <cell r="K3">
            <v>1</v>
          </cell>
          <cell r="L3">
            <v>1</v>
          </cell>
          <cell r="M3">
            <v>1</v>
          </cell>
          <cell r="N3">
            <v>1</v>
          </cell>
          <cell r="O3">
            <v>1</v>
          </cell>
          <cell r="P3">
            <v>0</v>
          </cell>
          <cell r="Q3">
            <v>6</v>
          </cell>
          <cell r="R3">
            <v>2</v>
          </cell>
          <cell r="S3">
            <v>2</v>
          </cell>
          <cell r="T3">
            <v>2</v>
          </cell>
          <cell r="U3">
            <v>2</v>
          </cell>
          <cell r="V3">
            <v>2</v>
          </cell>
          <cell r="W3">
            <v>2</v>
          </cell>
          <cell r="X3">
            <v>1</v>
          </cell>
          <cell r="Y3">
            <v>13</v>
          </cell>
          <cell r="Z3">
            <v>3</v>
          </cell>
          <cell r="AA3">
            <v>3</v>
          </cell>
          <cell r="AB3">
            <v>3</v>
          </cell>
          <cell r="AC3">
            <v>3</v>
          </cell>
          <cell r="AD3">
            <v>3</v>
          </cell>
          <cell r="AE3">
            <v>3</v>
          </cell>
          <cell r="AF3">
            <v>3</v>
          </cell>
          <cell r="AG3">
            <v>21</v>
          </cell>
          <cell r="AH3">
            <v>4</v>
          </cell>
          <cell r="AI3">
            <v>3</v>
          </cell>
          <cell r="AJ3">
            <v>3</v>
          </cell>
          <cell r="AK3">
            <v>3</v>
          </cell>
          <cell r="AL3">
            <v>3</v>
          </cell>
          <cell r="AM3">
            <v>3</v>
          </cell>
          <cell r="AN3">
            <v>3</v>
          </cell>
          <cell r="AO3">
            <v>22</v>
          </cell>
          <cell r="AP3">
            <v>4</v>
          </cell>
          <cell r="AQ3">
            <v>3</v>
          </cell>
          <cell r="AR3">
            <v>3</v>
          </cell>
          <cell r="AS3">
            <v>3</v>
          </cell>
          <cell r="AT3">
            <v>3</v>
          </cell>
          <cell r="AU3">
            <v>3</v>
          </cell>
          <cell r="AV3">
            <v>3</v>
          </cell>
          <cell r="AW3">
            <v>22</v>
          </cell>
          <cell r="AX3">
            <v>4</v>
          </cell>
          <cell r="AY3">
            <v>3</v>
          </cell>
          <cell r="AZ3">
            <v>3</v>
          </cell>
          <cell r="BA3">
            <v>3</v>
          </cell>
          <cell r="BB3">
            <v>3</v>
          </cell>
          <cell r="BC3">
            <v>3</v>
          </cell>
          <cell r="BD3">
            <v>3</v>
          </cell>
          <cell r="BE3">
            <v>22</v>
          </cell>
          <cell r="BF3">
            <v>4</v>
          </cell>
          <cell r="BG3">
            <v>3</v>
          </cell>
          <cell r="BH3">
            <v>3</v>
          </cell>
          <cell r="BI3">
            <v>3</v>
          </cell>
          <cell r="BJ3">
            <v>3</v>
          </cell>
          <cell r="BK3">
            <v>3</v>
          </cell>
          <cell r="BL3">
            <v>3</v>
          </cell>
          <cell r="BM3">
            <v>22</v>
          </cell>
          <cell r="BN3">
            <v>4</v>
          </cell>
          <cell r="BO3">
            <v>3</v>
          </cell>
          <cell r="BP3">
            <v>3</v>
          </cell>
          <cell r="BQ3">
            <v>3</v>
          </cell>
          <cell r="BR3">
            <v>3</v>
          </cell>
          <cell r="BS3">
            <v>3</v>
          </cell>
          <cell r="BT3">
            <v>3</v>
          </cell>
          <cell r="BU3">
            <v>22</v>
          </cell>
          <cell r="BV3">
            <v>4</v>
          </cell>
          <cell r="BW3">
            <v>3</v>
          </cell>
          <cell r="BX3">
            <v>3</v>
          </cell>
          <cell r="BY3">
            <v>3</v>
          </cell>
          <cell r="BZ3">
            <v>3</v>
          </cell>
          <cell r="CA3">
            <v>3</v>
          </cell>
          <cell r="CB3">
            <v>3</v>
          </cell>
          <cell r="CC3">
            <v>22</v>
          </cell>
          <cell r="CD3">
            <v>4</v>
          </cell>
          <cell r="CE3">
            <v>3</v>
          </cell>
          <cell r="CF3">
            <v>3</v>
          </cell>
          <cell r="CG3">
            <v>3</v>
          </cell>
          <cell r="CH3">
            <v>3</v>
          </cell>
          <cell r="CI3">
            <v>3</v>
          </cell>
          <cell r="CJ3">
            <v>3</v>
          </cell>
          <cell r="CK3">
            <v>22</v>
          </cell>
          <cell r="CL3">
            <v>4</v>
          </cell>
          <cell r="CM3">
            <v>3</v>
          </cell>
          <cell r="CN3">
            <v>3</v>
          </cell>
          <cell r="CO3">
            <v>3</v>
          </cell>
          <cell r="CP3">
            <v>3</v>
          </cell>
          <cell r="CQ3">
            <v>3</v>
          </cell>
          <cell r="CR3">
            <v>3</v>
          </cell>
          <cell r="CS3">
            <v>22</v>
          </cell>
          <cell r="CT3">
            <v>4</v>
          </cell>
          <cell r="CU3">
            <v>3</v>
          </cell>
          <cell r="CV3">
            <v>3</v>
          </cell>
          <cell r="CW3">
            <v>3</v>
          </cell>
          <cell r="CX3">
            <v>3</v>
          </cell>
          <cell r="CY3">
            <v>3</v>
          </cell>
          <cell r="CZ3">
            <v>3</v>
          </cell>
          <cell r="DA3">
            <v>22</v>
          </cell>
          <cell r="DB3">
            <v>4</v>
          </cell>
          <cell r="DC3">
            <v>3</v>
          </cell>
          <cell r="DD3">
            <v>3</v>
          </cell>
          <cell r="DE3">
            <v>3</v>
          </cell>
          <cell r="DF3">
            <v>3</v>
          </cell>
          <cell r="DG3">
            <v>3</v>
          </cell>
          <cell r="DH3">
            <v>3</v>
          </cell>
          <cell r="DI3">
            <v>22</v>
          </cell>
          <cell r="DJ3">
            <v>4</v>
          </cell>
          <cell r="DK3">
            <v>3</v>
          </cell>
          <cell r="DL3">
            <v>3</v>
          </cell>
          <cell r="DM3">
            <v>3</v>
          </cell>
          <cell r="DN3">
            <v>3</v>
          </cell>
          <cell r="DO3">
            <v>3</v>
          </cell>
          <cell r="DP3">
            <v>3</v>
          </cell>
          <cell r="DQ3">
            <v>22</v>
          </cell>
        </row>
        <row r="4">
          <cell r="B4">
            <v>2</v>
          </cell>
          <cell r="C4">
            <v>2</v>
          </cell>
          <cell r="D4">
            <v>2</v>
          </cell>
          <cell r="E4">
            <v>2</v>
          </cell>
          <cell r="F4">
            <v>1</v>
          </cell>
          <cell r="G4">
            <v>1</v>
          </cell>
          <cell r="H4">
            <v>1</v>
          </cell>
          <cell r="I4">
            <v>11</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1</v>
          </cell>
          <cell r="AQ4">
            <v>1</v>
          </cell>
          <cell r="AR4">
            <v>1</v>
          </cell>
          <cell r="AS4">
            <v>1</v>
          </cell>
          <cell r="AT4">
            <v>0</v>
          </cell>
          <cell r="AU4">
            <v>0</v>
          </cell>
          <cell r="AV4">
            <v>0</v>
          </cell>
          <cell r="AW4">
            <v>4</v>
          </cell>
          <cell r="AX4">
            <v>2</v>
          </cell>
          <cell r="AY4">
            <v>2</v>
          </cell>
          <cell r="AZ4">
            <v>1</v>
          </cell>
          <cell r="BA4">
            <v>1</v>
          </cell>
          <cell r="BB4">
            <v>1</v>
          </cell>
          <cell r="BC4">
            <v>1</v>
          </cell>
          <cell r="BD4">
            <v>1</v>
          </cell>
          <cell r="BE4">
            <v>9</v>
          </cell>
          <cell r="BF4">
            <v>2</v>
          </cell>
          <cell r="BG4">
            <v>2</v>
          </cell>
          <cell r="BH4">
            <v>2</v>
          </cell>
          <cell r="BI4">
            <v>2</v>
          </cell>
          <cell r="BJ4">
            <v>2</v>
          </cell>
          <cell r="BK4">
            <v>2</v>
          </cell>
          <cell r="BL4">
            <v>2</v>
          </cell>
          <cell r="BM4">
            <v>14</v>
          </cell>
          <cell r="BN4">
            <v>4</v>
          </cell>
          <cell r="BO4">
            <v>3</v>
          </cell>
          <cell r="BP4">
            <v>3</v>
          </cell>
          <cell r="BQ4">
            <v>3</v>
          </cell>
          <cell r="BR4">
            <v>3</v>
          </cell>
          <cell r="BS4">
            <v>3</v>
          </cell>
          <cell r="BT4">
            <v>3</v>
          </cell>
          <cell r="BU4">
            <v>22</v>
          </cell>
          <cell r="BV4">
            <v>5</v>
          </cell>
          <cell r="BW4">
            <v>5</v>
          </cell>
          <cell r="BX4">
            <v>4</v>
          </cell>
          <cell r="BY4">
            <v>4</v>
          </cell>
          <cell r="BZ4">
            <v>4</v>
          </cell>
          <cell r="CA4">
            <v>4</v>
          </cell>
          <cell r="CB4">
            <v>4</v>
          </cell>
          <cell r="CC4">
            <v>30</v>
          </cell>
          <cell r="CD4">
            <v>5</v>
          </cell>
          <cell r="CE4">
            <v>5</v>
          </cell>
          <cell r="CF4">
            <v>5</v>
          </cell>
          <cell r="CG4">
            <v>5</v>
          </cell>
          <cell r="CH4">
            <v>5</v>
          </cell>
          <cell r="CI4">
            <v>5</v>
          </cell>
          <cell r="CJ4">
            <v>5</v>
          </cell>
          <cell r="CK4">
            <v>35</v>
          </cell>
          <cell r="CL4">
            <v>6</v>
          </cell>
          <cell r="CM4">
            <v>6</v>
          </cell>
          <cell r="CN4">
            <v>5</v>
          </cell>
          <cell r="CO4">
            <v>5</v>
          </cell>
          <cell r="CP4">
            <v>5</v>
          </cell>
          <cell r="CQ4">
            <v>5</v>
          </cell>
          <cell r="CR4">
            <v>5</v>
          </cell>
          <cell r="CS4">
            <v>37</v>
          </cell>
          <cell r="CT4">
            <v>6</v>
          </cell>
          <cell r="CU4">
            <v>6</v>
          </cell>
          <cell r="CV4">
            <v>5</v>
          </cell>
          <cell r="CW4">
            <v>5</v>
          </cell>
          <cell r="CX4">
            <v>5</v>
          </cell>
          <cell r="CY4">
            <v>5</v>
          </cell>
          <cell r="CZ4">
            <v>5</v>
          </cell>
          <cell r="DA4">
            <v>37</v>
          </cell>
          <cell r="DB4">
            <v>6</v>
          </cell>
          <cell r="DC4">
            <v>6</v>
          </cell>
          <cell r="DD4">
            <v>5</v>
          </cell>
          <cell r="DE4">
            <v>5</v>
          </cell>
          <cell r="DF4">
            <v>5</v>
          </cell>
          <cell r="DG4">
            <v>5</v>
          </cell>
          <cell r="DH4">
            <v>5</v>
          </cell>
          <cell r="DI4">
            <v>37</v>
          </cell>
          <cell r="DJ4">
            <v>6</v>
          </cell>
          <cell r="DK4">
            <v>6</v>
          </cell>
          <cell r="DL4">
            <v>5</v>
          </cell>
          <cell r="DM4">
            <v>5</v>
          </cell>
          <cell r="DN4">
            <v>5</v>
          </cell>
          <cell r="DO4">
            <v>5</v>
          </cell>
          <cell r="DP4">
            <v>5</v>
          </cell>
          <cell r="DQ4">
            <v>37</v>
          </cell>
        </row>
        <row r="5">
          <cell r="B5">
            <v>0</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I5">
            <v>0</v>
          </cell>
          <cell r="BJ5">
            <v>0</v>
          </cell>
          <cell r="BK5">
            <v>0</v>
          </cell>
          <cell r="BL5">
            <v>0</v>
          </cell>
          <cell r="BM5">
            <v>0</v>
          </cell>
          <cell r="BN5">
            <v>0</v>
          </cell>
          <cell r="BO5">
            <v>0</v>
          </cell>
          <cell r="BP5">
            <v>0</v>
          </cell>
          <cell r="BQ5">
            <v>0</v>
          </cell>
          <cell r="BR5">
            <v>0</v>
          </cell>
          <cell r="BS5">
            <v>0</v>
          </cell>
          <cell r="BT5">
            <v>0</v>
          </cell>
          <cell r="BU5">
            <v>0</v>
          </cell>
          <cell r="BV5">
            <v>0</v>
          </cell>
          <cell r="BW5">
            <v>0</v>
          </cell>
          <cell r="BX5">
            <v>0</v>
          </cell>
          <cell r="BY5">
            <v>0</v>
          </cell>
          <cell r="BZ5">
            <v>0</v>
          </cell>
          <cell r="CA5">
            <v>0</v>
          </cell>
          <cell r="CB5">
            <v>0</v>
          </cell>
          <cell r="CC5">
            <v>0</v>
          </cell>
          <cell r="CD5">
            <v>0</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0</v>
          </cell>
        </row>
        <row r="6">
          <cell r="B6">
            <v>1</v>
          </cell>
          <cell r="C6">
            <v>1</v>
          </cell>
          <cell r="D6">
            <v>0</v>
          </cell>
          <cell r="E6">
            <v>0</v>
          </cell>
          <cell r="F6">
            <v>0</v>
          </cell>
          <cell r="G6">
            <v>0</v>
          </cell>
          <cell r="H6">
            <v>0</v>
          </cell>
          <cell r="I6">
            <v>2</v>
          </cell>
          <cell r="J6">
            <v>1</v>
          </cell>
          <cell r="K6">
            <v>1</v>
          </cell>
          <cell r="L6">
            <v>0</v>
          </cell>
          <cell r="M6">
            <v>0</v>
          </cell>
          <cell r="N6">
            <v>0</v>
          </cell>
          <cell r="O6">
            <v>0</v>
          </cell>
          <cell r="P6">
            <v>0</v>
          </cell>
          <cell r="Q6">
            <v>2</v>
          </cell>
          <cell r="R6">
            <v>1</v>
          </cell>
          <cell r="S6">
            <v>1</v>
          </cell>
          <cell r="T6">
            <v>0</v>
          </cell>
          <cell r="U6">
            <v>0</v>
          </cell>
          <cell r="V6">
            <v>0</v>
          </cell>
          <cell r="W6">
            <v>0</v>
          </cell>
          <cell r="X6">
            <v>0</v>
          </cell>
          <cell r="Y6">
            <v>2</v>
          </cell>
          <cell r="Z6">
            <v>1</v>
          </cell>
          <cell r="AA6">
            <v>1</v>
          </cell>
          <cell r="AB6">
            <v>0</v>
          </cell>
          <cell r="AC6">
            <v>0</v>
          </cell>
          <cell r="AD6">
            <v>0</v>
          </cell>
          <cell r="AE6">
            <v>0</v>
          </cell>
          <cell r="AF6">
            <v>0</v>
          </cell>
          <cell r="AG6">
            <v>2</v>
          </cell>
          <cell r="AH6">
            <v>1</v>
          </cell>
          <cell r="AI6">
            <v>1</v>
          </cell>
          <cell r="AJ6">
            <v>0</v>
          </cell>
          <cell r="AK6">
            <v>0</v>
          </cell>
          <cell r="AL6">
            <v>0</v>
          </cell>
          <cell r="AM6">
            <v>0</v>
          </cell>
          <cell r="AN6">
            <v>0</v>
          </cell>
          <cell r="AO6">
            <v>2</v>
          </cell>
          <cell r="AP6">
            <v>1</v>
          </cell>
          <cell r="AQ6">
            <v>1</v>
          </cell>
          <cell r="AR6">
            <v>0</v>
          </cell>
          <cell r="AS6">
            <v>0</v>
          </cell>
          <cell r="AT6">
            <v>0</v>
          </cell>
          <cell r="AU6">
            <v>0</v>
          </cell>
          <cell r="AV6">
            <v>0</v>
          </cell>
          <cell r="AW6">
            <v>2</v>
          </cell>
          <cell r="AX6">
            <v>1</v>
          </cell>
          <cell r="AY6">
            <v>1</v>
          </cell>
          <cell r="AZ6">
            <v>0</v>
          </cell>
          <cell r="BA6">
            <v>0</v>
          </cell>
          <cell r="BB6">
            <v>0</v>
          </cell>
          <cell r="BC6">
            <v>0</v>
          </cell>
          <cell r="BD6">
            <v>0</v>
          </cell>
          <cell r="BE6">
            <v>2</v>
          </cell>
          <cell r="BF6">
            <v>1</v>
          </cell>
          <cell r="BG6">
            <v>1</v>
          </cell>
          <cell r="BH6">
            <v>0</v>
          </cell>
          <cell r="BI6">
            <v>0</v>
          </cell>
          <cell r="BJ6">
            <v>0</v>
          </cell>
          <cell r="BK6">
            <v>0</v>
          </cell>
          <cell r="BL6">
            <v>0</v>
          </cell>
          <cell r="BM6">
            <v>2</v>
          </cell>
          <cell r="BN6">
            <v>1</v>
          </cell>
          <cell r="BO6">
            <v>1</v>
          </cell>
          <cell r="BP6">
            <v>0</v>
          </cell>
          <cell r="BQ6">
            <v>0</v>
          </cell>
          <cell r="BR6">
            <v>0</v>
          </cell>
          <cell r="BS6">
            <v>0</v>
          </cell>
          <cell r="BT6">
            <v>0</v>
          </cell>
          <cell r="BU6">
            <v>2</v>
          </cell>
          <cell r="BV6">
            <v>1</v>
          </cell>
          <cell r="BW6">
            <v>1</v>
          </cell>
          <cell r="BX6">
            <v>0</v>
          </cell>
          <cell r="BY6">
            <v>0</v>
          </cell>
          <cell r="BZ6">
            <v>0</v>
          </cell>
          <cell r="CA6">
            <v>0</v>
          </cell>
          <cell r="CB6">
            <v>0</v>
          </cell>
          <cell r="CC6">
            <v>2</v>
          </cell>
          <cell r="CD6">
            <v>1</v>
          </cell>
          <cell r="CE6">
            <v>1</v>
          </cell>
          <cell r="CF6">
            <v>0</v>
          </cell>
          <cell r="CG6">
            <v>0</v>
          </cell>
          <cell r="CH6">
            <v>0</v>
          </cell>
          <cell r="CI6">
            <v>0</v>
          </cell>
          <cell r="CJ6">
            <v>0</v>
          </cell>
          <cell r="CK6">
            <v>2</v>
          </cell>
          <cell r="CL6">
            <v>1</v>
          </cell>
          <cell r="CM6">
            <v>1</v>
          </cell>
          <cell r="CN6">
            <v>0</v>
          </cell>
          <cell r="CO6">
            <v>0</v>
          </cell>
          <cell r="CP6">
            <v>0</v>
          </cell>
          <cell r="CQ6">
            <v>0</v>
          </cell>
          <cell r="CR6">
            <v>0</v>
          </cell>
          <cell r="CS6">
            <v>2</v>
          </cell>
          <cell r="CT6">
            <v>1</v>
          </cell>
          <cell r="CU6">
            <v>1</v>
          </cell>
          <cell r="CV6">
            <v>0</v>
          </cell>
          <cell r="CW6">
            <v>0</v>
          </cell>
          <cell r="CX6">
            <v>0</v>
          </cell>
          <cell r="CY6">
            <v>0</v>
          </cell>
          <cell r="CZ6">
            <v>0</v>
          </cell>
          <cell r="DA6">
            <v>2</v>
          </cell>
          <cell r="DB6">
            <v>1</v>
          </cell>
          <cell r="DC6">
            <v>1</v>
          </cell>
          <cell r="DD6">
            <v>0</v>
          </cell>
          <cell r="DE6">
            <v>0</v>
          </cell>
          <cell r="DF6">
            <v>0</v>
          </cell>
          <cell r="DG6">
            <v>0</v>
          </cell>
          <cell r="DH6">
            <v>0</v>
          </cell>
          <cell r="DI6">
            <v>2</v>
          </cell>
          <cell r="DJ6">
            <v>1</v>
          </cell>
          <cell r="DK6">
            <v>1</v>
          </cell>
          <cell r="DL6">
            <v>0</v>
          </cell>
          <cell r="DM6">
            <v>0</v>
          </cell>
          <cell r="DN6">
            <v>0</v>
          </cell>
          <cell r="DO6">
            <v>0</v>
          </cell>
          <cell r="DP6">
            <v>0</v>
          </cell>
          <cell r="DQ6">
            <v>2</v>
          </cell>
        </row>
        <row r="7">
          <cell r="B7">
            <v>0</v>
          </cell>
          <cell r="C7">
            <v>0</v>
          </cell>
          <cell r="D7">
            <v>0</v>
          </cell>
          <cell r="E7">
            <v>0</v>
          </cell>
          <cell r="F7">
            <v>0</v>
          </cell>
          <cell r="G7">
            <v>0</v>
          </cell>
          <cell r="H7">
            <v>0</v>
          </cell>
          <cell r="I7">
            <v>0</v>
          </cell>
          <cell r="J7">
            <v>3</v>
          </cell>
          <cell r="K7">
            <v>3</v>
          </cell>
          <cell r="L7">
            <v>3</v>
          </cell>
          <cell r="M7">
            <v>2</v>
          </cell>
          <cell r="N7">
            <v>2</v>
          </cell>
          <cell r="O7">
            <v>2</v>
          </cell>
          <cell r="P7">
            <v>2</v>
          </cell>
          <cell r="Q7">
            <v>17</v>
          </cell>
          <cell r="R7">
            <v>6</v>
          </cell>
          <cell r="S7">
            <v>6</v>
          </cell>
          <cell r="T7">
            <v>6</v>
          </cell>
          <cell r="U7">
            <v>6</v>
          </cell>
          <cell r="V7">
            <v>6</v>
          </cell>
          <cell r="W7">
            <v>6</v>
          </cell>
          <cell r="X7">
            <v>5</v>
          </cell>
          <cell r="Y7">
            <v>41</v>
          </cell>
          <cell r="Z7">
            <v>6</v>
          </cell>
          <cell r="AA7">
            <v>6</v>
          </cell>
          <cell r="AB7">
            <v>6</v>
          </cell>
          <cell r="AC7">
            <v>6</v>
          </cell>
          <cell r="AD7">
            <v>6</v>
          </cell>
          <cell r="AE7">
            <v>6</v>
          </cell>
          <cell r="AF7">
            <v>5</v>
          </cell>
          <cell r="AG7">
            <v>41</v>
          </cell>
          <cell r="AH7">
            <v>6</v>
          </cell>
          <cell r="AI7">
            <v>6</v>
          </cell>
          <cell r="AJ7">
            <v>6</v>
          </cell>
          <cell r="AK7">
            <v>6</v>
          </cell>
          <cell r="AL7">
            <v>6</v>
          </cell>
          <cell r="AM7">
            <v>6</v>
          </cell>
          <cell r="AN7">
            <v>5</v>
          </cell>
          <cell r="AO7">
            <v>41</v>
          </cell>
          <cell r="AP7">
            <v>6</v>
          </cell>
          <cell r="AQ7">
            <v>6</v>
          </cell>
          <cell r="AR7">
            <v>6</v>
          </cell>
          <cell r="AS7">
            <v>6</v>
          </cell>
          <cell r="AT7">
            <v>6</v>
          </cell>
          <cell r="AU7">
            <v>6</v>
          </cell>
          <cell r="AV7">
            <v>5</v>
          </cell>
          <cell r="AW7">
            <v>41</v>
          </cell>
          <cell r="AX7">
            <v>6</v>
          </cell>
          <cell r="AY7">
            <v>6</v>
          </cell>
          <cell r="AZ7">
            <v>6</v>
          </cell>
          <cell r="BA7">
            <v>6</v>
          </cell>
          <cell r="BB7">
            <v>6</v>
          </cell>
          <cell r="BC7">
            <v>6</v>
          </cell>
          <cell r="BD7">
            <v>5</v>
          </cell>
          <cell r="BE7">
            <v>41</v>
          </cell>
          <cell r="BF7">
            <v>6</v>
          </cell>
          <cell r="BG7">
            <v>6</v>
          </cell>
          <cell r="BH7">
            <v>6</v>
          </cell>
          <cell r="BI7">
            <v>6</v>
          </cell>
          <cell r="BJ7">
            <v>6</v>
          </cell>
          <cell r="BK7">
            <v>6</v>
          </cell>
          <cell r="BL7">
            <v>5</v>
          </cell>
          <cell r="BM7">
            <v>41</v>
          </cell>
          <cell r="BN7">
            <v>6</v>
          </cell>
          <cell r="BO7">
            <v>6</v>
          </cell>
          <cell r="BP7">
            <v>6</v>
          </cell>
          <cell r="BQ7">
            <v>6</v>
          </cell>
          <cell r="BR7">
            <v>6</v>
          </cell>
          <cell r="BS7">
            <v>6</v>
          </cell>
          <cell r="BT7">
            <v>5</v>
          </cell>
          <cell r="BU7">
            <v>41</v>
          </cell>
          <cell r="BV7">
            <v>6</v>
          </cell>
          <cell r="BW7">
            <v>6</v>
          </cell>
          <cell r="BX7">
            <v>6</v>
          </cell>
          <cell r="BY7">
            <v>6</v>
          </cell>
          <cell r="BZ7">
            <v>6</v>
          </cell>
          <cell r="CA7">
            <v>6</v>
          </cell>
          <cell r="CB7">
            <v>5</v>
          </cell>
          <cell r="CC7">
            <v>41</v>
          </cell>
          <cell r="CD7">
            <v>6</v>
          </cell>
          <cell r="CE7">
            <v>6</v>
          </cell>
          <cell r="CF7">
            <v>6</v>
          </cell>
          <cell r="CG7">
            <v>6</v>
          </cell>
          <cell r="CH7">
            <v>6</v>
          </cell>
          <cell r="CI7">
            <v>6</v>
          </cell>
          <cell r="CJ7">
            <v>5</v>
          </cell>
          <cell r="CK7">
            <v>41</v>
          </cell>
          <cell r="CL7">
            <v>6</v>
          </cell>
          <cell r="CM7">
            <v>6</v>
          </cell>
          <cell r="CN7">
            <v>6</v>
          </cell>
          <cell r="CO7">
            <v>6</v>
          </cell>
          <cell r="CP7">
            <v>6</v>
          </cell>
          <cell r="CQ7">
            <v>6</v>
          </cell>
          <cell r="CR7">
            <v>5</v>
          </cell>
          <cell r="CS7">
            <v>41</v>
          </cell>
          <cell r="CT7">
            <v>6</v>
          </cell>
          <cell r="CU7">
            <v>6</v>
          </cell>
          <cell r="CV7">
            <v>6</v>
          </cell>
          <cell r="CW7">
            <v>6</v>
          </cell>
          <cell r="CX7">
            <v>6</v>
          </cell>
          <cell r="CY7">
            <v>6</v>
          </cell>
          <cell r="CZ7">
            <v>5</v>
          </cell>
          <cell r="DA7">
            <v>41</v>
          </cell>
          <cell r="DB7">
            <v>6</v>
          </cell>
          <cell r="DC7">
            <v>6</v>
          </cell>
          <cell r="DD7">
            <v>6</v>
          </cell>
          <cell r="DE7">
            <v>6</v>
          </cell>
          <cell r="DF7">
            <v>6</v>
          </cell>
          <cell r="DG7">
            <v>6</v>
          </cell>
          <cell r="DH7">
            <v>5</v>
          </cell>
          <cell r="DI7">
            <v>41</v>
          </cell>
          <cell r="DJ7">
            <v>6</v>
          </cell>
          <cell r="DK7">
            <v>6</v>
          </cell>
          <cell r="DL7">
            <v>6</v>
          </cell>
          <cell r="DM7">
            <v>6</v>
          </cell>
          <cell r="DN7">
            <v>6</v>
          </cell>
          <cell r="DO7">
            <v>6</v>
          </cell>
          <cell r="DP7">
            <v>5</v>
          </cell>
          <cell r="DQ7">
            <v>41</v>
          </cell>
        </row>
        <row r="8">
          <cell r="B8">
            <v>2</v>
          </cell>
          <cell r="C8">
            <v>2</v>
          </cell>
          <cell r="D8">
            <v>2</v>
          </cell>
          <cell r="E8">
            <v>2</v>
          </cell>
          <cell r="F8">
            <v>2</v>
          </cell>
          <cell r="G8">
            <v>2</v>
          </cell>
          <cell r="H8">
            <v>1</v>
          </cell>
          <cell r="I8">
            <v>13</v>
          </cell>
          <cell r="J8">
            <v>3</v>
          </cell>
          <cell r="K8">
            <v>3</v>
          </cell>
          <cell r="L8">
            <v>2</v>
          </cell>
          <cell r="M8">
            <v>2</v>
          </cell>
          <cell r="N8">
            <v>2</v>
          </cell>
          <cell r="O8">
            <v>2</v>
          </cell>
          <cell r="P8">
            <v>2</v>
          </cell>
          <cell r="Q8">
            <v>16</v>
          </cell>
          <cell r="R8">
            <v>4</v>
          </cell>
          <cell r="S8">
            <v>4</v>
          </cell>
          <cell r="T8">
            <v>4</v>
          </cell>
          <cell r="U8">
            <v>4</v>
          </cell>
          <cell r="V8">
            <v>4</v>
          </cell>
          <cell r="W8">
            <v>3</v>
          </cell>
          <cell r="X8">
            <v>3</v>
          </cell>
          <cell r="Y8">
            <v>26</v>
          </cell>
          <cell r="Z8">
            <v>6</v>
          </cell>
          <cell r="AA8">
            <v>6</v>
          </cell>
          <cell r="AB8">
            <v>6</v>
          </cell>
          <cell r="AC8">
            <v>6</v>
          </cell>
          <cell r="AD8">
            <v>6</v>
          </cell>
          <cell r="AE8">
            <v>6</v>
          </cell>
          <cell r="AF8">
            <v>6</v>
          </cell>
          <cell r="AG8">
            <v>42</v>
          </cell>
          <cell r="AH8">
            <v>9</v>
          </cell>
          <cell r="AI8">
            <v>8</v>
          </cell>
          <cell r="AJ8">
            <v>8</v>
          </cell>
          <cell r="AK8">
            <v>8</v>
          </cell>
          <cell r="AL8">
            <v>8</v>
          </cell>
          <cell r="AM8">
            <v>8</v>
          </cell>
          <cell r="AN8">
            <v>8</v>
          </cell>
          <cell r="AO8">
            <v>57</v>
          </cell>
          <cell r="AP8">
            <v>10</v>
          </cell>
          <cell r="AQ8">
            <v>9</v>
          </cell>
          <cell r="AR8">
            <v>9</v>
          </cell>
          <cell r="AS8">
            <v>9</v>
          </cell>
          <cell r="AT8">
            <v>9</v>
          </cell>
          <cell r="AU8">
            <v>9</v>
          </cell>
          <cell r="AV8">
            <v>9</v>
          </cell>
          <cell r="AW8">
            <v>64</v>
          </cell>
          <cell r="AX8">
            <v>11</v>
          </cell>
          <cell r="AY8">
            <v>10</v>
          </cell>
          <cell r="AZ8">
            <v>10</v>
          </cell>
          <cell r="BA8">
            <v>10</v>
          </cell>
          <cell r="BB8">
            <v>10</v>
          </cell>
          <cell r="BC8">
            <v>10</v>
          </cell>
          <cell r="BD8">
            <v>10</v>
          </cell>
          <cell r="BE8">
            <v>71</v>
          </cell>
          <cell r="BF8">
            <v>11</v>
          </cell>
          <cell r="BG8">
            <v>11</v>
          </cell>
          <cell r="BH8">
            <v>11</v>
          </cell>
          <cell r="BI8">
            <v>11</v>
          </cell>
          <cell r="BJ8">
            <v>11</v>
          </cell>
          <cell r="BK8">
            <v>10</v>
          </cell>
          <cell r="BL8">
            <v>10</v>
          </cell>
          <cell r="BM8">
            <v>75</v>
          </cell>
          <cell r="BN8">
            <v>11</v>
          </cell>
          <cell r="BO8">
            <v>11</v>
          </cell>
          <cell r="BP8">
            <v>11</v>
          </cell>
          <cell r="BQ8">
            <v>11</v>
          </cell>
          <cell r="BR8">
            <v>11</v>
          </cell>
          <cell r="BS8">
            <v>11</v>
          </cell>
          <cell r="BT8">
            <v>11</v>
          </cell>
          <cell r="BU8">
            <v>77</v>
          </cell>
          <cell r="BV8">
            <v>12</v>
          </cell>
          <cell r="BW8">
            <v>12</v>
          </cell>
          <cell r="BX8">
            <v>11</v>
          </cell>
          <cell r="BY8">
            <v>11</v>
          </cell>
          <cell r="BZ8">
            <v>11</v>
          </cell>
          <cell r="CA8">
            <v>11</v>
          </cell>
          <cell r="CB8">
            <v>11</v>
          </cell>
          <cell r="CC8">
            <v>79</v>
          </cell>
          <cell r="CD8">
            <v>12</v>
          </cell>
          <cell r="CE8">
            <v>12</v>
          </cell>
          <cell r="CF8">
            <v>11</v>
          </cell>
          <cell r="CG8">
            <v>11</v>
          </cell>
          <cell r="CH8">
            <v>11</v>
          </cell>
          <cell r="CI8">
            <v>11</v>
          </cell>
          <cell r="CJ8">
            <v>11</v>
          </cell>
          <cell r="CK8">
            <v>79</v>
          </cell>
          <cell r="CL8">
            <v>12</v>
          </cell>
          <cell r="CM8">
            <v>12</v>
          </cell>
          <cell r="CN8">
            <v>11</v>
          </cell>
          <cell r="CO8">
            <v>11</v>
          </cell>
          <cell r="CP8">
            <v>11</v>
          </cell>
          <cell r="CQ8">
            <v>11</v>
          </cell>
          <cell r="CR8">
            <v>11</v>
          </cell>
          <cell r="CS8">
            <v>79</v>
          </cell>
          <cell r="CT8">
            <v>12</v>
          </cell>
          <cell r="CU8">
            <v>12</v>
          </cell>
          <cell r="CV8">
            <v>11</v>
          </cell>
          <cell r="CW8">
            <v>11</v>
          </cell>
          <cell r="CX8">
            <v>11</v>
          </cell>
          <cell r="CY8">
            <v>11</v>
          </cell>
          <cell r="CZ8">
            <v>11</v>
          </cell>
          <cell r="DA8">
            <v>79</v>
          </cell>
          <cell r="DB8">
            <v>12</v>
          </cell>
          <cell r="DC8">
            <v>12</v>
          </cell>
          <cell r="DD8">
            <v>11</v>
          </cell>
          <cell r="DE8">
            <v>11</v>
          </cell>
          <cell r="DF8">
            <v>11</v>
          </cell>
          <cell r="DG8">
            <v>11</v>
          </cell>
          <cell r="DH8">
            <v>11</v>
          </cell>
          <cell r="DI8">
            <v>79</v>
          </cell>
          <cell r="DJ8">
            <v>12</v>
          </cell>
          <cell r="DK8">
            <v>12</v>
          </cell>
          <cell r="DL8">
            <v>11</v>
          </cell>
          <cell r="DM8">
            <v>11</v>
          </cell>
          <cell r="DN8">
            <v>11</v>
          </cell>
          <cell r="DO8">
            <v>11</v>
          </cell>
          <cell r="DP8">
            <v>11</v>
          </cell>
          <cell r="DQ8">
            <v>79</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1</v>
          </cell>
          <cell r="AA9">
            <v>1</v>
          </cell>
          <cell r="AB9">
            <v>1</v>
          </cell>
          <cell r="AC9">
            <v>1</v>
          </cell>
          <cell r="AD9">
            <v>1</v>
          </cell>
          <cell r="AE9">
            <v>0</v>
          </cell>
          <cell r="AF9">
            <v>0</v>
          </cell>
          <cell r="AG9">
            <v>5</v>
          </cell>
          <cell r="AH9">
            <v>2</v>
          </cell>
          <cell r="AI9">
            <v>1</v>
          </cell>
          <cell r="AJ9">
            <v>1</v>
          </cell>
          <cell r="AK9">
            <v>1</v>
          </cell>
          <cell r="AL9">
            <v>1</v>
          </cell>
          <cell r="AM9">
            <v>1</v>
          </cell>
          <cell r="AN9">
            <v>1</v>
          </cell>
          <cell r="AO9">
            <v>8</v>
          </cell>
          <cell r="AP9">
            <v>2</v>
          </cell>
          <cell r="AQ9">
            <v>2</v>
          </cell>
          <cell r="AR9">
            <v>2</v>
          </cell>
          <cell r="AS9">
            <v>2</v>
          </cell>
          <cell r="AT9">
            <v>1</v>
          </cell>
          <cell r="AU9">
            <v>1</v>
          </cell>
          <cell r="AV9">
            <v>1</v>
          </cell>
          <cell r="AW9">
            <v>11</v>
          </cell>
          <cell r="AX9">
            <v>3</v>
          </cell>
          <cell r="AY9">
            <v>2</v>
          </cell>
          <cell r="AZ9">
            <v>2</v>
          </cell>
          <cell r="BA9">
            <v>2</v>
          </cell>
          <cell r="BB9">
            <v>2</v>
          </cell>
          <cell r="BC9">
            <v>2</v>
          </cell>
          <cell r="BD9">
            <v>2</v>
          </cell>
          <cell r="BE9">
            <v>15</v>
          </cell>
          <cell r="BF9">
            <v>3</v>
          </cell>
          <cell r="BG9">
            <v>3</v>
          </cell>
          <cell r="BH9">
            <v>3</v>
          </cell>
          <cell r="BI9">
            <v>3</v>
          </cell>
          <cell r="BJ9">
            <v>2</v>
          </cell>
          <cell r="BK9">
            <v>2</v>
          </cell>
          <cell r="BL9">
            <v>2</v>
          </cell>
          <cell r="BM9">
            <v>18</v>
          </cell>
          <cell r="BN9">
            <v>3</v>
          </cell>
          <cell r="BO9">
            <v>3</v>
          </cell>
          <cell r="BP9">
            <v>3</v>
          </cell>
          <cell r="BQ9">
            <v>3</v>
          </cell>
          <cell r="BR9">
            <v>3</v>
          </cell>
          <cell r="BS9">
            <v>3</v>
          </cell>
          <cell r="BT9">
            <v>3</v>
          </cell>
          <cell r="BU9">
            <v>21</v>
          </cell>
          <cell r="BV9">
            <v>4</v>
          </cell>
          <cell r="BW9">
            <v>3</v>
          </cell>
          <cell r="BX9">
            <v>3</v>
          </cell>
          <cell r="BY9">
            <v>3</v>
          </cell>
          <cell r="BZ9">
            <v>3</v>
          </cell>
          <cell r="CA9">
            <v>3</v>
          </cell>
          <cell r="CB9">
            <v>3</v>
          </cell>
          <cell r="CC9">
            <v>22</v>
          </cell>
          <cell r="CD9">
            <v>4</v>
          </cell>
          <cell r="CE9">
            <v>3</v>
          </cell>
          <cell r="CF9">
            <v>3</v>
          </cell>
          <cell r="CG9">
            <v>3</v>
          </cell>
          <cell r="CH9">
            <v>3</v>
          </cell>
          <cell r="CI9">
            <v>3</v>
          </cell>
          <cell r="CJ9">
            <v>3</v>
          </cell>
          <cell r="CK9">
            <v>22</v>
          </cell>
          <cell r="CL9">
            <v>4</v>
          </cell>
          <cell r="CM9">
            <v>3</v>
          </cell>
          <cell r="CN9">
            <v>3</v>
          </cell>
          <cell r="CO9">
            <v>3</v>
          </cell>
          <cell r="CP9">
            <v>3</v>
          </cell>
          <cell r="CQ9">
            <v>3</v>
          </cell>
          <cell r="CR9">
            <v>3</v>
          </cell>
          <cell r="CS9">
            <v>22</v>
          </cell>
          <cell r="CT9">
            <v>4</v>
          </cell>
          <cell r="CU9">
            <v>3</v>
          </cell>
          <cell r="CV9">
            <v>3</v>
          </cell>
          <cell r="CW9">
            <v>3</v>
          </cell>
          <cell r="CX9">
            <v>3</v>
          </cell>
          <cell r="CY9">
            <v>3</v>
          </cell>
          <cell r="CZ9">
            <v>3</v>
          </cell>
          <cell r="DA9">
            <v>22</v>
          </cell>
          <cell r="DB9">
            <v>4</v>
          </cell>
          <cell r="DC9">
            <v>3</v>
          </cell>
          <cell r="DD9">
            <v>3</v>
          </cell>
          <cell r="DE9">
            <v>3</v>
          </cell>
          <cell r="DF9">
            <v>3</v>
          </cell>
          <cell r="DG9">
            <v>3</v>
          </cell>
          <cell r="DH9">
            <v>3</v>
          </cell>
          <cell r="DI9">
            <v>22</v>
          </cell>
          <cell r="DJ9">
            <v>4</v>
          </cell>
          <cell r="DK9">
            <v>3</v>
          </cell>
          <cell r="DL9">
            <v>3</v>
          </cell>
          <cell r="DM9">
            <v>3</v>
          </cell>
          <cell r="DN9">
            <v>3</v>
          </cell>
          <cell r="DO9">
            <v>3</v>
          </cell>
          <cell r="DP9">
            <v>3</v>
          </cell>
          <cell r="DQ9">
            <v>22</v>
          </cell>
        </row>
        <row r="10">
          <cell r="B10">
            <v>1</v>
          </cell>
          <cell r="C10">
            <v>1</v>
          </cell>
          <cell r="D10">
            <v>1</v>
          </cell>
          <cell r="E10">
            <v>1</v>
          </cell>
          <cell r="F10">
            <v>0</v>
          </cell>
          <cell r="G10">
            <v>0</v>
          </cell>
          <cell r="H10">
            <v>0</v>
          </cell>
          <cell r="I10">
            <v>4</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1</v>
          </cell>
          <cell r="AY10">
            <v>1</v>
          </cell>
          <cell r="AZ10">
            <v>1</v>
          </cell>
          <cell r="BA10">
            <v>1</v>
          </cell>
          <cell r="BB10">
            <v>1</v>
          </cell>
          <cell r="BC10">
            <v>1</v>
          </cell>
          <cell r="BD10">
            <v>1</v>
          </cell>
          <cell r="BE10">
            <v>7</v>
          </cell>
          <cell r="BF10">
            <v>1</v>
          </cell>
          <cell r="BG10">
            <v>1</v>
          </cell>
          <cell r="BH10">
            <v>1</v>
          </cell>
          <cell r="BI10">
            <v>1</v>
          </cell>
          <cell r="BJ10">
            <v>1</v>
          </cell>
          <cell r="BK10">
            <v>1</v>
          </cell>
          <cell r="BL10">
            <v>1</v>
          </cell>
          <cell r="BM10">
            <v>7</v>
          </cell>
          <cell r="BN10">
            <v>1</v>
          </cell>
          <cell r="BO10">
            <v>1</v>
          </cell>
          <cell r="BP10">
            <v>1</v>
          </cell>
          <cell r="BQ10">
            <v>1</v>
          </cell>
          <cell r="BR10">
            <v>1</v>
          </cell>
          <cell r="BS10">
            <v>1</v>
          </cell>
          <cell r="BT10">
            <v>1</v>
          </cell>
          <cell r="BU10">
            <v>7</v>
          </cell>
          <cell r="BV10">
            <v>1</v>
          </cell>
          <cell r="BW10">
            <v>1</v>
          </cell>
          <cell r="BX10">
            <v>1</v>
          </cell>
          <cell r="BY10">
            <v>1</v>
          </cell>
          <cell r="BZ10">
            <v>1</v>
          </cell>
          <cell r="CA10">
            <v>1</v>
          </cell>
          <cell r="CB10">
            <v>1</v>
          </cell>
          <cell r="CC10">
            <v>7</v>
          </cell>
          <cell r="CD10">
            <v>1</v>
          </cell>
          <cell r="CE10">
            <v>1</v>
          </cell>
          <cell r="CF10">
            <v>1</v>
          </cell>
          <cell r="CG10">
            <v>1</v>
          </cell>
          <cell r="CH10">
            <v>1</v>
          </cell>
          <cell r="CI10">
            <v>1</v>
          </cell>
          <cell r="CJ10">
            <v>1</v>
          </cell>
          <cell r="CK10">
            <v>7</v>
          </cell>
          <cell r="CL10">
            <v>1</v>
          </cell>
          <cell r="CM10">
            <v>1</v>
          </cell>
          <cell r="CN10">
            <v>1</v>
          </cell>
          <cell r="CO10">
            <v>1</v>
          </cell>
          <cell r="CP10">
            <v>1</v>
          </cell>
          <cell r="CQ10">
            <v>1</v>
          </cell>
          <cell r="CR10">
            <v>1</v>
          </cell>
          <cell r="CS10">
            <v>7</v>
          </cell>
          <cell r="CT10">
            <v>1</v>
          </cell>
          <cell r="CU10">
            <v>1</v>
          </cell>
          <cell r="CV10">
            <v>1</v>
          </cell>
          <cell r="CW10">
            <v>1</v>
          </cell>
          <cell r="CX10">
            <v>1</v>
          </cell>
          <cell r="CY10">
            <v>1</v>
          </cell>
          <cell r="CZ10">
            <v>1</v>
          </cell>
          <cell r="DA10">
            <v>7</v>
          </cell>
          <cell r="DB10">
            <v>1</v>
          </cell>
          <cell r="DC10">
            <v>1</v>
          </cell>
          <cell r="DD10">
            <v>1</v>
          </cell>
          <cell r="DE10">
            <v>1</v>
          </cell>
          <cell r="DF10">
            <v>1</v>
          </cell>
          <cell r="DG10">
            <v>1</v>
          </cell>
          <cell r="DH10">
            <v>1</v>
          </cell>
          <cell r="DI10">
            <v>7</v>
          </cell>
          <cell r="DJ10">
            <v>1</v>
          </cell>
          <cell r="DK10">
            <v>1</v>
          </cell>
          <cell r="DL10">
            <v>1</v>
          </cell>
          <cell r="DM10">
            <v>1</v>
          </cell>
          <cell r="DN10">
            <v>1</v>
          </cell>
          <cell r="DO10">
            <v>1</v>
          </cell>
          <cell r="DP10">
            <v>1</v>
          </cell>
          <cell r="DQ10">
            <v>7</v>
          </cell>
        </row>
        <row r="11">
          <cell r="B11">
            <v>1</v>
          </cell>
          <cell r="C11">
            <v>1</v>
          </cell>
          <cell r="D11">
            <v>1</v>
          </cell>
          <cell r="E11">
            <v>1</v>
          </cell>
          <cell r="F11">
            <v>0</v>
          </cell>
          <cell r="G11">
            <v>0</v>
          </cell>
          <cell r="H11">
            <v>0</v>
          </cell>
          <cell r="I11">
            <v>4</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0</v>
          </cell>
        </row>
        <row r="12">
          <cell r="B12">
            <v>0</v>
          </cell>
          <cell r="C12">
            <v>0</v>
          </cell>
          <cell r="D12">
            <v>0</v>
          </cell>
          <cell r="E12">
            <v>0</v>
          </cell>
          <cell r="F12">
            <v>0</v>
          </cell>
          <cell r="G12">
            <v>0</v>
          </cell>
          <cell r="H12">
            <v>0</v>
          </cell>
          <cell r="I12">
            <v>0</v>
          </cell>
          <cell r="J12">
            <v>1</v>
          </cell>
          <cell r="K12">
            <v>1</v>
          </cell>
          <cell r="L12">
            <v>0</v>
          </cell>
          <cell r="M12">
            <v>0</v>
          </cell>
          <cell r="N12">
            <v>0</v>
          </cell>
          <cell r="O12">
            <v>0</v>
          </cell>
          <cell r="P12">
            <v>0</v>
          </cell>
          <cell r="Q12">
            <v>2</v>
          </cell>
          <cell r="R12">
            <v>1</v>
          </cell>
          <cell r="S12">
            <v>1</v>
          </cell>
          <cell r="T12">
            <v>1</v>
          </cell>
          <cell r="U12">
            <v>1</v>
          </cell>
          <cell r="V12">
            <v>1</v>
          </cell>
          <cell r="W12">
            <v>1</v>
          </cell>
          <cell r="X12">
            <v>0</v>
          </cell>
          <cell r="Y12">
            <v>6</v>
          </cell>
          <cell r="Z12">
            <v>1</v>
          </cell>
          <cell r="AA12">
            <v>1</v>
          </cell>
          <cell r="AB12">
            <v>1</v>
          </cell>
          <cell r="AC12">
            <v>1</v>
          </cell>
          <cell r="AD12">
            <v>1</v>
          </cell>
          <cell r="AE12">
            <v>1</v>
          </cell>
          <cell r="AF12">
            <v>1</v>
          </cell>
          <cell r="AG12">
            <v>7</v>
          </cell>
          <cell r="AH12">
            <v>1</v>
          </cell>
          <cell r="AI12">
            <v>1</v>
          </cell>
          <cell r="AJ12">
            <v>1</v>
          </cell>
          <cell r="AK12">
            <v>1</v>
          </cell>
          <cell r="AL12">
            <v>1</v>
          </cell>
          <cell r="AM12">
            <v>1</v>
          </cell>
          <cell r="AN12">
            <v>1</v>
          </cell>
          <cell r="AO12">
            <v>7</v>
          </cell>
          <cell r="AP12">
            <v>1</v>
          </cell>
          <cell r="AQ12">
            <v>1</v>
          </cell>
          <cell r="AR12">
            <v>1</v>
          </cell>
          <cell r="AS12">
            <v>1</v>
          </cell>
          <cell r="AT12">
            <v>1</v>
          </cell>
          <cell r="AU12">
            <v>1</v>
          </cell>
          <cell r="AV12">
            <v>1</v>
          </cell>
          <cell r="AW12">
            <v>7</v>
          </cell>
          <cell r="AX12">
            <v>1</v>
          </cell>
          <cell r="AY12">
            <v>1</v>
          </cell>
          <cell r="AZ12">
            <v>1</v>
          </cell>
          <cell r="BA12">
            <v>1</v>
          </cell>
          <cell r="BB12">
            <v>1</v>
          </cell>
          <cell r="BC12">
            <v>1</v>
          </cell>
          <cell r="BD12">
            <v>1</v>
          </cell>
          <cell r="BE12">
            <v>7</v>
          </cell>
          <cell r="BF12">
            <v>1</v>
          </cell>
          <cell r="BG12">
            <v>1</v>
          </cell>
          <cell r="BH12">
            <v>1</v>
          </cell>
          <cell r="BI12">
            <v>1</v>
          </cell>
          <cell r="BJ12">
            <v>1</v>
          </cell>
          <cell r="BK12">
            <v>1</v>
          </cell>
          <cell r="BL12">
            <v>1</v>
          </cell>
          <cell r="BM12">
            <v>7</v>
          </cell>
          <cell r="BN12">
            <v>1</v>
          </cell>
          <cell r="BO12">
            <v>1</v>
          </cell>
          <cell r="BP12">
            <v>1</v>
          </cell>
          <cell r="BQ12">
            <v>1</v>
          </cell>
          <cell r="BR12">
            <v>1</v>
          </cell>
          <cell r="BS12">
            <v>1</v>
          </cell>
          <cell r="BT12">
            <v>1</v>
          </cell>
          <cell r="BU12">
            <v>7</v>
          </cell>
          <cell r="BV12">
            <v>1</v>
          </cell>
          <cell r="BW12">
            <v>1</v>
          </cell>
          <cell r="BX12">
            <v>1</v>
          </cell>
          <cell r="BY12">
            <v>1</v>
          </cell>
          <cell r="BZ12">
            <v>1</v>
          </cell>
          <cell r="CA12">
            <v>1</v>
          </cell>
          <cell r="CB12">
            <v>1</v>
          </cell>
          <cell r="CC12">
            <v>7</v>
          </cell>
          <cell r="CD12">
            <v>1</v>
          </cell>
          <cell r="CE12">
            <v>1</v>
          </cell>
          <cell r="CF12">
            <v>1</v>
          </cell>
          <cell r="CG12">
            <v>1</v>
          </cell>
          <cell r="CH12">
            <v>1</v>
          </cell>
          <cell r="CI12">
            <v>1</v>
          </cell>
          <cell r="CJ12">
            <v>1</v>
          </cell>
          <cell r="CK12">
            <v>7</v>
          </cell>
          <cell r="CL12">
            <v>1</v>
          </cell>
          <cell r="CM12">
            <v>1</v>
          </cell>
          <cell r="CN12">
            <v>1</v>
          </cell>
          <cell r="CO12">
            <v>1</v>
          </cell>
          <cell r="CP12">
            <v>1</v>
          </cell>
          <cell r="CQ12">
            <v>1</v>
          </cell>
          <cell r="CR12">
            <v>1</v>
          </cell>
          <cell r="CS12">
            <v>7</v>
          </cell>
          <cell r="CT12">
            <v>1</v>
          </cell>
          <cell r="CU12">
            <v>1</v>
          </cell>
          <cell r="CV12">
            <v>1</v>
          </cell>
          <cell r="CW12">
            <v>1</v>
          </cell>
          <cell r="CX12">
            <v>1</v>
          </cell>
          <cell r="CY12">
            <v>1</v>
          </cell>
          <cell r="CZ12">
            <v>1</v>
          </cell>
          <cell r="DA12">
            <v>7</v>
          </cell>
          <cell r="DB12">
            <v>1</v>
          </cell>
          <cell r="DC12">
            <v>1</v>
          </cell>
          <cell r="DD12">
            <v>1</v>
          </cell>
          <cell r="DE12">
            <v>1</v>
          </cell>
          <cell r="DF12">
            <v>1</v>
          </cell>
          <cell r="DG12">
            <v>1</v>
          </cell>
          <cell r="DH12">
            <v>1</v>
          </cell>
          <cell r="DI12">
            <v>7</v>
          </cell>
          <cell r="DJ12">
            <v>1</v>
          </cell>
          <cell r="DK12">
            <v>1</v>
          </cell>
          <cell r="DL12">
            <v>1</v>
          </cell>
          <cell r="DM12">
            <v>1</v>
          </cell>
          <cell r="DN12">
            <v>1</v>
          </cell>
          <cell r="DO12">
            <v>1</v>
          </cell>
          <cell r="DP12">
            <v>1</v>
          </cell>
          <cell r="DQ12">
            <v>7</v>
          </cell>
        </row>
        <row r="13">
          <cell r="B13">
            <v>1</v>
          </cell>
          <cell r="C13">
            <v>1</v>
          </cell>
          <cell r="D13">
            <v>0</v>
          </cell>
          <cell r="E13">
            <v>0</v>
          </cell>
          <cell r="F13">
            <v>0</v>
          </cell>
          <cell r="G13">
            <v>0</v>
          </cell>
          <cell r="H13">
            <v>0</v>
          </cell>
          <cell r="I13">
            <v>2</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cell r="DN13">
            <v>0</v>
          </cell>
          <cell r="DO13">
            <v>0</v>
          </cell>
          <cell r="DP13">
            <v>0</v>
          </cell>
          <cell r="DQ13">
            <v>0</v>
          </cell>
        </row>
        <row r="14">
          <cell r="B14">
            <v>4</v>
          </cell>
          <cell r="C14">
            <v>4</v>
          </cell>
          <cell r="D14">
            <v>4</v>
          </cell>
          <cell r="E14">
            <v>4</v>
          </cell>
          <cell r="F14">
            <v>4</v>
          </cell>
          <cell r="G14">
            <v>4</v>
          </cell>
          <cell r="H14">
            <v>4</v>
          </cell>
          <cell r="I14">
            <v>28</v>
          </cell>
          <cell r="J14">
            <v>8</v>
          </cell>
          <cell r="K14">
            <v>8</v>
          </cell>
          <cell r="L14">
            <v>8</v>
          </cell>
          <cell r="M14">
            <v>8</v>
          </cell>
          <cell r="N14">
            <v>8</v>
          </cell>
          <cell r="O14">
            <v>7</v>
          </cell>
          <cell r="P14">
            <v>7</v>
          </cell>
          <cell r="Q14">
            <v>54</v>
          </cell>
          <cell r="R14">
            <v>13</v>
          </cell>
          <cell r="S14">
            <v>13</v>
          </cell>
          <cell r="T14">
            <v>13</v>
          </cell>
          <cell r="U14">
            <v>13</v>
          </cell>
          <cell r="V14">
            <v>13</v>
          </cell>
          <cell r="W14">
            <v>13</v>
          </cell>
          <cell r="X14">
            <v>12</v>
          </cell>
          <cell r="Y14">
            <v>90</v>
          </cell>
          <cell r="Z14">
            <v>19</v>
          </cell>
          <cell r="AA14">
            <v>19</v>
          </cell>
          <cell r="AB14">
            <v>18</v>
          </cell>
          <cell r="AC14">
            <v>18</v>
          </cell>
          <cell r="AD14">
            <v>18</v>
          </cell>
          <cell r="AE14">
            <v>18</v>
          </cell>
          <cell r="AF14">
            <v>18</v>
          </cell>
          <cell r="AG14">
            <v>128</v>
          </cell>
          <cell r="AH14">
            <v>23</v>
          </cell>
          <cell r="AI14">
            <v>23</v>
          </cell>
          <cell r="AJ14">
            <v>23</v>
          </cell>
          <cell r="AK14">
            <v>23</v>
          </cell>
          <cell r="AL14">
            <v>23</v>
          </cell>
          <cell r="AM14">
            <v>23</v>
          </cell>
          <cell r="AN14">
            <v>22</v>
          </cell>
          <cell r="AO14">
            <v>160</v>
          </cell>
          <cell r="AP14">
            <v>28</v>
          </cell>
          <cell r="AQ14">
            <v>28</v>
          </cell>
          <cell r="AR14">
            <v>28</v>
          </cell>
          <cell r="AS14">
            <v>28</v>
          </cell>
          <cell r="AT14">
            <v>28</v>
          </cell>
          <cell r="AU14">
            <v>28</v>
          </cell>
          <cell r="AV14">
            <v>28</v>
          </cell>
          <cell r="AW14">
            <v>196</v>
          </cell>
          <cell r="AX14">
            <v>31</v>
          </cell>
          <cell r="AY14">
            <v>31</v>
          </cell>
          <cell r="AZ14">
            <v>31</v>
          </cell>
          <cell r="BA14">
            <v>31</v>
          </cell>
          <cell r="BB14">
            <v>30</v>
          </cell>
          <cell r="BC14">
            <v>30</v>
          </cell>
          <cell r="BD14">
            <v>30</v>
          </cell>
          <cell r="BE14">
            <v>214</v>
          </cell>
          <cell r="BF14">
            <v>34</v>
          </cell>
          <cell r="BG14">
            <v>33</v>
          </cell>
          <cell r="BH14">
            <v>33</v>
          </cell>
          <cell r="BI14">
            <v>33</v>
          </cell>
          <cell r="BJ14">
            <v>33</v>
          </cell>
          <cell r="BK14">
            <v>33</v>
          </cell>
          <cell r="BL14">
            <v>33</v>
          </cell>
          <cell r="BM14">
            <v>232</v>
          </cell>
          <cell r="BN14">
            <v>37</v>
          </cell>
          <cell r="BO14">
            <v>37</v>
          </cell>
          <cell r="BP14">
            <v>37</v>
          </cell>
          <cell r="BQ14">
            <v>37</v>
          </cell>
          <cell r="BR14">
            <v>37</v>
          </cell>
          <cell r="BS14">
            <v>36</v>
          </cell>
          <cell r="BT14">
            <v>36</v>
          </cell>
          <cell r="BU14">
            <v>257</v>
          </cell>
          <cell r="BV14">
            <v>41</v>
          </cell>
          <cell r="BW14">
            <v>41</v>
          </cell>
          <cell r="BX14">
            <v>40</v>
          </cell>
          <cell r="BY14">
            <v>40</v>
          </cell>
          <cell r="BZ14">
            <v>40</v>
          </cell>
          <cell r="CA14">
            <v>40</v>
          </cell>
          <cell r="CB14">
            <v>40</v>
          </cell>
          <cell r="CC14">
            <v>282</v>
          </cell>
          <cell r="CD14">
            <v>45</v>
          </cell>
          <cell r="CE14">
            <v>44</v>
          </cell>
          <cell r="CF14">
            <v>44</v>
          </cell>
          <cell r="CG14">
            <v>44</v>
          </cell>
          <cell r="CH14">
            <v>44</v>
          </cell>
          <cell r="CI14">
            <v>44</v>
          </cell>
          <cell r="CJ14">
            <v>44</v>
          </cell>
          <cell r="CK14">
            <v>309</v>
          </cell>
          <cell r="CL14">
            <v>45</v>
          </cell>
          <cell r="CM14">
            <v>45</v>
          </cell>
          <cell r="CN14">
            <v>45</v>
          </cell>
          <cell r="CO14">
            <v>45</v>
          </cell>
          <cell r="CP14">
            <v>45</v>
          </cell>
          <cell r="CQ14">
            <v>45</v>
          </cell>
          <cell r="CR14">
            <v>44</v>
          </cell>
          <cell r="CS14">
            <v>314</v>
          </cell>
          <cell r="CT14">
            <v>46</v>
          </cell>
          <cell r="CU14">
            <v>46</v>
          </cell>
          <cell r="CV14">
            <v>46</v>
          </cell>
          <cell r="CW14">
            <v>46</v>
          </cell>
          <cell r="CX14">
            <v>45</v>
          </cell>
          <cell r="CY14">
            <v>45</v>
          </cell>
          <cell r="CZ14">
            <v>45</v>
          </cell>
          <cell r="DA14">
            <v>319</v>
          </cell>
          <cell r="DB14">
            <v>47</v>
          </cell>
          <cell r="DC14">
            <v>47</v>
          </cell>
          <cell r="DD14">
            <v>46</v>
          </cell>
          <cell r="DE14">
            <v>46</v>
          </cell>
          <cell r="DF14">
            <v>46</v>
          </cell>
          <cell r="DG14">
            <v>46</v>
          </cell>
          <cell r="DH14">
            <v>46</v>
          </cell>
          <cell r="DI14">
            <v>324</v>
          </cell>
          <cell r="DJ14">
            <v>47</v>
          </cell>
          <cell r="DK14">
            <v>47</v>
          </cell>
          <cell r="DL14">
            <v>47</v>
          </cell>
          <cell r="DM14">
            <v>47</v>
          </cell>
          <cell r="DN14">
            <v>47</v>
          </cell>
          <cell r="DO14">
            <v>47</v>
          </cell>
          <cell r="DP14">
            <v>47</v>
          </cell>
          <cell r="DQ14">
            <v>329</v>
          </cell>
        </row>
        <row r="15">
          <cell r="B15">
            <v>0</v>
          </cell>
          <cell r="C15">
            <v>0</v>
          </cell>
          <cell r="D15">
            <v>0</v>
          </cell>
          <cell r="E15">
            <v>0</v>
          </cell>
          <cell r="F15">
            <v>0</v>
          </cell>
          <cell r="G15">
            <v>0</v>
          </cell>
          <cell r="H15">
            <v>0</v>
          </cell>
          <cell r="I15">
            <v>0</v>
          </cell>
          <cell r="J15">
            <v>1</v>
          </cell>
          <cell r="K15">
            <v>1</v>
          </cell>
          <cell r="L15">
            <v>1</v>
          </cell>
          <cell r="M15">
            <v>0</v>
          </cell>
          <cell r="N15">
            <v>0</v>
          </cell>
          <cell r="O15">
            <v>0</v>
          </cell>
          <cell r="P15">
            <v>0</v>
          </cell>
          <cell r="Q15">
            <v>3</v>
          </cell>
          <cell r="R15">
            <v>1</v>
          </cell>
          <cell r="S15">
            <v>1</v>
          </cell>
          <cell r="T15">
            <v>1</v>
          </cell>
          <cell r="U15">
            <v>0</v>
          </cell>
          <cell r="V15">
            <v>0</v>
          </cell>
          <cell r="W15">
            <v>0</v>
          </cell>
          <cell r="X15">
            <v>0</v>
          </cell>
          <cell r="Y15">
            <v>3</v>
          </cell>
          <cell r="Z15">
            <v>1</v>
          </cell>
          <cell r="AA15">
            <v>1</v>
          </cell>
          <cell r="AB15">
            <v>1</v>
          </cell>
          <cell r="AC15">
            <v>0</v>
          </cell>
          <cell r="AD15">
            <v>0</v>
          </cell>
          <cell r="AE15">
            <v>0</v>
          </cell>
          <cell r="AF15">
            <v>0</v>
          </cell>
          <cell r="AG15">
            <v>3</v>
          </cell>
          <cell r="AH15">
            <v>1</v>
          </cell>
          <cell r="AI15">
            <v>1</v>
          </cell>
          <cell r="AJ15">
            <v>1</v>
          </cell>
          <cell r="AK15">
            <v>0</v>
          </cell>
          <cell r="AL15">
            <v>0</v>
          </cell>
          <cell r="AM15">
            <v>0</v>
          </cell>
          <cell r="AN15">
            <v>0</v>
          </cell>
          <cell r="AO15">
            <v>3</v>
          </cell>
          <cell r="AP15">
            <v>1</v>
          </cell>
          <cell r="AQ15">
            <v>1</v>
          </cell>
          <cell r="AR15">
            <v>1</v>
          </cell>
          <cell r="AS15">
            <v>0</v>
          </cell>
          <cell r="AT15">
            <v>0</v>
          </cell>
          <cell r="AU15">
            <v>0</v>
          </cell>
          <cell r="AV15">
            <v>0</v>
          </cell>
          <cell r="AW15">
            <v>3</v>
          </cell>
          <cell r="AX15">
            <v>1</v>
          </cell>
          <cell r="AY15">
            <v>1</v>
          </cell>
          <cell r="AZ15">
            <v>1</v>
          </cell>
          <cell r="BA15">
            <v>0</v>
          </cell>
          <cell r="BB15">
            <v>0</v>
          </cell>
          <cell r="BC15">
            <v>0</v>
          </cell>
          <cell r="BD15">
            <v>0</v>
          </cell>
          <cell r="BE15">
            <v>3</v>
          </cell>
          <cell r="BF15">
            <v>1</v>
          </cell>
          <cell r="BG15">
            <v>1</v>
          </cell>
          <cell r="BH15">
            <v>1</v>
          </cell>
          <cell r="BI15">
            <v>0</v>
          </cell>
          <cell r="BJ15">
            <v>0</v>
          </cell>
          <cell r="BK15">
            <v>0</v>
          </cell>
          <cell r="BL15">
            <v>0</v>
          </cell>
          <cell r="BM15">
            <v>3</v>
          </cell>
          <cell r="BN15">
            <v>1</v>
          </cell>
          <cell r="BO15">
            <v>1</v>
          </cell>
          <cell r="BP15">
            <v>1</v>
          </cell>
          <cell r="BQ15">
            <v>0</v>
          </cell>
          <cell r="BR15">
            <v>0</v>
          </cell>
          <cell r="BS15">
            <v>0</v>
          </cell>
          <cell r="BT15">
            <v>0</v>
          </cell>
          <cell r="BU15">
            <v>3</v>
          </cell>
          <cell r="BV15">
            <v>1</v>
          </cell>
          <cell r="BW15">
            <v>1</v>
          </cell>
          <cell r="BX15">
            <v>1</v>
          </cell>
          <cell r="BY15">
            <v>0</v>
          </cell>
          <cell r="BZ15">
            <v>0</v>
          </cell>
          <cell r="CA15">
            <v>0</v>
          </cell>
          <cell r="CB15">
            <v>0</v>
          </cell>
          <cell r="CC15">
            <v>3</v>
          </cell>
          <cell r="CD15">
            <v>1</v>
          </cell>
          <cell r="CE15">
            <v>1</v>
          </cell>
          <cell r="CF15">
            <v>1</v>
          </cell>
          <cell r="CG15">
            <v>0</v>
          </cell>
          <cell r="CH15">
            <v>0</v>
          </cell>
          <cell r="CI15">
            <v>0</v>
          </cell>
          <cell r="CJ15">
            <v>0</v>
          </cell>
          <cell r="CK15">
            <v>3</v>
          </cell>
          <cell r="CL15">
            <v>1</v>
          </cell>
          <cell r="CM15">
            <v>1</v>
          </cell>
          <cell r="CN15">
            <v>1</v>
          </cell>
          <cell r="CO15">
            <v>0</v>
          </cell>
          <cell r="CP15">
            <v>0</v>
          </cell>
          <cell r="CQ15">
            <v>0</v>
          </cell>
          <cell r="CR15">
            <v>0</v>
          </cell>
          <cell r="CS15">
            <v>3</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cell r="DN16">
            <v>0</v>
          </cell>
          <cell r="DO16">
            <v>0</v>
          </cell>
          <cell r="DP16">
            <v>0</v>
          </cell>
          <cell r="DQ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cell r="DN17">
            <v>0</v>
          </cell>
          <cell r="DO17">
            <v>0</v>
          </cell>
          <cell r="DP17">
            <v>0</v>
          </cell>
          <cell r="DQ17">
            <v>0</v>
          </cell>
        </row>
        <row r="18">
          <cell r="B18">
            <v>0</v>
          </cell>
          <cell r="C18">
            <v>0</v>
          </cell>
          <cell r="D18">
            <v>0</v>
          </cell>
          <cell r="E18">
            <v>0</v>
          </cell>
          <cell r="F18">
            <v>0</v>
          </cell>
          <cell r="G18">
            <v>0</v>
          </cell>
          <cell r="H18">
            <v>0</v>
          </cell>
          <cell r="I18">
            <v>0</v>
          </cell>
          <cell r="J18">
            <v>1</v>
          </cell>
          <cell r="K18">
            <v>0</v>
          </cell>
          <cell r="L18">
            <v>0</v>
          </cell>
          <cell r="M18">
            <v>0</v>
          </cell>
          <cell r="N18">
            <v>0</v>
          </cell>
          <cell r="O18">
            <v>0</v>
          </cell>
          <cell r="P18">
            <v>0</v>
          </cell>
          <cell r="Q18">
            <v>1</v>
          </cell>
          <cell r="R18">
            <v>1</v>
          </cell>
          <cell r="S18">
            <v>0</v>
          </cell>
          <cell r="T18">
            <v>0</v>
          </cell>
          <cell r="U18">
            <v>0</v>
          </cell>
          <cell r="V18">
            <v>0</v>
          </cell>
          <cell r="W18">
            <v>0</v>
          </cell>
          <cell r="X18">
            <v>0</v>
          </cell>
          <cell r="Y18">
            <v>1</v>
          </cell>
          <cell r="Z18">
            <v>4</v>
          </cell>
          <cell r="AA18">
            <v>4</v>
          </cell>
          <cell r="AB18">
            <v>4</v>
          </cell>
          <cell r="AC18">
            <v>3</v>
          </cell>
          <cell r="AD18">
            <v>3</v>
          </cell>
          <cell r="AE18">
            <v>3</v>
          </cell>
          <cell r="AF18">
            <v>3</v>
          </cell>
          <cell r="AG18">
            <v>24</v>
          </cell>
          <cell r="AH18">
            <v>11</v>
          </cell>
          <cell r="AI18">
            <v>11</v>
          </cell>
          <cell r="AJ18">
            <v>11</v>
          </cell>
          <cell r="AK18">
            <v>11</v>
          </cell>
          <cell r="AL18">
            <v>11</v>
          </cell>
          <cell r="AM18">
            <v>11</v>
          </cell>
          <cell r="AN18">
            <v>11</v>
          </cell>
          <cell r="AO18">
            <v>77</v>
          </cell>
          <cell r="AP18">
            <v>22</v>
          </cell>
          <cell r="AQ18">
            <v>22</v>
          </cell>
          <cell r="AR18">
            <v>22</v>
          </cell>
          <cell r="AS18">
            <v>21</v>
          </cell>
          <cell r="AT18">
            <v>21</v>
          </cell>
          <cell r="AU18">
            <v>21</v>
          </cell>
          <cell r="AV18">
            <v>21</v>
          </cell>
          <cell r="AW18">
            <v>150</v>
          </cell>
          <cell r="AX18">
            <v>31</v>
          </cell>
          <cell r="AY18">
            <v>31</v>
          </cell>
          <cell r="AZ18">
            <v>31</v>
          </cell>
          <cell r="BA18">
            <v>30</v>
          </cell>
          <cell r="BB18">
            <v>30</v>
          </cell>
          <cell r="BC18">
            <v>30</v>
          </cell>
          <cell r="BD18">
            <v>30</v>
          </cell>
          <cell r="BE18">
            <v>213</v>
          </cell>
          <cell r="BF18">
            <v>38</v>
          </cell>
          <cell r="BG18">
            <v>37</v>
          </cell>
          <cell r="BH18">
            <v>37</v>
          </cell>
          <cell r="BI18">
            <v>37</v>
          </cell>
          <cell r="BJ18">
            <v>37</v>
          </cell>
          <cell r="BK18">
            <v>37</v>
          </cell>
          <cell r="BL18">
            <v>37</v>
          </cell>
          <cell r="BM18">
            <v>260</v>
          </cell>
          <cell r="BN18">
            <v>44</v>
          </cell>
          <cell r="BO18">
            <v>44</v>
          </cell>
          <cell r="BP18">
            <v>43</v>
          </cell>
          <cell r="BQ18">
            <v>43</v>
          </cell>
          <cell r="BR18">
            <v>43</v>
          </cell>
          <cell r="BS18">
            <v>43</v>
          </cell>
          <cell r="BT18">
            <v>43</v>
          </cell>
          <cell r="BU18">
            <v>303</v>
          </cell>
          <cell r="BV18">
            <v>49</v>
          </cell>
          <cell r="BW18">
            <v>49</v>
          </cell>
          <cell r="BX18">
            <v>49</v>
          </cell>
          <cell r="BY18">
            <v>49</v>
          </cell>
          <cell r="BZ18">
            <v>49</v>
          </cell>
          <cell r="CA18">
            <v>49</v>
          </cell>
          <cell r="CB18">
            <v>49</v>
          </cell>
          <cell r="CC18">
            <v>343</v>
          </cell>
          <cell r="CD18">
            <v>55</v>
          </cell>
          <cell r="CE18">
            <v>55</v>
          </cell>
          <cell r="CF18">
            <v>55</v>
          </cell>
          <cell r="CG18">
            <v>55</v>
          </cell>
          <cell r="CH18">
            <v>55</v>
          </cell>
          <cell r="CI18">
            <v>54</v>
          </cell>
          <cell r="CJ18">
            <v>54</v>
          </cell>
          <cell r="CK18">
            <v>383</v>
          </cell>
          <cell r="CL18">
            <v>58</v>
          </cell>
          <cell r="CM18">
            <v>58</v>
          </cell>
          <cell r="CN18">
            <v>58</v>
          </cell>
          <cell r="CO18">
            <v>58</v>
          </cell>
          <cell r="CP18">
            <v>57</v>
          </cell>
          <cell r="CQ18">
            <v>57</v>
          </cell>
          <cell r="CR18">
            <v>57</v>
          </cell>
          <cell r="CS18">
            <v>403</v>
          </cell>
          <cell r="CT18">
            <v>61</v>
          </cell>
          <cell r="CU18">
            <v>61</v>
          </cell>
          <cell r="CV18">
            <v>61</v>
          </cell>
          <cell r="CW18">
            <v>60</v>
          </cell>
          <cell r="CX18">
            <v>60</v>
          </cell>
          <cell r="CY18">
            <v>60</v>
          </cell>
          <cell r="CZ18">
            <v>60</v>
          </cell>
          <cell r="DA18">
            <v>423</v>
          </cell>
          <cell r="DB18">
            <v>64</v>
          </cell>
          <cell r="DC18">
            <v>64</v>
          </cell>
          <cell r="DD18">
            <v>63</v>
          </cell>
          <cell r="DE18">
            <v>63</v>
          </cell>
          <cell r="DF18">
            <v>63</v>
          </cell>
          <cell r="DG18">
            <v>63</v>
          </cell>
          <cell r="DH18">
            <v>63</v>
          </cell>
          <cell r="DI18">
            <v>443</v>
          </cell>
          <cell r="DJ18">
            <v>67</v>
          </cell>
          <cell r="DK18">
            <v>66</v>
          </cell>
          <cell r="DL18">
            <v>66</v>
          </cell>
          <cell r="DM18">
            <v>66</v>
          </cell>
          <cell r="DN18">
            <v>66</v>
          </cell>
          <cell r="DO18">
            <v>66</v>
          </cell>
          <cell r="DP18">
            <v>66</v>
          </cell>
          <cell r="DQ18">
            <v>463</v>
          </cell>
        </row>
        <row r="19">
          <cell r="B19">
            <v>0</v>
          </cell>
          <cell r="C19">
            <v>0</v>
          </cell>
          <cell r="D19">
            <v>0</v>
          </cell>
          <cell r="E19">
            <v>0</v>
          </cell>
          <cell r="F19">
            <v>0</v>
          </cell>
          <cell r="G19">
            <v>0</v>
          </cell>
          <cell r="H19">
            <v>0</v>
          </cell>
          <cell r="I19">
            <v>0</v>
          </cell>
          <cell r="J19">
            <v>1</v>
          </cell>
          <cell r="K19">
            <v>1</v>
          </cell>
          <cell r="L19">
            <v>0</v>
          </cell>
          <cell r="M19">
            <v>0</v>
          </cell>
          <cell r="N19">
            <v>0</v>
          </cell>
          <cell r="O19">
            <v>0</v>
          </cell>
          <cell r="P19">
            <v>0</v>
          </cell>
          <cell r="Q19">
            <v>2</v>
          </cell>
          <cell r="R19">
            <v>1</v>
          </cell>
          <cell r="S19">
            <v>1</v>
          </cell>
          <cell r="T19">
            <v>1</v>
          </cell>
          <cell r="U19">
            <v>1</v>
          </cell>
          <cell r="V19">
            <v>0</v>
          </cell>
          <cell r="W19">
            <v>0</v>
          </cell>
          <cell r="X19">
            <v>0</v>
          </cell>
          <cell r="Y19">
            <v>4</v>
          </cell>
          <cell r="Z19">
            <v>1</v>
          </cell>
          <cell r="AA19">
            <v>1</v>
          </cell>
          <cell r="AB19">
            <v>1</v>
          </cell>
          <cell r="AC19">
            <v>1</v>
          </cell>
          <cell r="AD19">
            <v>0</v>
          </cell>
          <cell r="AE19">
            <v>0</v>
          </cell>
          <cell r="AF19">
            <v>0</v>
          </cell>
          <cell r="AG19">
            <v>4</v>
          </cell>
          <cell r="AH19">
            <v>1</v>
          </cell>
          <cell r="AI19">
            <v>1</v>
          </cell>
          <cell r="AJ19">
            <v>1</v>
          </cell>
          <cell r="AK19">
            <v>1</v>
          </cell>
          <cell r="AL19">
            <v>1</v>
          </cell>
          <cell r="AM19">
            <v>1</v>
          </cell>
          <cell r="AN19">
            <v>0</v>
          </cell>
          <cell r="AO19">
            <v>6</v>
          </cell>
          <cell r="AP19">
            <v>2</v>
          </cell>
          <cell r="AQ19">
            <v>1</v>
          </cell>
          <cell r="AR19">
            <v>1</v>
          </cell>
          <cell r="AS19">
            <v>1</v>
          </cell>
          <cell r="AT19">
            <v>1</v>
          </cell>
          <cell r="AU19">
            <v>1</v>
          </cell>
          <cell r="AV19">
            <v>1</v>
          </cell>
          <cell r="AW19">
            <v>8</v>
          </cell>
          <cell r="AX19">
            <v>2</v>
          </cell>
          <cell r="AY19">
            <v>2</v>
          </cell>
          <cell r="AZ19">
            <v>1</v>
          </cell>
          <cell r="BA19">
            <v>1</v>
          </cell>
          <cell r="BB19">
            <v>1</v>
          </cell>
          <cell r="BC19">
            <v>1</v>
          </cell>
          <cell r="BD19">
            <v>1</v>
          </cell>
          <cell r="BE19">
            <v>9</v>
          </cell>
          <cell r="BF19">
            <v>2</v>
          </cell>
          <cell r="BG19">
            <v>2</v>
          </cell>
          <cell r="BH19">
            <v>2</v>
          </cell>
          <cell r="BI19">
            <v>2</v>
          </cell>
          <cell r="BJ19">
            <v>1</v>
          </cell>
          <cell r="BK19">
            <v>1</v>
          </cell>
          <cell r="BL19">
            <v>1</v>
          </cell>
          <cell r="BM19">
            <v>11</v>
          </cell>
          <cell r="BN19">
            <v>2</v>
          </cell>
          <cell r="BO19">
            <v>2</v>
          </cell>
          <cell r="BP19">
            <v>2</v>
          </cell>
          <cell r="BQ19">
            <v>2</v>
          </cell>
          <cell r="BR19">
            <v>2</v>
          </cell>
          <cell r="BS19">
            <v>2</v>
          </cell>
          <cell r="BT19">
            <v>1</v>
          </cell>
          <cell r="BU19">
            <v>13</v>
          </cell>
          <cell r="BV19">
            <v>3</v>
          </cell>
          <cell r="BW19">
            <v>2</v>
          </cell>
          <cell r="BX19">
            <v>2</v>
          </cell>
          <cell r="BY19">
            <v>2</v>
          </cell>
          <cell r="BZ19">
            <v>2</v>
          </cell>
          <cell r="CA19">
            <v>2</v>
          </cell>
          <cell r="CB19">
            <v>2</v>
          </cell>
          <cell r="CC19">
            <v>15</v>
          </cell>
          <cell r="CD19">
            <v>3</v>
          </cell>
          <cell r="CE19">
            <v>2</v>
          </cell>
          <cell r="CF19">
            <v>2</v>
          </cell>
          <cell r="CG19">
            <v>2</v>
          </cell>
          <cell r="CH19">
            <v>2</v>
          </cell>
          <cell r="CI19">
            <v>2</v>
          </cell>
          <cell r="CJ19">
            <v>2</v>
          </cell>
          <cell r="CK19">
            <v>15</v>
          </cell>
          <cell r="CL19">
            <v>3</v>
          </cell>
          <cell r="CM19">
            <v>2</v>
          </cell>
          <cell r="CN19">
            <v>2</v>
          </cell>
          <cell r="CO19">
            <v>2</v>
          </cell>
          <cell r="CP19">
            <v>2</v>
          </cell>
          <cell r="CQ19">
            <v>2</v>
          </cell>
          <cell r="CR19">
            <v>2</v>
          </cell>
          <cell r="CS19">
            <v>15</v>
          </cell>
          <cell r="CT19">
            <v>3</v>
          </cell>
          <cell r="CU19">
            <v>2</v>
          </cell>
          <cell r="CV19">
            <v>2</v>
          </cell>
          <cell r="CW19">
            <v>2</v>
          </cell>
          <cell r="CX19">
            <v>2</v>
          </cell>
          <cell r="CY19">
            <v>2</v>
          </cell>
          <cell r="CZ19">
            <v>2</v>
          </cell>
          <cell r="DA19">
            <v>15</v>
          </cell>
          <cell r="DB19">
            <v>3</v>
          </cell>
          <cell r="DC19">
            <v>2</v>
          </cell>
          <cell r="DD19">
            <v>2</v>
          </cell>
          <cell r="DE19">
            <v>2</v>
          </cell>
          <cell r="DF19">
            <v>2</v>
          </cell>
          <cell r="DG19">
            <v>2</v>
          </cell>
          <cell r="DH19">
            <v>2</v>
          </cell>
          <cell r="DI19">
            <v>15</v>
          </cell>
          <cell r="DJ19">
            <v>3</v>
          </cell>
          <cell r="DK19">
            <v>2</v>
          </cell>
          <cell r="DL19">
            <v>2</v>
          </cell>
          <cell r="DM19">
            <v>2</v>
          </cell>
          <cell r="DN19">
            <v>2</v>
          </cell>
          <cell r="DO19">
            <v>2</v>
          </cell>
          <cell r="DP19">
            <v>2</v>
          </cell>
          <cell r="DQ19">
            <v>15</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1</v>
          </cell>
          <cell r="S21">
            <v>1</v>
          </cell>
          <cell r="T21">
            <v>1</v>
          </cell>
          <cell r="U21">
            <v>1</v>
          </cell>
          <cell r="V21">
            <v>1</v>
          </cell>
          <cell r="W21">
            <v>1</v>
          </cell>
          <cell r="X21">
            <v>0</v>
          </cell>
          <cell r="Y21">
            <v>6</v>
          </cell>
          <cell r="Z21">
            <v>4</v>
          </cell>
          <cell r="AA21">
            <v>4</v>
          </cell>
          <cell r="AB21">
            <v>4</v>
          </cell>
          <cell r="AC21">
            <v>4</v>
          </cell>
          <cell r="AD21">
            <v>4</v>
          </cell>
          <cell r="AE21">
            <v>4</v>
          </cell>
          <cell r="AF21">
            <v>3</v>
          </cell>
          <cell r="AG21">
            <v>27</v>
          </cell>
          <cell r="AH21">
            <v>8</v>
          </cell>
          <cell r="AI21">
            <v>8</v>
          </cell>
          <cell r="AJ21">
            <v>8</v>
          </cell>
          <cell r="AK21">
            <v>7</v>
          </cell>
          <cell r="AL21">
            <v>7</v>
          </cell>
          <cell r="AM21">
            <v>7</v>
          </cell>
          <cell r="AN21">
            <v>7</v>
          </cell>
          <cell r="AO21">
            <v>52</v>
          </cell>
          <cell r="AP21">
            <v>10</v>
          </cell>
          <cell r="AQ21">
            <v>10</v>
          </cell>
          <cell r="AR21">
            <v>10</v>
          </cell>
          <cell r="AS21">
            <v>10</v>
          </cell>
          <cell r="AT21">
            <v>10</v>
          </cell>
          <cell r="AU21">
            <v>9</v>
          </cell>
          <cell r="AV21">
            <v>9</v>
          </cell>
          <cell r="AW21">
            <v>68</v>
          </cell>
          <cell r="AX21">
            <v>13</v>
          </cell>
          <cell r="AY21">
            <v>13</v>
          </cell>
          <cell r="AZ21">
            <v>13</v>
          </cell>
          <cell r="BA21">
            <v>13</v>
          </cell>
          <cell r="BB21">
            <v>12</v>
          </cell>
          <cell r="BC21">
            <v>12</v>
          </cell>
          <cell r="BD21">
            <v>12</v>
          </cell>
          <cell r="BE21">
            <v>88</v>
          </cell>
          <cell r="BF21">
            <v>16</v>
          </cell>
          <cell r="BG21">
            <v>16</v>
          </cell>
          <cell r="BH21">
            <v>16</v>
          </cell>
          <cell r="BI21">
            <v>16</v>
          </cell>
          <cell r="BJ21">
            <v>16</v>
          </cell>
          <cell r="BK21">
            <v>16</v>
          </cell>
          <cell r="BL21">
            <v>15</v>
          </cell>
          <cell r="BM21">
            <v>111</v>
          </cell>
          <cell r="BN21">
            <v>20</v>
          </cell>
          <cell r="BO21">
            <v>19</v>
          </cell>
          <cell r="BP21">
            <v>19</v>
          </cell>
          <cell r="BQ21">
            <v>19</v>
          </cell>
          <cell r="BR21">
            <v>19</v>
          </cell>
          <cell r="BS21">
            <v>19</v>
          </cell>
          <cell r="BT21">
            <v>19</v>
          </cell>
          <cell r="BU21">
            <v>134</v>
          </cell>
          <cell r="BV21">
            <v>22</v>
          </cell>
          <cell r="BW21">
            <v>22</v>
          </cell>
          <cell r="BX21">
            <v>22</v>
          </cell>
          <cell r="BY21">
            <v>22</v>
          </cell>
          <cell r="BZ21">
            <v>22</v>
          </cell>
          <cell r="CA21">
            <v>22</v>
          </cell>
          <cell r="CB21">
            <v>21</v>
          </cell>
          <cell r="CC21">
            <v>153</v>
          </cell>
          <cell r="CD21">
            <v>22</v>
          </cell>
          <cell r="CE21">
            <v>22</v>
          </cell>
          <cell r="CF21">
            <v>22</v>
          </cell>
          <cell r="CG21">
            <v>22</v>
          </cell>
          <cell r="CH21">
            <v>22</v>
          </cell>
          <cell r="CI21">
            <v>22</v>
          </cell>
          <cell r="CJ21">
            <v>21</v>
          </cell>
          <cell r="CK21">
            <v>153</v>
          </cell>
          <cell r="CL21">
            <v>22</v>
          </cell>
          <cell r="CM21">
            <v>22</v>
          </cell>
          <cell r="CN21">
            <v>22</v>
          </cell>
          <cell r="CO21">
            <v>22</v>
          </cell>
          <cell r="CP21">
            <v>22</v>
          </cell>
          <cell r="CQ21">
            <v>22</v>
          </cell>
          <cell r="CR21">
            <v>21</v>
          </cell>
          <cell r="CS21">
            <v>153</v>
          </cell>
          <cell r="CT21">
            <v>22</v>
          </cell>
          <cell r="CU21">
            <v>22</v>
          </cell>
          <cell r="CV21">
            <v>22</v>
          </cell>
          <cell r="CW21">
            <v>22</v>
          </cell>
          <cell r="CX21">
            <v>22</v>
          </cell>
          <cell r="CY21">
            <v>22</v>
          </cell>
          <cell r="CZ21">
            <v>21</v>
          </cell>
          <cell r="DA21">
            <v>153</v>
          </cell>
          <cell r="DB21">
            <v>22</v>
          </cell>
          <cell r="DC21">
            <v>22</v>
          </cell>
          <cell r="DD21">
            <v>22</v>
          </cell>
          <cell r="DE21">
            <v>22</v>
          </cell>
          <cell r="DF21">
            <v>22</v>
          </cell>
          <cell r="DG21">
            <v>22</v>
          </cell>
          <cell r="DH21">
            <v>21</v>
          </cell>
          <cell r="DI21">
            <v>153</v>
          </cell>
          <cell r="DJ21">
            <v>22</v>
          </cell>
          <cell r="DK21">
            <v>22</v>
          </cell>
          <cell r="DL21">
            <v>22</v>
          </cell>
          <cell r="DM21">
            <v>22</v>
          </cell>
          <cell r="DN21">
            <v>22</v>
          </cell>
          <cell r="DO21">
            <v>22</v>
          </cell>
          <cell r="DP21">
            <v>21</v>
          </cell>
          <cell r="DQ21">
            <v>153</v>
          </cell>
        </row>
        <row r="22">
          <cell r="B22">
            <v>2</v>
          </cell>
          <cell r="C22">
            <v>2</v>
          </cell>
          <cell r="D22">
            <v>2</v>
          </cell>
          <cell r="E22">
            <v>2</v>
          </cell>
          <cell r="F22">
            <v>2</v>
          </cell>
          <cell r="G22">
            <v>1</v>
          </cell>
          <cell r="H22">
            <v>1</v>
          </cell>
          <cell r="I22">
            <v>12</v>
          </cell>
          <cell r="J22">
            <v>3</v>
          </cell>
          <cell r="K22">
            <v>3</v>
          </cell>
          <cell r="L22">
            <v>2</v>
          </cell>
          <cell r="M22">
            <v>2</v>
          </cell>
          <cell r="N22">
            <v>2</v>
          </cell>
          <cell r="O22">
            <v>2</v>
          </cell>
          <cell r="P22">
            <v>2</v>
          </cell>
          <cell r="Q22">
            <v>16</v>
          </cell>
          <cell r="R22">
            <v>3</v>
          </cell>
          <cell r="S22">
            <v>3</v>
          </cell>
          <cell r="T22">
            <v>2</v>
          </cell>
          <cell r="U22">
            <v>2</v>
          </cell>
          <cell r="V22">
            <v>2</v>
          </cell>
          <cell r="W22">
            <v>2</v>
          </cell>
          <cell r="X22">
            <v>2</v>
          </cell>
          <cell r="Y22">
            <v>16</v>
          </cell>
          <cell r="Z22">
            <v>4</v>
          </cell>
          <cell r="AA22">
            <v>4</v>
          </cell>
          <cell r="AB22">
            <v>4</v>
          </cell>
          <cell r="AC22">
            <v>3</v>
          </cell>
          <cell r="AD22">
            <v>3</v>
          </cell>
          <cell r="AE22">
            <v>3</v>
          </cell>
          <cell r="AF22">
            <v>3</v>
          </cell>
          <cell r="AG22">
            <v>24</v>
          </cell>
          <cell r="AH22">
            <v>6</v>
          </cell>
          <cell r="AI22">
            <v>6</v>
          </cell>
          <cell r="AJ22">
            <v>5</v>
          </cell>
          <cell r="AK22">
            <v>5</v>
          </cell>
          <cell r="AL22">
            <v>5</v>
          </cell>
          <cell r="AM22">
            <v>5</v>
          </cell>
          <cell r="AN22">
            <v>5</v>
          </cell>
          <cell r="AO22">
            <v>37</v>
          </cell>
          <cell r="AP22">
            <v>7</v>
          </cell>
          <cell r="AQ22">
            <v>7</v>
          </cell>
          <cell r="AR22">
            <v>7</v>
          </cell>
          <cell r="AS22">
            <v>7</v>
          </cell>
          <cell r="AT22">
            <v>7</v>
          </cell>
          <cell r="AU22">
            <v>6</v>
          </cell>
          <cell r="AV22">
            <v>6</v>
          </cell>
          <cell r="AW22">
            <v>47</v>
          </cell>
          <cell r="AX22">
            <v>8</v>
          </cell>
          <cell r="AY22">
            <v>8</v>
          </cell>
          <cell r="AZ22">
            <v>8</v>
          </cell>
          <cell r="BA22">
            <v>8</v>
          </cell>
          <cell r="BB22">
            <v>8</v>
          </cell>
          <cell r="BC22">
            <v>7</v>
          </cell>
          <cell r="BD22">
            <v>7</v>
          </cell>
          <cell r="BE22">
            <v>54</v>
          </cell>
          <cell r="BF22">
            <v>9</v>
          </cell>
          <cell r="BG22">
            <v>9</v>
          </cell>
          <cell r="BH22">
            <v>9</v>
          </cell>
          <cell r="BI22">
            <v>9</v>
          </cell>
          <cell r="BJ22">
            <v>9</v>
          </cell>
          <cell r="BK22">
            <v>8</v>
          </cell>
          <cell r="BL22">
            <v>8</v>
          </cell>
          <cell r="BM22">
            <v>61</v>
          </cell>
          <cell r="BN22">
            <v>10</v>
          </cell>
          <cell r="BO22">
            <v>10</v>
          </cell>
          <cell r="BP22">
            <v>10</v>
          </cell>
          <cell r="BQ22">
            <v>10</v>
          </cell>
          <cell r="BR22">
            <v>10</v>
          </cell>
          <cell r="BS22">
            <v>9</v>
          </cell>
          <cell r="BT22">
            <v>9</v>
          </cell>
          <cell r="BU22">
            <v>68</v>
          </cell>
          <cell r="BV22">
            <v>11</v>
          </cell>
          <cell r="BW22">
            <v>11</v>
          </cell>
          <cell r="BX22">
            <v>11</v>
          </cell>
          <cell r="BY22">
            <v>11</v>
          </cell>
          <cell r="BZ22">
            <v>10</v>
          </cell>
          <cell r="CA22">
            <v>10</v>
          </cell>
          <cell r="CB22">
            <v>10</v>
          </cell>
          <cell r="CC22">
            <v>74</v>
          </cell>
          <cell r="CD22">
            <v>11</v>
          </cell>
          <cell r="CE22">
            <v>11</v>
          </cell>
          <cell r="CF22">
            <v>11</v>
          </cell>
          <cell r="CG22">
            <v>11</v>
          </cell>
          <cell r="CH22">
            <v>10</v>
          </cell>
          <cell r="CI22">
            <v>10</v>
          </cell>
          <cell r="CJ22">
            <v>10</v>
          </cell>
          <cell r="CK22">
            <v>74</v>
          </cell>
          <cell r="CL22">
            <v>11</v>
          </cell>
          <cell r="CM22">
            <v>11</v>
          </cell>
          <cell r="CN22">
            <v>11</v>
          </cell>
          <cell r="CO22">
            <v>11</v>
          </cell>
          <cell r="CP22">
            <v>10</v>
          </cell>
          <cell r="CQ22">
            <v>10</v>
          </cell>
          <cell r="CR22">
            <v>10</v>
          </cell>
          <cell r="CS22">
            <v>74</v>
          </cell>
          <cell r="CT22">
            <v>11</v>
          </cell>
          <cell r="CU22">
            <v>11</v>
          </cell>
          <cell r="CV22">
            <v>11</v>
          </cell>
          <cell r="CW22">
            <v>11</v>
          </cell>
          <cell r="CX22">
            <v>10</v>
          </cell>
          <cell r="CY22">
            <v>10</v>
          </cell>
          <cell r="CZ22">
            <v>10</v>
          </cell>
          <cell r="DA22">
            <v>74</v>
          </cell>
          <cell r="DB22">
            <v>11</v>
          </cell>
          <cell r="DC22">
            <v>11</v>
          </cell>
          <cell r="DD22">
            <v>11</v>
          </cell>
          <cell r="DE22">
            <v>11</v>
          </cell>
          <cell r="DF22">
            <v>10</v>
          </cell>
          <cell r="DG22">
            <v>10</v>
          </cell>
          <cell r="DH22">
            <v>10</v>
          </cell>
          <cell r="DI22">
            <v>74</v>
          </cell>
          <cell r="DJ22">
            <v>11</v>
          </cell>
          <cell r="DK22">
            <v>11</v>
          </cell>
          <cell r="DL22">
            <v>11</v>
          </cell>
          <cell r="DM22">
            <v>11</v>
          </cell>
          <cell r="DN22">
            <v>10</v>
          </cell>
          <cell r="DO22">
            <v>10</v>
          </cell>
          <cell r="DP22">
            <v>10</v>
          </cell>
          <cell r="DQ22">
            <v>74</v>
          </cell>
        </row>
        <row r="23">
          <cell r="B23">
            <v>1</v>
          </cell>
          <cell r="C23">
            <v>1</v>
          </cell>
          <cell r="D23">
            <v>1</v>
          </cell>
          <cell r="E23">
            <v>0</v>
          </cell>
          <cell r="F23">
            <v>0</v>
          </cell>
          <cell r="G23">
            <v>0</v>
          </cell>
          <cell r="H23">
            <v>0</v>
          </cell>
          <cell r="I23">
            <v>3</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1</v>
          </cell>
          <cell r="AA23">
            <v>1</v>
          </cell>
          <cell r="AB23">
            <v>1</v>
          </cell>
          <cell r="AC23">
            <v>1</v>
          </cell>
          <cell r="AD23">
            <v>0</v>
          </cell>
          <cell r="AE23">
            <v>0</v>
          </cell>
          <cell r="AF23">
            <v>0</v>
          </cell>
          <cell r="AG23">
            <v>4</v>
          </cell>
          <cell r="AH23">
            <v>2</v>
          </cell>
          <cell r="AI23">
            <v>2</v>
          </cell>
          <cell r="AJ23">
            <v>2</v>
          </cell>
          <cell r="AK23">
            <v>2</v>
          </cell>
          <cell r="AL23">
            <v>1</v>
          </cell>
          <cell r="AM23">
            <v>1</v>
          </cell>
          <cell r="AN23">
            <v>1</v>
          </cell>
          <cell r="AO23">
            <v>11</v>
          </cell>
          <cell r="AP23">
            <v>4</v>
          </cell>
          <cell r="AQ23">
            <v>4</v>
          </cell>
          <cell r="AR23">
            <v>4</v>
          </cell>
          <cell r="AS23">
            <v>4</v>
          </cell>
          <cell r="AT23">
            <v>3</v>
          </cell>
          <cell r="AU23">
            <v>3</v>
          </cell>
          <cell r="AV23">
            <v>3</v>
          </cell>
          <cell r="AW23">
            <v>25</v>
          </cell>
          <cell r="AX23">
            <v>6</v>
          </cell>
          <cell r="AY23">
            <v>6</v>
          </cell>
          <cell r="AZ23">
            <v>6</v>
          </cell>
          <cell r="BA23">
            <v>6</v>
          </cell>
          <cell r="BB23">
            <v>5</v>
          </cell>
          <cell r="BC23">
            <v>5</v>
          </cell>
          <cell r="BD23">
            <v>5</v>
          </cell>
          <cell r="BE23">
            <v>39</v>
          </cell>
          <cell r="BF23">
            <v>8</v>
          </cell>
          <cell r="BG23">
            <v>8</v>
          </cell>
          <cell r="BH23">
            <v>8</v>
          </cell>
          <cell r="BI23">
            <v>8</v>
          </cell>
          <cell r="BJ23">
            <v>7</v>
          </cell>
          <cell r="BK23">
            <v>7</v>
          </cell>
          <cell r="BL23">
            <v>7</v>
          </cell>
          <cell r="BM23">
            <v>53</v>
          </cell>
          <cell r="BN23">
            <v>10</v>
          </cell>
          <cell r="BO23">
            <v>10</v>
          </cell>
          <cell r="BP23">
            <v>10</v>
          </cell>
          <cell r="BQ23">
            <v>10</v>
          </cell>
          <cell r="BR23">
            <v>9</v>
          </cell>
          <cell r="BS23">
            <v>9</v>
          </cell>
          <cell r="BT23">
            <v>9</v>
          </cell>
          <cell r="BU23">
            <v>67</v>
          </cell>
          <cell r="BV23">
            <v>12</v>
          </cell>
          <cell r="BW23">
            <v>12</v>
          </cell>
          <cell r="BX23">
            <v>12</v>
          </cell>
          <cell r="BY23">
            <v>12</v>
          </cell>
          <cell r="BZ23">
            <v>11</v>
          </cell>
          <cell r="CA23">
            <v>11</v>
          </cell>
          <cell r="CB23">
            <v>11</v>
          </cell>
          <cell r="CC23">
            <v>81</v>
          </cell>
          <cell r="CD23">
            <v>14</v>
          </cell>
          <cell r="CE23">
            <v>13</v>
          </cell>
          <cell r="CF23">
            <v>13</v>
          </cell>
          <cell r="CG23">
            <v>13</v>
          </cell>
          <cell r="CH23">
            <v>13</v>
          </cell>
          <cell r="CI23">
            <v>13</v>
          </cell>
          <cell r="CJ23">
            <v>13</v>
          </cell>
          <cell r="CK23">
            <v>92</v>
          </cell>
          <cell r="CL23">
            <v>14</v>
          </cell>
          <cell r="CM23">
            <v>13</v>
          </cell>
          <cell r="CN23">
            <v>13</v>
          </cell>
          <cell r="CO23">
            <v>13</v>
          </cell>
          <cell r="CP23">
            <v>13</v>
          </cell>
          <cell r="CQ23">
            <v>13</v>
          </cell>
          <cell r="CR23">
            <v>13</v>
          </cell>
          <cell r="CS23">
            <v>92</v>
          </cell>
          <cell r="CT23">
            <v>14</v>
          </cell>
          <cell r="CU23">
            <v>13</v>
          </cell>
          <cell r="CV23">
            <v>13</v>
          </cell>
          <cell r="CW23">
            <v>13</v>
          </cell>
          <cell r="CX23">
            <v>13</v>
          </cell>
          <cell r="CY23">
            <v>13</v>
          </cell>
          <cell r="CZ23">
            <v>13</v>
          </cell>
          <cell r="DA23">
            <v>92</v>
          </cell>
          <cell r="DB23">
            <v>14</v>
          </cell>
          <cell r="DC23">
            <v>13</v>
          </cell>
          <cell r="DD23">
            <v>13</v>
          </cell>
          <cell r="DE23">
            <v>13</v>
          </cell>
          <cell r="DF23">
            <v>13</v>
          </cell>
          <cell r="DG23">
            <v>13</v>
          </cell>
          <cell r="DH23">
            <v>13</v>
          </cell>
          <cell r="DI23">
            <v>92</v>
          </cell>
          <cell r="DJ23">
            <v>14</v>
          </cell>
          <cell r="DK23">
            <v>13</v>
          </cell>
          <cell r="DL23">
            <v>13</v>
          </cell>
          <cell r="DM23">
            <v>13</v>
          </cell>
          <cell r="DN23">
            <v>13</v>
          </cell>
          <cell r="DO23">
            <v>13</v>
          </cell>
          <cell r="DP23">
            <v>13</v>
          </cell>
          <cell r="DQ23">
            <v>92</v>
          </cell>
        </row>
        <row r="24">
          <cell r="B24">
            <v>2</v>
          </cell>
          <cell r="C24">
            <v>2</v>
          </cell>
          <cell r="D24">
            <v>2</v>
          </cell>
          <cell r="E24">
            <v>2</v>
          </cell>
          <cell r="F24">
            <v>2</v>
          </cell>
          <cell r="G24">
            <v>1</v>
          </cell>
          <cell r="H24">
            <v>1</v>
          </cell>
          <cell r="I24">
            <v>12</v>
          </cell>
          <cell r="J24">
            <v>3</v>
          </cell>
          <cell r="K24">
            <v>3</v>
          </cell>
          <cell r="L24">
            <v>2</v>
          </cell>
          <cell r="M24">
            <v>2</v>
          </cell>
          <cell r="N24">
            <v>2</v>
          </cell>
          <cell r="O24">
            <v>2</v>
          </cell>
          <cell r="P24">
            <v>2</v>
          </cell>
          <cell r="Q24">
            <v>16</v>
          </cell>
          <cell r="R24">
            <v>4</v>
          </cell>
          <cell r="S24">
            <v>4</v>
          </cell>
          <cell r="T24">
            <v>4</v>
          </cell>
          <cell r="U24">
            <v>4</v>
          </cell>
          <cell r="V24">
            <v>4</v>
          </cell>
          <cell r="W24">
            <v>4</v>
          </cell>
          <cell r="X24">
            <v>3</v>
          </cell>
          <cell r="Y24">
            <v>27</v>
          </cell>
          <cell r="Z24">
            <v>6</v>
          </cell>
          <cell r="AA24">
            <v>6</v>
          </cell>
          <cell r="AB24">
            <v>5</v>
          </cell>
          <cell r="AC24">
            <v>5</v>
          </cell>
          <cell r="AD24">
            <v>5</v>
          </cell>
          <cell r="AE24">
            <v>5</v>
          </cell>
          <cell r="AF24">
            <v>5</v>
          </cell>
          <cell r="AG24">
            <v>37</v>
          </cell>
          <cell r="AH24">
            <v>7</v>
          </cell>
          <cell r="AI24">
            <v>6</v>
          </cell>
          <cell r="AJ24">
            <v>6</v>
          </cell>
          <cell r="AK24">
            <v>6</v>
          </cell>
          <cell r="AL24">
            <v>6</v>
          </cell>
          <cell r="AM24">
            <v>6</v>
          </cell>
          <cell r="AN24">
            <v>6</v>
          </cell>
          <cell r="AO24">
            <v>43</v>
          </cell>
          <cell r="AP24">
            <v>7</v>
          </cell>
          <cell r="AQ24">
            <v>7</v>
          </cell>
          <cell r="AR24">
            <v>7</v>
          </cell>
          <cell r="AS24">
            <v>7</v>
          </cell>
          <cell r="AT24">
            <v>7</v>
          </cell>
          <cell r="AU24">
            <v>7</v>
          </cell>
          <cell r="AV24">
            <v>7</v>
          </cell>
          <cell r="AW24">
            <v>49</v>
          </cell>
          <cell r="AX24">
            <v>7</v>
          </cell>
          <cell r="AY24">
            <v>7</v>
          </cell>
          <cell r="AZ24">
            <v>7</v>
          </cell>
          <cell r="BA24">
            <v>7</v>
          </cell>
          <cell r="BB24">
            <v>7</v>
          </cell>
          <cell r="BC24">
            <v>7</v>
          </cell>
          <cell r="BD24">
            <v>7</v>
          </cell>
          <cell r="BE24">
            <v>49</v>
          </cell>
          <cell r="BF24">
            <v>7</v>
          </cell>
          <cell r="BG24">
            <v>7</v>
          </cell>
          <cell r="BH24">
            <v>7</v>
          </cell>
          <cell r="BI24">
            <v>7</v>
          </cell>
          <cell r="BJ24">
            <v>7</v>
          </cell>
          <cell r="BK24">
            <v>7</v>
          </cell>
          <cell r="BL24">
            <v>7</v>
          </cell>
          <cell r="BM24">
            <v>49</v>
          </cell>
          <cell r="BN24">
            <v>7</v>
          </cell>
          <cell r="BO24">
            <v>7</v>
          </cell>
          <cell r="BP24">
            <v>7</v>
          </cell>
          <cell r="BQ24">
            <v>7</v>
          </cell>
          <cell r="BR24">
            <v>7</v>
          </cell>
          <cell r="BS24">
            <v>7</v>
          </cell>
          <cell r="BT24">
            <v>7</v>
          </cell>
          <cell r="BU24">
            <v>49</v>
          </cell>
          <cell r="BV24">
            <v>7</v>
          </cell>
          <cell r="BW24">
            <v>7</v>
          </cell>
          <cell r="BX24">
            <v>7</v>
          </cell>
          <cell r="BY24">
            <v>7</v>
          </cell>
          <cell r="BZ24">
            <v>7</v>
          </cell>
          <cell r="CA24">
            <v>7</v>
          </cell>
          <cell r="CB24">
            <v>7</v>
          </cell>
          <cell r="CC24">
            <v>49</v>
          </cell>
          <cell r="CD24">
            <v>7</v>
          </cell>
          <cell r="CE24">
            <v>7</v>
          </cell>
          <cell r="CF24">
            <v>7</v>
          </cell>
          <cell r="CG24">
            <v>7</v>
          </cell>
          <cell r="CH24">
            <v>7</v>
          </cell>
          <cell r="CI24">
            <v>7</v>
          </cell>
          <cell r="CJ24">
            <v>7</v>
          </cell>
          <cell r="CK24">
            <v>49</v>
          </cell>
          <cell r="CL24">
            <v>7</v>
          </cell>
          <cell r="CM24">
            <v>7</v>
          </cell>
          <cell r="CN24">
            <v>7</v>
          </cell>
          <cell r="CO24">
            <v>7</v>
          </cell>
          <cell r="CP24">
            <v>7</v>
          </cell>
          <cell r="CQ24">
            <v>7</v>
          </cell>
          <cell r="CR24">
            <v>7</v>
          </cell>
          <cell r="CS24">
            <v>49</v>
          </cell>
          <cell r="CT24">
            <v>7</v>
          </cell>
          <cell r="CU24">
            <v>7</v>
          </cell>
          <cell r="CV24">
            <v>7</v>
          </cell>
          <cell r="CW24">
            <v>7</v>
          </cell>
          <cell r="CX24">
            <v>7</v>
          </cell>
          <cell r="CY24">
            <v>7</v>
          </cell>
          <cell r="CZ24">
            <v>7</v>
          </cell>
          <cell r="DA24">
            <v>49</v>
          </cell>
          <cell r="DB24">
            <v>7</v>
          </cell>
          <cell r="DC24">
            <v>7</v>
          </cell>
          <cell r="DD24">
            <v>7</v>
          </cell>
          <cell r="DE24">
            <v>7</v>
          </cell>
          <cell r="DF24">
            <v>7</v>
          </cell>
          <cell r="DG24">
            <v>7</v>
          </cell>
          <cell r="DH24">
            <v>7</v>
          </cell>
          <cell r="DI24">
            <v>49</v>
          </cell>
          <cell r="DJ24">
            <v>7</v>
          </cell>
          <cell r="DK24">
            <v>7</v>
          </cell>
          <cell r="DL24">
            <v>7</v>
          </cell>
          <cell r="DM24">
            <v>7</v>
          </cell>
          <cell r="DN24">
            <v>7</v>
          </cell>
          <cell r="DO24">
            <v>7</v>
          </cell>
          <cell r="DP24">
            <v>7</v>
          </cell>
          <cell r="DQ24">
            <v>49</v>
          </cell>
        </row>
        <row r="25">
          <cell r="B25">
            <v>0</v>
          </cell>
          <cell r="C25">
            <v>0</v>
          </cell>
          <cell r="D25">
            <v>0</v>
          </cell>
          <cell r="E25">
            <v>0</v>
          </cell>
          <cell r="F25">
            <v>0</v>
          </cell>
          <cell r="G25">
            <v>0</v>
          </cell>
          <cell r="H25">
            <v>0</v>
          </cell>
          <cell r="I25">
            <v>0</v>
          </cell>
          <cell r="J25">
            <v>1</v>
          </cell>
          <cell r="K25">
            <v>1</v>
          </cell>
          <cell r="L25">
            <v>1</v>
          </cell>
          <cell r="M25">
            <v>1</v>
          </cell>
          <cell r="N25">
            <v>0</v>
          </cell>
          <cell r="O25">
            <v>0</v>
          </cell>
          <cell r="P25">
            <v>0</v>
          </cell>
          <cell r="Q25">
            <v>4</v>
          </cell>
          <cell r="R25">
            <v>1</v>
          </cell>
          <cell r="S25">
            <v>1</v>
          </cell>
          <cell r="T25">
            <v>1</v>
          </cell>
          <cell r="U25">
            <v>1</v>
          </cell>
          <cell r="V25">
            <v>0</v>
          </cell>
          <cell r="W25">
            <v>0</v>
          </cell>
          <cell r="X25">
            <v>0</v>
          </cell>
          <cell r="Y25">
            <v>4</v>
          </cell>
          <cell r="Z25">
            <v>1</v>
          </cell>
          <cell r="AA25">
            <v>1</v>
          </cell>
          <cell r="AB25">
            <v>1</v>
          </cell>
          <cell r="AC25">
            <v>1</v>
          </cell>
          <cell r="AD25">
            <v>0</v>
          </cell>
          <cell r="AE25">
            <v>0</v>
          </cell>
          <cell r="AF25">
            <v>0</v>
          </cell>
          <cell r="AG25">
            <v>4</v>
          </cell>
          <cell r="AH25">
            <v>1</v>
          </cell>
          <cell r="AI25">
            <v>1</v>
          </cell>
          <cell r="AJ25">
            <v>1</v>
          </cell>
          <cell r="AK25">
            <v>1</v>
          </cell>
          <cell r="AL25">
            <v>0</v>
          </cell>
          <cell r="AM25">
            <v>0</v>
          </cell>
          <cell r="AN25">
            <v>0</v>
          </cell>
          <cell r="AO25">
            <v>4</v>
          </cell>
          <cell r="AP25">
            <v>1</v>
          </cell>
          <cell r="AQ25">
            <v>1</v>
          </cell>
          <cell r="AR25">
            <v>1</v>
          </cell>
          <cell r="AS25">
            <v>1</v>
          </cell>
          <cell r="AT25">
            <v>0</v>
          </cell>
          <cell r="AU25">
            <v>0</v>
          </cell>
          <cell r="AV25">
            <v>0</v>
          </cell>
          <cell r="AW25">
            <v>4</v>
          </cell>
          <cell r="AX25">
            <v>1</v>
          </cell>
          <cell r="AY25">
            <v>1</v>
          </cell>
          <cell r="AZ25">
            <v>1</v>
          </cell>
          <cell r="BA25">
            <v>1</v>
          </cell>
          <cell r="BB25">
            <v>0</v>
          </cell>
          <cell r="BC25">
            <v>0</v>
          </cell>
          <cell r="BD25">
            <v>0</v>
          </cell>
          <cell r="BE25">
            <v>4</v>
          </cell>
          <cell r="BF25">
            <v>1</v>
          </cell>
          <cell r="BG25">
            <v>1</v>
          </cell>
          <cell r="BH25">
            <v>1</v>
          </cell>
          <cell r="BI25">
            <v>1</v>
          </cell>
          <cell r="BJ25">
            <v>0</v>
          </cell>
          <cell r="BK25">
            <v>0</v>
          </cell>
          <cell r="BL25">
            <v>0</v>
          </cell>
          <cell r="BM25">
            <v>4</v>
          </cell>
          <cell r="BN25">
            <v>1</v>
          </cell>
          <cell r="BO25">
            <v>1</v>
          </cell>
          <cell r="BP25">
            <v>1</v>
          </cell>
          <cell r="BQ25">
            <v>1</v>
          </cell>
          <cell r="BR25">
            <v>0</v>
          </cell>
          <cell r="BS25">
            <v>0</v>
          </cell>
          <cell r="BT25">
            <v>0</v>
          </cell>
          <cell r="BU25">
            <v>4</v>
          </cell>
          <cell r="BV25">
            <v>1</v>
          </cell>
          <cell r="BW25">
            <v>1</v>
          </cell>
          <cell r="BX25">
            <v>1</v>
          </cell>
          <cell r="BY25">
            <v>1</v>
          </cell>
          <cell r="BZ25">
            <v>0</v>
          </cell>
          <cell r="CA25">
            <v>0</v>
          </cell>
          <cell r="CB25">
            <v>0</v>
          </cell>
          <cell r="CC25">
            <v>4</v>
          </cell>
          <cell r="CD25">
            <v>1</v>
          </cell>
          <cell r="CE25">
            <v>1</v>
          </cell>
          <cell r="CF25">
            <v>1</v>
          </cell>
          <cell r="CG25">
            <v>1</v>
          </cell>
          <cell r="CH25">
            <v>0</v>
          </cell>
          <cell r="CI25">
            <v>0</v>
          </cell>
          <cell r="CJ25">
            <v>0</v>
          </cell>
          <cell r="CK25">
            <v>4</v>
          </cell>
          <cell r="CL25">
            <v>1</v>
          </cell>
          <cell r="CM25">
            <v>1</v>
          </cell>
          <cell r="CN25">
            <v>1</v>
          </cell>
          <cell r="CO25">
            <v>1</v>
          </cell>
          <cell r="CP25">
            <v>0</v>
          </cell>
          <cell r="CQ25">
            <v>0</v>
          </cell>
          <cell r="CR25">
            <v>0</v>
          </cell>
          <cell r="CS25">
            <v>4</v>
          </cell>
          <cell r="CT25">
            <v>1</v>
          </cell>
          <cell r="CU25">
            <v>1</v>
          </cell>
          <cell r="CV25">
            <v>1</v>
          </cell>
          <cell r="CW25">
            <v>1</v>
          </cell>
          <cell r="CX25">
            <v>0</v>
          </cell>
          <cell r="CY25">
            <v>0</v>
          </cell>
          <cell r="CZ25">
            <v>0</v>
          </cell>
          <cell r="DA25">
            <v>4</v>
          </cell>
          <cell r="DB25">
            <v>1</v>
          </cell>
          <cell r="DC25">
            <v>1</v>
          </cell>
          <cell r="DD25">
            <v>1</v>
          </cell>
          <cell r="DE25">
            <v>1</v>
          </cell>
          <cell r="DF25">
            <v>0</v>
          </cell>
          <cell r="DG25">
            <v>0</v>
          </cell>
          <cell r="DH25">
            <v>0</v>
          </cell>
          <cell r="DI25">
            <v>4</v>
          </cell>
          <cell r="DJ25">
            <v>1</v>
          </cell>
          <cell r="DK25">
            <v>1</v>
          </cell>
          <cell r="DL25">
            <v>1</v>
          </cell>
          <cell r="DM25">
            <v>1</v>
          </cell>
          <cell r="DN25">
            <v>0</v>
          </cell>
          <cell r="DO25">
            <v>0</v>
          </cell>
          <cell r="DP25">
            <v>0</v>
          </cell>
          <cell r="DQ25">
            <v>4</v>
          </cell>
        </row>
        <row r="26">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1</v>
          </cell>
          <cell r="S26">
            <v>0</v>
          </cell>
          <cell r="T26">
            <v>0</v>
          </cell>
          <cell r="U26">
            <v>0</v>
          </cell>
          <cell r="V26">
            <v>0</v>
          </cell>
          <cell r="W26">
            <v>0</v>
          </cell>
          <cell r="X26">
            <v>0</v>
          </cell>
          <cell r="Y26">
            <v>1</v>
          </cell>
          <cell r="Z26">
            <v>1</v>
          </cell>
          <cell r="AA26">
            <v>1</v>
          </cell>
          <cell r="AB26">
            <v>0</v>
          </cell>
          <cell r="AC26">
            <v>0</v>
          </cell>
          <cell r="AD26">
            <v>0</v>
          </cell>
          <cell r="AE26">
            <v>0</v>
          </cell>
          <cell r="AF26">
            <v>0</v>
          </cell>
          <cell r="AG26">
            <v>2</v>
          </cell>
          <cell r="AH26">
            <v>2</v>
          </cell>
          <cell r="AI26">
            <v>2</v>
          </cell>
          <cell r="AJ26">
            <v>2</v>
          </cell>
          <cell r="AK26">
            <v>1</v>
          </cell>
          <cell r="AL26">
            <v>1</v>
          </cell>
          <cell r="AM26">
            <v>1</v>
          </cell>
          <cell r="AN26">
            <v>1</v>
          </cell>
          <cell r="AO26">
            <v>10</v>
          </cell>
          <cell r="AP26">
            <v>2</v>
          </cell>
          <cell r="AQ26">
            <v>2</v>
          </cell>
          <cell r="AR26">
            <v>2</v>
          </cell>
          <cell r="AS26">
            <v>2</v>
          </cell>
          <cell r="AT26">
            <v>2</v>
          </cell>
          <cell r="AU26">
            <v>2</v>
          </cell>
          <cell r="AV26">
            <v>1</v>
          </cell>
          <cell r="AW26">
            <v>13</v>
          </cell>
          <cell r="AX26">
            <v>3</v>
          </cell>
          <cell r="AY26">
            <v>3</v>
          </cell>
          <cell r="AZ26">
            <v>3</v>
          </cell>
          <cell r="BA26">
            <v>3</v>
          </cell>
          <cell r="BB26">
            <v>3</v>
          </cell>
          <cell r="BC26">
            <v>2</v>
          </cell>
          <cell r="BD26">
            <v>2</v>
          </cell>
          <cell r="BE26">
            <v>19</v>
          </cell>
          <cell r="BF26">
            <v>4</v>
          </cell>
          <cell r="BG26">
            <v>3</v>
          </cell>
          <cell r="BH26">
            <v>3</v>
          </cell>
          <cell r="BI26">
            <v>3</v>
          </cell>
          <cell r="BJ26">
            <v>3</v>
          </cell>
          <cell r="BK26">
            <v>3</v>
          </cell>
          <cell r="BL26">
            <v>3</v>
          </cell>
          <cell r="BM26">
            <v>22</v>
          </cell>
          <cell r="BN26">
            <v>4</v>
          </cell>
          <cell r="BO26">
            <v>4</v>
          </cell>
          <cell r="BP26">
            <v>4</v>
          </cell>
          <cell r="BQ26">
            <v>4</v>
          </cell>
          <cell r="BR26">
            <v>3</v>
          </cell>
          <cell r="BS26">
            <v>3</v>
          </cell>
          <cell r="BT26">
            <v>3</v>
          </cell>
          <cell r="BU26">
            <v>25</v>
          </cell>
          <cell r="BV26">
            <v>4</v>
          </cell>
          <cell r="BW26">
            <v>4</v>
          </cell>
          <cell r="BX26">
            <v>4</v>
          </cell>
          <cell r="BY26">
            <v>4</v>
          </cell>
          <cell r="BZ26">
            <v>4</v>
          </cell>
          <cell r="CA26">
            <v>4</v>
          </cell>
          <cell r="CB26">
            <v>4</v>
          </cell>
          <cell r="CC26">
            <v>28</v>
          </cell>
          <cell r="CD26">
            <v>4</v>
          </cell>
          <cell r="CE26">
            <v>4</v>
          </cell>
          <cell r="CF26">
            <v>4</v>
          </cell>
          <cell r="CG26">
            <v>4</v>
          </cell>
          <cell r="CH26">
            <v>4</v>
          </cell>
          <cell r="CI26">
            <v>4</v>
          </cell>
          <cell r="CJ26">
            <v>4</v>
          </cell>
          <cell r="CK26">
            <v>28</v>
          </cell>
          <cell r="CL26">
            <v>4</v>
          </cell>
          <cell r="CM26">
            <v>4</v>
          </cell>
          <cell r="CN26">
            <v>4</v>
          </cell>
          <cell r="CO26">
            <v>4</v>
          </cell>
          <cell r="CP26">
            <v>4</v>
          </cell>
          <cell r="CQ26">
            <v>4</v>
          </cell>
          <cell r="CR26">
            <v>4</v>
          </cell>
          <cell r="CS26">
            <v>28</v>
          </cell>
          <cell r="CT26">
            <v>4</v>
          </cell>
          <cell r="CU26">
            <v>4</v>
          </cell>
          <cell r="CV26">
            <v>4</v>
          </cell>
          <cell r="CW26">
            <v>4</v>
          </cell>
          <cell r="CX26">
            <v>4</v>
          </cell>
          <cell r="CY26">
            <v>4</v>
          </cell>
          <cell r="CZ26">
            <v>4</v>
          </cell>
          <cell r="DA26">
            <v>28</v>
          </cell>
          <cell r="DB26">
            <v>4</v>
          </cell>
          <cell r="DC26">
            <v>4</v>
          </cell>
          <cell r="DD26">
            <v>4</v>
          </cell>
          <cell r="DE26">
            <v>4</v>
          </cell>
          <cell r="DF26">
            <v>4</v>
          </cell>
          <cell r="DG26">
            <v>4</v>
          </cell>
          <cell r="DH26">
            <v>4</v>
          </cell>
          <cell r="DI26">
            <v>28</v>
          </cell>
          <cell r="DJ26">
            <v>4</v>
          </cell>
          <cell r="DK26">
            <v>4</v>
          </cell>
          <cell r="DL26">
            <v>4</v>
          </cell>
          <cell r="DM26">
            <v>4</v>
          </cell>
          <cell r="DN26">
            <v>4</v>
          </cell>
          <cell r="DO26">
            <v>4</v>
          </cell>
          <cell r="DP26">
            <v>4</v>
          </cell>
          <cell r="DQ26">
            <v>28</v>
          </cell>
        </row>
        <row r="27">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row>
        <row r="28">
          <cell r="B28">
            <v>0</v>
          </cell>
          <cell r="C28">
            <v>0</v>
          </cell>
          <cell r="D28">
            <v>0</v>
          </cell>
          <cell r="E28">
            <v>0</v>
          </cell>
          <cell r="F28">
            <v>0</v>
          </cell>
          <cell r="G28">
            <v>0</v>
          </cell>
          <cell r="H28">
            <v>0</v>
          </cell>
          <cell r="I28">
            <v>0</v>
          </cell>
          <cell r="J28">
            <v>2</v>
          </cell>
          <cell r="K28">
            <v>1</v>
          </cell>
          <cell r="L28">
            <v>1</v>
          </cell>
          <cell r="M28">
            <v>1</v>
          </cell>
          <cell r="N28">
            <v>1</v>
          </cell>
          <cell r="O28">
            <v>1</v>
          </cell>
          <cell r="P28">
            <v>1</v>
          </cell>
          <cell r="Q28">
            <v>8</v>
          </cell>
          <cell r="R28">
            <v>3</v>
          </cell>
          <cell r="S28">
            <v>3</v>
          </cell>
          <cell r="T28">
            <v>2</v>
          </cell>
          <cell r="U28">
            <v>2</v>
          </cell>
          <cell r="V28">
            <v>2</v>
          </cell>
          <cell r="W28">
            <v>2</v>
          </cell>
          <cell r="X28">
            <v>2</v>
          </cell>
          <cell r="Y28">
            <v>16</v>
          </cell>
          <cell r="Z28">
            <v>4</v>
          </cell>
          <cell r="AA28">
            <v>4</v>
          </cell>
          <cell r="AB28">
            <v>4</v>
          </cell>
          <cell r="AC28">
            <v>3</v>
          </cell>
          <cell r="AD28">
            <v>3</v>
          </cell>
          <cell r="AE28">
            <v>3</v>
          </cell>
          <cell r="AF28">
            <v>3</v>
          </cell>
          <cell r="AG28">
            <v>24</v>
          </cell>
          <cell r="AH28">
            <v>5</v>
          </cell>
          <cell r="AI28">
            <v>5</v>
          </cell>
          <cell r="AJ28">
            <v>5</v>
          </cell>
          <cell r="AK28">
            <v>5</v>
          </cell>
          <cell r="AL28">
            <v>5</v>
          </cell>
          <cell r="AM28">
            <v>4</v>
          </cell>
          <cell r="AN28">
            <v>4</v>
          </cell>
          <cell r="AO28">
            <v>33</v>
          </cell>
          <cell r="AP28">
            <v>5</v>
          </cell>
          <cell r="AQ28">
            <v>5</v>
          </cell>
          <cell r="AR28">
            <v>5</v>
          </cell>
          <cell r="AS28">
            <v>5</v>
          </cell>
          <cell r="AT28">
            <v>5</v>
          </cell>
          <cell r="AU28">
            <v>4</v>
          </cell>
          <cell r="AV28">
            <v>4</v>
          </cell>
          <cell r="AW28">
            <v>33</v>
          </cell>
          <cell r="AX28">
            <v>5</v>
          </cell>
          <cell r="AY28">
            <v>5</v>
          </cell>
          <cell r="AZ28">
            <v>5</v>
          </cell>
          <cell r="BA28">
            <v>5</v>
          </cell>
          <cell r="BB28">
            <v>5</v>
          </cell>
          <cell r="BC28">
            <v>4</v>
          </cell>
          <cell r="BD28">
            <v>4</v>
          </cell>
          <cell r="BE28">
            <v>33</v>
          </cell>
          <cell r="BF28">
            <v>5</v>
          </cell>
          <cell r="BG28">
            <v>5</v>
          </cell>
          <cell r="BH28">
            <v>5</v>
          </cell>
          <cell r="BI28">
            <v>5</v>
          </cell>
          <cell r="BJ28">
            <v>5</v>
          </cell>
          <cell r="BK28">
            <v>4</v>
          </cell>
          <cell r="BL28">
            <v>4</v>
          </cell>
          <cell r="BM28">
            <v>33</v>
          </cell>
          <cell r="BN28">
            <v>5</v>
          </cell>
          <cell r="BO28">
            <v>5</v>
          </cell>
          <cell r="BP28">
            <v>5</v>
          </cell>
          <cell r="BQ28">
            <v>5</v>
          </cell>
          <cell r="BR28">
            <v>5</v>
          </cell>
          <cell r="BS28">
            <v>4</v>
          </cell>
          <cell r="BT28">
            <v>4</v>
          </cell>
          <cell r="BU28">
            <v>33</v>
          </cell>
          <cell r="BV28">
            <v>5</v>
          </cell>
          <cell r="BW28">
            <v>5</v>
          </cell>
          <cell r="BX28">
            <v>5</v>
          </cell>
          <cell r="BY28">
            <v>5</v>
          </cell>
          <cell r="BZ28">
            <v>5</v>
          </cell>
          <cell r="CA28">
            <v>4</v>
          </cell>
          <cell r="CB28">
            <v>4</v>
          </cell>
          <cell r="CC28">
            <v>33</v>
          </cell>
          <cell r="CD28">
            <v>5</v>
          </cell>
          <cell r="CE28">
            <v>5</v>
          </cell>
          <cell r="CF28">
            <v>5</v>
          </cell>
          <cell r="CG28">
            <v>5</v>
          </cell>
          <cell r="CH28">
            <v>5</v>
          </cell>
          <cell r="CI28">
            <v>4</v>
          </cell>
          <cell r="CJ28">
            <v>4</v>
          </cell>
          <cell r="CK28">
            <v>33</v>
          </cell>
          <cell r="CL28">
            <v>5</v>
          </cell>
          <cell r="CM28">
            <v>5</v>
          </cell>
          <cell r="CN28">
            <v>5</v>
          </cell>
          <cell r="CO28">
            <v>5</v>
          </cell>
          <cell r="CP28">
            <v>5</v>
          </cell>
          <cell r="CQ28">
            <v>4</v>
          </cell>
          <cell r="CR28">
            <v>4</v>
          </cell>
          <cell r="CS28">
            <v>33</v>
          </cell>
          <cell r="CT28">
            <v>5</v>
          </cell>
          <cell r="CU28">
            <v>5</v>
          </cell>
          <cell r="CV28">
            <v>5</v>
          </cell>
          <cell r="CW28">
            <v>5</v>
          </cell>
          <cell r="CX28">
            <v>5</v>
          </cell>
          <cell r="CY28">
            <v>4</v>
          </cell>
          <cell r="CZ28">
            <v>4</v>
          </cell>
          <cell r="DA28">
            <v>33</v>
          </cell>
          <cell r="DB28">
            <v>5</v>
          </cell>
          <cell r="DC28">
            <v>5</v>
          </cell>
          <cell r="DD28">
            <v>5</v>
          </cell>
          <cell r="DE28">
            <v>5</v>
          </cell>
          <cell r="DF28">
            <v>5</v>
          </cell>
          <cell r="DG28">
            <v>4</v>
          </cell>
          <cell r="DH28">
            <v>4</v>
          </cell>
          <cell r="DI28">
            <v>33</v>
          </cell>
          <cell r="DJ28">
            <v>5</v>
          </cell>
          <cell r="DK28">
            <v>5</v>
          </cell>
          <cell r="DL28">
            <v>5</v>
          </cell>
          <cell r="DM28">
            <v>5</v>
          </cell>
          <cell r="DN28">
            <v>5</v>
          </cell>
          <cell r="DO28">
            <v>4</v>
          </cell>
          <cell r="DP28">
            <v>4</v>
          </cell>
          <cell r="DQ28">
            <v>33</v>
          </cell>
        </row>
        <row r="29">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cell r="CM29">
            <v>0</v>
          </cell>
          <cell r="CN29">
            <v>0</v>
          </cell>
          <cell r="CO29">
            <v>0</v>
          </cell>
          <cell r="CP29">
            <v>0</v>
          </cell>
          <cell r="CQ29">
            <v>0</v>
          </cell>
          <cell r="CR29">
            <v>0</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0</v>
          </cell>
        </row>
        <row r="30">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cell r="DN30">
            <v>0</v>
          </cell>
          <cell r="DO30">
            <v>0</v>
          </cell>
          <cell r="DP30">
            <v>0</v>
          </cell>
          <cell r="DQ30">
            <v>0</v>
          </cell>
        </row>
        <row r="31">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1</v>
          </cell>
          <cell r="AI31">
            <v>1</v>
          </cell>
          <cell r="AJ31">
            <v>1</v>
          </cell>
          <cell r="AK31">
            <v>1</v>
          </cell>
          <cell r="AL31">
            <v>1</v>
          </cell>
          <cell r="AM31">
            <v>1</v>
          </cell>
          <cell r="AN31">
            <v>0</v>
          </cell>
          <cell r="AO31">
            <v>6</v>
          </cell>
          <cell r="AP31">
            <v>3</v>
          </cell>
          <cell r="AQ31">
            <v>3</v>
          </cell>
          <cell r="AR31">
            <v>3</v>
          </cell>
          <cell r="AS31">
            <v>2</v>
          </cell>
          <cell r="AT31">
            <v>2</v>
          </cell>
          <cell r="AU31">
            <v>2</v>
          </cell>
          <cell r="AV31">
            <v>2</v>
          </cell>
          <cell r="AW31">
            <v>17</v>
          </cell>
          <cell r="AX31">
            <v>6</v>
          </cell>
          <cell r="AY31">
            <v>6</v>
          </cell>
          <cell r="AZ31">
            <v>6</v>
          </cell>
          <cell r="BA31">
            <v>6</v>
          </cell>
          <cell r="BB31">
            <v>5</v>
          </cell>
          <cell r="BC31">
            <v>5</v>
          </cell>
          <cell r="BD31">
            <v>5</v>
          </cell>
          <cell r="BE31">
            <v>39</v>
          </cell>
          <cell r="BF31">
            <v>11</v>
          </cell>
          <cell r="BG31">
            <v>11</v>
          </cell>
          <cell r="BH31">
            <v>10</v>
          </cell>
          <cell r="BI31">
            <v>10</v>
          </cell>
          <cell r="BJ31">
            <v>10</v>
          </cell>
          <cell r="BK31">
            <v>10</v>
          </cell>
          <cell r="BL31">
            <v>10</v>
          </cell>
          <cell r="BM31">
            <v>72</v>
          </cell>
          <cell r="BN31">
            <v>15</v>
          </cell>
          <cell r="BO31">
            <v>15</v>
          </cell>
          <cell r="BP31">
            <v>15</v>
          </cell>
          <cell r="BQ31">
            <v>15</v>
          </cell>
          <cell r="BR31">
            <v>15</v>
          </cell>
          <cell r="BS31">
            <v>15</v>
          </cell>
          <cell r="BT31">
            <v>15</v>
          </cell>
          <cell r="BU31">
            <v>105</v>
          </cell>
          <cell r="BV31">
            <v>19</v>
          </cell>
          <cell r="BW31">
            <v>18</v>
          </cell>
          <cell r="BX31">
            <v>18</v>
          </cell>
          <cell r="BY31">
            <v>18</v>
          </cell>
          <cell r="BZ31">
            <v>18</v>
          </cell>
          <cell r="CA31">
            <v>18</v>
          </cell>
          <cell r="CB31">
            <v>18</v>
          </cell>
          <cell r="CC31">
            <v>127</v>
          </cell>
          <cell r="CD31">
            <v>24</v>
          </cell>
          <cell r="CE31">
            <v>23</v>
          </cell>
          <cell r="CF31">
            <v>23</v>
          </cell>
          <cell r="CG31">
            <v>23</v>
          </cell>
          <cell r="CH31">
            <v>23</v>
          </cell>
          <cell r="CI31">
            <v>23</v>
          </cell>
          <cell r="CJ31">
            <v>23</v>
          </cell>
          <cell r="CK31">
            <v>162</v>
          </cell>
          <cell r="CL31">
            <v>26</v>
          </cell>
          <cell r="CM31">
            <v>25</v>
          </cell>
          <cell r="CN31">
            <v>25</v>
          </cell>
          <cell r="CO31">
            <v>25</v>
          </cell>
          <cell r="CP31">
            <v>25</v>
          </cell>
          <cell r="CQ31">
            <v>25</v>
          </cell>
          <cell r="CR31">
            <v>25</v>
          </cell>
          <cell r="CS31">
            <v>176</v>
          </cell>
          <cell r="CT31">
            <v>28</v>
          </cell>
          <cell r="CU31">
            <v>27</v>
          </cell>
          <cell r="CV31">
            <v>27</v>
          </cell>
          <cell r="CW31">
            <v>27</v>
          </cell>
          <cell r="CX31">
            <v>27</v>
          </cell>
          <cell r="CY31">
            <v>27</v>
          </cell>
          <cell r="CZ31">
            <v>27</v>
          </cell>
          <cell r="DA31">
            <v>190</v>
          </cell>
          <cell r="DB31">
            <v>30</v>
          </cell>
          <cell r="DC31">
            <v>29</v>
          </cell>
          <cell r="DD31">
            <v>29</v>
          </cell>
          <cell r="DE31">
            <v>29</v>
          </cell>
          <cell r="DF31">
            <v>29</v>
          </cell>
          <cell r="DG31">
            <v>29</v>
          </cell>
          <cell r="DH31">
            <v>29</v>
          </cell>
          <cell r="DI31">
            <v>204</v>
          </cell>
          <cell r="DJ31">
            <v>32</v>
          </cell>
          <cell r="DK31">
            <v>31</v>
          </cell>
          <cell r="DL31">
            <v>31</v>
          </cell>
          <cell r="DM31">
            <v>31</v>
          </cell>
          <cell r="DN31">
            <v>31</v>
          </cell>
          <cell r="DO31">
            <v>31</v>
          </cell>
          <cell r="DP31">
            <v>31</v>
          </cell>
          <cell r="DQ31">
            <v>218</v>
          </cell>
        </row>
        <row r="32">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cell r="CM32">
            <v>0</v>
          </cell>
          <cell r="CN32">
            <v>0</v>
          </cell>
          <cell r="CO32">
            <v>0</v>
          </cell>
          <cell r="CP32">
            <v>0</v>
          </cell>
          <cell r="CQ32">
            <v>0</v>
          </cell>
          <cell r="CR32">
            <v>0</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0</v>
          </cell>
        </row>
        <row r="33">
          <cell r="B33">
            <v>1</v>
          </cell>
          <cell r="C33">
            <v>0</v>
          </cell>
          <cell r="D33">
            <v>0</v>
          </cell>
          <cell r="E33">
            <v>0</v>
          </cell>
          <cell r="F33">
            <v>0</v>
          </cell>
          <cell r="G33">
            <v>0</v>
          </cell>
          <cell r="H33">
            <v>0</v>
          </cell>
          <cell r="I33">
            <v>1</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1</v>
          </cell>
          <cell r="AA33">
            <v>1</v>
          </cell>
          <cell r="AB33">
            <v>1</v>
          </cell>
          <cell r="AC33">
            <v>1</v>
          </cell>
          <cell r="AD33">
            <v>1</v>
          </cell>
          <cell r="AE33">
            <v>0</v>
          </cell>
          <cell r="AF33">
            <v>0</v>
          </cell>
          <cell r="AG33">
            <v>5</v>
          </cell>
          <cell r="AH33">
            <v>1</v>
          </cell>
          <cell r="AI33">
            <v>1</v>
          </cell>
          <cell r="AJ33">
            <v>1</v>
          </cell>
          <cell r="AK33">
            <v>1</v>
          </cell>
          <cell r="AL33">
            <v>1</v>
          </cell>
          <cell r="AM33">
            <v>1</v>
          </cell>
          <cell r="AN33">
            <v>1</v>
          </cell>
          <cell r="AO33">
            <v>7</v>
          </cell>
          <cell r="AP33">
            <v>1</v>
          </cell>
          <cell r="AQ33">
            <v>1</v>
          </cell>
          <cell r="AR33">
            <v>1</v>
          </cell>
          <cell r="AS33">
            <v>1</v>
          </cell>
          <cell r="AT33">
            <v>1</v>
          </cell>
          <cell r="AU33">
            <v>1</v>
          </cell>
          <cell r="AV33">
            <v>1</v>
          </cell>
          <cell r="AW33">
            <v>7</v>
          </cell>
          <cell r="AX33">
            <v>1</v>
          </cell>
          <cell r="AY33">
            <v>1</v>
          </cell>
          <cell r="AZ33">
            <v>1</v>
          </cell>
          <cell r="BA33">
            <v>1</v>
          </cell>
          <cell r="BB33">
            <v>1</v>
          </cell>
          <cell r="BC33">
            <v>1</v>
          </cell>
          <cell r="BD33">
            <v>1</v>
          </cell>
          <cell r="BE33">
            <v>7</v>
          </cell>
          <cell r="BF33">
            <v>2</v>
          </cell>
          <cell r="BG33">
            <v>2</v>
          </cell>
          <cell r="BH33">
            <v>2</v>
          </cell>
          <cell r="BI33">
            <v>1</v>
          </cell>
          <cell r="BJ33">
            <v>1</v>
          </cell>
          <cell r="BK33">
            <v>1</v>
          </cell>
          <cell r="BL33">
            <v>1</v>
          </cell>
          <cell r="BM33">
            <v>10</v>
          </cell>
          <cell r="BN33">
            <v>2</v>
          </cell>
          <cell r="BO33">
            <v>2</v>
          </cell>
          <cell r="BP33">
            <v>2</v>
          </cell>
          <cell r="BQ33">
            <v>2</v>
          </cell>
          <cell r="BR33">
            <v>2</v>
          </cell>
          <cell r="BS33">
            <v>2</v>
          </cell>
          <cell r="BT33">
            <v>1</v>
          </cell>
          <cell r="BU33">
            <v>13</v>
          </cell>
          <cell r="BV33">
            <v>3</v>
          </cell>
          <cell r="BW33">
            <v>3</v>
          </cell>
          <cell r="BX33">
            <v>3</v>
          </cell>
          <cell r="BY33">
            <v>3</v>
          </cell>
          <cell r="BZ33">
            <v>3</v>
          </cell>
          <cell r="CA33">
            <v>2</v>
          </cell>
          <cell r="CB33">
            <v>2</v>
          </cell>
          <cell r="CC33">
            <v>19</v>
          </cell>
          <cell r="CD33">
            <v>4</v>
          </cell>
          <cell r="CE33">
            <v>4</v>
          </cell>
          <cell r="CF33">
            <v>4</v>
          </cell>
          <cell r="CG33">
            <v>4</v>
          </cell>
          <cell r="CH33">
            <v>4</v>
          </cell>
          <cell r="CI33">
            <v>3</v>
          </cell>
          <cell r="CJ33">
            <v>3</v>
          </cell>
          <cell r="CK33">
            <v>26</v>
          </cell>
          <cell r="CL33">
            <v>4</v>
          </cell>
          <cell r="CM33">
            <v>4</v>
          </cell>
          <cell r="CN33">
            <v>4</v>
          </cell>
          <cell r="CO33">
            <v>4</v>
          </cell>
          <cell r="CP33">
            <v>4</v>
          </cell>
          <cell r="CQ33">
            <v>3</v>
          </cell>
          <cell r="CR33">
            <v>3</v>
          </cell>
          <cell r="CS33">
            <v>26</v>
          </cell>
          <cell r="CT33">
            <v>4</v>
          </cell>
          <cell r="CU33">
            <v>4</v>
          </cell>
          <cell r="CV33">
            <v>4</v>
          </cell>
          <cell r="CW33">
            <v>4</v>
          </cell>
          <cell r="CX33">
            <v>4</v>
          </cell>
          <cell r="CY33">
            <v>3</v>
          </cell>
          <cell r="CZ33">
            <v>3</v>
          </cell>
          <cell r="DA33">
            <v>26</v>
          </cell>
          <cell r="DB33">
            <v>4</v>
          </cell>
          <cell r="DC33">
            <v>4</v>
          </cell>
          <cell r="DD33">
            <v>4</v>
          </cell>
          <cell r="DE33">
            <v>4</v>
          </cell>
          <cell r="DF33">
            <v>4</v>
          </cell>
          <cell r="DG33">
            <v>3</v>
          </cell>
          <cell r="DH33">
            <v>3</v>
          </cell>
          <cell r="DI33">
            <v>26</v>
          </cell>
          <cell r="DJ33">
            <v>4</v>
          </cell>
          <cell r="DK33">
            <v>4</v>
          </cell>
          <cell r="DL33">
            <v>4</v>
          </cell>
          <cell r="DM33">
            <v>4</v>
          </cell>
          <cell r="DN33">
            <v>4</v>
          </cell>
          <cell r="DO33">
            <v>3</v>
          </cell>
          <cell r="DP33">
            <v>3</v>
          </cell>
          <cell r="DQ33">
            <v>26</v>
          </cell>
        </row>
        <row r="34">
          <cell r="B34">
            <v>1</v>
          </cell>
          <cell r="C34">
            <v>1</v>
          </cell>
          <cell r="D34">
            <v>1</v>
          </cell>
          <cell r="E34">
            <v>1</v>
          </cell>
          <cell r="F34">
            <v>0</v>
          </cell>
          <cell r="G34">
            <v>0</v>
          </cell>
          <cell r="H34">
            <v>0</v>
          </cell>
          <cell r="I34">
            <v>4</v>
          </cell>
          <cell r="J34">
            <v>1</v>
          </cell>
          <cell r="K34">
            <v>1</v>
          </cell>
          <cell r="L34">
            <v>1</v>
          </cell>
          <cell r="M34">
            <v>1</v>
          </cell>
          <cell r="N34">
            <v>1</v>
          </cell>
          <cell r="O34">
            <v>0</v>
          </cell>
          <cell r="P34">
            <v>0</v>
          </cell>
          <cell r="Q34">
            <v>5</v>
          </cell>
          <cell r="R34">
            <v>1</v>
          </cell>
          <cell r="S34">
            <v>1</v>
          </cell>
          <cell r="T34">
            <v>1</v>
          </cell>
          <cell r="U34">
            <v>1</v>
          </cell>
          <cell r="V34">
            <v>1</v>
          </cell>
          <cell r="W34">
            <v>0</v>
          </cell>
          <cell r="X34">
            <v>0</v>
          </cell>
          <cell r="Y34">
            <v>5</v>
          </cell>
          <cell r="Z34">
            <v>1</v>
          </cell>
          <cell r="AA34">
            <v>1</v>
          </cell>
          <cell r="AB34">
            <v>1</v>
          </cell>
          <cell r="AC34">
            <v>1</v>
          </cell>
          <cell r="AD34">
            <v>1</v>
          </cell>
          <cell r="AE34">
            <v>1</v>
          </cell>
          <cell r="AF34">
            <v>1</v>
          </cell>
          <cell r="AG34">
            <v>7</v>
          </cell>
          <cell r="AH34">
            <v>1</v>
          </cell>
          <cell r="AI34">
            <v>1</v>
          </cell>
          <cell r="AJ34">
            <v>1</v>
          </cell>
          <cell r="AK34">
            <v>1</v>
          </cell>
          <cell r="AL34">
            <v>1</v>
          </cell>
          <cell r="AM34">
            <v>1</v>
          </cell>
          <cell r="AN34">
            <v>1</v>
          </cell>
          <cell r="AO34">
            <v>7</v>
          </cell>
          <cell r="AP34">
            <v>1</v>
          </cell>
          <cell r="AQ34">
            <v>1</v>
          </cell>
          <cell r="AR34">
            <v>1</v>
          </cell>
          <cell r="AS34">
            <v>1</v>
          </cell>
          <cell r="AT34">
            <v>1</v>
          </cell>
          <cell r="AU34">
            <v>1</v>
          </cell>
          <cell r="AV34">
            <v>1</v>
          </cell>
          <cell r="AW34">
            <v>7</v>
          </cell>
          <cell r="AX34">
            <v>1</v>
          </cell>
          <cell r="AY34">
            <v>1</v>
          </cell>
          <cell r="AZ34">
            <v>1</v>
          </cell>
          <cell r="BA34">
            <v>1</v>
          </cell>
          <cell r="BB34">
            <v>1</v>
          </cell>
          <cell r="BC34">
            <v>1</v>
          </cell>
          <cell r="BD34">
            <v>1</v>
          </cell>
          <cell r="BE34">
            <v>7</v>
          </cell>
          <cell r="BF34">
            <v>1</v>
          </cell>
          <cell r="BG34">
            <v>1</v>
          </cell>
          <cell r="BH34">
            <v>1</v>
          </cell>
          <cell r="BI34">
            <v>1</v>
          </cell>
          <cell r="BJ34">
            <v>1</v>
          </cell>
          <cell r="BK34">
            <v>1</v>
          </cell>
          <cell r="BL34">
            <v>1</v>
          </cell>
          <cell r="BM34">
            <v>7</v>
          </cell>
          <cell r="BN34">
            <v>1</v>
          </cell>
          <cell r="BO34">
            <v>1</v>
          </cell>
          <cell r="BP34">
            <v>1</v>
          </cell>
          <cell r="BQ34">
            <v>1</v>
          </cell>
          <cell r="BR34">
            <v>1</v>
          </cell>
          <cell r="BS34">
            <v>1</v>
          </cell>
          <cell r="BT34">
            <v>1</v>
          </cell>
          <cell r="BU34">
            <v>7</v>
          </cell>
          <cell r="BV34">
            <v>2</v>
          </cell>
          <cell r="BW34">
            <v>2</v>
          </cell>
          <cell r="BX34">
            <v>1</v>
          </cell>
          <cell r="BY34">
            <v>1</v>
          </cell>
          <cell r="BZ34">
            <v>1</v>
          </cell>
          <cell r="CA34">
            <v>1</v>
          </cell>
          <cell r="CB34">
            <v>1</v>
          </cell>
          <cell r="CC34">
            <v>9</v>
          </cell>
          <cell r="CD34">
            <v>2</v>
          </cell>
          <cell r="CE34">
            <v>2</v>
          </cell>
          <cell r="CF34">
            <v>2</v>
          </cell>
          <cell r="CG34">
            <v>2</v>
          </cell>
          <cell r="CH34">
            <v>1</v>
          </cell>
          <cell r="CI34">
            <v>1</v>
          </cell>
          <cell r="CJ34">
            <v>1</v>
          </cell>
          <cell r="CK34">
            <v>11</v>
          </cell>
          <cell r="CL34">
            <v>2</v>
          </cell>
          <cell r="CM34">
            <v>2</v>
          </cell>
          <cell r="CN34">
            <v>2</v>
          </cell>
          <cell r="CO34">
            <v>2</v>
          </cell>
          <cell r="CP34">
            <v>1</v>
          </cell>
          <cell r="CQ34">
            <v>1</v>
          </cell>
          <cell r="CR34">
            <v>1</v>
          </cell>
          <cell r="CS34">
            <v>11</v>
          </cell>
          <cell r="CT34">
            <v>2</v>
          </cell>
          <cell r="CU34">
            <v>2</v>
          </cell>
          <cell r="CV34">
            <v>2</v>
          </cell>
          <cell r="CW34">
            <v>2</v>
          </cell>
          <cell r="CX34">
            <v>1</v>
          </cell>
          <cell r="CY34">
            <v>1</v>
          </cell>
          <cell r="CZ34">
            <v>1</v>
          </cell>
          <cell r="DA34">
            <v>11</v>
          </cell>
          <cell r="DB34">
            <v>2</v>
          </cell>
          <cell r="DC34">
            <v>2</v>
          </cell>
          <cell r="DD34">
            <v>2</v>
          </cell>
          <cell r="DE34">
            <v>2</v>
          </cell>
          <cell r="DF34">
            <v>1</v>
          </cell>
          <cell r="DG34">
            <v>1</v>
          </cell>
          <cell r="DH34">
            <v>1</v>
          </cell>
          <cell r="DI34">
            <v>11</v>
          </cell>
          <cell r="DJ34">
            <v>2</v>
          </cell>
          <cell r="DK34">
            <v>2</v>
          </cell>
          <cell r="DL34">
            <v>2</v>
          </cell>
          <cell r="DM34">
            <v>2</v>
          </cell>
          <cell r="DN34">
            <v>1</v>
          </cell>
          <cell r="DO34">
            <v>1</v>
          </cell>
          <cell r="DP34">
            <v>1</v>
          </cell>
          <cell r="DQ34">
            <v>11</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v>0</v>
          </cell>
          <cell r="CK35">
            <v>0</v>
          </cell>
          <cell r="CL35">
            <v>0</v>
          </cell>
          <cell r="CM35">
            <v>0</v>
          </cell>
          <cell r="CN35">
            <v>0</v>
          </cell>
          <cell r="CO35">
            <v>0</v>
          </cell>
          <cell r="CP35">
            <v>0</v>
          </cell>
          <cell r="CQ35">
            <v>0</v>
          </cell>
          <cell r="CR35">
            <v>0</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cell r="DN35">
            <v>0</v>
          </cell>
          <cell r="DO35">
            <v>0</v>
          </cell>
          <cell r="DP35">
            <v>0</v>
          </cell>
          <cell r="DQ35">
            <v>0</v>
          </cell>
        </row>
        <row r="36">
          <cell r="B36">
            <v>1</v>
          </cell>
          <cell r="C36">
            <v>1</v>
          </cell>
          <cell r="D36">
            <v>0</v>
          </cell>
          <cell r="E36">
            <v>0</v>
          </cell>
          <cell r="F36">
            <v>0</v>
          </cell>
          <cell r="G36">
            <v>0</v>
          </cell>
          <cell r="H36">
            <v>0</v>
          </cell>
          <cell r="I36">
            <v>2</v>
          </cell>
          <cell r="J36">
            <v>1</v>
          </cell>
          <cell r="K36">
            <v>1</v>
          </cell>
          <cell r="L36">
            <v>0</v>
          </cell>
          <cell r="M36">
            <v>0</v>
          </cell>
          <cell r="N36">
            <v>0</v>
          </cell>
          <cell r="O36">
            <v>0</v>
          </cell>
          <cell r="P36">
            <v>0</v>
          </cell>
          <cell r="Q36">
            <v>2</v>
          </cell>
          <cell r="R36">
            <v>1</v>
          </cell>
          <cell r="S36">
            <v>1</v>
          </cell>
          <cell r="T36">
            <v>1</v>
          </cell>
          <cell r="U36">
            <v>0</v>
          </cell>
          <cell r="V36">
            <v>0</v>
          </cell>
          <cell r="W36">
            <v>0</v>
          </cell>
          <cell r="X36">
            <v>0</v>
          </cell>
          <cell r="Y36">
            <v>3</v>
          </cell>
          <cell r="Z36">
            <v>2</v>
          </cell>
          <cell r="AA36">
            <v>2</v>
          </cell>
          <cell r="AB36">
            <v>1</v>
          </cell>
          <cell r="AC36">
            <v>1</v>
          </cell>
          <cell r="AD36">
            <v>1</v>
          </cell>
          <cell r="AE36">
            <v>1</v>
          </cell>
          <cell r="AF36">
            <v>1</v>
          </cell>
          <cell r="AG36">
            <v>9</v>
          </cell>
          <cell r="AH36">
            <v>3</v>
          </cell>
          <cell r="AI36">
            <v>3</v>
          </cell>
          <cell r="AJ36">
            <v>3</v>
          </cell>
          <cell r="AK36">
            <v>3</v>
          </cell>
          <cell r="AL36">
            <v>3</v>
          </cell>
          <cell r="AM36">
            <v>3</v>
          </cell>
          <cell r="AN36">
            <v>2</v>
          </cell>
          <cell r="AO36">
            <v>20</v>
          </cell>
          <cell r="AP36">
            <v>5</v>
          </cell>
          <cell r="AQ36">
            <v>5</v>
          </cell>
          <cell r="AR36">
            <v>5</v>
          </cell>
          <cell r="AS36">
            <v>5</v>
          </cell>
          <cell r="AT36">
            <v>5</v>
          </cell>
          <cell r="AU36">
            <v>5</v>
          </cell>
          <cell r="AV36">
            <v>4</v>
          </cell>
          <cell r="AW36">
            <v>34</v>
          </cell>
          <cell r="AX36">
            <v>7</v>
          </cell>
          <cell r="AY36">
            <v>7</v>
          </cell>
          <cell r="AZ36">
            <v>7</v>
          </cell>
          <cell r="BA36">
            <v>7</v>
          </cell>
          <cell r="BB36">
            <v>6</v>
          </cell>
          <cell r="BC36">
            <v>6</v>
          </cell>
          <cell r="BD36">
            <v>6</v>
          </cell>
          <cell r="BE36">
            <v>46</v>
          </cell>
          <cell r="BF36">
            <v>8</v>
          </cell>
          <cell r="BG36">
            <v>8</v>
          </cell>
          <cell r="BH36">
            <v>8</v>
          </cell>
          <cell r="BI36">
            <v>8</v>
          </cell>
          <cell r="BJ36">
            <v>8</v>
          </cell>
          <cell r="BK36">
            <v>8</v>
          </cell>
          <cell r="BL36">
            <v>8</v>
          </cell>
          <cell r="BM36">
            <v>56</v>
          </cell>
          <cell r="BN36">
            <v>10</v>
          </cell>
          <cell r="BO36">
            <v>10</v>
          </cell>
          <cell r="BP36">
            <v>9</v>
          </cell>
          <cell r="BQ36">
            <v>9</v>
          </cell>
          <cell r="BR36">
            <v>9</v>
          </cell>
          <cell r="BS36">
            <v>9</v>
          </cell>
          <cell r="BT36">
            <v>9</v>
          </cell>
          <cell r="BU36">
            <v>65</v>
          </cell>
          <cell r="BV36">
            <v>11</v>
          </cell>
          <cell r="BW36">
            <v>11</v>
          </cell>
          <cell r="BX36">
            <v>11</v>
          </cell>
          <cell r="BY36">
            <v>10</v>
          </cell>
          <cell r="BZ36">
            <v>10</v>
          </cell>
          <cell r="CA36">
            <v>10</v>
          </cell>
          <cell r="CB36">
            <v>10</v>
          </cell>
          <cell r="CC36">
            <v>73</v>
          </cell>
          <cell r="CD36">
            <v>12</v>
          </cell>
          <cell r="CE36">
            <v>12</v>
          </cell>
          <cell r="CF36">
            <v>12</v>
          </cell>
          <cell r="CG36">
            <v>12</v>
          </cell>
          <cell r="CH36">
            <v>11</v>
          </cell>
          <cell r="CI36">
            <v>11</v>
          </cell>
          <cell r="CJ36">
            <v>11</v>
          </cell>
          <cell r="CK36">
            <v>81</v>
          </cell>
          <cell r="CL36">
            <v>12</v>
          </cell>
          <cell r="CM36">
            <v>12</v>
          </cell>
          <cell r="CN36">
            <v>12</v>
          </cell>
          <cell r="CO36">
            <v>12</v>
          </cell>
          <cell r="CP36">
            <v>12</v>
          </cell>
          <cell r="CQ36">
            <v>12</v>
          </cell>
          <cell r="CR36">
            <v>11</v>
          </cell>
          <cell r="CS36">
            <v>83</v>
          </cell>
          <cell r="CT36">
            <v>13</v>
          </cell>
          <cell r="CU36">
            <v>12</v>
          </cell>
          <cell r="CV36">
            <v>12</v>
          </cell>
          <cell r="CW36">
            <v>12</v>
          </cell>
          <cell r="CX36">
            <v>12</v>
          </cell>
          <cell r="CY36">
            <v>12</v>
          </cell>
          <cell r="CZ36">
            <v>12</v>
          </cell>
          <cell r="DA36">
            <v>85</v>
          </cell>
          <cell r="DB36">
            <v>13</v>
          </cell>
          <cell r="DC36">
            <v>13</v>
          </cell>
          <cell r="DD36">
            <v>13</v>
          </cell>
          <cell r="DE36">
            <v>13</v>
          </cell>
          <cell r="DF36">
            <v>12</v>
          </cell>
          <cell r="DG36">
            <v>12</v>
          </cell>
          <cell r="DH36">
            <v>12</v>
          </cell>
          <cell r="DI36">
            <v>88</v>
          </cell>
          <cell r="DJ36">
            <v>13</v>
          </cell>
          <cell r="DK36">
            <v>13</v>
          </cell>
          <cell r="DL36">
            <v>13</v>
          </cell>
          <cell r="DM36">
            <v>13</v>
          </cell>
          <cell r="DN36">
            <v>13</v>
          </cell>
          <cell r="DO36">
            <v>13</v>
          </cell>
          <cell r="DP36">
            <v>13</v>
          </cell>
          <cell r="DQ36">
            <v>91</v>
          </cell>
        </row>
        <row r="37">
          <cell r="B37">
            <v>3</v>
          </cell>
          <cell r="C37">
            <v>3</v>
          </cell>
          <cell r="D37">
            <v>3</v>
          </cell>
          <cell r="E37">
            <v>3</v>
          </cell>
          <cell r="F37">
            <v>2</v>
          </cell>
          <cell r="G37">
            <v>2</v>
          </cell>
          <cell r="H37">
            <v>2</v>
          </cell>
          <cell r="I37">
            <v>18</v>
          </cell>
          <cell r="J37">
            <v>5</v>
          </cell>
          <cell r="K37">
            <v>5</v>
          </cell>
          <cell r="L37">
            <v>5</v>
          </cell>
          <cell r="M37">
            <v>5</v>
          </cell>
          <cell r="N37">
            <v>4</v>
          </cell>
          <cell r="O37">
            <v>4</v>
          </cell>
          <cell r="P37">
            <v>4</v>
          </cell>
          <cell r="Q37">
            <v>32</v>
          </cell>
          <cell r="R37">
            <v>14</v>
          </cell>
          <cell r="S37">
            <v>14</v>
          </cell>
          <cell r="T37">
            <v>14</v>
          </cell>
          <cell r="U37">
            <v>14</v>
          </cell>
          <cell r="V37">
            <v>14</v>
          </cell>
          <cell r="W37">
            <v>13</v>
          </cell>
          <cell r="X37">
            <v>13</v>
          </cell>
          <cell r="Y37">
            <v>96</v>
          </cell>
          <cell r="Z37">
            <v>25</v>
          </cell>
          <cell r="AA37">
            <v>25</v>
          </cell>
          <cell r="AB37">
            <v>24</v>
          </cell>
          <cell r="AC37">
            <v>24</v>
          </cell>
          <cell r="AD37">
            <v>24</v>
          </cell>
          <cell r="AE37">
            <v>24</v>
          </cell>
          <cell r="AF37">
            <v>24</v>
          </cell>
          <cell r="AG37">
            <v>170</v>
          </cell>
          <cell r="AH37">
            <v>35</v>
          </cell>
          <cell r="AI37">
            <v>35</v>
          </cell>
          <cell r="AJ37">
            <v>34</v>
          </cell>
          <cell r="AK37">
            <v>34</v>
          </cell>
          <cell r="AL37">
            <v>34</v>
          </cell>
          <cell r="AM37">
            <v>34</v>
          </cell>
          <cell r="AN37">
            <v>34</v>
          </cell>
          <cell r="AO37">
            <v>240</v>
          </cell>
          <cell r="AP37">
            <v>42</v>
          </cell>
          <cell r="AQ37">
            <v>42</v>
          </cell>
          <cell r="AR37">
            <v>42</v>
          </cell>
          <cell r="AS37">
            <v>41</v>
          </cell>
          <cell r="AT37">
            <v>41</v>
          </cell>
          <cell r="AU37">
            <v>41</v>
          </cell>
          <cell r="AV37">
            <v>41</v>
          </cell>
          <cell r="AW37">
            <v>290</v>
          </cell>
          <cell r="AX37">
            <v>49</v>
          </cell>
          <cell r="AY37">
            <v>48</v>
          </cell>
          <cell r="AZ37">
            <v>48</v>
          </cell>
          <cell r="BA37">
            <v>48</v>
          </cell>
          <cell r="BB37">
            <v>48</v>
          </cell>
          <cell r="BC37">
            <v>48</v>
          </cell>
          <cell r="BD37">
            <v>48</v>
          </cell>
          <cell r="BE37">
            <v>337</v>
          </cell>
          <cell r="BF37">
            <v>54</v>
          </cell>
          <cell r="BG37">
            <v>54</v>
          </cell>
          <cell r="BH37">
            <v>53</v>
          </cell>
          <cell r="BI37">
            <v>53</v>
          </cell>
          <cell r="BJ37">
            <v>53</v>
          </cell>
          <cell r="BK37">
            <v>53</v>
          </cell>
          <cell r="BL37">
            <v>53</v>
          </cell>
          <cell r="BM37">
            <v>373</v>
          </cell>
          <cell r="BN37">
            <v>58</v>
          </cell>
          <cell r="BO37">
            <v>58</v>
          </cell>
          <cell r="BP37">
            <v>58</v>
          </cell>
          <cell r="BQ37">
            <v>58</v>
          </cell>
          <cell r="BR37">
            <v>58</v>
          </cell>
          <cell r="BS37">
            <v>58</v>
          </cell>
          <cell r="BT37">
            <v>57</v>
          </cell>
          <cell r="BU37">
            <v>405</v>
          </cell>
          <cell r="BV37">
            <v>61</v>
          </cell>
          <cell r="BW37">
            <v>61</v>
          </cell>
          <cell r="BX37">
            <v>60</v>
          </cell>
          <cell r="BY37">
            <v>60</v>
          </cell>
          <cell r="BZ37">
            <v>60</v>
          </cell>
          <cell r="CA37">
            <v>60</v>
          </cell>
          <cell r="CB37">
            <v>60</v>
          </cell>
          <cell r="CC37">
            <v>422</v>
          </cell>
          <cell r="CD37">
            <v>61</v>
          </cell>
          <cell r="CE37">
            <v>61</v>
          </cell>
          <cell r="CF37">
            <v>60</v>
          </cell>
          <cell r="CG37">
            <v>60</v>
          </cell>
          <cell r="CH37">
            <v>60</v>
          </cell>
          <cell r="CI37">
            <v>60</v>
          </cell>
          <cell r="CJ37">
            <v>60</v>
          </cell>
          <cell r="CK37">
            <v>422</v>
          </cell>
          <cell r="CL37">
            <v>61</v>
          </cell>
          <cell r="CM37">
            <v>61</v>
          </cell>
          <cell r="CN37">
            <v>60</v>
          </cell>
          <cell r="CO37">
            <v>60</v>
          </cell>
          <cell r="CP37">
            <v>60</v>
          </cell>
          <cell r="CQ37">
            <v>60</v>
          </cell>
          <cell r="CR37">
            <v>60</v>
          </cell>
          <cell r="CS37">
            <v>422</v>
          </cell>
          <cell r="CT37">
            <v>61</v>
          </cell>
          <cell r="CU37">
            <v>61</v>
          </cell>
          <cell r="CV37">
            <v>60</v>
          </cell>
          <cell r="CW37">
            <v>60</v>
          </cell>
          <cell r="CX37">
            <v>60</v>
          </cell>
          <cell r="CY37">
            <v>60</v>
          </cell>
          <cell r="CZ37">
            <v>60</v>
          </cell>
          <cell r="DA37">
            <v>422</v>
          </cell>
          <cell r="DB37">
            <v>61</v>
          </cell>
          <cell r="DC37">
            <v>61</v>
          </cell>
          <cell r="DD37">
            <v>60</v>
          </cell>
          <cell r="DE37">
            <v>60</v>
          </cell>
          <cell r="DF37">
            <v>60</v>
          </cell>
          <cell r="DG37">
            <v>60</v>
          </cell>
          <cell r="DH37">
            <v>60</v>
          </cell>
          <cell r="DI37">
            <v>422</v>
          </cell>
          <cell r="DJ37">
            <v>61</v>
          </cell>
          <cell r="DK37">
            <v>61</v>
          </cell>
          <cell r="DL37">
            <v>60</v>
          </cell>
          <cell r="DM37">
            <v>60</v>
          </cell>
          <cell r="DN37">
            <v>60</v>
          </cell>
          <cell r="DO37">
            <v>60</v>
          </cell>
          <cell r="DP37">
            <v>60</v>
          </cell>
          <cell r="DQ37">
            <v>422</v>
          </cell>
        </row>
        <row r="38">
          <cell r="B38">
            <v>2</v>
          </cell>
          <cell r="C38">
            <v>2</v>
          </cell>
          <cell r="D38">
            <v>2</v>
          </cell>
          <cell r="E38">
            <v>2</v>
          </cell>
          <cell r="F38">
            <v>2</v>
          </cell>
          <cell r="G38">
            <v>2</v>
          </cell>
          <cell r="H38">
            <v>1</v>
          </cell>
          <cell r="I38">
            <v>13</v>
          </cell>
          <cell r="J38">
            <v>5</v>
          </cell>
          <cell r="K38">
            <v>5</v>
          </cell>
          <cell r="L38">
            <v>5</v>
          </cell>
          <cell r="M38">
            <v>5</v>
          </cell>
          <cell r="N38">
            <v>5</v>
          </cell>
          <cell r="O38">
            <v>4</v>
          </cell>
          <cell r="P38">
            <v>4</v>
          </cell>
          <cell r="Q38">
            <v>33</v>
          </cell>
          <cell r="R38">
            <v>7</v>
          </cell>
          <cell r="S38">
            <v>7</v>
          </cell>
          <cell r="T38">
            <v>6</v>
          </cell>
          <cell r="U38">
            <v>6</v>
          </cell>
          <cell r="V38">
            <v>6</v>
          </cell>
          <cell r="W38">
            <v>6</v>
          </cell>
          <cell r="X38">
            <v>6</v>
          </cell>
          <cell r="Y38">
            <v>44</v>
          </cell>
          <cell r="Z38">
            <v>8</v>
          </cell>
          <cell r="AA38">
            <v>8</v>
          </cell>
          <cell r="AB38">
            <v>8</v>
          </cell>
          <cell r="AC38">
            <v>8</v>
          </cell>
          <cell r="AD38">
            <v>8</v>
          </cell>
          <cell r="AE38">
            <v>8</v>
          </cell>
          <cell r="AF38">
            <v>7</v>
          </cell>
          <cell r="AG38">
            <v>55</v>
          </cell>
          <cell r="AH38">
            <v>10</v>
          </cell>
          <cell r="AI38">
            <v>10</v>
          </cell>
          <cell r="AJ38">
            <v>10</v>
          </cell>
          <cell r="AK38">
            <v>9</v>
          </cell>
          <cell r="AL38">
            <v>9</v>
          </cell>
          <cell r="AM38">
            <v>9</v>
          </cell>
          <cell r="AN38">
            <v>9</v>
          </cell>
          <cell r="AO38">
            <v>66</v>
          </cell>
          <cell r="AP38">
            <v>11</v>
          </cell>
          <cell r="AQ38">
            <v>11</v>
          </cell>
          <cell r="AR38">
            <v>11</v>
          </cell>
          <cell r="AS38">
            <v>11</v>
          </cell>
          <cell r="AT38">
            <v>11</v>
          </cell>
          <cell r="AU38">
            <v>11</v>
          </cell>
          <cell r="AV38">
            <v>11</v>
          </cell>
          <cell r="AW38">
            <v>77</v>
          </cell>
          <cell r="AX38">
            <v>15</v>
          </cell>
          <cell r="AY38">
            <v>15</v>
          </cell>
          <cell r="AZ38">
            <v>15</v>
          </cell>
          <cell r="BA38">
            <v>15</v>
          </cell>
          <cell r="BB38">
            <v>15</v>
          </cell>
          <cell r="BC38">
            <v>15</v>
          </cell>
          <cell r="BD38">
            <v>15</v>
          </cell>
          <cell r="BE38">
            <v>105</v>
          </cell>
          <cell r="BF38">
            <v>20</v>
          </cell>
          <cell r="BG38">
            <v>19</v>
          </cell>
          <cell r="BH38">
            <v>19</v>
          </cell>
          <cell r="BI38">
            <v>19</v>
          </cell>
          <cell r="BJ38">
            <v>19</v>
          </cell>
          <cell r="BK38">
            <v>19</v>
          </cell>
          <cell r="BL38">
            <v>19</v>
          </cell>
          <cell r="BM38">
            <v>134</v>
          </cell>
          <cell r="BN38">
            <v>24</v>
          </cell>
          <cell r="BO38">
            <v>24</v>
          </cell>
          <cell r="BP38">
            <v>23</v>
          </cell>
          <cell r="BQ38">
            <v>23</v>
          </cell>
          <cell r="BR38">
            <v>23</v>
          </cell>
          <cell r="BS38">
            <v>23</v>
          </cell>
          <cell r="BT38">
            <v>23</v>
          </cell>
          <cell r="BU38">
            <v>163</v>
          </cell>
          <cell r="BV38">
            <v>28</v>
          </cell>
          <cell r="BW38">
            <v>28</v>
          </cell>
          <cell r="BX38">
            <v>28</v>
          </cell>
          <cell r="BY38">
            <v>27</v>
          </cell>
          <cell r="BZ38">
            <v>27</v>
          </cell>
          <cell r="CA38">
            <v>27</v>
          </cell>
          <cell r="CB38">
            <v>27</v>
          </cell>
          <cell r="CC38">
            <v>192</v>
          </cell>
          <cell r="CD38">
            <v>30</v>
          </cell>
          <cell r="CE38">
            <v>30</v>
          </cell>
          <cell r="CF38">
            <v>30</v>
          </cell>
          <cell r="CG38">
            <v>30</v>
          </cell>
          <cell r="CH38">
            <v>30</v>
          </cell>
          <cell r="CI38">
            <v>30</v>
          </cell>
          <cell r="CJ38">
            <v>30</v>
          </cell>
          <cell r="CK38">
            <v>210</v>
          </cell>
          <cell r="CL38">
            <v>31</v>
          </cell>
          <cell r="CM38">
            <v>31</v>
          </cell>
          <cell r="CN38">
            <v>31</v>
          </cell>
          <cell r="CO38">
            <v>31</v>
          </cell>
          <cell r="CP38">
            <v>31</v>
          </cell>
          <cell r="CQ38">
            <v>31</v>
          </cell>
          <cell r="CR38">
            <v>30</v>
          </cell>
          <cell r="CS38">
            <v>216</v>
          </cell>
          <cell r="CT38">
            <v>32</v>
          </cell>
          <cell r="CU38">
            <v>32</v>
          </cell>
          <cell r="CV38">
            <v>32</v>
          </cell>
          <cell r="CW38">
            <v>32</v>
          </cell>
          <cell r="CX38">
            <v>32</v>
          </cell>
          <cell r="CY38">
            <v>31</v>
          </cell>
          <cell r="CZ38">
            <v>31</v>
          </cell>
          <cell r="DA38">
            <v>222</v>
          </cell>
          <cell r="DB38">
            <v>33</v>
          </cell>
          <cell r="DC38">
            <v>33</v>
          </cell>
          <cell r="DD38">
            <v>33</v>
          </cell>
          <cell r="DE38">
            <v>33</v>
          </cell>
          <cell r="DF38">
            <v>32</v>
          </cell>
          <cell r="DG38">
            <v>32</v>
          </cell>
          <cell r="DH38">
            <v>32</v>
          </cell>
          <cell r="DI38">
            <v>228</v>
          </cell>
          <cell r="DJ38">
            <v>34</v>
          </cell>
          <cell r="DK38">
            <v>34</v>
          </cell>
          <cell r="DL38">
            <v>34</v>
          </cell>
          <cell r="DM38">
            <v>33</v>
          </cell>
          <cell r="DN38">
            <v>33</v>
          </cell>
          <cell r="DO38">
            <v>33</v>
          </cell>
          <cell r="DP38">
            <v>33</v>
          </cell>
          <cell r="DQ38">
            <v>234</v>
          </cell>
        </row>
        <row r="39">
          <cell r="B39">
            <v>1</v>
          </cell>
          <cell r="C39">
            <v>1</v>
          </cell>
          <cell r="D39">
            <v>1</v>
          </cell>
          <cell r="E39">
            <v>0</v>
          </cell>
          <cell r="F39">
            <v>0</v>
          </cell>
          <cell r="G39">
            <v>0</v>
          </cell>
          <cell r="H39">
            <v>0</v>
          </cell>
          <cell r="I39">
            <v>3</v>
          </cell>
          <cell r="J39">
            <v>0</v>
          </cell>
          <cell r="K39">
            <v>0</v>
          </cell>
          <cell r="L39">
            <v>0</v>
          </cell>
          <cell r="M39">
            <v>0</v>
          </cell>
          <cell r="N39">
            <v>0</v>
          </cell>
          <cell r="O39">
            <v>0</v>
          </cell>
          <cell r="P39">
            <v>0</v>
          </cell>
          <cell r="Q39">
            <v>0</v>
          </cell>
          <cell r="R39">
            <v>3</v>
          </cell>
          <cell r="S39">
            <v>3</v>
          </cell>
          <cell r="T39">
            <v>3</v>
          </cell>
          <cell r="U39">
            <v>2</v>
          </cell>
          <cell r="V39">
            <v>2</v>
          </cell>
          <cell r="W39">
            <v>2</v>
          </cell>
          <cell r="X39">
            <v>2</v>
          </cell>
          <cell r="Y39">
            <v>17</v>
          </cell>
          <cell r="Z39">
            <v>5</v>
          </cell>
          <cell r="AA39">
            <v>5</v>
          </cell>
          <cell r="AB39">
            <v>5</v>
          </cell>
          <cell r="AC39">
            <v>5</v>
          </cell>
          <cell r="AD39">
            <v>5</v>
          </cell>
          <cell r="AE39">
            <v>5</v>
          </cell>
          <cell r="AF39">
            <v>4</v>
          </cell>
          <cell r="AG39">
            <v>34</v>
          </cell>
          <cell r="AH39">
            <v>7</v>
          </cell>
          <cell r="AI39">
            <v>7</v>
          </cell>
          <cell r="AJ39">
            <v>7</v>
          </cell>
          <cell r="AK39">
            <v>7</v>
          </cell>
          <cell r="AL39">
            <v>7</v>
          </cell>
          <cell r="AM39">
            <v>6</v>
          </cell>
          <cell r="AN39">
            <v>6</v>
          </cell>
          <cell r="AO39">
            <v>47</v>
          </cell>
          <cell r="AP39">
            <v>8</v>
          </cell>
          <cell r="AQ39">
            <v>7</v>
          </cell>
          <cell r="AR39">
            <v>7</v>
          </cell>
          <cell r="AS39">
            <v>7</v>
          </cell>
          <cell r="AT39">
            <v>7</v>
          </cell>
          <cell r="AU39">
            <v>7</v>
          </cell>
          <cell r="AV39">
            <v>7</v>
          </cell>
          <cell r="AW39">
            <v>50</v>
          </cell>
          <cell r="AX39">
            <v>11</v>
          </cell>
          <cell r="AY39">
            <v>10</v>
          </cell>
          <cell r="AZ39">
            <v>10</v>
          </cell>
          <cell r="BA39">
            <v>10</v>
          </cell>
          <cell r="BB39">
            <v>10</v>
          </cell>
          <cell r="BC39">
            <v>10</v>
          </cell>
          <cell r="BD39">
            <v>10</v>
          </cell>
          <cell r="BE39">
            <v>71</v>
          </cell>
          <cell r="BF39">
            <v>15</v>
          </cell>
          <cell r="BG39">
            <v>14</v>
          </cell>
          <cell r="BH39">
            <v>14</v>
          </cell>
          <cell r="BI39">
            <v>14</v>
          </cell>
          <cell r="BJ39">
            <v>14</v>
          </cell>
          <cell r="BK39">
            <v>14</v>
          </cell>
          <cell r="BL39">
            <v>14</v>
          </cell>
          <cell r="BM39">
            <v>99</v>
          </cell>
          <cell r="BN39">
            <v>18</v>
          </cell>
          <cell r="BO39">
            <v>18</v>
          </cell>
          <cell r="BP39">
            <v>18</v>
          </cell>
          <cell r="BQ39">
            <v>18</v>
          </cell>
          <cell r="BR39">
            <v>18</v>
          </cell>
          <cell r="BS39">
            <v>18</v>
          </cell>
          <cell r="BT39">
            <v>17</v>
          </cell>
          <cell r="BU39">
            <v>125</v>
          </cell>
          <cell r="BV39">
            <v>21</v>
          </cell>
          <cell r="BW39">
            <v>21</v>
          </cell>
          <cell r="BX39">
            <v>21</v>
          </cell>
          <cell r="BY39">
            <v>21</v>
          </cell>
          <cell r="BZ39">
            <v>21</v>
          </cell>
          <cell r="CA39">
            <v>21</v>
          </cell>
          <cell r="CB39">
            <v>20</v>
          </cell>
          <cell r="CC39">
            <v>146</v>
          </cell>
          <cell r="CD39">
            <v>26</v>
          </cell>
          <cell r="CE39">
            <v>26</v>
          </cell>
          <cell r="CF39">
            <v>26</v>
          </cell>
          <cell r="CG39">
            <v>26</v>
          </cell>
          <cell r="CH39">
            <v>26</v>
          </cell>
          <cell r="CI39">
            <v>26</v>
          </cell>
          <cell r="CJ39">
            <v>25</v>
          </cell>
          <cell r="CK39">
            <v>181</v>
          </cell>
          <cell r="CL39">
            <v>28</v>
          </cell>
          <cell r="CM39">
            <v>28</v>
          </cell>
          <cell r="CN39">
            <v>28</v>
          </cell>
          <cell r="CO39">
            <v>28</v>
          </cell>
          <cell r="CP39">
            <v>28</v>
          </cell>
          <cell r="CQ39">
            <v>28</v>
          </cell>
          <cell r="CR39">
            <v>27</v>
          </cell>
          <cell r="CS39">
            <v>195</v>
          </cell>
          <cell r="CT39">
            <v>30</v>
          </cell>
          <cell r="CU39">
            <v>30</v>
          </cell>
          <cell r="CV39">
            <v>30</v>
          </cell>
          <cell r="CW39">
            <v>30</v>
          </cell>
          <cell r="CX39">
            <v>30</v>
          </cell>
          <cell r="CY39">
            <v>30</v>
          </cell>
          <cell r="CZ39">
            <v>29</v>
          </cell>
          <cell r="DA39">
            <v>209</v>
          </cell>
          <cell r="DB39">
            <v>32</v>
          </cell>
          <cell r="DC39">
            <v>32</v>
          </cell>
          <cell r="DD39">
            <v>32</v>
          </cell>
          <cell r="DE39">
            <v>32</v>
          </cell>
          <cell r="DF39">
            <v>32</v>
          </cell>
          <cell r="DG39">
            <v>32</v>
          </cell>
          <cell r="DH39">
            <v>31</v>
          </cell>
          <cell r="DI39">
            <v>223</v>
          </cell>
          <cell r="DJ39">
            <v>34</v>
          </cell>
          <cell r="DK39">
            <v>34</v>
          </cell>
          <cell r="DL39">
            <v>34</v>
          </cell>
          <cell r="DM39">
            <v>34</v>
          </cell>
          <cell r="DN39">
            <v>34</v>
          </cell>
          <cell r="DO39">
            <v>34</v>
          </cell>
          <cell r="DP39">
            <v>33</v>
          </cell>
          <cell r="DQ39">
            <v>237</v>
          </cell>
        </row>
        <row r="40">
          <cell r="B40">
            <v>4</v>
          </cell>
          <cell r="C40">
            <v>4</v>
          </cell>
          <cell r="D40">
            <v>3</v>
          </cell>
          <cell r="E40">
            <v>3</v>
          </cell>
          <cell r="F40">
            <v>3</v>
          </cell>
          <cell r="G40">
            <v>3</v>
          </cell>
          <cell r="H40">
            <v>3</v>
          </cell>
          <cell r="I40">
            <v>23</v>
          </cell>
          <cell r="J40">
            <v>2</v>
          </cell>
          <cell r="K40">
            <v>2</v>
          </cell>
          <cell r="L40">
            <v>2</v>
          </cell>
          <cell r="M40">
            <v>2</v>
          </cell>
          <cell r="N40">
            <v>2</v>
          </cell>
          <cell r="O40">
            <v>2</v>
          </cell>
          <cell r="P40">
            <v>1</v>
          </cell>
          <cell r="Q40">
            <v>13</v>
          </cell>
          <cell r="R40">
            <v>2</v>
          </cell>
          <cell r="S40">
            <v>2</v>
          </cell>
          <cell r="T40">
            <v>2</v>
          </cell>
          <cell r="U40">
            <v>2</v>
          </cell>
          <cell r="V40">
            <v>2</v>
          </cell>
          <cell r="W40">
            <v>2</v>
          </cell>
          <cell r="X40">
            <v>1</v>
          </cell>
          <cell r="Y40">
            <v>13</v>
          </cell>
          <cell r="Z40">
            <v>2</v>
          </cell>
          <cell r="AA40">
            <v>2</v>
          </cell>
          <cell r="AB40">
            <v>2</v>
          </cell>
          <cell r="AC40">
            <v>2</v>
          </cell>
          <cell r="AD40">
            <v>2</v>
          </cell>
          <cell r="AE40">
            <v>2</v>
          </cell>
          <cell r="AF40">
            <v>1</v>
          </cell>
          <cell r="AG40">
            <v>13</v>
          </cell>
          <cell r="AH40">
            <v>2</v>
          </cell>
          <cell r="AI40">
            <v>2</v>
          </cell>
          <cell r="AJ40">
            <v>2</v>
          </cell>
          <cell r="AK40">
            <v>2</v>
          </cell>
          <cell r="AL40">
            <v>2</v>
          </cell>
          <cell r="AM40">
            <v>2</v>
          </cell>
          <cell r="AN40">
            <v>1</v>
          </cell>
          <cell r="AO40">
            <v>13</v>
          </cell>
          <cell r="AP40">
            <v>2</v>
          </cell>
          <cell r="AQ40">
            <v>2</v>
          </cell>
          <cell r="AR40">
            <v>2</v>
          </cell>
          <cell r="AS40">
            <v>2</v>
          </cell>
          <cell r="AT40">
            <v>2</v>
          </cell>
          <cell r="AU40">
            <v>2</v>
          </cell>
          <cell r="AV40">
            <v>1</v>
          </cell>
          <cell r="AW40">
            <v>13</v>
          </cell>
          <cell r="AX40">
            <v>3</v>
          </cell>
          <cell r="AY40">
            <v>3</v>
          </cell>
          <cell r="AZ40">
            <v>3</v>
          </cell>
          <cell r="BA40">
            <v>3</v>
          </cell>
          <cell r="BB40">
            <v>2</v>
          </cell>
          <cell r="BC40">
            <v>2</v>
          </cell>
          <cell r="BD40">
            <v>2</v>
          </cell>
          <cell r="BE40">
            <v>18</v>
          </cell>
          <cell r="BF40">
            <v>4</v>
          </cell>
          <cell r="BG40">
            <v>4</v>
          </cell>
          <cell r="BH40">
            <v>3</v>
          </cell>
          <cell r="BI40">
            <v>3</v>
          </cell>
          <cell r="BJ40">
            <v>3</v>
          </cell>
          <cell r="BK40">
            <v>3</v>
          </cell>
          <cell r="BL40">
            <v>3</v>
          </cell>
          <cell r="BM40">
            <v>23</v>
          </cell>
          <cell r="BN40">
            <v>4</v>
          </cell>
          <cell r="BO40">
            <v>4</v>
          </cell>
          <cell r="BP40">
            <v>4</v>
          </cell>
          <cell r="BQ40">
            <v>4</v>
          </cell>
          <cell r="BR40">
            <v>4</v>
          </cell>
          <cell r="BS40">
            <v>4</v>
          </cell>
          <cell r="BT40">
            <v>4</v>
          </cell>
          <cell r="BU40">
            <v>28</v>
          </cell>
          <cell r="BV40">
            <v>5</v>
          </cell>
          <cell r="BW40">
            <v>5</v>
          </cell>
          <cell r="BX40">
            <v>5</v>
          </cell>
          <cell r="BY40">
            <v>5</v>
          </cell>
          <cell r="BZ40">
            <v>5</v>
          </cell>
          <cell r="CA40">
            <v>4</v>
          </cell>
          <cell r="CB40">
            <v>4</v>
          </cell>
          <cell r="CC40">
            <v>33</v>
          </cell>
          <cell r="CD40">
            <v>6</v>
          </cell>
          <cell r="CE40">
            <v>6</v>
          </cell>
          <cell r="CF40">
            <v>6</v>
          </cell>
          <cell r="CG40">
            <v>5</v>
          </cell>
          <cell r="CH40">
            <v>5</v>
          </cell>
          <cell r="CI40">
            <v>5</v>
          </cell>
          <cell r="CJ40">
            <v>5</v>
          </cell>
          <cell r="CK40">
            <v>38</v>
          </cell>
          <cell r="CL40">
            <v>6</v>
          </cell>
          <cell r="CM40">
            <v>6</v>
          </cell>
          <cell r="CN40">
            <v>6</v>
          </cell>
          <cell r="CO40">
            <v>6</v>
          </cell>
          <cell r="CP40">
            <v>6</v>
          </cell>
          <cell r="CQ40">
            <v>6</v>
          </cell>
          <cell r="CR40">
            <v>5</v>
          </cell>
          <cell r="CS40">
            <v>41</v>
          </cell>
          <cell r="CT40">
            <v>7</v>
          </cell>
          <cell r="CU40">
            <v>6</v>
          </cell>
          <cell r="CV40">
            <v>6</v>
          </cell>
          <cell r="CW40">
            <v>6</v>
          </cell>
          <cell r="CX40">
            <v>6</v>
          </cell>
          <cell r="CY40">
            <v>6</v>
          </cell>
          <cell r="CZ40">
            <v>6</v>
          </cell>
          <cell r="DA40">
            <v>43</v>
          </cell>
          <cell r="DB40">
            <v>7</v>
          </cell>
          <cell r="DC40">
            <v>7</v>
          </cell>
          <cell r="DD40">
            <v>7</v>
          </cell>
          <cell r="DE40">
            <v>7</v>
          </cell>
          <cell r="DF40">
            <v>6</v>
          </cell>
          <cell r="DG40">
            <v>6</v>
          </cell>
          <cell r="DH40">
            <v>6</v>
          </cell>
          <cell r="DI40">
            <v>46</v>
          </cell>
          <cell r="DJ40">
            <v>7</v>
          </cell>
          <cell r="DK40">
            <v>7</v>
          </cell>
          <cell r="DL40">
            <v>7</v>
          </cell>
          <cell r="DM40">
            <v>7</v>
          </cell>
          <cell r="DN40">
            <v>7</v>
          </cell>
          <cell r="DO40">
            <v>7</v>
          </cell>
          <cell r="DP40">
            <v>6</v>
          </cell>
          <cell r="DQ40">
            <v>48</v>
          </cell>
        </row>
        <row r="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1</v>
          </cell>
          <cell r="AA41">
            <v>0</v>
          </cell>
          <cell r="AB41">
            <v>0</v>
          </cell>
          <cell r="AC41">
            <v>0</v>
          </cell>
          <cell r="AD41">
            <v>0</v>
          </cell>
          <cell r="AE41">
            <v>0</v>
          </cell>
          <cell r="AF41">
            <v>0</v>
          </cell>
          <cell r="AG41">
            <v>1</v>
          </cell>
          <cell r="AH41">
            <v>1</v>
          </cell>
          <cell r="AI41">
            <v>1</v>
          </cell>
          <cell r="AJ41">
            <v>0</v>
          </cell>
          <cell r="AK41">
            <v>0</v>
          </cell>
          <cell r="AL41">
            <v>0</v>
          </cell>
          <cell r="AM41">
            <v>0</v>
          </cell>
          <cell r="AN41">
            <v>0</v>
          </cell>
          <cell r="AO41">
            <v>2</v>
          </cell>
          <cell r="AP41">
            <v>1</v>
          </cell>
          <cell r="AQ41">
            <v>1</v>
          </cell>
          <cell r="AR41">
            <v>0</v>
          </cell>
          <cell r="AS41">
            <v>0</v>
          </cell>
          <cell r="AT41">
            <v>0</v>
          </cell>
          <cell r="AU41">
            <v>0</v>
          </cell>
          <cell r="AV41">
            <v>0</v>
          </cell>
          <cell r="AW41">
            <v>2</v>
          </cell>
          <cell r="AX41">
            <v>1</v>
          </cell>
          <cell r="AY41">
            <v>1</v>
          </cell>
          <cell r="AZ41">
            <v>0</v>
          </cell>
          <cell r="BA41">
            <v>0</v>
          </cell>
          <cell r="BB41">
            <v>0</v>
          </cell>
          <cell r="BC41">
            <v>0</v>
          </cell>
          <cell r="BD41">
            <v>0</v>
          </cell>
          <cell r="BE41">
            <v>2</v>
          </cell>
          <cell r="BF41">
            <v>1</v>
          </cell>
          <cell r="BG41">
            <v>1</v>
          </cell>
          <cell r="BH41">
            <v>0</v>
          </cell>
          <cell r="BI41">
            <v>0</v>
          </cell>
          <cell r="BJ41">
            <v>0</v>
          </cell>
          <cell r="BK41">
            <v>0</v>
          </cell>
          <cell r="BL41">
            <v>0</v>
          </cell>
          <cell r="BM41">
            <v>2</v>
          </cell>
          <cell r="BN41">
            <v>1</v>
          </cell>
          <cell r="BO41">
            <v>1</v>
          </cell>
          <cell r="BP41">
            <v>0</v>
          </cell>
          <cell r="BQ41">
            <v>0</v>
          </cell>
          <cell r="BR41">
            <v>0</v>
          </cell>
          <cell r="BS41">
            <v>0</v>
          </cell>
          <cell r="BT41">
            <v>0</v>
          </cell>
          <cell r="BU41">
            <v>2</v>
          </cell>
          <cell r="BV41">
            <v>1</v>
          </cell>
          <cell r="BW41">
            <v>1</v>
          </cell>
          <cell r="BX41">
            <v>0</v>
          </cell>
          <cell r="BY41">
            <v>0</v>
          </cell>
          <cell r="BZ41">
            <v>0</v>
          </cell>
          <cell r="CA41">
            <v>0</v>
          </cell>
          <cell r="CB41">
            <v>0</v>
          </cell>
          <cell r="CC41">
            <v>2</v>
          </cell>
          <cell r="CD41">
            <v>1</v>
          </cell>
          <cell r="CE41">
            <v>1</v>
          </cell>
          <cell r="CF41">
            <v>0</v>
          </cell>
          <cell r="CG41">
            <v>0</v>
          </cell>
          <cell r="CH41">
            <v>0</v>
          </cell>
          <cell r="CI41">
            <v>0</v>
          </cell>
          <cell r="CJ41">
            <v>0</v>
          </cell>
          <cell r="CK41">
            <v>2</v>
          </cell>
          <cell r="CL41">
            <v>1</v>
          </cell>
          <cell r="CM41">
            <v>1</v>
          </cell>
          <cell r="CN41">
            <v>0</v>
          </cell>
          <cell r="CO41">
            <v>0</v>
          </cell>
          <cell r="CP41">
            <v>0</v>
          </cell>
          <cell r="CQ41">
            <v>0</v>
          </cell>
          <cell r="CR41">
            <v>0</v>
          </cell>
          <cell r="CS41">
            <v>2</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0</v>
          </cell>
        </row>
        <row r="42">
          <cell r="B42">
            <v>0</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1</v>
          </cell>
          <cell r="S42">
            <v>1</v>
          </cell>
          <cell r="T42">
            <v>1</v>
          </cell>
          <cell r="U42">
            <v>1</v>
          </cell>
          <cell r="V42">
            <v>1</v>
          </cell>
          <cell r="W42">
            <v>0</v>
          </cell>
          <cell r="X42">
            <v>0</v>
          </cell>
          <cell r="Y42">
            <v>5</v>
          </cell>
          <cell r="Z42">
            <v>2</v>
          </cell>
          <cell r="AA42">
            <v>2</v>
          </cell>
          <cell r="AB42">
            <v>2</v>
          </cell>
          <cell r="AC42">
            <v>2</v>
          </cell>
          <cell r="AD42">
            <v>2</v>
          </cell>
          <cell r="AE42">
            <v>2</v>
          </cell>
          <cell r="AF42">
            <v>2</v>
          </cell>
          <cell r="AG42">
            <v>14</v>
          </cell>
          <cell r="AH42">
            <v>4</v>
          </cell>
          <cell r="AI42">
            <v>4</v>
          </cell>
          <cell r="AJ42">
            <v>3</v>
          </cell>
          <cell r="AK42">
            <v>3</v>
          </cell>
          <cell r="AL42">
            <v>3</v>
          </cell>
          <cell r="AM42">
            <v>3</v>
          </cell>
          <cell r="AN42">
            <v>3</v>
          </cell>
          <cell r="AO42">
            <v>23</v>
          </cell>
          <cell r="AP42">
            <v>5</v>
          </cell>
          <cell r="AQ42">
            <v>5</v>
          </cell>
          <cell r="AR42">
            <v>4</v>
          </cell>
          <cell r="AS42">
            <v>4</v>
          </cell>
          <cell r="AT42">
            <v>4</v>
          </cell>
          <cell r="AU42">
            <v>4</v>
          </cell>
          <cell r="AV42">
            <v>4</v>
          </cell>
          <cell r="AW42">
            <v>30</v>
          </cell>
          <cell r="AX42">
            <v>5</v>
          </cell>
          <cell r="AY42">
            <v>5</v>
          </cell>
          <cell r="AZ42">
            <v>4</v>
          </cell>
          <cell r="BA42">
            <v>4</v>
          </cell>
          <cell r="BB42">
            <v>4</v>
          </cell>
          <cell r="BC42">
            <v>4</v>
          </cell>
          <cell r="BD42">
            <v>4</v>
          </cell>
          <cell r="BE42">
            <v>30</v>
          </cell>
          <cell r="BF42">
            <v>5</v>
          </cell>
          <cell r="BG42">
            <v>5</v>
          </cell>
          <cell r="BH42">
            <v>4</v>
          </cell>
          <cell r="BI42">
            <v>4</v>
          </cell>
          <cell r="BJ42">
            <v>4</v>
          </cell>
          <cell r="BK42">
            <v>4</v>
          </cell>
          <cell r="BL42">
            <v>4</v>
          </cell>
          <cell r="BM42">
            <v>30</v>
          </cell>
          <cell r="BN42">
            <v>5</v>
          </cell>
          <cell r="BO42">
            <v>5</v>
          </cell>
          <cell r="BP42">
            <v>4</v>
          </cell>
          <cell r="BQ42">
            <v>4</v>
          </cell>
          <cell r="BR42">
            <v>4</v>
          </cell>
          <cell r="BS42">
            <v>4</v>
          </cell>
          <cell r="BT42">
            <v>4</v>
          </cell>
          <cell r="BU42">
            <v>30</v>
          </cell>
          <cell r="BV42">
            <v>5</v>
          </cell>
          <cell r="BW42">
            <v>5</v>
          </cell>
          <cell r="BX42">
            <v>4</v>
          </cell>
          <cell r="BY42">
            <v>4</v>
          </cell>
          <cell r="BZ42">
            <v>4</v>
          </cell>
          <cell r="CA42">
            <v>4</v>
          </cell>
          <cell r="CB42">
            <v>4</v>
          </cell>
          <cell r="CC42">
            <v>30</v>
          </cell>
          <cell r="CD42">
            <v>5</v>
          </cell>
          <cell r="CE42">
            <v>5</v>
          </cell>
          <cell r="CF42">
            <v>4</v>
          </cell>
          <cell r="CG42">
            <v>4</v>
          </cell>
          <cell r="CH42">
            <v>4</v>
          </cell>
          <cell r="CI42">
            <v>4</v>
          </cell>
          <cell r="CJ42">
            <v>4</v>
          </cell>
          <cell r="CK42">
            <v>30</v>
          </cell>
          <cell r="CL42">
            <v>6</v>
          </cell>
          <cell r="CM42">
            <v>6</v>
          </cell>
          <cell r="CN42">
            <v>6</v>
          </cell>
          <cell r="CO42">
            <v>6</v>
          </cell>
          <cell r="CP42">
            <v>6</v>
          </cell>
          <cell r="CQ42">
            <v>5</v>
          </cell>
          <cell r="CR42">
            <v>5</v>
          </cell>
          <cell r="CS42">
            <v>40</v>
          </cell>
          <cell r="CT42">
            <v>8</v>
          </cell>
          <cell r="CU42">
            <v>8</v>
          </cell>
          <cell r="CV42">
            <v>8</v>
          </cell>
          <cell r="CW42">
            <v>8</v>
          </cell>
          <cell r="CX42">
            <v>8</v>
          </cell>
          <cell r="CY42">
            <v>8</v>
          </cell>
          <cell r="CZ42">
            <v>7</v>
          </cell>
          <cell r="DA42">
            <v>55</v>
          </cell>
          <cell r="DB42">
            <v>10</v>
          </cell>
          <cell r="DC42">
            <v>10</v>
          </cell>
          <cell r="DD42">
            <v>10</v>
          </cell>
          <cell r="DE42">
            <v>10</v>
          </cell>
          <cell r="DF42">
            <v>10</v>
          </cell>
          <cell r="DG42">
            <v>10</v>
          </cell>
          <cell r="DH42">
            <v>10</v>
          </cell>
          <cell r="DI42">
            <v>70</v>
          </cell>
          <cell r="DJ42">
            <v>13</v>
          </cell>
          <cell r="DK42">
            <v>12</v>
          </cell>
          <cell r="DL42">
            <v>12</v>
          </cell>
          <cell r="DM42">
            <v>12</v>
          </cell>
          <cell r="DN42">
            <v>12</v>
          </cell>
          <cell r="DO42">
            <v>12</v>
          </cell>
          <cell r="DP42">
            <v>12</v>
          </cell>
          <cell r="DQ42">
            <v>85</v>
          </cell>
        </row>
        <row r="43">
          <cell r="B43">
            <v>1</v>
          </cell>
          <cell r="C43">
            <v>0</v>
          </cell>
          <cell r="D43">
            <v>0</v>
          </cell>
          <cell r="E43">
            <v>0</v>
          </cell>
          <cell r="F43">
            <v>0</v>
          </cell>
          <cell r="G43">
            <v>0</v>
          </cell>
          <cell r="H43">
            <v>0</v>
          </cell>
          <cell r="I43">
            <v>1</v>
          </cell>
          <cell r="J43">
            <v>1</v>
          </cell>
          <cell r="K43">
            <v>0</v>
          </cell>
          <cell r="L43">
            <v>0</v>
          </cell>
          <cell r="M43">
            <v>0</v>
          </cell>
          <cell r="N43">
            <v>0</v>
          </cell>
          <cell r="O43">
            <v>0</v>
          </cell>
          <cell r="P43">
            <v>0</v>
          </cell>
          <cell r="Q43">
            <v>1</v>
          </cell>
          <cell r="R43">
            <v>1</v>
          </cell>
          <cell r="S43">
            <v>1</v>
          </cell>
          <cell r="T43">
            <v>1</v>
          </cell>
          <cell r="U43">
            <v>1</v>
          </cell>
          <cell r="V43">
            <v>0</v>
          </cell>
          <cell r="W43">
            <v>0</v>
          </cell>
          <cell r="X43">
            <v>0</v>
          </cell>
          <cell r="Y43">
            <v>4</v>
          </cell>
          <cell r="Z43">
            <v>1</v>
          </cell>
          <cell r="AA43">
            <v>1</v>
          </cell>
          <cell r="AB43">
            <v>1</v>
          </cell>
          <cell r="AC43">
            <v>1</v>
          </cell>
          <cell r="AD43">
            <v>1</v>
          </cell>
          <cell r="AE43">
            <v>1</v>
          </cell>
          <cell r="AF43">
            <v>1</v>
          </cell>
          <cell r="AG43">
            <v>7</v>
          </cell>
          <cell r="AH43">
            <v>2</v>
          </cell>
          <cell r="AI43">
            <v>2</v>
          </cell>
          <cell r="AJ43">
            <v>1</v>
          </cell>
          <cell r="AK43">
            <v>1</v>
          </cell>
          <cell r="AL43">
            <v>1</v>
          </cell>
          <cell r="AM43">
            <v>1</v>
          </cell>
          <cell r="AN43">
            <v>1</v>
          </cell>
          <cell r="AO43">
            <v>9</v>
          </cell>
          <cell r="AP43">
            <v>2</v>
          </cell>
          <cell r="AQ43">
            <v>2</v>
          </cell>
          <cell r="AR43">
            <v>2</v>
          </cell>
          <cell r="AS43">
            <v>2</v>
          </cell>
          <cell r="AT43">
            <v>1</v>
          </cell>
          <cell r="AU43">
            <v>1</v>
          </cell>
          <cell r="AV43">
            <v>1</v>
          </cell>
          <cell r="AW43">
            <v>11</v>
          </cell>
          <cell r="AX43">
            <v>3</v>
          </cell>
          <cell r="AY43">
            <v>3</v>
          </cell>
          <cell r="AZ43">
            <v>2</v>
          </cell>
          <cell r="BA43">
            <v>2</v>
          </cell>
          <cell r="BB43">
            <v>2</v>
          </cell>
          <cell r="BC43">
            <v>2</v>
          </cell>
          <cell r="BD43">
            <v>2</v>
          </cell>
          <cell r="BE43">
            <v>16</v>
          </cell>
          <cell r="BF43">
            <v>4</v>
          </cell>
          <cell r="BG43">
            <v>3</v>
          </cell>
          <cell r="BH43">
            <v>3</v>
          </cell>
          <cell r="BI43">
            <v>3</v>
          </cell>
          <cell r="BJ43">
            <v>3</v>
          </cell>
          <cell r="BK43">
            <v>3</v>
          </cell>
          <cell r="BL43">
            <v>3</v>
          </cell>
          <cell r="BM43">
            <v>22</v>
          </cell>
          <cell r="BN43">
            <v>4</v>
          </cell>
          <cell r="BO43">
            <v>4</v>
          </cell>
          <cell r="BP43">
            <v>4</v>
          </cell>
          <cell r="BQ43">
            <v>4</v>
          </cell>
          <cell r="BR43">
            <v>4</v>
          </cell>
          <cell r="BS43">
            <v>4</v>
          </cell>
          <cell r="BT43">
            <v>4</v>
          </cell>
          <cell r="BU43">
            <v>28</v>
          </cell>
          <cell r="BV43">
            <v>5</v>
          </cell>
          <cell r="BW43">
            <v>5</v>
          </cell>
          <cell r="BX43">
            <v>5</v>
          </cell>
          <cell r="BY43">
            <v>5</v>
          </cell>
          <cell r="BZ43">
            <v>5</v>
          </cell>
          <cell r="CA43">
            <v>4</v>
          </cell>
          <cell r="CB43">
            <v>4</v>
          </cell>
          <cell r="CC43">
            <v>33</v>
          </cell>
          <cell r="CD43">
            <v>6</v>
          </cell>
          <cell r="CE43">
            <v>6</v>
          </cell>
          <cell r="CF43">
            <v>6</v>
          </cell>
          <cell r="CG43">
            <v>6</v>
          </cell>
          <cell r="CH43">
            <v>6</v>
          </cell>
          <cell r="CI43">
            <v>5</v>
          </cell>
          <cell r="CJ43">
            <v>5</v>
          </cell>
          <cell r="CK43">
            <v>40</v>
          </cell>
          <cell r="CL43">
            <v>6</v>
          </cell>
          <cell r="CM43">
            <v>6</v>
          </cell>
          <cell r="CN43">
            <v>6</v>
          </cell>
          <cell r="CO43">
            <v>6</v>
          </cell>
          <cell r="CP43">
            <v>6</v>
          </cell>
          <cell r="CQ43">
            <v>6</v>
          </cell>
          <cell r="CR43">
            <v>6</v>
          </cell>
          <cell r="CS43">
            <v>42</v>
          </cell>
          <cell r="CT43">
            <v>7</v>
          </cell>
          <cell r="CU43">
            <v>7</v>
          </cell>
          <cell r="CV43">
            <v>6</v>
          </cell>
          <cell r="CW43">
            <v>6</v>
          </cell>
          <cell r="CX43">
            <v>6</v>
          </cell>
          <cell r="CY43">
            <v>6</v>
          </cell>
          <cell r="CZ43">
            <v>6</v>
          </cell>
          <cell r="DA43">
            <v>44</v>
          </cell>
          <cell r="DB43">
            <v>7</v>
          </cell>
          <cell r="DC43">
            <v>7</v>
          </cell>
          <cell r="DD43">
            <v>7</v>
          </cell>
          <cell r="DE43">
            <v>7</v>
          </cell>
          <cell r="DF43">
            <v>6</v>
          </cell>
          <cell r="DG43">
            <v>6</v>
          </cell>
          <cell r="DH43">
            <v>6</v>
          </cell>
          <cell r="DI43">
            <v>46</v>
          </cell>
          <cell r="DJ43">
            <v>7</v>
          </cell>
          <cell r="DK43">
            <v>7</v>
          </cell>
          <cell r="DL43">
            <v>7</v>
          </cell>
          <cell r="DM43">
            <v>7</v>
          </cell>
          <cell r="DN43">
            <v>7</v>
          </cell>
          <cell r="DO43">
            <v>7</v>
          </cell>
          <cell r="DP43">
            <v>6</v>
          </cell>
          <cell r="DQ43">
            <v>48</v>
          </cell>
        </row>
        <row r="44">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2</v>
          </cell>
          <cell r="AY44">
            <v>2</v>
          </cell>
          <cell r="AZ44">
            <v>2</v>
          </cell>
          <cell r="BA44">
            <v>2</v>
          </cell>
          <cell r="BB44">
            <v>2</v>
          </cell>
          <cell r="BC44">
            <v>2</v>
          </cell>
          <cell r="BD44">
            <v>2</v>
          </cell>
          <cell r="BE44">
            <v>14</v>
          </cell>
          <cell r="BF44">
            <v>4</v>
          </cell>
          <cell r="BG44">
            <v>4</v>
          </cell>
          <cell r="BH44">
            <v>4</v>
          </cell>
          <cell r="BI44">
            <v>3</v>
          </cell>
          <cell r="BJ44">
            <v>3</v>
          </cell>
          <cell r="BK44">
            <v>3</v>
          </cell>
          <cell r="BL44">
            <v>3</v>
          </cell>
          <cell r="BM44">
            <v>24</v>
          </cell>
          <cell r="BN44">
            <v>5</v>
          </cell>
          <cell r="BO44">
            <v>5</v>
          </cell>
          <cell r="BP44">
            <v>5</v>
          </cell>
          <cell r="BQ44">
            <v>5</v>
          </cell>
          <cell r="BR44">
            <v>5</v>
          </cell>
          <cell r="BS44">
            <v>5</v>
          </cell>
          <cell r="BT44">
            <v>4</v>
          </cell>
          <cell r="BU44">
            <v>34</v>
          </cell>
          <cell r="BV44">
            <v>7</v>
          </cell>
          <cell r="BW44">
            <v>7</v>
          </cell>
          <cell r="BX44">
            <v>6</v>
          </cell>
          <cell r="BY44">
            <v>6</v>
          </cell>
          <cell r="BZ44">
            <v>6</v>
          </cell>
          <cell r="CA44">
            <v>6</v>
          </cell>
          <cell r="CB44">
            <v>6</v>
          </cell>
          <cell r="CC44">
            <v>44</v>
          </cell>
          <cell r="CD44">
            <v>8</v>
          </cell>
          <cell r="CE44">
            <v>8</v>
          </cell>
          <cell r="CF44">
            <v>8</v>
          </cell>
          <cell r="CG44">
            <v>8</v>
          </cell>
          <cell r="CH44">
            <v>8</v>
          </cell>
          <cell r="CI44">
            <v>7</v>
          </cell>
          <cell r="CJ44">
            <v>7</v>
          </cell>
          <cell r="CK44">
            <v>54</v>
          </cell>
          <cell r="CL44">
            <v>8</v>
          </cell>
          <cell r="CM44">
            <v>8</v>
          </cell>
          <cell r="CN44">
            <v>8</v>
          </cell>
          <cell r="CO44">
            <v>8</v>
          </cell>
          <cell r="CP44">
            <v>8</v>
          </cell>
          <cell r="CQ44">
            <v>8</v>
          </cell>
          <cell r="CR44">
            <v>8</v>
          </cell>
          <cell r="CS44">
            <v>56</v>
          </cell>
          <cell r="CT44">
            <v>9</v>
          </cell>
          <cell r="CU44">
            <v>9</v>
          </cell>
          <cell r="CV44">
            <v>8</v>
          </cell>
          <cell r="CW44">
            <v>8</v>
          </cell>
          <cell r="CX44">
            <v>8</v>
          </cell>
          <cell r="CY44">
            <v>8</v>
          </cell>
          <cell r="CZ44">
            <v>8</v>
          </cell>
          <cell r="DA44">
            <v>58</v>
          </cell>
          <cell r="DB44">
            <v>9</v>
          </cell>
          <cell r="DC44">
            <v>9</v>
          </cell>
          <cell r="DD44">
            <v>9</v>
          </cell>
          <cell r="DE44">
            <v>9</v>
          </cell>
          <cell r="DF44">
            <v>8</v>
          </cell>
          <cell r="DG44">
            <v>8</v>
          </cell>
          <cell r="DH44">
            <v>8</v>
          </cell>
          <cell r="DI44">
            <v>60</v>
          </cell>
          <cell r="DJ44">
            <v>9</v>
          </cell>
          <cell r="DK44">
            <v>9</v>
          </cell>
          <cell r="DL44">
            <v>9</v>
          </cell>
          <cell r="DM44">
            <v>9</v>
          </cell>
          <cell r="DN44">
            <v>9</v>
          </cell>
          <cell r="DO44">
            <v>9</v>
          </cell>
          <cell r="DP44">
            <v>8</v>
          </cell>
          <cell r="DQ44">
            <v>62</v>
          </cell>
        </row>
        <row r="45">
          <cell r="B45">
            <v>1</v>
          </cell>
          <cell r="C45">
            <v>0</v>
          </cell>
          <cell r="D45">
            <v>0</v>
          </cell>
          <cell r="E45">
            <v>0</v>
          </cell>
          <cell r="F45">
            <v>0</v>
          </cell>
          <cell r="G45">
            <v>0</v>
          </cell>
          <cell r="H45">
            <v>0</v>
          </cell>
          <cell r="I45">
            <v>1</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1</v>
          </cell>
          <cell r="AI45">
            <v>1</v>
          </cell>
          <cell r="AJ45">
            <v>1</v>
          </cell>
          <cell r="AK45">
            <v>1</v>
          </cell>
          <cell r="AL45">
            <v>1</v>
          </cell>
          <cell r="AM45">
            <v>0</v>
          </cell>
          <cell r="AN45">
            <v>0</v>
          </cell>
          <cell r="AO45">
            <v>5</v>
          </cell>
          <cell r="AP45">
            <v>3</v>
          </cell>
          <cell r="AQ45">
            <v>3</v>
          </cell>
          <cell r="AR45">
            <v>2</v>
          </cell>
          <cell r="AS45">
            <v>2</v>
          </cell>
          <cell r="AT45">
            <v>2</v>
          </cell>
          <cell r="AU45">
            <v>2</v>
          </cell>
          <cell r="AV45">
            <v>2</v>
          </cell>
          <cell r="AW45">
            <v>16</v>
          </cell>
          <cell r="AX45">
            <v>4</v>
          </cell>
          <cell r="AY45">
            <v>4</v>
          </cell>
          <cell r="AZ45">
            <v>4</v>
          </cell>
          <cell r="BA45">
            <v>4</v>
          </cell>
          <cell r="BB45">
            <v>4</v>
          </cell>
          <cell r="BC45">
            <v>4</v>
          </cell>
          <cell r="BD45">
            <v>3</v>
          </cell>
          <cell r="BE45">
            <v>27</v>
          </cell>
          <cell r="BF45">
            <v>6</v>
          </cell>
          <cell r="BG45">
            <v>6</v>
          </cell>
          <cell r="BH45">
            <v>6</v>
          </cell>
          <cell r="BI45">
            <v>5</v>
          </cell>
          <cell r="BJ45">
            <v>5</v>
          </cell>
          <cell r="BK45">
            <v>5</v>
          </cell>
          <cell r="BL45">
            <v>5</v>
          </cell>
          <cell r="BM45">
            <v>38</v>
          </cell>
          <cell r="BN45">
            <v>6</v>
          </cell>
          <cell r="BO45">
            <v>6</v>
          </cell>
          <cell r="BP45">
            <v>6</v>
          </cell>
          <cell r="BQ45">
            <v>6</v>
          </cell>
          <cell r="BR45">
            <v>6</v>
          </cell>
          <cell r="BS45">
            <v>6</v>
          </cell>
          <cell r="BT45">
            <v>5</v>
          </cell>
          <cell r="BU45">
            <v>41</v>
          </cell>
          <cell r="BV45">
            <v>6</v>
          </cell>
          <cell r="BW45">
            <v>6</v>
          </cell>
          <cell r="BX45">
            <v>6</v>
          </cell>
          <cell r="BY45">
            <v>6</v>
          </cell>
          <cell r="BZ45">
            <v>6</v>
          </cell>
          <cell r="CA45">
            <v>6</v>
          </cell>
          <cell r="CB45">
            <v>5</v>
          </cell>
          <cell r="CC45">
            <v>41</v>
          </cell>
          <cell r="CD45">
            <v>6</v>
          </cell>
          <cell r="CE45">
            <v>6</v>
          </cell>
          <cell r="CF45">
            <v>6</v>
          </cell>
          <cell r="CG45">
            <v>6</v>
          </cell>
          <cell r="CH45">
            <v>6</v>
          </cell>
          <cell r="CI45">
            <v>6</v>
          </cell>
          <cell r="CJ45">
            <v>5</v>
          </cell>
          <cell r="CK45">
            <v>41</v>
          </cell>
          <cell r="CL45">
            <v>6</v>
          </cell>
          <cell r="CM45">
            <v>6</v>
          </cell>
          <cell r="CN45">
            <v>6</v>
          </cell>
          <cell r="CO45">
            <v>6</v>
          </cell>
          <cell r="CP45">
            <v>6</v>
          </cell>
          <cell r="CQ45">
            <v>6</v>
          </cell>
          <cell r="CR45">
            <v>5</v>
          </cell>
          <cell r="CS45">
            <v>41</v>
          </cell>
          <cell r="CT45">
            <v>6</v>
          </cell>
          <cell r="CU45">
            <v>6</v>
          </cell>
          <cell r="CV45">
            <v>6</v>
          </cell>
          <cell r="CW45">
            <v>6</v>
          </cell>
          <cell r="CX45">
            <v>6</v>
          </cell>
          <cell r="CY45">
            <v>6</v>
          </cell>
          <cell r="CZ45">
            <v>5</v>
          </cell>
          <cell r="DA45">
            <v>41</v>
          </cell>
          <cell r="DB45">
            <v>6</v>
          </cell>
          <cell r="DC45">
            <v>6</v>
          </cell>
          <cell r="DD45">
            <v>6</v>
          </cell>
          <cell r="DE45">
            <v>6</v>
          </cell>
          <cell r="DF45">
            <v>6</v>
          </cell>
          <cell r="DG45">
            <v>6</v>
          </cell>
          <cell r="DH45">
            <v>5</v>
          </cell>
          <cell r="DI45">
            <v>41</v>
          </cell>
          <cell r="DJ45">
            <v>6</v>
          </cell>
          <cell r="DK45">
            <v>6</v>
          </cell>
          <cell r="DL45">
            <v>6</v>
          </cell>
          <cell r="DM45">
            <v>6</v>
          </cell>
          <cell r="DN45">
            <v>6</v>
          </cell>
          <cell r="DO45">
            <v>6</v>
          </cell>
          <cell r="DP45">
            <v>5</v>
          </cell>
          <cell r="DQ45">
            <v>41</v>
          </cell>
        </row>
        <row r="46">
          <cell r="B46">
            <v>3</v>
          </cell>
          <cell r="C46">
            <v>3</v>
          </cell>
          <cell r="D46">
            <v>3</v>
          </cell>
          <cell r="E46">
            <v>3</v>
          </cell>
          <cell r="F46">
            <v>3</v>
          </cell>
          <cell r="G46">
            <v>3</v>
          </cell>
          <cell r="H46">
            <v>3</v>
          </cell>
          <cell r="I46">
            <v>21</v>
          </cell>
          <cell r="J46">
            <v>2</v>
          </cell>
          <cell r="K46">
            <v>1</v>
          </cell>
          <cell r="L46">
            <v>1</v>
          </cell>
          <cell r="M46">
            <v>1</v>
          </cell>
          <cell r="N46">
            <v>1</v>
          </cell>
          <cell r="O46">
            <v>1</v>
          </cell>
          <cell r="P46">
            <v>1</v>
          </cell>
          <cell r="Q46">
            <v>8</v>
          </cell>
          <cell r="R46">
            <v>2</v>
          </cell>
          <cell r="S46">
            <v>1</v>
          </cell>
          <cell r="T46">
            <v>1</v>
          </cell>
          <cell r="U46">
            <v>1</v>
          </cell>
          <cell r="V46">
            <v>1</v>
          </cell>
          <cell r="W46">
            <v>1</v>
          </cell>
          <cell r="X46">
            <v>1</v>
          </cell>
          <cell r="Y46">
            <v>8</v>
          </cell>
          <cell r="Z46">
            <v>2</v>
          </cell>
          <cell r="AA46">
            <v>1</v>
          </cell>
          <cell r="AB46">
            <v>1</v>
          </cell>
          <cell r="AC46">
            <v>1</v>
          </cell>
          <cell r="AD46">
            <v>1</v>
          </cell>
          <cell r="AE46">
            <v>1</v>
          </cell>
          <cell r="AF46">
            <v>1</v>
          </cell>
          <cell r="AG46">
            <v>8</v>
          </cell>
          <cell r="AH46">
            <v>2</v>
          </cell>
          <cell r="AI46">
            <v>1</v>
          </cell>
          <cell r="AJ46">
            <v>1</v>
          </cell>
          <cell r="AK46">
            <v>1</v>
          </cell>
          <cell r="AL46">
            <v>1</v>
          </cell>
          <cell r="AM46">
            <v>1</v>
          </cell>
          <cell r="AN46">
            <v>1</v>
          </cell>
          <cell r="AO46">
            <v>8</v>
          </cell>
          <cell r="AP46">
            <v>2</v>
          </cell>
          <cell r="AQ46">
            <v>1</v>
          </cell>
          <cell r="AR46">
            <v>1</v>
          </cell>
          <cell r="AS46">
            <v>1</v>
          </cell>
          <cell r="AT46">
            <v>1</v>
          </cell>
          <cell r="AU46">
            <v>1</v>
          </cell>
          <cell r="AV46">
            <v>1</v>
          </cell>
          <cell r="AW46">
            <v>8</v>
          </cell>
          <cell r="AX46">
            <v>2</v>
          </cell>
          <cell r="AY46">
            <v>1</v>
          </cell>
          <cell r="AZ46">
            <v>1</v>
          </cell>
          <cell r="BA46">
            <v>1</v>
          </cell>
          <cell r="BB46">
            <v>1</v>
          </cell>
          <cell r="BC46">
            <v>1</v>
          </cell>
          <cell r="BD46">
            <v>1</v>
          </cell>
          <cell r="BE46">
            <v>8</v>
          </cell>
          <cell r="BF46">
            <v>3</v>
          </cell>
          <cell r="BG46">
            <v>2</v>
          </cell>
          <cell r="BH46">
            <v>2</v>
          </cell>
          <cell r="BI46">
            <v>2</v>
          </cell>
          <cell r="BJ46">
            <v>2</v>
          </cell>
          <cell r="BK46">
            <v>2</v>
          </cell>
          <cell r="BL46">
            <v>2</v>
          </cell>
          <cell r="BM46">
            <v>15</v>
          </cell>
          <cell r="BN46">
            <v>4</v>
          </cell>
          <cell r="BO46">
            <v>3</v>
          </cell>
          <cell r="BP46">
            <v>3</v>
          </cell>
          <cell r="BQ46">
            <v>3</v>
          </cell>
          <cell r="BR46">
            <v>3</v>
          </cell>
          <cell r="BS46">
            <v>3</v>
          </cell>
          <cell r="BT46">
            <v>3</v>
          </cell>
          <cell r="BU46">
            <v>22</v>
          </cell>
          <cell r="BV46">
            <v>5</v>
          </cell>
          <cell r="BW46">
            <v>5</v>
          </cell>
          <cell r="BX46">
            <v>5</v>
          </cell>
          <cell r="BY46">
            <v>4</v>
          </cell>
          <cell r="BZ46">
            <v>4</v>
          </cell>
          <cell r="CA46">
            <v>4</v>
          </cell>
          <cell r="CB46">
            <v>4</v>
          </cell>
          <cell r="CC46">
            <v>31</v>
          </cell>
          <cell r="CD46">
            <v>5</v>
          </cell>
          <cell r="CE46">
            <v>5</v>
          </cell>
          <cell r="CF46">
            <v>5</v>
          </cell>
          <cell r="CG46">
            <v>4</v>
          </cell>
          <cell r="CH46">
            <v>4</v>
          </cell>
          <cell r="CI46">
            <v>4</v>
          </cell>
          <cell r="CJ46">
            <v>4</v>
          </cell>
          <cell r="CK46">
            <v>31</v>
          </cell>
          <cell r="CL46">
            <v>5</v>
          </cell>
          <cell r="CM46">
            <v>5</v>
          </cell>
          <cell r="CN46">
            <v>5</v>
          </cell>
          <cell r="CO46">
            <v>4</v>
          </cell>
          <cell r="CP46">
            <v>4</v>
          </cell>
          <cell r="CQ46">
            <v>4</v>
          </cell>
          <cell r="CR46">
            <v>4</v>
          </cell>
          <cell r="CS46">
            <v>31</v>
          </cell>
          <cell r="CT46">
            <v>5</v>
          </cell>
          <cell r="CU46">
            <v>5</v>
          </cell>
          <cell r="CV46">
            <v>5</v>
          </cell>
          <cell r="CW46">
            <v>4</v>
          </cell>
          <cell r="CX46">
            <v>4</v>
          </cell>
          <cell r="CY46">
            <v>4</v>
          </cell>
          <cell r="CZ46">
            <v>4</v>
          </cell>
          <cell r="DA46">
            <v>31</v>
          </cell>
          <cell r="DB46">
            <v>5</v>
          </cell>
          <cell r="DC46">
            <v>5</v>
          </cell>
          <cell r="DD46">
            <v>5</v>
          </cell>
          <cell r="DE46">
            <v>4</v>
          </cell>
          <cell r="DF46">
            <v>4</v>
          </cell>
          <cell r="DG46">
            <v>4</v>
          </cell>
          <cell r="DH46">
            <v>4</v>
          </cell>
          <cell r="DI46">
            <v>31</v>
          </cell>
          <cell r="DJ46">
            <v>5</v>
          </cell>
          <cell r="DK46">
            <v>5</v>
          </cell>
          <cell r="DL46">
            <v>5</v>
          </cell>
          <cell r="DM46">
            <v>4</v>
          </cell>
          <cell r="DN46">
            <v>4</v>
          </cell>
          <cell r="DO46">
            <v>4</v>
          </cell>
          <cell r="DP46">
            <v>4</v>
          </cell>
          <cell r="DQ46">
            <v>31</v>
          </cell>
        </row>
        <row r="47">
          <cell r="B47">
            <v>1</v>
          </cell>
          <cell r="C47">
            <v>1</v>
          </cell>
          <cell r="D47">
            <v>0</v>
          </cell>
          <cell r="E47">
            <v>0</v>
          </cell>
          <cell r="F47">
            <v>0</v>
          </cell>
          <cell r="G47">
            <v>0</v>
          </cell>
          <cell r="H47">
            <v>0</v>
          </cell>
          <cell r="I47">
            <v>2</v>
          </cell>
          <cell r="J47">
            <v>1</v>
          </cell>
          <cell r="K47">
            <v>1</v>
          </cell>
          <cell r="L47">
            <v>1</v>
          </cell>
          <cell r="M47">
            <v>1</v>
          </cell>
          <cell r="N47">
            <v>0</v>
          </cell>
          <cell r="O47">
            <v>0</v>
          </cell>
          <cell r="P47">
            <v>0</v>
          </cell>
          <cell r="Q47">
            <v>4</v>
          </cell>
          <cell r="R47">
            <v>2</v>
          </cell>
          <cell r="S47">
            <v>2</v>
          </cell>
          <cell r="T47">
            <v>2</v>
          </cell>
          <cell r="U47">
            <v>1</v>
          </cell>
          <cell r="V47">
            <v>1</v>
          </cell>
          <cell r="W47">
            <v>1</v>
          </cell>
          <cell r="X47">
            <v>1</v>
          </cell>
          <cell r="Y47">
            <v>10</v>
          </cell>
          <cell r="Z47">
            <v>3</v>
          </cell>
          <cell r="AA47">
            <v>3</v>
          </cell>
          <cell r="AB47">
            <v>3</v>
          </cell>
          <cell r="AC47">
            <v>3</v>
          </cell>
          <cell r="AD47">
            <v>3</v>
          </cell>
          <cell r="AE47">
            <v>3</v>
          </cell>
          <cell r="AF47">
            <v>3</v>
          </cell>
          <cell r="AG47">
            <v>21</v>
          </cell>
          <cell r="AH47">
            <v>5</v>
          </cell>
          <cell r="AI47">
            <v>4</v>
          </cell>
          <cell r="AJ47">
            <v>4</v>
          </cell>
          <cell r="AK47">
            <v>4</v>
          </cell>
          <cell r="AL47">
            <v>4</v>
          </cell>
          <cell r="AM47">
            <v>4</v>
          </cell>
          <cell r="AN47">
            <v>4</v>
          </cell>
          <cell r="AO47">
            <v>29</v>
          </cell>
          <cell r="AP47">
            <v>6</v>
          </cell>
          <cell r="AQ47">
            <v>6</v>
          </cell>
          <cell r="AR47">
            <v>6</v>
          </cell>
          <cell r="AS47">
            <v>5</v>
          </cell>
          <cell r="AT47">
            <v>5</v>
          </cell>
          <cell r="AU47">
            <v>5</v>
          </cell>
          <cell r="AV47">
            <v>5</v>
          </cell>
          <cell r="AW47">
            <v>38</v>
          </cell>
          <cell r="AX47">
            <v>8</v>
          </cell>
          <cell r="AY47">
            <v>8</v>
          </cell>
          <cell r="AZ47">
            <v>8</v>
          </cell>
          <cell r="BA47">
            <v>8</v>
          </cell>
          <cell r="BB47">
            <v>8</v>
          </cell>
          <cell r="BC47">
            <v>8</v>
          </cell>
          <cell r="BD47">
            <v>7</v>
          </cell>
          <cell r="BE47">
            <v>55</v>
          </cell>
          <cell r="BF47">
            <v>11</v>
          </cell>
          <cell r="BG47">
            <v>11</v>
          </cell>
          <cell r="BH47">
            <v>10</v>
          </cell>
          <cell r="BI47">
            <v>10</v>
          </cell>
          <cell r="BJ47">
            <v>10</v>
          </cell>
          <cell r="BK47">
            <v>10</v>
          </cell>
          <cell r="BL47">
            <v>10</v>
          </cell>
          <cell r="BM47">
            <v>72</v>
          </cell>
          <cell r="BN47">
            <v>13</v>
          </cell>
          <cell r="BO47">
            <v>13</v>
          </cell>
          <cell r="BP47">
            <v>13</v>
          </cell>
          <cell r="BQ47">
            <v>13</v>
          </cell>
          <cell r="BR47">
            <v>13</v>
          </cell>
          <cell r="BS47">
            <v>12</v>
          </cell>
          <cell r="BT47">
            <v>12</v>
          </cell>
          <cell r="BU47">
            <v>89</v>
          </cell>
          <cell r="BV47">
            <v>16</v>
          </cell>
          <cell r="BW47">
            <v>16</v>
          </cell>
          <cell r="BX47">
            <v>15</v>
          </cell>
          <cell r="BY47">
            <v>15</v>
          </cell>
          <cell r="BZ47">
            <v>15</v>
          </cell>
          <cell r="CA47">
            <v>15</v>
          </cell>
          <cell r="CB47">
            <v>15</v>
          </cell>
          <cell r="CC47">
            <v>107</v>
          </cell>
          <cell r="CD47">
            <v>18</v>
          </cell>
          <cell r="CE47">
            <v>18</v>
          </cell>
          <cell r="CF47">
            <v>18</v>
          </cell>
          <cell r="CG47">
            <v>17</v>
          </cell>
          <cell r="CH47">
            <v>17</v>
          </cell>
          <cell r="CI47">
            <v>17</v>
          </cell>
          <cell r="CJ47">
            <v>17</v>
          </cell>
          <cell r="CK47">
            <v>122</v>
          </cell>
          <cell r="CL47">
            <v>20</v>
          </cell>
          <cell r="CM47">
            <v>19</v>
          </cell>
          <cell r="CN47">
            <v>19</v>
          </cell>
          <cell r="CO47">
            <v>19</v>
          </cell>
          <cell r="CP47">
            <v>19</v>
          </cell>
          <cell r="CQ47">
            <v>19</v>
          </cell>
          <cell r="CR47">
            <v>19</v>
          </cell>
          <cell r="CS47">
            <v>134</v>
          </cell>
          <cell r="CT47">
            <v>21</v>
          </cell>
          <cell r="CU47">
            <v>21</v>
          </cell>
          <cell r="CV47">
            <v>21</v>
          </cell>
          <cell r="CW47">
            <v>21</v>
          </cell>
          <cell r="CX47">
            <v>21</v>
          </cell>
          <cell r="CY47">
            <v>21</v>
          </cell>
          <cell r="CZ47">
            <v>20</v>
          </cell>
          <cell r="DA47">
            <v>146</v>
          </cell>
          <cell r="DB47">
            <v>23</v>
          </cell>
          <cell r="DC47">
            <v>23</v>
          </cell>
          <cell r="DD47">
            <v>23</v>
          </cell>
          <cell r="DE47">
            <v>23</v>
          </cell>
          <cell r="DF47">
            <v>22</v>
          </cell>
          <cell r="DG47">
            <v>22</v>
          </cell>
          <cell r="DH47">
            <v>22</v>
          </cell>
          <cell r="DI47">
            <v>158</v>
          </cell>
          <cell r="DJ47">
            <v>25</v>
          </cell>
          <cell r="DK47">
            <v>25</v>
          </cell>
          <cell r="DL47">
            <v>24</v>
          </cell>
          <cell r="DM47">
            <v>24</v>
          </cell>
          <cell r="DN47">
            <v>24</v>
          </cell>
          <cell r="DO47">
            <v>24</v>
          </cell>
          <cell r="DP47">
            <v>24</v>
          </cell>
          <cell r="DQ47">
            <v>170</v>
          </cell>
        </row>
        <row r="48">
          <cell r="B48">
            <v>1</v>
          </cell>
          <cell r="C48">
            <v>1</v>
          </cell>
          <cell r="D48">
            <v>1</v>
          </cell>
          <cell r="E48">
            <v>1</v>
          </cell>
          <cell r="F48">
            <v>1</v>
          </cell>
          <cell r="G48">
            <v>1</v>
          </cell>
          <cell r="H48">
            <v>0</v>
          </cell>
          <cell r="I48">
            <v>6</v>
          </cell>
          <cell r="J48">
            <v>1</v>
          </cell>
          <cell r="K48">
            <v>1</v>
          </cell>
          <cell r="L48">
            <v>1</v>
          </cell>
          <cell r="M48">
            <v>0</v>
          </cell>
          <cell r="N48">
            <v>0</v>
          </cell>
          <cell r="O48">
            <v>0</v>
          </cell>
          <cell r="P48">
            <v>0</v>
          </cell>
          <cell r="Q48">
            <v>3</v>
          </cell>
          <cell r="R48">
            <v>1</v>
          </cell>
          <cell r="S48">
            <v>1</v>
          </cell>
          <cell r="T48">
            <v>1</v>
          </cell>
          <cell r="U48">
            <v>0</v>
          </cell>
          <cell r="V48">
            <v>0</v>
          </cell>
          <cell r="W48">
            <v>0</v>
          </cell>
          <cell r="X48">
            <v>0</v>
          </cell>
          <cell r="Y48">
            <v>3</v>
          </cell>
          <cell r="Z48">
            <v>1</v>
          </cell>
          <cell r="AA48">
            <v>1</v>
          </cell>
          <cell r="AB48">
            <v>1</v>
          </cell>
          <cell r="AC48">
            <v>0</v>
          </cell>
          <cell r="AD48">
            <v>0</v>
          </cell>
          <cell r="AE48">
            <v>0</v>
          </cell>
          <cell r="AF48">
            <v>0</v>
          </cell>
          <cell r="AG48">
            <v>3</v>
          </cell>
          <cell r="AH48">
            <v>1</v>
          </cell>
          <cell r="AI48">
            <v>1</v>
          </cell>
          <cell r="AJ48">
            <v>1</v>
          </cell>
          <cell r="AK48">
            <v>0</v>
          </cell>
          <cell r="AL48">
            <v>0</v>
          </cell>
          <cell r="AM48">
            <v>0</v>
          </cell>
          <cell r="AN48">
            <v>0</v>
          </cell>
          <cell r="AO48">
            <v>3</v>
          </cell>
          <cell r="AP48">
            <v>1</v>
          </cell>
          <cell r="AQ48">
            <v>1</v>
          </cell>
          <cell r="AR48">
            <v>1</v>
          </cell>
          <cell r="AS48">
            <v>0</v>
          </cell>
          <cell r="AT48">
            <v>0</v>
          </cell>
          <cell r="AU48">
            <v>0</v>
          </cell>
          <cell r="AV48">
            <v>0</v>
          </cell>
          <cell r="AW48">
            <v>3</v>
          </cell>
          <cell r="AX48">
            <v>1</v>
          </cell>
          <cell r="AY48">
            <v>1</v>
          </cell>
          <cell r="AZ48">
            <v>1</v>
          </cell>
          <cell r="BA48">
            <v>1</v>
          </cell>
          <cell r="BB48">
            <v>0</v>
          </cell>
          <cell r="BC48">
            <v>0</v>
          </cell>
          <cell r="BD48">
            <v>0</v>
          </cell>
          <cell r="BE48">
            <v>4</v>
          </cell>
          <cell r="BF48">
            <v>1</v>
          </cell>
          <cell r="BG48">
            <v>1</v>
          </cell>
          <cell r="BH48">
            <v>1</v>
          </cell>
          <cell r="BI48">
            <v>1</v>
          </cell>
          <cell r="BJ48">
            <v>1</v>
          </cell>
          <cell r="BK48">
            <v>1</v>
          </cell>
          <cell r="BL48">
            <v>0</v>
          </cell>
          <cell r="BM48">
            <v>6</v>
          </cell>
          <cell r="BN48">
            <v>1</v>
          </cell>
          <cell r="BO48">
            <v>1</v>
          </cell>
          <cell r="BP48">
            <v>1</v>
          </cell>
          <cell r="BQ48">
            <v>1</v>
          </cell>
          <cell r="BR48">
            <v>1</v>
          </cell>
          <cell r="BS48">
            <v>1</v>
          </cell>
          <cell r="BT48">
            <v>0</v>
          </cell>
          <cell r="BU48">
            <v>6</v>
          </cell>
          <cell r="BV48">
            <v>1</v>
          </cell>
          <cell r="BW48">
            <v>1</v>
          </cell>
          <cell r="BX48">
            <v>1</v>
          </cell>
          <cell r="BY48">
            <v>1</v>
          </cell>
          <cell r="BZ48">
            <v>1</v>
          </cell>
          <cell r="CA48">
            <v>1</v>
          </cell>
          <cell r="CB48">
            <v>0</v>
          </cell>
          <cell r="CC48">
            <v>6</v>
          </cell>
          <cell r="CD48">
            <v>1</v>
          </cell>
          <cell r="CE48">
            <v>1</v>
          </cell>
          <cell r="CF48">
            <v>1</v>
          </cell>
          <cell r="CG48">
            <v>1</v>
          </cell>
          <cell r="CH48">
            <v>1</v>
          </cell>
          <cell r="CI48">
            <v>1</v>
          </cell>
          <cell r="CJ48">
            <v>0</v>
          </cell>
          <cell r="CK48">
            <v>6</v>
          </cell>
          <cell r="CL48">
            <v>1</v>
          </cell>
          <cell r="CM48">
            <v>1</v>
          </cell>
          <cell r="CN48">
            <v>1</v>
          </cell>
          <cell r="CO48">
            <v>1</v>
          </cell>
          <cell r="CP48">
            <v>1</v>
          </cell>
          <cell r="CQ48">
            <v>1</v>
          </cell>
          <cell r="CR48">
            <v>0</v>
          </cell>
          <cell r="CS48">
            <v>6</v>
          </cell>
          <cell r="CT48">
            <v>1</v>
          </cell>
          <cell r="CU48">
            <v>1</v>
          </cell>
          <cell r="CV48">
            <v>1</v>
          </cell>
          <cell r="CW48">
            <v>1</v>
          </cell>
          <cell r="CX48">
            <v>1</v>
          </cell>
          <cell r="CY48">
            <v>1</v>
          </cell>
          <cell r="CZ48">
            <v>0</v>
          </cell>
          <cell r="DA48">
            <v>6</v>
          </cell>
          <cell r="DB48">
            <v>1</v>
          </cell>
          <cell r="DC48">
            <v>1</v>
          </cell>
          <cell r="DD48">
            <v>1</v>
          </cell>
          <cell r="DE48">
            <v>1</v>
          </cell>
          <cell r="DF48">
            <v>1</v>
          </cell>
          <cell r="DG48">
            <v>1</v>
          </cell>
          <cell r="DH48">
            <v>0</v>
          </cell>
          <cell r="DI48">
            <v>6</v>
          </cell>
          <cell r="DJ48">
            <v>1</v>
          </cell>
          <cell r="DK48">
            <v>1</v>
          </cell>
          <cell r="DL48">
            <v>1</v>
          </cell>
          <cell r="DM48">
            <v>1</v>
          </cell>
          <cell r="DN48">
            <v>1</v>
          </cell>
          <cell r="DO48">
            <v>1</v>
          </cell>
          <cell r="DP48">
            <v>0</v>
          </cell>
          <cell r="DQ48">
            <v>6</v>
          </cell>
        </row>
        <row r="49">
          <cell r="B49">
            <v>0</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1</v>
          </cell>
          <cell r="S49">
            <v>0</v>
          </cell>
          <cell r="T49">
            <v>0</v>
          </cell>
          <cell r="U49">
            <v>0</v>
          </cell>
          <cell r="V49">
            <v>0</v>
          </cell>
          <cell r="W49">
            <v>0</v>
          </cell>
          <cell r="X49">
            <v>0</v>
          </cell>
          <cell r="Y49">
            <v>1</v>
          </cell>
          <cell r="Z49">
            <v>1</v>
          </cell>
          <cell r="AA49">
            <v>1</v>
          </cell>
          <cell r="AB49">
            <v>1</v>
          </cell>
          <cell r="AC49">
            <v>0</v>
          </cell>
          <cell r="AD49">
            <v>0</v>
          </cell>
          <cell r="AE49">
            <v>0</v>
          </cell>
          <cell r="AF49">
            <v>0</v>
          </cell>
          <cell r="AG49">
            <v>3</v>
          </cell>
          <cell r="AH49">
            <v>1</v>
          </cell>
          <cell r="AI49">
            <v>1</v>
          </cell>
          <cell r="AJ49">
            <v>1</v>
          </cell>
          <cell r="AK49">
            <v>0</v>
          </cell>
          <cell r="AL49">
            <v>0</v>
          </cell>
          <cell r="AM49">
            <v>0</v>
          </cell>
          <cell r="AN49">
            <v>0</v>
          </cell>
          <cell r="AO49">
            <v>3</v>
          </cell>
          <cell r="AP49">
            <v>1</v>
          </cell>
          <cell r="AQ49">
            <v>1</v>
          </cell>
          <cell r="AR49">
            <v>1</v>
          </cell>
          <cell r="AS49">
            <v>0</v>
          </cell>
          <cell r="AT49">
            <v>0</v>
          </cell>
          <cell r="AU49">
            <v>0</v>
          </cell>
          <cell r="AV49">
            <v>0</v>
          </cell>
          <cell r="AW49">
            <v>3</v>
          </cell>
          <cell r="AX49">
            <v>1</v>
          </cell>
          <cell r="AY49">
            <v>1</v>
          </cell>
          <cell r="AZ49">
            <v>1</v>
          </cell>
          <cell r="BA49">
            <v>0</v>
          </cell>
          <cell r="BB49">
            <v>0</v>
          </cell>
          <cell r="BC49">
            <v>0</v>
          </cell>
          <cell r="BD49">
            <v>0</v>
          </cell>
          <cell r="BE49">
            <v>3</v>
          </cell>
          <cell r="BF49">
            <v>1</v>
          </cell>
          <cell r="BG49">
            <v>1</v>
          </cell>
          <cell r="BH49">
            <v>1</v>
          </cell>
          <cell r="BI49">
            <v>0</v>
          </cell>
          <cell r="BJ49">
            <v>0</v>
          </cell>
          <cell r="BK49">
            <v>0</v>
          </cell>
          <cell r="BL49">
            <v>0</v>
          </cell>
          <cell r="BM49">
            <v>3</v>
          </cell>
          <cell r="BN49">
            <v>1</v>
          </cell>
          <cell r="BO49">
            <v>1</v>
          </cell>
          <cell r="BP49">
            <v>1</v>
          </cell>
          <cell r="BQ49">
            <v>0</v>
          </cell>
          <cell r="BR49">
            <v>0</v>
          </cell>
          <cell r="BS49">
            <v>0</v>
          </cell>
          <cell r="BT49">
            <v>0</v>
          </cell>
          <cell r="BU49">
            <v>3</v>
          </cell>
          <cell r="BV49">
            <v>1</v>
          </cell>
          <cell r="BW49">
            <v>1</v>
          </cell>
          <cell r="BX49">
            <v>1</v>
          </cell>
          <cell r="BY49">
            <v>0</v>
          </cell>
          <cell r="BZ49">
            <v>0</v>
          </cell>
          <cell r="CA49">
            <v>0</v>
          </cell>
          <cell r="CB49">
            <v>0</v>
          </cell>
          <cell r="CC49">
            <v>3</v>
          </cell>
          <cell r="CD49">
            <v>1</v>
          </cell>
          <cell r="CE49">
            <v>1</v>
          </cell>
          <cell r="CF49">
            <v>1</v>
          </cell>
          <cell r="CG49">
            <v>0</v>
          </cell>
          <cell r="CH49">
            <v>0</v>
          </cell>
          <cell r="CI49">
            <v>0</v>
          </cell>
          <cell r="CJ49">
            <v>0</v>
          </cell>
          <cell r="CK49">
            <v>3</v>
          </cell>
          <cell r="CL49">
            <v>1</v>
          </cell>
          <cell r="CM49">
            <v>1</v>
          </cell>
          <cell r="CN49">
            <v>1</v>
          </cell>
          <cell r="CO49">
            <v>0</v>
          </cell>
          <cell r="CP49">
            <v>0</v>
          </cell>
          <cell r="CQ49">
            <v>0</v>
          </cell>
          <cell r="CR49">
            <v>0</v>
          </cell>
          <cell r="CS49">
            <v>3</v>
          </cell>
          <cell r="CT49">
            <v>1</v>
          </cell>
          <cell r="CU49">
            <v>1</v>
          </cell>
          <cell r="CV49">
            <v>1</v>
          </cell>
          <cell r="CW49">
            <v>0</v>
          </cell>
          <cell r="CX49">
            <v>0</v>
          </cell>
          <cell r="CY49">
            <v>0</v>
          </cell>
          <cell r="CZ49">
            <v>0</v>
          </cell>
          <cell r="DA49">
            <v>3</v>
          </cell>
          <cell r="DB49">
            <v>1</v>
          </cell>
          <cell r="DC49">
            <v>1</v>
          </cell>
          <cell r="DD49">
            <v>1</v>
          </cell>
          <cell r="DE49">
            <v>0</v>
          </cell>
          <cell r="DF49">
            <v>0</v>
          </cell>
          <cell r="DG49">
            <v>0</v>
          </cell>
          <cell r="DH49">
            <v>0</v>
          </cell>
          <cell r="DI49">
            <v>3</v>
          </cell>
          <cell r="DJ49">
            <v>1</v>
          </cell>
          <cell r="DK49">
            <v>1</v>
          </cell>
          <cell r="DL49">
            <v>1</v>
          </cell>
          <cell r="DM49">
            <v>0</v>
          </cell>
          <cell r="DN49">
            <v>0</v>
          </cell>
          <cell r="DO49">
            <v>0</v>
          </cell>
          <cell r="DP49">
            <v>0</v>
          </cell>
          <cell r="DQ49">
            <v>3</v>
          </cell>
        </row>
        <row r="50">
          <cell r="B50">
            <v>1</v>
          </cell>
          <cell r="C50">
            <v>1</v>
          </cell>
          <cell r="D50">
            <v>0</v>
          </cell>
          <cell r="E50">
            <v>0</v>
          </cell>
          <cell r="F50">
            <v>0</v>
          </cell>
          <cell r="G50">
            <v>0</v>
          </cell>
          <cell r="H50">
            <v>0</v>
          </cell>
          <cell r="I50">
            <v>2</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v>0</v>
          </cell>
          <cell r="CY50">
            <v>0</v>
          </cell>
          <cell r="CZ50">
            <v>0</v>
          </cell>
          <cell r="DA50">
            <v>0</v>
          </cell>
          <cell r="DB50">
            <v>0</v>
          </cell>
          <cell r="DC50">
            <v>0</v>
          </cell>
          <cell r="DD50">
            <v>0</v>
          </cell>
          <cell r="DE50">
            <v>0</v>
          </cell>
          <cell r="DF50">
            <v>0</v>
          </cell>
          <cell r="DG50">
            <v>0</v>
          </cell>
          <cell r="DH50">
            <v>0</v>
          </cell>
          <cell r="DI50">
            <v>0</v>
          </cell>
          <cell r="DJ50">
            <v>0</v>
          </cell>
          <cell r="DK50">
            <v>0</v>
          </cell>
          <cell r="DL50">
            <v>0</v>
          </cell>
          <cell r="DM50">
            <v>0</v>
          </cell>
          <cell r="DN50">
            <v>0</v>
          </cell>
          <cell r="DO50">
            <v>0</v>
          </cell>
          <cell r="DP50">
            <v>0</v>
          </cell>
          <cell r="DQ50">
            <v>0</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0</v>
          </cell>
          <cell r="BS51">
            <v>0</v>
          </cell>
          <cell r="BT51">
            <v>0</v>
          </cell>
          <cell r="BU51">
            <v>0</v>
          </cell>
          <cell r="BV51">
            <v>0</v>
          </cell>
          <cell r="BW51">
            <v>0</v>
          </cell>
          <cell r="BX51">
            <v>0</v>
          </cell>
          <cell r="BY51">
            <v>0</v>
          </cell>
          <cell r="BZ51">
            <v>0</v>
          </cell>
          <cell r="CA51">
            <v>0</v>
          </cell>
          <cell r="CB51">
            <v>0</v>
          </cell>
          <cell r="CC51">
            <v>0</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0</v>
          </cell>
          <cell r="DM51">
            <v>0</v>
          </cell>
          <cell r="DN51">
            <v>0</v>
          </cell>
          <cell r="DO51">
            <v>0</v>
          </cell>
          <cell r="DP51">
            <v>0</v>
          </cell>
          <cell r="DQ51">
            <v>0</v>
          </cell>
        </row>
        <row r="52">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cell r="CI52">
            <v>0</v>
          </cell>
          <cell r="CJ52">
            <v>0</v>
          </cell>
          <cell r="CK52">
            <v>0</v>
          </cell>
          <cell r="CL52">
            <v>0</v>
          </cell>
          <cell r="CM52">
            <v>0</v>
          </cell>
          <cell r="CN52">
            <v>0</v>
          </cell>
          <cell r="CO52">
            <v>0</v>
          </cell>
          <cell r="CP52">
            <v>0</v>
          </cell>
          <cell r="CQ52">
            <v>0</v>
          </cell>
          <cell r="CR52">
            <v>0</v>
          </cell>
          <cell r="CS52">
            <v>0</v>
          </cell>
          <cell r="CT52">
            <v>0</v>
          </cell>
          <cell r="CU52">
            <v>0</v>
          </cell>
          <cell r="CV52">
            <v>0</v>
          </cell>
          <cell r="CW52">
            <v>0</v>
          </cell>
          <cell r="CX52">
            <v>0</v>
          </cell>
          <cell r="CY52">
            <v>0</v>
          </cell>
          <cell r="CZ52">
            <v>0</v>
          </cell>
          <cell r="DA52">
            <v>0</v>
          </cell>
          <cell r="DB52">
            <v>0</v>
          </cell>
          <cell r="DC52">
            <v>0</v>
          </cell>
          <cell r="DD52">
            <v>0</v>
          </cell>
          <cell r="DE52">
            <v>0</v>
          </cell>
          <cell r="DF52">
            <v>0</v>
          </cell>
          <cell r="DG52">
            <v>0</v>
          </cell>
          <cell r="DH52">
            <v>0</v>
          </cell>
          <cell r="DI52">
            <v>0</v>
          </cell>
          <cell r="DJ52">
            <v>0</v>
          </cell>
          <cell r="DK52">
            <v>0</v>
          </cell>
          <cell r="DL52">
            <v>0</v>
          </cell>
          <cell r="DM52">
            <v>0</v>
          </cell>
          <cell r="DN52">
            <v>0</v>
          </cell>
          <cell r="DO52">
            <v>0</v>
          </cell>
          <cell r="DP52">
            <v>0</v>
          </cell>
          <cell r="DQ52">
            <v>0</v>
          </cell>
        </row>
        <row r="53">
          <cell r="B53">
            <v>0</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v>
          </cell>
          <cell r="CM53">
            <v>0</v>
          </cell>
          <cell r="CN53">
            <v>0</v>
          </cell>
          <cell r="CO53">
            <v>0</v>
          </cell>
          <cell r="CP53">
            <v>0</v>
          </cell>
          <cell r="CQ53">
            <v>0</v>
          </cell>
          <cell r="CR53">
            <v>0</v>
          </cell>
          <cell r="CS53">
            <v>0</v>
          </cell>
          <cell r="CT53">
            <v>0</v>
          </cell>
          <cell r="CU53">
            <v>0</v>
          </cell>
          <cell r="CV53">
            <v>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0</v>
          </cell>
        </row>
        <row r="54">
          <cell r="B54">
            <v>2</v>
          </cell>
          <cell r="C54">
            <v>2</v>
          </cell>
          <cell r="D54">
            <v>2</v>
          </cell>
          <cell r="E54">
            <v>2</v>
          </cell>
          <cell r="F54">
            <v>2</v>
          </cell>
          <cell r="G54">
            <v>2</v>
          </cell>
          <cell r="H54">
            <v>2</v>
          </cell>
          <cell r="I54">
            <v>14</v>
          </cell>
          <cell r="J54">
            <v>4</v>
          </cell>
          <cell r="K54">
            <v>3</v>
          </cell>
          <cell r="L54">
            <v>3</v>
          </cell>
          <cell r="M54">
            <v>3</v>
          </cell>
          <cell r="N54">
            <v>3</v>
          </cell>
          <cell r="O54">
            <v>3</v>
          </cell>
          <cell r="P54">
            <v>3</v>
          </cell>
          <cell r="Q54">
            <v>22</v>
          </cell>
          <cell r="R54">
            <v>7</v>
          </cell>
          <cell r="S54">
            <v>6</v>
          </cell>
          <cell r="T54">
            <v>6</v>
          </cell>
          <cell r="U54">
            <v>6</v>
          </cell>
          <cell r="V54">
            <v>6</v>
          </cell>
          <cell r="W54">
            <v>6</v>
          </cell>
          <cell r="X54">
            <v>6</v>
          </cell>
          <cell r="Y54">
            <v>43</v>
          </cell>
          <cell r="Z54">
            <v>9</v>
          </cell>
          <cell r="AA54">
            <v>9</v>
          </cell>
          <cell r="AB54">
            <v>8</v>
          </cell>
          <cell r="AC54">
            <v>8</v>
          </cell>
          <cell r="AD54">
            <v>8</v>
          </cell>
          <cell r="AE54">
            <v>8</v>
          </cell>
          <cell r="AF54">
            <v>8</v>
          </cell>
          <cell r="AG54">
            <v>58</v>
          </cell>
          <cell r="AH54">
            <v>11</v>
          </cell>
          <cell r="AI54">
            <v>11</v>
          </cell>
          <cell r="AJ54">
            <v>11</v>
          </cell>
          <cell r="AK54">
            <v>11</v>
          </cell>
          <cell r="AL54">
            <v>11</v>
          </cell>
          <cell r="AM54">
            <v>10</v>
          </cell>
          <cell r="AN54">
            <v>10</v>
          </cell>
          <cell r="AO54">
            <v>75</v>
          </cell>
          <cell r="AP54">
            <v>16</v>
          </cell>
          <cell r="AQ54">
            <v>16</v>
          </cell>
          <cell r="AR54">
            <v>16</v>
          </cell>
          <cell r="AS54">
            <v>16</v>
          </cell>
          <cell r="AT54">
            <v>15</v>
          </cell>
          <cell r="AU54">
            <v>15</v>
          </cell>
          <cell r="AV54">
            <v>15</v>
          </cell>
          <cell r="AW54">
            <v>109</v>
          </cell>
          <cell r="AX54">
            <v>21</v>
          </cell>
          <cell r="AY54">
            <v>21</v>
          </cell>
          <cell r="AZ54">
            <v>21</v>
          </cell>
          <cell r="BA54">
            <v>20</v>
          </cell>
          <cell r="BB54">
            <v>20</v>
          </cell>
          <cell r="BC54">
            <v>20</v>
          </cell>
          <cell r="BD54">
            <v>20</v>
          </cell>
          <cell r="BE54">
            <v>143</v>
          </cell>
          <cell r="BF54">
            <v>25</v>
          </cell>
          <cell r="BG54">
            <v>25</v>
          </cell>
          <cell r="BH54">
            <v>25</v>
          </cell>
          <cell r="BI54">
            <v>25</v>
          </cell>
          <cell r="BJ54">
            <v>24</v>
          </cell>
          <cell r="BK54">
            <v>24</v>
          </cell>
          <cell r="BL54">
            <v>24</v>
          </cell>
          <cell r="BM54">
            <v>172</v>
          </cell>
          <cell r="BN54">
            <v>30</v>
          </cell>
          <cell r="BO54">
            <v>30</v>
          </cell>
          <cell r="BP54">
            <v>29</v>
          </cell>
          <cell r="BQ54">
            <v>29</v>
          </cell>
          <cell r="BR54">
            <v>29</v>
          </cell>
          <cell r="BS54">
            <v>29</v>
          </cell>
          <cell r="BT54">
            <v>29</v>
          </cell>
          <cell r="BU54">
            <v>205</v>
          </cell>
          <cell r="BV54">
            <v>34</v>
          </cell>
          <cell r="BW54">
            <v>34</v>
          </cell>
          <cell r="BX54">
            <v>34</v>
          </cell>
          <cell r="BY54">
            <v>34</v>
          </cell>
          <cell r="BZ54">
            <v>34</v>
          </cell>
          <cell r="CA54">
            <v>34</v>
          </cell>
          <cell r="CB54">
            <v>34</v>
          </cell>
          <cell r="CC54">
            <v>238</v>
          </cell>
          <cell r="CD54">
            <v>39</v>
          </cell>
          <cell r="CE54">
            <v>39</v>
          </cell>
          <cell r="CF54">
            <v>39</v>
          </cell>
          <cell r="CG54">
            <v>39</v>
          </cell>
          <cell r="CH54">
            <v>39</v>
          </cell>
          <cell r="CI54">
            <v>38</v>
          </cell>
          <cell r="CJ54">
            <v>38</v>
          </cell>
          <cell r="CK54">
            <v>271</v>
          </cell>
          <cell r="CL54">
            <v>42</v>
          </cell>
          <cell r="CM54">
            <v>42</v>
          </cell>
          <cell r="CN54">
            <v>42</v>
          </cell>
          <cell r="CO54">
            <v>42</v>
          </cell>
          <cell r="CP54">
            <v>42</v>
          </cell>
          <cell r="CQ54">
            <v>42</v>
          </cell>
          <cell r="CR54">
            <v>41</v>
          </cell>
          <cell r="CS54">
            <v>293</v>
          </cell>
          <cell r="CT54">
            <v>45</v>
          </cell>
          <cell r="CU54">
            <v>45</v>
          </cell>
          <cell r="CV54">
            <v>45</v>
          </cell>
          <cell r="CW54">
            <v>45</v>
          </cell>
          <cell r="CX54">
            <v>45</v>
          </cell>
          <cell r="CY54">
            <v>45</v>
          </cell>
          <cell r="CZ54">
            <v>45</v>
          </cell>
          <cell r="DA54">
            <v>315</v>
          </cell>
          <cell r="DB54">
            <v>49</v>
          </cell>
          <cell r="DC54">
            <v>48</v>
          </cell>
          <cell r="DD54">
            <v>48</v>
          </cell>
          <cell r="DE54">
            <v>48</v>
          </cell>
          <cell r="DF54">
            <v>48</v>
          </cell>
          <cell r="DG54">
            <v>48</v>
          </cell>
          <cell r="DH54">
            <v>48</v>
          </cell>
          <cell r="DI54">
            <v>337</v>
          </cell>
          <cell r="DJ54">
            <v>52</v>
          </cell>
          <cell r="DK54">
            <v>52</v>
          </cell>
          <cell r="DL54">
            <v>51</v>
          </cell>
          <cell r="DM54">
            <v>51</v>
          </cell>
          <cell r="DN54">
            <v>51</v>
          </cell>
          <cell r="DO54">
            <v>51</v>
          </cell>
          <cell r="DP54">
            <v>51</v>
          </cell>
          <cell r="DQ54">
            <v>359</v>
          </cell>
        </row>
        <row r="55">
          <cell r="B55">
            <v>2</v>
          </cell>
          <cell r="C55">
            <v>2</v>
          </cell>
          <cell r="D55">
            <v>2</v>
          </cell>
          <cell r="E55">
            <v>1</v>
          </cell>
          <cell r="F55">
            <v>1</v>
          </cell>
          <cell r="G55">
            <v>1</v>
          </cell>
          <cell r="H55">
            <v>1</v>
          </cell>
          <cell r="I55">
            <v>10</v>
          </cell>
          <cell r="J55">
            <v>4</v>
          </cell>
          <cell r="K55">
            <v>3</v>
          </cell>
          <cell r="L55">
            <v>3</v>
          </cell>
          <cell r="M55">
            <v>3</v>
          </cell>
          <cell r="N55">
            <v>3</v>
          </cell>
          <cell r="O55">
            <v>3</v>
          </cell>
          <cell r="P55">
            <v>3</v>
          </cell>
          <cell r="Q55">
            <v>22</v>
          </cell>
          <cell r="R55">
            <v>7</v>
          </cell>
          <cell r="S55">
            <v>7</v>
          </cell>
          <cell r="T55">
            <v>7</v>
          </cell>
          <cell r="U55">
            <v>6</v>
          </cell>
          <cell r="V55">
            <v>6</v>
          </cell>
          <cell r="W55">
            <v>6</v>
          </cell>
          <cell r="X55">
            <v>6</v>
          </cell>
          <cell r="Y55">
            <v>45</v>
          </cell>
          <cell r="Z55">
            <v>8</v>
          </cell>
          <cell r="AA55">
            <v>8</v>
          </cell>
          <cell r="AB55">
            <v>8</v>
          </cell>
          <cell r="AC55">
            <v>8</v>
          </cell>
          <cell r="AD55">
            <v>7</v>
          </cell>
          <cell r="AE55">
            <v>7</v>
          </cell>
          <cell r="AF55">
            <v>7</v>
          </cell>
          <cell r="AG55">
            <v>53</v>
          </cell>
          <cell r="AH55">
            <v>9</v>
          </cell>
          <cell r="AI55">
            <v>8</v>
          </cell>
          <cell r="AJ55">
            <v>8</v>
          </cell>
          <cell r="AK55">
            <v>8</v>
          </cell>
          <cell r="AL55">
            <v>8</v>
          </cell>
          <cell r="AM55">
            <v>8</v>
          </cell>
          <cell r="AN55">
            <v>8</v>
          </cell>
          <cell r="AO55">
            <v>57</v>
          </cell>
          <cell r="AP55">
            <v>9</v>
          </cell>
          <cell r="AQ55">
            <v>8</v>
          </cell>
          <cell r="AR55">
            <v>8</v>
          </cell>
          <cell r="AS55">
            <v>8</v>
          </cell>
          <cell r="AT55">
            <v>8</v>
          </cell>
          <cell r="AU55">
            <v>8</v>
          </cell>
          <cell r="AV55">
            <v>8</v>
          </cell>
          <cell r="AW55">
            <v>57</v>
          </cell>
          <cell r="AX55">
            <v>9</v>
          </cell>
          <cell r="AY55">
            <v>8</v>
          </cell>
          <cell r="AZ55">
            <v>8</v>
          </cell>
          <cell r="BA55">
            <v>8</v>
          </cell>
          <cell r="BB55">
            <v>8</v>
          </cell>
          <cell r="BC55">
            <v>8</v>
          </cell>
          <cell r="BD55">
            <v>8</v>
          </cell>
          <cell r="BE55">
            <v>57</v>
          </cell>
          <cell r="BF55">
            <v>9</v>
          </cell>
          <cell r="BG55">
            <v>8</v>
          </cell>
          <cell r="BH55">
            <v>8</v>
          </cell>
          <cell r="BI55">
            <v>8</v>
          </cell>
          <cell r="BJ55">
            <v>8</v>
          </cell>
          <cell r="BK55">
            <v>8</v>
          </cell>
          <cell r="BL55">
            <v>8</v>
          </cell>
          <cell r="BM55">
            <v>57</v>
          </cell>
          <cell r="BN55">
            <v>9</v>
          </cell>
          <cell r="BO55">
            <v>8</v>
          </cell>
          <cell r="BP55">
            <v>8</v>
          </cell>
          <cell r="BQ55">
            <v>8</v>
          </cell>
          <cell r="BR55">
            <v>8</v>
          </cell>
          <cell r="BS55">
            <v>8</v>
          </cell>
          <cell r="BT55">
            <v>8</v>
          </cell>
          <cell r="BU55">
            <v>57</v>
          </cell>
          <cell r="BV55">
            <v>9</v>
          </cell>
          <cell r="BW55">
            <v>8</v>
          </cell>
          <cell r="BX55">
            <v>8</v>
          </cell>
          <cell r="BY55">
            <v>8</v>
          </cell>
          <cell r="BZ55">
            <v>8</v>
          </cell>
          <cell r="CA55">
            <v>8</v>
          </cell>
          <cell r="CB55">
            <v>8</v>
          </cell>
          <cell r="CC55">
            <v>57</v>
          </cell>
          <cell r="CD55">
            <v>9</v>
          </cell>
          <cell r="CE55">
            <v>8</v>
          </cell>
          <cell r="CF55">
            <v>8</v>
          </cell>
          <cell r="CG55">
            <v>8</v>
          </cell>
          <cell r="CH55">
            <v>8</v>
          </cell>
          <cell r="CI55">
            <v>8</v>
          </cell>
          <cell r="CJ55">
            <v>8</v>
          </cell>
          <cell r="CK55">
            <v>57</v>
          </cell>
          <cell r="CL55">
            <v>9</v>
          </cell>
          <cell r="CM55">
            <v>8</v>
          </cell>
          <cell r="CN55">
            <v>8</v>
          </cell>
          <cell r="CO55">
            <v>8</v>
          </cell>
          <cell r="CP55">
            <v>8</v>
          </cell>
          <cell r="CQ55">
            <v>8</v>
          </cell>
          <cell r="CR55">
            <v>8</v>
          </cell>
          <cell r="CS55">
            <v>57</v>
          </cell>
          <cell r="CT55">
            <v>9</v>
          </cell>
          <cell r="CU55">
            <v>8</v>
          </cell>
          <cell r="CV55">
            <v>8</v>
          </cell>
          <cell r="CW55">
            <v>8</v>
          </cell>
          <cell r="CX55">
            <v>8</v>
          </cell>
          <cell r="CY55">
            <v>8</v>
          </cell>
          <cell r="CZ55">
            <v>8</v>
          </cell>
          <cell r="DA55">
            <v>57</v>
          </cell>
          <cell r="DB55">
            <v>9</v>
          </cell>
          <cell r="DC55">
            <v>8</v>
          </cell>
          <cell r="DD55">
            <v>8</v>
          </cell>
          <cell r="DE55">
            <v>8</v>
          </cell>
          <cell r="DF55">
            <v>8</v>
          </cell>
          <cell r="DG55">
            <v>8</v>
          </cell>
          <cell r="DH55">
            <v>8</v>
          </cell>
          <cell r="DI55">
            <v>57</v>
          </cell>
          <cell r="DJ55">
            <v>9</v>
          </cell>
          <cell r="DK55">
            <v>8</v>
          </cell>
          <cell r="DL55">
            <v>8</v>
          </cell>
          <cell r="DM55">
            <v>8</v>
          </cell>
          <cell r="DN55">
            <v>8</v>
          </cell>
          <cell r="DO55">
            <v>8</v>
          </cell>
          <cell r="DP55">
            <v>8</v>
          </cell>
          <cell r="DQ55">
            <v>57</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1</v>
          </cell>
          <cell r="S56">
            <v>1</v>
          </cell>
          <cell r="T56">
            <v>0</v>
          </cell>
          <cell r="U56">
            <v>0</v>
          </cell>
          <cell r="V56">
            <v>0</v>
          </cell>
          <cell r="W56">
            <v>0</v>
          </cell>
          <cell r="X56">
            <v>0</v>
          </cell>
          <cell r="Y56">
            <v>2</v>
          </cell>
          <cell r="Z56">
            <v>1</v>
          </cell>
          <cell r="AA56">
            <v>1</v>
          </cell>
          <cell r="AB56">
            <v>0</v>
          </cell>
          <cell r="AC56">
            <v>0</v>
          </cell>
          <cell r="AD56">
            <v>0</v>
          </cell>
          <cell r="AE56">
            <v>0</v>
          </cell>
          <cell r="AF56">
            <v>0</v>
          </cell>
          <cell r="AG56">
            <v>2</v>
          </cell>
          <cell r="AH56">
            <v>1</v>
          </cell>
          <cell r="AI56">
            <v>1</v>
          </cell>
          <cell r="AJ56">
            <v>0</v>
          </cell>
          <cell r="AK56">
            <v>0</v>
          </cell>
          <cell r="AL56">
            <v>0</v>
          </cell>
          <cell r="AM56">
            <v>0</v>
          </cell>
          <cell r="AN56">
            <v>0</v>
          </cell>
          <cell r="AO56">
            <v>2</v>
          </cell>
          <cell r="AP56">
            <v>1</v>
          </cell>
          <cell r="AQ56">
            <v>1</v>
          </cell>
          <cell r="AR56">
            <v>0</v>
          </cell>
          <cell r="AS56">
            <v>0</v>
          </cell>
          <cell r="AT56">
            <v>0</v>
          </cell>
          <cell r="AU56">
            <v>0</v>
          </cell>
          <cell r="AV56">
            <v>0</v>
          </cell>
          <cell r="AW56">
            <v>2</v>
          </cell>
          <cell r="AX56">
            <v>1</v>
          </cell>
          <cell r="AY56">
            <v>1</v>
          </cell>
          <cell r="AZ56">
            <v>0</v>
          </cell>
          <cell r="BA56">
            <v>0</v>
          </cell>
          <cell r="BB56">
            <v>0</v>
          </cell>
          <cell r="BC56">
            <v>0</v>
          </cell>
          <cell r="BD56">
            <v>0</v>
          </cell>
          <cell r="BE56">
            <v>2</v>
          </cell>
          <cell r="BF56">
            <v>1</v>
          </cell>
          <cell r="BG56">
            <v>1</v>
          </cell>
          <cell r="BH56">
            <v>0</v>
          </cell>
          <cell r="BI56">
            <v>0</v>
          </cell>
          <cell r="BJ56">
            <v>0</v>
          </cell>
          <cell r="BK56">
            <v>0</v>
          </cell>
          <cell r="BL56">
            <v>0</v>
          </cell>
          <cell r="BM56">
            <v>2</v>
          </cell>
          <cell r="BN56">
            <v>1</v>
          </cell>
          <cell r="BO56">
            <v>1</v>
          </cell>
          <cell r="BP56">
            <v>0</v>
          </cell>
          <cell r="BQ56">
            <v>0</v>
          </cell>
          <cell r="BR56">
            <v>0</v>
          </cell>
          <cell r="BS56">
            <v>0</v>
          </cell>
          <cell r="BT56">
            <v>0</v>
          </cell>
          <cell r="BU56">
            <v>2</v>
          </cell>
          <cell r="BV56">
            <v>1</v>
          </cell>
          <cell r="BW56">
            <v>1</v>
          </cell>
          <cell r="BX56">
            <v>1</v>
          </cell>
          <cell r="BY56">
            <v>0</v>
          </cell>
          <cell r="BZ56">
            <v>0</v>
          </cell>
          <cell r="CA56">
            <v>0</v>
          </cell>
          <cell r="CB56">
            <v>0</v>
          </cell>
          <cell r="CC56">
            <v>3</v>
          </cell>
          <cell r="CD56">
            <v>1</v>
          </cell>
          <cell r="CE56">
            <v>1</v>
          </cell>
          <cell r="CF56">
            <v>1</v>
          </cell>
          <cell r="CG56">
            <v>0</v>
          </cell>
          <cell r="CH56">
            <v>0</v>
          </cell>
          <cell r="CI56">
            <v>0</v>
          </cell>
          <cell r="CJ56">
            <v>0</v>
          </cell>
          <cell r="CK56">
            <v>3</v>
          </cell>
          <cell r="CL56">
            <v>1</v>
          </cell>
          <cell r="CM56">
            <v>1</v>
          </cell>
          <cell r="CN56">
            <v>1</v>
          </cell>
          <cell r="CO56">
            <v>0</v>
          </cell>
          <cell r="CP56">
            <v>0</v>
          </cell>
          <cell r="CQ56">
            <v>0</v>
          </cell>
          <cell r="CR56">
            <v>0</v>
          </cell>
          <cell r="CS56">
            <v>3</v>
          </cell>
          <cell r="CT56">
            <v>1</v>
          </cell>
          <cell r="CU56">
            <v>1</v>
          </cell>
          <cell r="CV56">
            <v>1</v>
          </cell>
          <cell r="CW56">
            <v>0</v>
          </cell>
          <cell r="CX56">
            <v>0</v>
          </cell>
          <cell r="CY56">
            <v>0</v>
          </cell>
          <cell r="CZ56">
            <v>0</v>
          </cell>
          <cell r="DA56">
            <v>3</v>
          </cell>
          <cell r="DB56">
            <v>1</v>
          </cell>
          <cell r="DC56">
            <v>1</v>
          </cell>
          <cell r="DD56">
            <v>1</v>
          </cell>
          <cell r="DE56">
            <v>0</v>
          </cell>
          <cell r="DF56">
            <v>0</v>
          </cell>
          <cell r="DG56">
            <v>0</v>
          </cell>
          <cell r="DH56">
            <v>0</v>
          </cell>
          <cell r="DI56">
            <v>3</v>
          </cell>
          <cell r="DJ56">
            <v>1</v>
          </cell>
          <cell r="DK56">
            <v>1</v>
          </cell>
          <cell r="DL56">
            <v>1</v>
          </cell>
          <cell r="DM56">
            <v>0</v>
          </cell>
          <cell r="DN56">
            <v>0</v>
          </cell>
          <cell r="DO56">
            <v>0</v>
          </cell>
          <cell r="DP56">
            <v>0</v>
          </cell>
          <cell r="DQ56">
            <v>3</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0</v>
          </cell>
          <cell r="DF57">
            <v>0</v>
          </cell>
          <cell r="DG57">
            <v>0</v>
          </cell>
          <cell r="DH57">
            <v>0</v>
          </cell>
          <cell r="DI57">
            <v>0</v>
          </cell>
          <cell r="DJ57">
            <v>0</v>
          </cell>
          <cell r="DK57">
            <v>0</v>
          </cell>
          <cell r="DL57">
            <v>0</v>
          </cell>
          <cell r="DM57">
            <v>0</v>
          </cell>
          <cell r="DN57">
            <v>0</v>
          </cell>
          <cell r="DO57">
            <v>0</v>
          </cell>
          <cell r="DP57">
            <v>0</v>
          </cell>
          <cell r="DQ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1</v>
          </cell>
          <cell r="AY58">
            <v>1</v>
          </cell>
          <cell r="AZ58">
            <v>1</v>
          </cell>
          <cell r="BA58">
            <v>0</v>
          </cell>
          <cell r="BB58">
            <v>0</v>
          </cell>
          <cell r="BC58">
            <v>0</v>
          </cell>
          <cell r="BD58">
            <v>0</v>
          </cell>
          <cell r="BE58">
            <v>3</v>
          </cell>
          <cell r="BF58">
            <v>1</v>
          </cell>
          <cell r="BG58">
            <v>1</v>
          </cell>
          <cell r="BH58">
            <v>1</v>
          </cell>
          <cell r="BI58">
            <v>1</v>
          </cell>
          <cell r="BJ58">
            <v>1</v>
          </cell>
          <cell r="BK58">
            <v>1</v>
          </cell>
          <cell r="BL58">
            <v>0</v>
          </cell>
          <cell r="BM58">
            <v>6</v>
          </cell>
          <cell r="BN58">
            <v>1</v>
          </cell>
          <cell r="BO58">
            <v>1</v>
          </cell>
          <cell r="BP58">
            <v>1</v>
          </cell>
          <cell r="BQ58">
            <v>1</v>
          </cell>
          <cell r="BR58">
            <v>1</v>
          </cell>
          <cell r="BS58">
            <v>1</v>
          </cell>
          <cell r="BT58">
            <v>0</v>
          </cell>
          <cell r="BU58">
            <v>6</v>
          </cell>
          <cell r="BV58">
            <v>1</v>
          </cell>
          <cell r="BW58">
            <v>1</v>
          </cell>
          <cell r="BX58">
            <v>1</v>
          </cell>
          <cell r="BY58">
            <v>1</v>
          </cell>
          <cell r="BZ58">
            <v>1</v>
          </cell>
          <cell r="CA58">
            <v>1</v>
          </cell>
          <cell r="CB58">
            <v>0</v>
          </cell>
          <cell r="CC58">
            <v>6</v>
          </cell>
          <cell r="CD58">
            <v>1</v>
          </cell>
          <cell r="CE58">
            <v>1</v>
          </cell>
          <cell r="CF58">
            <v>1</v>
          </cell>
          <cell r="CG58">
            <v>1</v>
          </cell>
          <cell r="CH58">
            <v>1</v>
          </cell>
          <cell r="CI58">
            <v>1</v>
          </cell>
          <cell r="CJ58">
            <v>0</v>
          </cell>
          <cell r="CK58">
            <v>6</v>
          </cell>
          <cell r="CL58">
            <v>1</v>
          </cell>
          <cell r="CM58">
            <v>1</v>
          </cell>
          <cell r="CN58">
            <v>1</v>
          </cell>
          <cell r="CO58">
            <v>1</v>
          </cell>
          <cell r="CP58">
            <v>1</v>
          </cell>
          <cell r="CQ58">
            <v>1</v>
          </cell>
          <cell r="CR58">
            <v>0</v>
          </cell>
          <cell r="CS58">
            <v>6</v>
          </cell>
          <cell r="CT58">
            <v>1</v>
          </cell>
          <cell r="CU58">
            <v>1</v>
          </cell>
          <cell r="CV58">
            <v>1</v>
          </cell>
          <cell r="CW58">
            <v>1</v>
          </cell>
          <cell r="CX58">
            <v>1</v>
          </cell>
          <cell r="CY58">
            <v>1</v>
          </cell>
          <cell r="CZ58">
            <v>0</v>
          </cell>
          <cell r="DA58">
            <v>6</v>
          </cell>
          <cell r="DB58">
            <v>1</v>
          </cell>
          <cell r="DC58">
            <v>1</v>
          </cell>
          <cell r="DD58">
            <v>1</v>
          </cell>
          <cell r="DE58">
            <v>1</v>
          </cell>
          <cell r="DF58">
            <v>1</v>
          </cell>
          <cell r="DG58">
            <v>1</v>
          </cell>
          <cell r="DH58">
            <v>0</v>
          </cell>
          <cell r="DI58">
            <v>6</v>
          </cell>
          <cell r="DJ58">
            <v>1</v>
          </cell>
          <cell r="DK58">
            <v>1</v>
          </cell>
          <cell r="DL58">
            <v>1</v>
          </cell>
          <cell r="DM58">
            <v>1</v>
          </cell>
          <cell r="DN58">
            <v>1</v>
          </cell>
          <cell r="DO58">
            <v>1</v>
          </cell>
          <cell r="DP58">
            <v>0</v>
          </cell>
          <cell r="DQ58">
            <v>6</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1</v>
          </cell>
          <cell r="AI59">
            <v>1</v>
          </cell>
          <cell r="AJ59">
            <v>1</v>
          </cell>
          <cell r="AK59">
            <v>1</v>
          </cell>
          <cell r="AL59">
            <v>1</v>
          </cell>
          <cell r="AM59">
            <v>0</v>
          </cell>
          <cell r="AN59">
            <v>0</v>
          </cell>
          <cell r="AO59">
            <v>5</v>
          </cell>
          <cell r="AP59">
            <v>2</v>
          </cell>
          <cell r="AQ59">
            <v>2</v>
          </cell>
          <cell r="AR59">
            <v>2</v>
          </cell>
          <cell r="AS59">
            <v>1</v>
          </cell>
          <cell r="AT59">
            <v>1</v>
          </cell>
          <cell r="AU59">
            <v>1</v>
          </cell>
          <cell r="AV59">
            <v>1</v>
          </cell>
          <cell r="AW59">
            <v>10</v>
          </cell>
          <cell r="AX59">
            <v>5</v>
          </cell>
          <cell r="AY59">
            <v>5</v>
          </cell>
          <cell r="AZ59">
            <v>5</v>
          </cell>
          <cell r="BA59">
            <v>5</v>
          </cell>
          <cell r="BB59">
            <v>5</v>
          </cell>
          <cell r="BC59">
            <v>4</v>
          </cell>
          <cell r="BD59">
            <v>4</v>
          </cell>
          <cell r="BE59">
            <v>33</v>
          </cell>
          <cell r="BF59">
            <v>9</v>
          </cell>
          <cell r="BG59">
            <v>8</v>
          </cell>
          <cell r="BH59">
            <v>8</v>
          </cell>
          <cell r="BI59">
            <v>8</v>
          </cell>
          <cell r="BJ59">
            <v>8</v>
          </cell>
          <cell r="BK59">
            <v>8</v>
          </cell>
          <cell r="BL59">
            <v>8</v>
          </cell>
          <cell r="BM59">
            <v>57</v>
          </cell>
          <cell r="BN59">
            <v>12</v>
          </cell>
          <cell r="BO59">
            <v>11</v>
          </cell>
          <cell r="BP59">
            <v>11</v>
          </cell>
          <cell r="BQ59">
            <v>11</v>
          </cell>
          <cell r="BR59">
            <v>11</v>
          </cell>
          <cell r="BS59">
            <v>11</v>
          </cell>
          <cell r="BT59">
            <v>11</v>
          </cell>
          <cell r="BU59">
            <v>78</v>
          </cell>
          <cell r="BV59">
            <v>15</v>
          </cell>
          <cell r="BW59">
            <v>14</v>
          </cell>
          <cell r="BX59">
            <v>14</v>
          </cell>
          <cell r="BY59">
            <v>14</v>
          </cell>
          <cell r="BZ59">
            <v>14</v>
          </cell>
          <cell r="CA59">
            <v>14</v>
          </cell>
          <cell r="CB59">
            <v>14</v>
          </cell>
          <cell r="CC59">
            <v>99</v>
          </cell>
          <cell r="CD59">
            <v>18</v>
          </cell>
          <cell r="CE59">
            <v>17</v>
          </cell>
          <cell r="CF59">
            <v>17</v>
          </cell>
          <cell r="CG59">
            <v>17</v>
          </cell>
          <cell r="CH59">
            <v>17</v>
          </cell>
          <cell r="CI59">
            <v>17</v>
          </cell>
          <cell r="CJ59">
            <v>17</v>
          </cell>
          <cell r="CK59">
            <v>120</v>
          </cell>
          <cell r="CL59">
            <v>19</v>
          </cell>
          <cell r="CM59">
            <v>19</v>
          </cell>
          <cell r="CN59">
            <v>18</v>
          </cell>
          <cell r="CO59">
            <v>18</v>
          </cell>
          <cell r="CP59">
            <v>18</v>
          </cell>
          <cell r="CQ59">
            <v>18</v>
          </cell>
          <cell r="CR59">
            <v>18</v>
          </cell>
          <cell r="CS59">
            <v>128</v>
          </cell>
          <cell r="CT59">
            <v>20</v>
          </cell>
          <cell r="CU59">
            <v>20</v>
          </cell>
          <cell r="CV59">
            <v>20</v>
          </cell>
          <cell r="CW59">
            <v>19</v>
          </cell>
          <cell r="CX59">
            <v>19</v>
          </cell>
          <cell r="CY59">
            <v>19</v>
          </cell>
          <cell r="CZ59">
            <v>19</v>
          </cell>
          <cell r="DA59">
            <v>136</v>
          </cell>
          <cell r="DB59">
            <v>21</v>
          </cell>
          <cell r="DC59">
            <v>21</v>
          </cell>
          <cell r="DD59">
            <v>21</v>
          </cell>
          <cell r="DE59">
            <v>21</v>
          </cell>
          <cell r="DF59">
            <v>20</v>
          </cell>
          <cell r="DG59">
            <v>20</v>
          </cell>
          <cell r="DH59">
            <v>20</v>
          </cell>
          <cell r="DI59">
            <v>144</v>
          </cell>
          <cell r="DJ59">
            <v>22</v>
          </cell>
          <cell r="DK59">
            <v>22</v>
          </cell>
          <cell r="DL59">
            <v>22</v>
          </cell>
          <cell r="DM59">
            <v>22</v>
          </cell>
          <cell r="DN59">
            <v>22</v>
          </cell>
          <cell r="DO59">
            <v>21</v>
          </cell>
          <cell r="DP59">
            <v>21</v>
          </cell>
          <cell r="DQ59">
            <v>152</v>
          </cell>
        </row>
        <row r="60">
          <cell r="B60">
            <v>0</v>
          </cell>
          <cell r="C60">
            <v>0</v>
          </cell>
          <cell r="D60">
            <v>0</v>
          </cell>
          <cell r="E60">
            <v>0</v>
          </cell>
          <cell r="F60">
            <v>0</v>
          </cell>
          <cell r="G60">
            <v>0</v>
          </cell>
          <cell r="H60">
            <v>0</v>
          </cell>
          <cell r="I60">
            <v>0</v>
          </cell>
          <cell r="J60">
            <v>1</v>
          </cell>
          <cell r="K60">
            <v>0</v>
          </cell>
          <cell r="L60">
            <v>0</v>
          </cell>
          <cell r="M60">
            <v>0</v>
          </cell>
          <cell r="N60">
            <v>0</v>
          </cell>
          <cell r="O60">
            <v>0</v>
          </cell>
          <cell r="P60">
            <v>0</v>
          </cell>
          <cell r="Q60">
            <v>1</v>
          </cell>
          <cell r="R60">
            <v>1</v>
          </cell>
          <cell r="S60">
            <v>0</v>
          </cell>
          <cell r="T60">
            <v>0</v>
          </cell>
          <cell r="U60">
            <v>0</v>
          </cell>
          <cell r="V60">
            <v>0</v>
          </cell>
          <cell r="W60">
            <v>0</v>
          </cell>
          <cell r="X60">
            <v>0</v>
          </cell>
          <cell r="Y60">
            <v>1</v>
          </cell>
          <cell r="Z60">
            <v>1</v>
          </cell>
          <cell r="AA60">
            <v>0</v>
          </cell>
          <cell r="AB60">
            <v>0</v>
          </cell>
          <cell r="AC60">
            <v>0</v>
          </cell>
          <cell r="AD60">
            <v>0</v>
          </cell>
          <cell r="AE60">
            <v>0</v>
          </cell>
          <cell r="AF60">
            <v>0</v>
          </cell>
          <cell r="AG60">
            <v>1</v>
          </cell>
          <cell r="AH60">
            <v>1</v>
          </cell>
          <cell r="AI60">
            <v>0</v>
          </cell>
          <cell r="AJ60">
            <v>0</v>
          </cell>
          <cell r="AK60">
            <v>0</v>
          </cell>
          <cell r="AL60">
            <v>0</v>
          </cell>
          <cell r="AM60">
            <v>0</v>
          </cell>
          <cell r="AN60">
            <v>0</v>
          </cell>
          <cell r="AO60">
            <v>1</v>
          </cell>
          <cell r="AP60">
            <v>1</v>
          </cell>
          <cell r="AQ60">
            <v>0</v>
          </cell>
          <cell r="AR60">
            <v>0</v>
          </cell>
          <cell r="AS60">
            <v>0</v>
          </cell>
          <cell r="AT60">
            <v>0</v>
          </cell>
          <cell r="AU60">
            <v>0</v>
          </cell>
          <cell r="AV60">
            <v>0</v>
          </cell>
          <cell r="AW60">
            <v>1</v>
          </cell>
          <cell r="AX60">
            <v>1</v>
          </cell>
          <cell r="AY60">
            <v>0</v>
          </cell>
          <cell r="AZ60">
            <v>0</v>
          </cell>
          <cell r="BA60">
            <v>0</v>
          </cell>
          <cell r="BB60">
            <v>0</v>
          </cell>
          <cell r="BC60">
            <v>0</v>
          </cell>
          <cell r="BD60">
            <v>0</v>
          </cell>
          <cell r="BE60">
            <v>1</v>
          </cell>
          <cell r="BF60">
            <v>1</v>
          </cell>
          <cell r="BG60">
            <v>0</v>
          </cell>
          <cell r="BH60">
            <v>0</v>
          </cell>
          <cell r="BI60">
            <v>0</v>
          </cell>
          <cell r="BJ60">
            <v>0</v>
          </cell>
          <cell r="BK60">
            <v>0</v>
          </cell>
          <cell r="BL60">
            <v>0</v>
          </cell>
          <cell r="BM60">
            <v>1</v>
          </cell>
          <cell r="BN60">
            <v>1</v>
          </cell>
          <cell r="BO60">
            <v>0</v>
          </cell>
          <cell r="BP60">
            <v>0</v>
          </cell>
          <cell r="BQ60">
            <v>0</v>
          </cell>
          <cell r="BR60">
            <v>0</v>
          </cell>
          <cell r="BS60">
            <v>0</v>
          </cell>
          <cell r="BT60">
            <v>0</v>
          </cell>
          <cell r="BU60">
            <v>1</v>
          </cell>
          <cell r="BV60">
            <v>1</v>
          </cell>
          <cell r="BW60">
            <v>0</v>
          </cell>
          <cell r="BX60">
            <v>0</v>
          </cell>
          <cell r="BY60">
            <v>0</v>
          </cell>
          <cell r="BZ60">
            <v>0</v>
          </cell>
          <cell r="CA60">
            <v>0</v>
          </cell>
          <cell r="CB60">
            <v>0</v>
          </cell>
          <cell r="CC60">
            <v>1</v>
          </cell>
          <cell r="CD60">
            <v>1</v>
          </cell>
          <cell r="CE60">
            <v>0</v>
          </cell>
          <cell r="CF60">
            <v>0</v>
          </cell>
          <cell r="CG60">
            <v>0</v>
          </cell>
          <cell r="CH60">
            <v>0</v>
          </cell>
          <cell r="CI60">
            <v>0</v>
          </cell>
          <cell r="CJ60">
            <v>0</v>
          </cell>
          <cell r="CK60">
            <v>1</v>
          </cell>
          <cell r="CL60">
            <v>1</v>
          </cell>
          <cell r="CM60">
            <v>0</v>
          </cell>
          <cell r="CN60">
            <v>0</v>
          </cell>
          <cell r="CO60">
            <v>0</v>
          </cell>
          <cell r="CP60">
            <v>0</v>
          </cell>
          <cell r="CQ60">
            <v>0</v>
          </cell>
          <cell r="CR60">
            <v>0</v>
          </cell>
          <cell r="CS60">
            <v>1</v>
          </cell>
          <cell r="CT60">
            <v>1</v>
          </cell>
          <cell r="CU60">
            <v>0</v>
          </cell>
          <cell r="CV60">
            <v>0</v>
          </cell>
          <cell r="CW60">
            <v>0</v>
          </cell>
          <cell r="CX60">
            <v>0</v>
          </cell>
          <cell r="CY60">
            <v>0</v>
          </cell>
          <cell r="CZ60">
            <v>0</v>
          </cell>
          <cell r="DA60">
            <v>1</v>
          </cell>
          <cell r="DB60">
            <v>1</v>
          </cell>
          <cell r="DC60">
            <v>0</v>
          </cell>
          <cell r="DD60">
            <v>0</v>
          </cell>
          <cell r="DE60">
            <v>0</v>
          </cell>
          <cell r="DF60">
            <v>0</v>
          </cell>
          <cell r="DG60">
            <v>0</v>
          </cell>
          <cell r="DH60">
            <v>0</v>
          </cell>
          <cell r="DI60">
            <v>1</v>
          </cell>
          <cell r="DJ60">
            <v>1</v>
          </cell>
          <cell r="DK60">
            <v>0</v>
          </cell>
          <cell r="DL60">
            <v>0</v>
          </cell>
          <cell r="DM60">
            <v>0</v>
          </cell>
          <cell r="DN60">
            <v>0</v>
          </cell>
          <cell r="DO60">
            <v>0</v>
          </cell>
          <cell r="DP60">
            <v>0</v>
          </cell>
          <cell r="DQ60">
            <v>1</v>
          </cell>
        </row>
        <row r="61">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1</v>
          </cell>
          <cell r="S61">
            <v>1</v>
          </cell>
          <cell r="T61">
            <v>1</v>
          </cell>
          <cell r="U61">
            <v>0</v>
          </cell>
          <cell r="V61">
            <v>0</v>
          </cell>
          <cell r="W61">
            <v>0</v>
          </cell>
          <cell r="X61">
            <v>0</v>
          </cell>
          <cell r="Y61">
            <v>3</v>
          </cell>
          <cell r="Z61">
            <v>1</v>
          </cell>
          <cell r="AA61">
            <v>1</v>
          </cell>
          <cell r="AB61">
            <v>1</v>
          </cell>
          <cell r="AC61">
            <v>0</v>
          </cell>
          <cell r="AD61">
            <v>0</v>
          </cell>
          <cell r="AE61">
            <v>0</v>
          </cell>
          <cell r="AF61">
            <v>0</v>
          </cell>
          <cell r="AG61">
            <v>3</v>
          </cell>
          <cell r="AH61">
            <v>1</v>
          </cell>
          <cell r="AI61">
            <v>1</v>
          </cell>
          <cell r="AJ61">
            <v>1</v>
          </cell>
          <cell r="AK61">
            <v>0</v>
          </cell>
          <cell r="AL61">
            <v>0</v>
          </cell>
          <cell r="AM61">
            <v>0</v>
          </cell>
          <cell r="AN61">
            <v>0</v>
          </cell>
          <cell r="AO61">
            <v>3</v>
          </cell>
          <cell r="AP61">
            <v>1</v>
          </cell>
          <cell r="AQ61">
            <v>1</v>
          </cell>
          <cell r="AR61">
            <v>1</v>
          </cell>
          <cell r="AS61">
            <v>0</v>
          </cell>
          <cell r="AT61">
            <v>0</v>
          </cell>
          <cell r="AU61">
            <v>0</v>
          </cell>
          <cell r="AV61">
            <v>0</v>
          </cell>
          <cell r="AW61">
            <v>3</v>
          </cell>
          <cell r="AX61">
            <v>1</v>
          </cell>
          <cell r="AY61">
            <v>1</v>
          </cell>
          <cell r="AZ61">
            <v>1</v>
          </cell>
          <cell r="BA61">
            <v>1</v>
          </cell>
          <cell r="BB61">
            <v>0</v>
          </cell>
          <cell r="BC61">
            <v>0</v>
          </cell>
          <cell r="BD61">
            <v>0</v>
          </cell>
          <cell r="BE61">
            <v>4</v>
          </cell>
          <cell r="BF61">
            <v>1</v>
          </cell>
          <cell r="BG61">
            <v>1</v>
          </cell>
          <cell r="BH61">
            <v>1</v>
          </cell>
          <cell r="BI61">
            <v>1</v>
          </cell>
          <cell r="BJ61">
            <v>0</v>
          </cell>
          <cell r="BK61">
            <v>0</v>
          </cell>
          <cell r="BL61">
            <v>0</v>
          </cell>
          <cell r="BM61">
            <v>4</v>
          </cell>
          <cell r="BN61">
            <v>1</v>
          </cell>
          <cell r="BO61">
            <v>1</v>
          </cell>
          <cell r="BP61">
            <v>1</v>
          </cell>
          <cell r="BQ61">
            <v>1</v>
          </cell>
          <cell r="BR61">
            <v>0</v>
          </cell>
          <cell r="BS61">
            <v>0</v>
          </cell>
          <cell r="BT61">
            <v>0</v>
          </cell>
          <cell r="BU61">
            <v>4</v>
          </cell>
          <cell r="BV61">
            <v>1</v>
          </cell>
          <cell r="BW61">
            <v>1</v>
          </cell>
          <cell r="BX61">
            <v>1</v>
          </cell>
          <cell r="BY61">
            <v>1</v>
          </cell>
          <cell r="BZ61">
            <v>1</v>
          </cell>
          <cell r="CA61">
            <v>1</v>
          </cell>
          <cell r="CB61">
            <v>1</v>
          </cell>
          <cell r="CC61">
            <v>7</v>
          </cell>
          <cell r="CD61">
            <v>1</v>
          </cell>
          <cell r="CE61">
            <v>1</v>
          </cell>
          <cell r="CF61">
            <v>1</v>
          </cell>
          <cell r="CG61">
            <v>1</v>
          </cell>
          <cell r="CH61">
            <v>1</v>
          </cell>
          <cell r="CI61">
            <v>1</v>
          </cell>
          <cell r="CJ61">
            <v>1</v>
          </cell>
          <cell r="CK61">
            <v>7</v>
          </cell>
          <cell r="CL61">
            <v>1</v>
          </cell>
          <cell r="CM61">
            <v>1</v>
          </cell>
          <cell r="CN61">
            <v>1</v>
          </cell>
          <cell r="CO61">
            <v>1</v>
          </cell>
          <cell r="CP61">
            <v>1</v>
          </cell>
          <cell r="CQ61">
            <v>1</v>
          </cell>
          <cell r="CR61">
            <v>1</v>
          </cell>
          <cell r="CS61">
            <v>7</v>
          </cell>
          <cell r="CT61">
            <v>1</v>
          </cell>
          <cell r="CU61">
            <v>1</v>
          </cell>
          <cell r="CV61">
            <v>1</v>
          </cell>
          <cell r="CW61">
            <v>1</v>
          </cell>
          <cell r="CX61">
            <v>1</v>
          </cell>
          <cell r="CY61">
            <v>1</v>
          </cell>
          <cell r="CZ61">
            <v>1</v>
          </cell>
          <cell r="DA61">
            <v>7</v>
          </cell>
          <cell r="DB61">
            <v>1</v>
          </cell>
          <cell r="DC61">
            <v>1</v>
          </cell>
          <cell r="DD61">
            <v>1</v>
          </cell>
          <cell r="DE61">
            <v>1</v>
          </cell>
          <cell r="DF61">
            <v>1</v>
          </cell>
          <cell r="DG61">
            <v>1</v>
          </cell>
          <cell r="DH61">
            <v>1</v>
          </cell>
          <cell r="DI61">
            <v>7</v>
          </cell>
          <cell r="DJ61">
            <v>1</v>
          </cell>
          <cell r="DK61">
            <v>1</v>
          </cell>
          <cell r="DL61">
            <v>1</v>
          </cell>
          <cell r="DM61">
            <v>1</v>
          </cell>
          <cell r="DN61">
            <v>1</v>
          </cell>
          <cell r="DO61">
            <v>1</v>
          </cell>
          <cell r="DP61">
            <v>1</v>
          </cell>
          <cell r="DQ61">
            <v>7</v>
          </cell>
        </row>
        <row r="62">
          <cell r="B62">
            <v>3</v>
          </cell>
          <cell r="C62">
            <v>3</v>
          </cell>
          <cell r="D62">
            <v>3</v>
          </cell>
          <cell r="E62">
            <v>3</v>
          </cell>
          <cell r="F62">
            <v>2</v>
          </cell>
          <cell r="G62">
            <v>2</v>
          </cell>
          <cell r="H62">
            <v>2</v>
          </cell>
          <cell r="I62">
            <v>18</v>
          </cell>
          <cell r="J62">
            <v>2</v>
          </cell>
          <cell r="K62">
            <v>2</v>
          </cell>
          <cell r="L62">
            <v>2</v>
          </cell>
          <cell r="M62">
            <v>2</v>
          </cell>
          <cell r="N62">
            <v>2</v>
          </cell>
          <cell r="O62">
            <v>1</v>
          </cell>
          <cell r="P62">
            <v>1</v>
          </cell>
          <cell r="Q62">
            <v>12</v>
          </cell>
          <cell r="R62">
            <v>2</v>
          </cell>
          <cell r="S62">
            <v>2</v>
          </cell>
          <cell r="T62">
            <v>2</v>
          </cell>
          <cell r="U62">
            <v>2</v>
          </cell>
          <cell r="V62">
            <v>2</v>
          </cell>
          <cell r="W62">
            <v>1</v>
          </cell>
          <cell r="X62">
            <v>1</v>
          </cell>
          <cell r="Y62">
            <v>12</v>
          </cell>
          <cell r="Z62">
            <v>5</v>
          </cell>
          <cell r="AA62">
            <v>5</v>
          </cell>
          <cell r="AB62">
            <v>5</v>
          </cell>
          <cell r="AC62">
            <v>5</v>
          </cell>
          <cell r="AD62">
            <v>5</v>
          </cell>
          <cell r="AE62">
            <v>4</v>
          </cell>
          <cell r="AF62">
            <v>4</v>
          </cell>
          <cell r="AG62">
            <v>33</v>
          </cell>
          <cell r="AH62">
            <v>8</v>
          </cell>
          <cell r="AI62">
            <v>8</v>
          </cell>
          <cell r="AJ62">
            <v>8</v>
          </cell>
          <cell r="AK62">
            <v>8</v>
          </cell>
          <cell r="AL62">
            <v>8</v>
          </cell>
          <cell r="AM62">
            <v>8</v>
          </cell>
          <cell r="AN62">
            <v>8</v>
          </cell>
          <cell r="AO62">
            <v>56</v>
          </cell>
          <cell r="AP62">
            <v>10</v>
          </cell>
          <cell r="AQ62">
            <v>10</v>
          </cell>
          <cell r="AR62">
            <v>10</v>
          </cell>
          <cell r="AS62">
            <v>10</v>
          </cell>
          <cell r="AT62">
            <v>9</v>
          </cell>
          <cell r="AU62">
            <v>9</v>
          </cell>
          <cell r="AV62">
            <v>9</v>
          </cell>
          <cell r="AW62">
            <v>67</v>
          </cell>
          <cell r="AX62">
            <v>12</v>
          </cell>
          <cell r="AY62">
            <v>11</v>
          </cell>
          <cell r="AZ62">
            <v>11</v>
          </cell>
          <cell r="BA62">
            <v>11</v>
          </cell>
          <cell r="BB62">
            <v>11</v>
          </cell>
          <cell r="BC62">
            <v>11</v>
          </cell>
          <cell r="BD62">
            <v>11</v>
          </cell>
          <cell r="BE62">
            <v>78</v>
          </cell>
          <cell r="BF62">
            <v>13</v>
          </cell>
          <cell r="BG62">
            <v>13</v>
          </cell>
          <cell r="BH62">
            <v>13</v>
          </cell>
          <cell r="BI62">
            <v>13</v>
          </cell>
          <cell r="BJ62">
            <v>13</v>
          </cell>
          <cell r="BK62">
            <v>12</v>
          </cell>
          <cell r="BL62">
            <v>12</v>
          </cell>
          <cell r="BM62">
            <v>89</v>
          </cell>
          <cell r="BN62">
            <v>15</v>
          </cell>
          <cell r="BO62">
            <v>15</v>
          </cell>
          <cell r="BP62">
            <v>14</v>
          </cell>
          <cell r="BQ62">
            <v>14</v>
          </cell>
          <cell r="BR62">
            <v>14</v>
          </cell>
          <cell r="BS62">
            <v>14</v>
          </cell>
          <cell r="BT62">
            <v>14</v>
          </cell>
          <cell r="BU62">
            <v>100</v>
          </cell>
          <cell r="BV62">
            <v>16</v>
          </cell>
          <cell r="BW62">
            <v>16</v>
          </cell>
          <cell r="BX62">
            <v>16</v>
          </cell>
          <cell r="BY62">
            <v>16</v>
          </cell>
          <cell r="BZ62">
            <v>15</v>
          </cell>
          <cell r="CA62">
            <v>15</v>
          </cell>
          <cell r="CB62">
            <v>15</v>
          </cell>
          <cell r="CC62">
            <v>109</v>
          </cell>
          <cell r="CD62">
            <v>16</v>
          </cell>
          <cell r="CE62">
            <v>16</v>
          </cell>
          <cell r="CF62">
            <v>16</v>
          </cell>
          <cell r="CG62">
            <v>16</v>
          </cell>
          <cell r="CH62">
            <v>15</v>
          </cell>
          <cell r="CI62">
            <v>15</v>
          </cell>
          <cell r="CJ62">
            <v>15</v>
          </cell>
          <cell r="CK62">
            <v>109</v>
          </cell>
          <cell r="CL62">
            <v>17</v>
          </cell>
          <cell r="CM62">
            <v>17</v>
          </cell>
          <cell r="CN62">
            <v>17</v>
          </cell>
          <cell r="CO62">
            <v>16</v>
          </cell>
          <cell r="CP62">
            <v>16</v>
          </cell>
          <cell r="CQ62">
            <v>16</v>
          </cell>
          <cell r="CR62">
            <v>16</v>
          </cell>
          <cell r="CS62">
            <v>115</v>
          </cell>
          <cell r="CT62">
            <v>18</v>
          </cell>
          <cell r="CU62">
            <v>18</v>
          </cell>
          <cell r="CV62">
            <v>17</v>
          </cell>
          <cell r="CW62">
            <v>17</v>
          </cell>
          <cell r="CX62">
            <v>17</v>
          </cell>
          <cell r="CY62">
            <v>17</v>
          </cell>
          <cell r="CZ62">
            <v>17</v>
          </cell>
          <cell r="DA62">
            <v>121</v>
          </cell>
          <cell r="DB62">
            <v>19</v>
          </cell>
          <cell r="DC62">
            <v>18</v>
          </cell>
          <cell r="DD62">
            <v>18</v>
          </cell>
          <cell r="DE62">
            <v>18</v>
          </cell>
          <cell r="DF62">
            <v>18</v>
          </cell>
          <cell r="DG62">
            <v>18</v>
          </cell>
          <cell r="DH62">
            <v>18</v>
          </cell>
          <cell r="DI62">
            <v>127</v>
          </cell>
          <cell r="DJ62">
            <v>19</v>
          </cell>
          <cell r="DK62">
            <v>19</v>
          </cell>
          <cell r="DL62">
            <v>19</v>
          </cell>
          <cell r="DM62">
            <v>19</v>
          </cell>
          <cell r="DN62">
            <v>19</v>
          </cell>
          <cell r="DO62">
            <v>19</v>
          </cell>
          <cell r="DP62">
            <v>19</v>
          </cell>
          <cell r="DQ62">
            <v>133</v>
          </cell>
        </row>
        <row r="63">
          <cell r="B63">
            <v>1</v>
          </cell>
          <cell r="C63">
            <v>1</v>
          </cell>
          <cell r="D63">
            <v>1</v>
          </cell>
          <cell r="E63">
            <v>1</v>
          </cell>
          <cell r="F63">
            <v>1</v>
          </cell>
          <cell r="G63">
            <v>1</v>
          </cell>
          <cell r="H63">
            <v>1</v>
          </cell>
          <cell r="I63">
            <v>7</v>
          </cell>
          <cell r="J63">
            <v>2</v>
          </cell>
          <cell r="K63">
            <v>1</v>
          </cell>
          <cell r="L63">
            <v>1</v>
          </cell>
          <cell r="M63">
            <v>1</v>
          </cell>
          <cell r="N63">
            <v>1</v>
          </cell>
          <cell r="O63">
            <v>1</v>
          </cell>
          <cell r="P63">
            <v>1</v>
          </cell>
          <cell r="Q63">
            <v>8</v>
          </cell>
          <cell r="R63">
            <v>2</v>
          </cell>
          <cell r="S63">
            <v>2</v>
          </cell>
          <cell r="T63">
            <v>2</v>
          </cell>
          <cell r="U63">
            <v>2</v>
          </cell>
          <cell r="V63">
            <v>1</v>
          </cell>
          <cell r="W63">
            <v>1</v>
          </cell>
          <cell r="X63">
            <v>1</v>
          </cell>
          <cell r="Y63">
            <v>11</v>
          </cell>
          <cell r="Z63">
            <v>2</v>
          </cell>
          <cell r="AA63">
            <v>2</v>
          </cell>
          <cell r="AB63">
            <v>2</v>
          </cell>
          <cell r="AC63">
            <v>2</v>
          </cell>
          <cell r="AD63">
            <v>1</v>
          </cell>
          <cell r="AE63">
            <v>1</v>
          </cell>
          <cell r="AF63">
            <v>1</v>
          </cell>
          <cell r="AG63">
            <v>11</v>
          </cell>
          <cell r="AH63">
            <v>2</v>
          </cell>
          <cell r="AI63">
            <v>2</v>
          </cell>
          <cell r="AJ63">
            <v>2</v>
          </cell>
          <cell r="AK63">
            <v>2</v>
          </cell>
          <cell r="AL63">
            <v>1</v>
          </cell>
          <cell r="AM63">
            <v>1</v>
          </cell>
          <cell r="AN63">
            <v>1</v>
          </cell>
          <cell r="AO63">
            <v>11</v>
          </cell>
          <cell r="AP63">
            <v>2</v>
          </cell>
          <cell r="AQ63">
            <v>2</v>
          </cell>
          <cell r="AR63">
            <v>2</v>
          </cell>
          <cell r="AS63">
            <v>2</v>
          </cell>
          <cell r="AT63">
            <v>1</v>
          </cell>
          <cell r="AU63">
            <v>1</v>
          </cell>
          <cell r="AV63">
            <v>1</v>
          </cell>
          <cell r="AW63">
            <v>11</v>
          </cell>
          <cell r="AX63">
            <v>2</v>
          </cell>
          <cell r="AY63">
            <v>2</v>
          </cell>
          <cell r="AZ63">
            <v>2</v>
          </cell>
          <cell r="BA63">
            <v>2</v>
          </cell>
          <cell r="BB63">
            <v>1</v>
          </cell>
          <cell r="BC63">
            <v>1</v>
          </cell>
          <cell r="BD63">
            <v>1</v>
          </cell>
          <cell r="BE63">
            <v>11</v>
          </cell>
          <cell r="BF63">
            <v>2</v>
          </cell>
          <cell r="BG63">
            <v>2</v>
          </cell>
          <cell r="BH63">
            <v>2</v>
          </cell>
          <cell r="BI63">
            <v>2</v>
          </cell>
          <cell r="BJ63">
            <v>1</v>
          </cell>
          <cell r="BK63">
            <v>1</v>
          </cell>
          <cell r="BL63">
            <v>1</v>
          </cell>
          <cell r="BM63">
            <v>11</v>
          </cell>
          <cell r="BN63">
            <v>2</v>
          </cell>
          <cell r="BO63">
            <v>2</v>
          </cell>
          <cell r="BP63">
            <v>2</v>
          </cell>
          <cell r="BQ63">
            <v>2</v>
          </cell>
          <cell r="BR63">
            <v>1</v>
          </cell>
          <cell r="BS63">
            <v>1</v>
          </cell>
          <cell r="BT63">
            <v>1</v>
          </cell>
          <cell r="BU63">
            <v>11</v>
          </cell>
          <cell r="BV63">
            <v>2</v>
          </cell>
          <cell r="BW63">
            <v>2</v>
          </cell>
          <cell r="BX63">
            <v>2</v>
          </cell>
          <cell r="BY63">
            <v>2</v>
          </cell>
          <cell r="BZ63">
            <v>1</v>
          </cell>
          <cell r="CA63">
            <v>1</v>
          </cell>
          <cell r="CB63">
            <v>1</v>
          </cell>
          <cell r="CC63">
            <v>11</v>
          </cell>
          <cell r="CD63">
            <v>2</v>
          </cell>
          <cell r="CE63">
            <v>2</v>
          </cell>
          <cell r="CF63">
            <v>2</v>
          </cell>
          <cell r="CG63">
            <v>2</v>
          </cell>
          <cell r="CH63">
            <v>1</v>
          </cell>
          <cell r="CI63">
            <v>1</v>
          </cell>
          <cell r="CJ63">
            <v>1</v>
          </cell>
          <cell r="CK63">
            <v>11</v>
          </cell>
          <cell r="CL63">
            <v>2</v>
          </cell>
          <cell r="CM63">
            <v>2</v>
          </cell>
          <cell r="CN63">
            <v>2</v>
          </cell>
          <cell r="CO63">
            <v>2</v>
          </cell>
          <cell r="CP63">
            <v>1</v>
          </cell>
          <cell r="CQ63">
            <v>1</v>
          </cell>
          <cell r="CR63">
            <v>1</v>
          </cell>
          <cell r="CS63">
            <v>11</v>
          </cell>
          <cell r="CT63">
            <v>2</v>
          </cell>
          <cell r="CU63">
            <v>2</v>
          </cell>
          <cell r="CV63">
            <v>2</v>
          </cell>
          <cell r="CW63">
            <v>2</v>
          </cell>
          <cell r="CX63">
            <v>1</v>
          </cell>
          <cell r="CY63">
            <v>1</v>
          </cell>
          <cell r="CZ63">
            <v>1</v>
          </cell>
          <cell r="DA63">
            <v>11</v>
          </cell>
          <cell r="DB63">
            <v>2</v>
          </cell>
          <cell r="DC63">
            <v>2</v>
          </cell>
          <cell r="DD63">
            <v>2</v>
          </cell>
          <cell r="DE63">
            <v>2</v>
          </cell>
          <cell r="DF63">
            <v>1</v>
          </cell>
          <cell r="DG63">
            <v>1</v>
          </cell>
          <cell r="DH63">
            <v>1</v>
          </cell>
          <cell r="DI63">
            <v>11</v>
          </cell>
          <cell r="DJ63">
            <v>2</v>
          </cell>
          <cell r="DK63">
            <v>2</v>
          </cell>
          <cell r="DL63">
            <v>2</v>
          </cell>
          <cell r="DM63">
            <v>2</v>
          </cell>
          <cell r="DN63">
            <v>1</v>
          </cell>
          <cell r="DO63">
            <v>1</v>
          </cell>
          <cell r="DP63">
            <v>1</v>
          </cell>
          <cell r="DQ63">
            <v>11</v>
          </cell>
        </row>
        <row r="64">
          <cell r="B64">
            <v>0</v>
          </cell>
          <cell r="C64">
            <v>0</v>
          </cell>
          <cell r="D64">
            <v>0</v>
          </cell>
          <cell r="E64">
            <v>0</v>
          </cell>
          <cell r="F64">
            <v>0</v>
          </cell>
          <cell r="G64">
            <v>0</v>
          </cell>
          <cell r="H64">
            <v>0</v>
          </cell>
          <cell r="I64">
            <v>0</v>
          </cell>
          <cell r="J64">
            <v>1</v>
          </cell>
          <cell r="K64">
            <v>1</v>
          </cell>
          <cell r="L64">
            <v>1</v>
          </cell>
          <cell r="M64">
            <v>1</v>
          </cell>
          <cell r="N64">
            <v>0</v>
          </cell>
          <cell r="O64">
            <v>0</v>
          </cell>
          <cell r="P64">
            <v>0</v>
          </cell>
          <cell r="Q64">
            <v>4</v>
          </cell>
          <cell r="R64">
            <v>1</v>
          </cell>
          <cell r="S64">
            <v>1</v>
          </cell>
          <cell r="T64">
            <v>1</v>
          </cell>
          <cell r="U64">
            <v>1</v>
          </cell>
          <cell r="V64">
            <v>1</v>
          </cell>
          <cell r="W64">
            <v>1</v>
          </cell>
          <cell r="X64">
            <v>1</v>
          </cell>
          <cell r="Y64">
            <v>7</v>
          </cell>
          <cell r="Z64">
            <v>2</v>
          </cell>
          <cell r="AA64">
            <v>2</v>
          </cell>
          <cell r="AB64">
            <v>2</v>
          </cell>
          <cell r="AC64">
            <v>1</v>
          </cell>
          <cell r="AD64">
            <v>1</v>
          </cell>
          <cell r="AE64">
            <v>1</v>
          </cell>
          <cell r="AF64">
            <v>1</v>
          </cell>
          <cell r="AG64">
            <v>10</v>
          </cell>
          <cell r="AH64">
            <v>2</v>
          </cell>
          <cell r="AI64">
            <v>2</v>
          </cell>
          <cell r="AJ64">
            <v>2</v>
          </cell>
          <cell r="AK64">
            <v>2</v>
          </cell>
          <cell r="AL64">
            <v>2</v>
          </cell>
          <cell r="AM64">
            <v>2</v>
          </cell>
          <cell r="AN64">
            <v>1</v>
          </cell>
          <cell r="AO64">
            <v>13</v>
          </cell>
          <cell r="AP64">
            <v>3</v>
          </cell>
          <cell r="AQ64">
            <v>2</v>
          </cell>
          <cell r="AR64">
            <v>2</v>
          </cell>
          <cell r="AS64">
            <v>2</v>
          </cell>
          <cell r="AT64">
            <v>2</v>
          </cell>
          <cell r="AU64">
            <v>2</v>
          </cell>
          <cell r="AV64">
            <v>2</v>
          </cell>
          <cell r="AW64">
            <v>15</v>
          </cell>
          <cell r="AX64">
            <v>3</v>
          </cell>
          <cell r="AY64">
            <v>3</v>
          </cell>
          <cell r="AZ64">
            <v>2</v>
          </cell>
          <cell r="BA64">
            <v>2</v>
          </cell>
          <cell r="BB64">
            <v>2</v>
          </cell>
          <cell r="BC64">
            <v>2</v>
          </cell>
          <cell r="BD64">
            <v>2</v>
          </cell>
          <cell r="BE64">
            <v>16</v>
          </cell>
          <cell r="BF64">
            <v>3</v>
          </cell>
          <cell r="BG64">
            <v>3</v>
          </cell>
          <cell r="BH64">
            <v>3</v>
          </cell>
          <cell r="BI64">
            <v>3</v>
          </cell>
          <cell r="BJ64">
            <v>2</v>
          </cell>
          <cell r="BK64">
            <v>2</v>
          </cell>
          <cell r="BL64">
            <v>2</v>
          </cell>
          <cell r="BM64">
            <v>18</v>
          </cell>
          <cell r="BN64">
            <v>3</v>
          </cell>
          <cell r="BO64">
            <v>3</v>
          </cell>
          <cell r="BP64">
            <v>3</v>
          </cell>
          <cell r="BQ64">
            <v>3</v>
          </cell>
          <cell r="BR64">
            <v>2</v>
          </cell>
          <cell r="BS64">
            <v>2</v>
          </cell>
          <cell r="BT64">
            <v>2</v>
          </cell>
          <cell r="BU64">
            <v>18</v>
          </cell>
          <cell r="BV64">
            <v>3</v>
          </cell>
          <cell r="BW64">
            <v>3</v>
          </cell>
          <cell r="BX64">
            <v>3</v>
          </cell>
          <cell r="BY64">
            <v>3</v>
          </cell>
          <cell r="BZ64">
            <v>2</v>
          </cell>
          <cell r="CA64">
            <v>2</v>
          </cell>
          <cell r="CB64">
            <v>2</v>
          </cell>
          <cell r="CC64">
            <v>18</v>
          </cell>
          <cell r="CD64">
            <v>3</v>
          </cell>
          <cell r="CE64">
            <v>3</v>
          </cell>
          <cell r="CF64">
            <v>3</v>
          </cell>
          <cell r="CG64">
            <v>3</v>
          </cell>
          <cell r="CH64">
            <v>2</v>
          </cell>
          <cell r="CI64">
            <v>2</v>
          </cell>
          <cell r="CJ64">
            <v>2</v>
          </cell>
          <cell r="CK64">
            <v>18</v>
          </cell>
          <cell r="CL64">
            <v>3</v>
          </cell>
          <cell r="CM64">
            <v>3</v>
          </cell>
          <cell r="CN64">
            <v>3</v>
          </cell>
          <cell r="CO64">
            <v>3</v>
          </cell>
          <cell r="CP64">
            <v>2</v>
          </cell>
          <cell r="CQ64">
            <v>2</v>
          </cell>
          <cell r="CR64">
            <v>2</v>
          </cell>
          <cell r="CS64">
            <v>18</v>
          </cell>
          <cell r="CT64">
            <v>3</v>
          </cell>
          <cell r="CU64">
            <v>3</v>
          </cell>
          <cell r="CV64">
            <v>3</v>
          </cell>
          <cell r="CW64">
            <v>3</v>
          </cell>
          <cell r="CX64">
            <v>2</v>
          </cell>
          <cell r="CY64">
            <v>2</v>
          </cell>
          <cell r="CZ64">
            <v>2</v>
          </cell>
          <cell r="DA64">
            <v>18</v>
          </cell>
          <cell r="DB64">
            <v>3</v>
          </cell>
          <cell r="DC64">
            <v>3</v>
          </cell>
          <cell r="DD64">
            <v>3</v>
          </cell>
          <cell r="DE64">
            <v>3</v>
          </cell>
          <cell r="DF64">
            <v>2</v>
          </cell>
          <cell r="DG64">
            <v>2</v>
          </cell>
          <cell r="DH64">
            <v>2</v>
          </cell>
          <cell r="DI64">
            <v>18</v>
          </cell>
          <cell r="DJ64">
            <v>3</v>
          </cell>
          <cell r="DK64">
            <v>3</v>
          </cell>
          <cell r="DL64">
            <v>3</v>
          </cell>
          <cell r="DM64">
            <v>3</v>
          </cell>
          <cell r="DN64">
            <v>2</v>
          </cell>
          <cell r="DO64">
            <v>2</v>
          </cell>
          <cell r="DP64">
            <v>2</v>
          </cell>
          <cell r="DQ64">
            <v>18</v>
          </cell>
        </row>
        <row r="65">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1</v>
          </cell>
          <cell r="AA65">
            <v>1</v>
          </cell>
          <cell r="AB65">
            <v>1</v>
          </cell>
          <cell r="AC65">
            <v>0</v>
          </cell>
          <cell r="AD65">
            <v>0</v>
          </cell>
          <cell r="AE65">
            <v>0</v>
          </cell>
          <cell r="AF65">
            <v>0</v>
          </cell>
          <cell r="AG65">
            <v>3</v>
          </cell>
          <cell r="AH65">
            <v>1</v>
          </cell>
          <cell r="AI65">
            <v>1</v>
          </cell>
          <cell r="AJ65">
            <v>1</v>
          </cell>
          <cell r="AK65">
            <v>1</v>
          </cell>
          <cell r="AL65">
            <v>1</v>
          </cell>
          <cell r="AM65">
            <v>1</v>
          </cell>
          <cell r="AN65">
            <v>1</v>
          </cell>
          <cell r="AO65">
            <v>7</v>
          </cell>
          <cell r="AP65">
            <v>2</v>
          </cell>
          <cell r="AQ65">
            <v>2</v>
          </cell>
          <cell r="AR65">
            <v>2</v>
          </cell>
          <cell r="AS65">
            <v>2</v>
          </cell>
          <cell r="AT65">
            <v>1</v>
          </cell>
          <cell r="AU65">
            <v>1</v>
          </cell>
          <cell r="AV65">
            <v>1</v>
          </cell>
          <cell r="AW65">
            <v>11</v>
          </cell>
          <cell r="AX65">
            <v>3</v>
          </cell>
          <cell r="AY65">
            <v>2</v>
          </cell>
          <cell r="AZ65">
            <v>2</v>
          </cell>
          <cell r="BA65">
            <v>2</v>
          </cell>
          <cell r="BB65">
            <v>2</v>
          </cell>
          <cell r="BC65">
            <v>2</v>
          </cell>
          <cell r="BD65">
            <v>2</v>
          </cell>
          <cell r="BE65">
            <v>15</v>
          </cell>
          <cell r="BF65">
            <v>3</v>
          </cell>
          <cell r="BG65">
            <v>2</v>
          </cell>
          <cell r="BH65">
            <v>2</v>
          </cell>
          <cell r="BI65">
            <v>2</v>
          </cell>
          <cell r="BJ65">
            <v>2</v>
          </cell>
          <cell r="BK65">
            <v>2</v>
          </cell>
          <cell r="BL65">
            <v>2</v>
          </cell>
          <cell r="BM65">
            <v>15</v>
          </cell>
          <cell r="BN65">
            <v>3</v>
          </cell>
          <cell r="BO65">
            <v>2</v>
          </cell>
          <cell r="BP65">
            <v>2</v>
          </cell>
          <cell r="BQ65">
            <v>2</v>
          </cell>
          <cell r="BR65">
            <v>2</v>
          </cell>
          <cell r="BS65">
            <v>2</v>
          </cell>
          <cell r="BT65">
            <v>2</v>
          </cell>
          <cell r="BU65">
            <v>15</v>
          </cell>
          <cell r="BV65">
            <v>3</v>
          </cell>
          <cell r="BW65">
            <v>2</v>
          </cell>
          <cell r="BX65">
            <v>2</v>
          </cell>
          <cell r="BY65">
            <v>2</v>
          </cell>
          <cell r="BZ65">
            <v>2</v>
          </cell>
          <cell r="CA65">
            <v>2</v>
          </cell>
          <cell r="CB65">
            <v>2</v>
          </cell>
          <cell r="CC65">
            <v>15</v>
          </cell>
          <cell r="CD65">
            <v>3</v>
          </cell>
          <cell r="CE65">
            <v>2</v>
          </cell>
          <cell r="CF65">
            <v>2</v>
          </cell>
          <cell r="CG65">
            <v>2</v>
          </cell>
          <cell r="CH65">
            <v>2</v>
          </cell>
          <cell r="CI65">
            <v>2</v>
          </cell>
          <cell r="CJ65">
            <v>2</v>
          </cell>
          <cell r="CK65">
            <v>15</v>
          </cell>
          <cell r="CL65">
            <v>3</v>
          </cell>
          <cell r="CM65">
            <v>2</v>
          </cell>
          <cell r="CN65">
            <v>2</v>
          </cell>
          <cell r="CO65">
            <v>2</v>
          </cell>
          <cell r="CP65">
            <v>2</v>
          </cell>
          <cell r="CQ65">
            <v>2</v>
          </cell>
          <cell r="CR65">
            <v>2</v>
          </cell>
          <cell r="CS65">
            <v>15</v>
          </cell>
          <cell r="CT65">
            <v>3</v>
          </cell>
          <cell r="CU65">
            <v>2</v>
          </cell>
          <cell r="CV65">
            <v>2</v>
          </cell>
          <cell r="CW65">
            <v>2</v>
          </cell>
          <cell r="CX65">
            <v>2</v>
          </cell>
          <cell r="CY65">
            <v>2</v>
          </cell>
          <cell r="CZ65">
            <v>2</v>
          </cell>
          <cell r="DA65">
            <v>15</v>
          </cell>
          <cell r="DB65">
            <v>3</v>
          </cell>
          <cell r="DC65">
            <v>2</v>
          </cell>
          <cell r="DD65">
            <v>2</v>
          </cell>
          <cell r="DE65">
            <v>2</v>
          </cell>
          <cell r="DF65">
            <v>2</v>
          </cell>
          <cell r="DG65">
            <v>2</v>
          </cell>
          <cell r="DH65">
            <v>2</v>
          </cell>
          <cell r="DI65">
            <v>15</v>
          </cell>
          <cell r="DJ65">
            <v>3</v>
          </cell>
          <cell r="DK65">
            <v>2</v>
          </cell>
          <cell r="DL65">
            <v>2</v>
          </cell>
          <cell r="DM65">
            <v>2</v>
          </cell>
          <cell r="DN65">
            <v>2</v>
          </cell>
          <cell r="DO65">
            <v>2</v>
          </cell>
          <cell r="DP65">
            <v>2</v>
          </cell>
          <cell r="DQ65">
            <v>15</v>
          </cell>
        </row>
        <row r="66">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1</v>
          </cell>
          <cell r="AY66">
            <v>1</v>
          </cell>
          <cell r="AZ66">
            <v>1</v>
          </cell>
          <cell r="BA66">
            <v>1</v>
          </cell>
          <cell r="BB66">
            <v>1</v>
          </cell>
          <cell r="BC66">
            <v>0</v>
          </cell>
          <cell r="BD66">
            <v>0</v>
          </cell>
          <cell r="BE66">
            <v>5</v>
          </cell>
          <cell r="BF66">
            <v>2</v>
          </cell>
          <cell r="BG66">
            <v>2</v>
          </cell>
          <cell r="BH66">
            <v>2</v>
          </cell>
          <cell r="BI66">
            <v>2</v>
          </cell>
          <cell r="BJ66">
            <v>2</v>
          </cell>
          <cell r="BK66">
            <v>1</v>
          </cell>
          <cell r="BL66">
            <v>1</v>
          </cell>
          <cell r="BM66">
            <v>12</v>
          </cell>
          <cell r="BN66">
            <v>2</v>
          </cell>
          <cell r="BO66">
            <v>2</v>
          </cell>
          <cell r="BP66">
            <v>2</v>
          </cell>
          <cell r="BQ66">
            <v>2</v>
          </cell>
          <cell r="BR66">
            <v>2</v>
          </cell>
          <cell r="BS66">
            <v>1</v>
          </cell>
          <cell r="BT66">
            <v>1</v>
          </cell>
          <cell r="BU66">
            <v>12</v>
          </cell>
          <cell r="BV66">
            <v>2</v>
          </cell>
          <cell r="BW66">
            <v>2</v>
          </cell>
          <cell r="BX66">
            <v>2</v>
          </cell>
          <cell r="BY66">
            <v>2</v>
          </cell>
          <cell r="BZ66">
            <v>2</v>
          </cell>
          <cell r="CA66">
            <v>1</v>
          </cell>
          <cell r="CB66">
            <v>1</v>
          </cell>
          <cell r="CC66">
            <v>12</v>
          </cell>
          <cell r="CD66">
            <v>2</v>
          </cell>
          <cell r="CE66">
            <v>2</v>
          </cell>
          <cell r="CF66">
            <v>2</v>
          </cell>
          <cell r="CG66">
            <v>2</v>
          </cell>
          <cell r="CH66">
            <v>2</v>
          </cell>
          <cell r="CI66">
            <v>1</v>
          </cell>
          <cell r="CJ66">
            <v>1</v>
          </cell>
          <cell r="CK66">
            <v>12</v>
          </cell>
          <cell r="CL66">
            <v>2</v>
          </cell>
          <cell r="CM66">
            <v>2</v>
          </cell>
          <cell r="CN66">
            <v>2</v>
          </cell>
          <cell r="CO66">
            <v>2</v>
          </cell>
          <cell r="CP66">
            <v>2</v>
          </cell>
          <cell r="CQ66">
            <v>1</v>
          </cell>
          <cell r="CR66">
            <v>1</v>
          </cell>
          <cell r="CS66">
            <v>12</v>
          </cell>
          <cell r="CT66">
            <v>2</v>
          </cell>
          <cell r="CU66">
            <v>2</v>
          </cell>
          <cell r="CV66">
            <v>2</v>
          </cell>
          <cell r="CW66">
            <v>2</v>
          </cell>
          <cell r="CX66">
            <v>2</v>
          </cell>
          <cell r="CY66">
            <v>1</v>
          </cell>
          <cell r="CZ66">
            <v>1</v>
          </cell>
          <cell r="DA66">
            <v>12</v>
          </cell>
          <cell r="DB66">
            <v>2</v>
          </cell>
          <cell r="DC66">
            <v>2</v>
          </cell>
          <cell r="DD66">
            <v>2</v>
          </cell>
          <cell r="DE66">
            <v>2</v>
          </cell>
          <cell r="DF66">
            <v>2</v>
          </cell>
          <cell r="DG66">
            <v>1</v>
          </cell>
          <cell r="DH66">
            <v>1</v>
          </cell>
          <cell r="DI66">
            <v>12</v>
          </cell>
          <cell r="DJ66">
            <v>2</v>
          </cell>
          <cell r="DK66">
            <v>2</v>
          </cell>
          <cell r="DL66">
            <v>2</v>
          </cell>
          <cell r="DM66">
            <v>2</v>
          </cell>
          <cell r="DN66">
            <v>2</v>
          </cell>
          <cell r="DO66">
            <v>1</v>
          </cell>
          <cell r="DP66">
            <v>1</v>
          </cell>
          <cell r="DQ66">
            <v>12</v>
          </cell>
        </row>
        <row r="67">
          <cell r="B67">
            <v>0</v>
          </cell>
          <cell r="C67">
            <v>0</v>
          </cell>
          <cell r="D67">
            <v>0</v>
          </cell>
          <cell r="E67">
            <v>0</v>
          </cell>
          <cell r="F67">
            <v>0</v>
          </cell>
          <cell r="G67">
            <v>0</v>
          </cell>
          <cell r="H67">
            <v>0</v>
          </cell>
          <cell r="I67">
            <v>0</v>
          </cell>
          <cell r="J67">
            <v>1</v>
          </cell>
          <cell r="K67">
            <v>1</v>
          </cell>
          <cell r="L67">
            <v>1</v>
          </cell>
          <cell r="M67">
            <v>0</v>
          </cell>
          <cell r="N67">
            <v>0</v>
          </cell>
          <cell r="O67">
            <v>0</v>
          </cell>
          <cell r="P67">
            <v>0</v>
          </cell>
          <cell r="Q67">
            <v>3</v>
          </cell>
          <cell r="R67">
            <v>1</v>
          </cell>
          <cell r="S67">
            <v>1</v>
          </cell>
          <cell r="T67">
            <v>1</v>
          </cell>
          <cell r="U67">
            <v>1</v>
          </cell>
          <cell r="V67">
            <v>1</v>
          </cell>
          <cell r="W67">
            <v>1</v>
          </cell>
          <cell r="X67">
            <v>1</v>
          </cell>
          <cell r="Y67">
            <v>7</v>
          </cell>
          <cell r="Z67">
            <v>1</v>
          </cell>
          <cell r="AA67">
            <v>1</v>
          </cell>
          <cell r="AB67">
            <v>1</v>
          </cell>
          <cell r="AC67">
            <v>1</v>
          </cell>
          <cell r="AD67">
            <v>1</v>
          </cell>
          <cell r="AE67">
            <v>1</v>
          </cell>
          <cell r="AF67">
            <v>1</v>
          </cell>
          <cell r="AG67">
            <v>7</v>
          </cell>
          <cell r="AH67">
            <v>1</v>
          </cell>
          <cell r="AI67">
            <v>1</v>
          </cell>
          <cell r="AJ67">
            <v>1</v>
          </cell>
          <cell r="AK67">
            <v>1</v>
          </cell>
          <cell r="AL67">
            <v>1</v>
          </cell>
          <cell r="AM67">
            <v>1</v>
          </cell>
          <cell r="AN67">
            <v>1</v>
          </cell>
          <cell r="AO67">
            <v>7</v>
          </cell>
          <cell r="AP67">
            <v>1</v>
          </cell>
          <cell r="AQ67">
            <v>1</v>
          </cell>
          <cell r="AR67">
            <v>1</v>
          </cell>
          <cell r="AS67">
            <v>1</v>
          </cell>
          <cell r="AT67">
            <v>1</v>
          </cell>
          <cell r="AU67">
            <v>1</v>
          </cell>
          <cell r="AV67">
            <v>1</v>
          </cell>
          <cell r="AW67">
            <v>7</v>
          </cell>
          <cell r="AX67">
            <v>1</v>
          </cell>
          <cell r="AY67">
            <v>1</v>
          </cell>
          <cell r="AZ67">
            <v>1</v>
          </cell>
          <cell r="BA67">
            <v>1</v>
          </cell>
          <cell r="BB67">
            <v>1</v>
          </cell>
          <cell r="BC67">
            <v>1</v>
          </cell>
          <cell r="BD67">
            <v>1</v>
          </cell>
          <cell r="BE67">
            <v>7</v>
          </cell>
          <cell r="BF67">
            <v>1</v>
          </cell>
          <cell r="BG67">
            <v>1</v>
          </cell>
          <cell r="BH67">
            <v>1</v>
          </cell>
          <cell r="BI67">
            <v>1</v>
          </cell>
          <cell r="BJ67">
            <v>1</v>
          </cell>
          <cell r="BK67">
            <v>1</v>
          </cell>
          <cell r="BL67">
            <v>1</v>
          </cell>
          <cell r="BM67">
            <v>7</v>
          </cell>
          <cell r="BN67">
            <v>1</v>
          </cell>
          <cell r="BO67">
            <v>1</v>
          </cell>
          <cell r="BP67">
            <v>1</v>
          </cell>
          <cell r="BQ67">
            <v>1</v>
          </cell>
          <cell r="BR67">
            <v>1</v>
          </cell>
          <cell r="BS67">
            <v>1</v>
          </cell>
          <cell r="BT67">
            <v>1</v>
          </cell>
          <cell r="BU67">
            <v>7</v>
          </cell>
          <cell r="BV67">
            <v>1</v>
          </cell>
          <cell r="BW67">
            <v>1</v>
          </cell>
          <cell r="BX67">
            <v>1</v>
          </cell>
          <cell r="BY67">
            <v>1</v>
          </cell>
          <cell r="BZ67">
            <v>1</v>
          </cell>
          <cell r="CA67">
            <v>1</v>
          </cell>
          <cell r="CB67">
            <v>1</v>
          </cell>
          <cell r="CC67">
            <v>7</v>
          </cell>
          <cell r="CD67">
            <v>1</v>
          </cell>
          <cell r="CE67">
            <v>1</v>
          </cell>
          <cell r="CF67">
            <v>1</v>
          </cell>
          <cell r="CG67">
            <v>1</v>
          </cell>
          <cell r="CH67">
            <v>1</v>
          </cell>
          <cell r="CI67">
            <v>1</v>
          </cell>
          <cell r="CJ67">
            <v>1</v>
          </cell>
          <cell r="CK67">
            <v>7</v>
          </cell>
          <cell r="CL67">
            <v>1</v>
          </cell>
          <cell r="CM67">
            <v>1</v>
          </cell>
          <cell r="CN67">
            <v>1</v>
          </cell>
          <cell r="CO67">
            <v>1</v>
          </cell>
          <cell r="CP67">
            <v>1</v>
          </cell>
          <cell r="CQ67">
            <v>1</v>
          </cell>
          <cell r="CR67">
            <v>1</v>
          </cell>
          <cell r="CS67">
            <v>7</v>
          </cell>
          <cell r="CT67">
            <v>1</v>
          </cell>
          <cell r="CU67">
            <v>1</v>
          </cell>
          <cell r="CV67">
            <v>1</v>
          </cell>
          <cell r="CW67">
            <v>1</v>
          </cell>
          <cell r="CX67">
            <v>1</v>
          </cell>
          <cell r="CY67">
            <v>1</v>
          </cell>
          <cell r="CZ67">
            <v>1</v>
          </cell>
          <cell r="DA67">
            <v>7</v>
          </cell>
          <cell r="DB67">
            <v>1</v>
          </cell>
          <cell r="DC67">
            <v>1</v>
          </cell>
          <cell r="DD67">
            <v>1</v>
          </cell>
          <cell r="DE67">
            <v>1</v>
          </cell>
          <cell r="DF67">
            <v>1</v>
          </cell>
          <cell r="DG67">
            <v>1</v>
          </cell>
          <cell r="DH67">
            <v>1</v>
          </cell>
          <cell r="DI67">
            <v>7</v>
          </cell>
          <cell r="DJ67">
            <v>1</v>
          </cell>
          <cell r="DK67">
            <v>1</v>
          </cell>
          <cell r="DL67">
            <v>1</v>
          </cell>
          <cell r="DM67">
            <v>1</v>
          </cell>
          <cell r="DN67">
            <v>1</v>
          </cell>
          <cell r="DO67">
            <v>1</v>
          </cell>
          <cell r="DP67">
            <v>1</v>
          </cell>
          <cell r="DQ67">
            <v>7</v>
          </cell>
        </row>
        <row r="68">
          <cell r="B68">
            <v>0</v>
          </cell>
          <cell r="C68">
            <v>0</v>
          </cell>
          <cell r="D68">
            <v>0</v>
          </cell>
          <cell r="E68">
            <v>0</v>
          </cell>
          <cell r="F68">
            <v>0</v>
          </cell>
          <cell r="G68">
            <v>0</v>
          </cell>
          <cell r="H68">
            <v>0</v>
          </cell>
          <cell r="I68">
            <v>0</v>
          </cell>
          <cell r="J68">
            <v>1</v>
          </cell>
          <cell r="K68">
            <v>1</v>
          </cell>
          <cell r="L68">
            <v>1</v>
          </cell>
          <cell r="M68">
            <v>1</v>
          </cell>
          <cell r="N68">
            <v>0</v>
          </cell>
          <cell r="O68">
            <v>0</v>
          </cell>
          <cell r="P68">
            <v>0</v>
          </cell>
          <cell r="Q68">
            <v>4</v>
          </cell>
          <cell r="R68">
            <v>2</v>
          </cell>
          <cell r="S68">
            <v>2</v>
          </cell>
          <cell r="T68">
            <v>2</v>
          </cell>
          <cell r="U68">
            <v>1</v>
          </cell>
          <cell r="V68">
            <v>1</v>
          </cell>
          <cell r="W68">
            <v>1</v>
          </cell>
          <cell r="X68">
            <v>1</v>
          </cell>
          <cell r="Y68">
            <v>10</v>
          </cell>
          <cell r="Z68">
            <v>3</v>
          </cell>
          <cell r="AA68">
            <v>3</v>
          </cell>
          <cell r="AB68">
            <v>2</v>
          </cell>
          <cell r="AC68">
            <v>2</v>
          </cell>
          <cell r="AD68">
            <v>2</v>
          </cell>
          <cell r="AE68">
            <v>2</v>
          </cell>
          <cell r="AF68">
            <v>2</v>
          </cell>
          <cell r="AG68">
            <v>16</v>
          </cell>
          <cell r="AH68">
            <v>3</v>
          </cell>
          <cell r="AI68">
            <v>3</v>
          </cell>
          <cell r="AJ68">
            <v>3</v>
          </cell>
          <cell r="AK68">
            <v>3</v>
          </cell>
          <cell r="AL68">
            <v>2</v>
          </cell>
          <cell r="AM68">
            <v>2</v>
          </cell>
          <cell r="AN68">
            <v>2</v>
          </cell>
          <cell r="AO68">
            <v>18</v>
          </cell>
          <cell r="AP68">
            <v>3</v>
          </cell>
          <cell r="AQ68">
            <v>3</v>
          </cell>
          <cell r="AR68">
            <v>3</v>
          </cell>
          <cell r="AS68">
            <v>3</v>
          </cell>
          <cell r="AT68">
            <v>2</v>
          </cell>
          <cell r="AU68">
            <v>2</v>
          </cell>
          <cell r="AV68">
            <v>2</v>
          </cell>
          <cell r="AW68">
            <v>18</v>
          </cell>
          <cell r="AX68">
            <v>3</v>
          </cell>
          <cell r="AY68">
            <v>3</v>
          </cell>
          <cell r="AZ68">
            <v>3</v>
          </cell>
          <cell r="BA68">
            <v>3</v>
          </cell>
          <cell r="BB68">
            <v>2</v>
          </cell>
          <cell r="BC68">
            <v>2</v>
          </cell>
          <cell r="BD68">
            <v>2</v>
          </cell>
          <cell r="BE68">
            <v>18</v>
          </cell>
          <cell r="BF68">
            <v>3</v>
          </cell>
          <cell r="BG68">
            <v>3</v>
          </cell>
          <cell r="BH68">
            <v>3</v>
          </cell>
          <cell r="BI68">
            <v>3</v>
          </cell>
          <cell r="BJ68">
            <v>2</v>
          </cell>
          <cell r="BK68">
            <v>2</v>
          </cell>
          <cell r="BL68">
            <v>2</v>
          </cell>
          <cell r="BM68">
            <v>18</v>
          </cell>
          <cell r="BN68">
            <v>3</v>
          </cell>
          <cell r="BO68">
            <v>3</v>
          </cell>
          <cell r="BP68">
            <v>3</v>
          </cell>
          <cell r="BQ68">
            <v>3</v>
          </cell>
          <cell r="BR68">
            <v>2</v>
          </cell>
          <cell r="BS68">
            <v>2</v>
          </cell>
          <cell r="BT68">
            <v>2</v>
          </cell>
          <cell r="BU68">
            <v>18</v>
          </cell>
          <cell r="BV68">
            <v>3</v>
          </cell>
          <cell r="BW68">
            <v>3</v>
          </cell>
          <cell r="BX68">
            <v>3</v>
          </cell>
          <cell r="BY68">
            <v>3</v>
          </cell>
          <cell r="BZ68">
            <v>2</v>
          </cell>
          <cell r="CA68">
            <v>2</v>
          </cell>
          <cell r="CB68">
            <v>2</v>
          </cell>
          <cell r="CC68">
            <v>18</v>
          </cell>
          <cell r="CD68">
            <v>3</v>
          </cell>
          <cell r="CE68">
            <v>3</v>
          </cell>
          <cell r="CF68">
            <v>3</v>
          </cell>
          <cell r="CG68">
            <v>3</v>
          </cell>
          <cell r="CH68">
            <v>2</v>
          </cell>
          <cell r="CI68">
            <v>2</v>
          </cell>
          <cell r="CJ68">
            <v>2</v>
          </cell>
          <cell r="CK68">
            <v>18</v>
          </cell>
          <cell r="CL68">
            <v>3</v>
          </cell>
          <cell r="CM68">
            <v>3</v>
          </cell>
          <cell r="CN68">
            <v>3</v>
          </cell>
          <cell r="CO68">
            <v>3</v>
          </cell>
          <cell r="CP68">
            <v>2</v>
          </cell>
          <cell r="CQ68">
            <v>2</v>
          </cell>
          <cell r="CR68">
            <v>2</v>
          </cell>
          <cell r="CS68">
            <v>18</v>
          </cell>
          <cell r="CT68">
            <v>3</v>
          </cell>
          <cell r="CU68">
            <v>3</v>
          </cell>
          <cell r="CV68">
            <v>3</v>
          </cell>
          <cell r="CW68">
            <v>3</v>
          </cell>
          <cell r="CX68">
            <v>2</v>
          </cell>
          <cell r="CY68">
            <v>2</v>
          </cell>
          <cell r="CZ68">
            <v>2</v>
          </cell>
          <cell r="DA68">
            <v>18</v>
          </cell>
          <cell r="DB68">
            <v>3</v>
          </cell>
          <cell r="DC68">
            <v>3</v>
          </cell>
          <cell r="DD68">
            <v>3</v>
          </cell>
          <cell r="DE68">
            <v>3</v>
          </cell>
          <cell r="DF68">
            <v>2</v>
          </cell>
          <cell r="DG68">
            <v>2</v>
          </cell>
          <cell r="DH68">
            <v>2</v>
          </cell>
          <cell r="DI68">
            <v>18</v>
          </cell>
          <cell r="DJ68">
            <v>3</v>
          </cell>
          <cell r="DK68">
            <v>3</v>
          </cell>
          <cell r="DL68">
            <v>3</v>
          </cell>
          <cell r="DM68">
            <v>3</v>
          </cell>
          <cell r="DN68">
            <v>2</v>
          </cell>
          <cell r="DO68">
            <v>2</v>
          </cell>
          <cell r="DP68">
            <v>2</v>
          </cell>
          <cell r="DQ68">
            <v>18</v>
          </cell>
        </row>
        <row r="69">
          <cell r="B69">
            <v>1</v>
          </cell>
          <cell r="C69">
            <v>1</v>
          </cell>
          <cell r="D69">
            <v>1</v>
          </cell>
          <cell r="E69">
            <v>0</v>
          </cell>
          <cell r="F69">
            <v>0</v>
          </cell>
          <cell r="G69">
            <v>0</v>
          </cell>
          <cell r="H69">
            <v>0</v>
          </cell>
          <cell r="I69">
            <v>3</v>
          </cell>
          <cell r="J69">
            <v>2</v>
          </cell>
          <cell r="K69">
            <v>1</v>
          </cell>
          <cell r="L69">
            <v>1</v>
          </cell>
          <cell r="M69">
            <v>1</v>
          </cell>
          <cell r="N69">
            <v>1</v>
          </cell>
          <cell r="O69">
            <v>1</v>
          </cell>
          <cell r="P69">
            <v>1</v>
          </cell>
          <cell r="Q69">
            <v>8</v>
          </cell>
          <cell r="R69">
            <v>2</v>
          </cell>
          <cell r="S69">
            <v>2</v>
          </cell>
          <cell r="T69">
            <v>2</v>
          </cell>
          <cell r="U69">
            <v>2</v>
          </cell>
          <cell r="V69">
            <v>2</v>
          </cell>
          <cell r="W69">
            <v>2</v>
          </cell>
          <cell r="X69">
            <v>2</v>
          </cell>
          <cell r="Y69">
            <v>14</v>
          </cell>
          <cell r="Z69">
            <v>3</v>
          </cell>
          <cell r="AA69">
            <v>3</v>
          </cell>
          <cell r="AB69">
            <v>3</v>
          </cell>
          <cell r="AC69">
            <v>3</v>
          </cell>
          <cell r="AD69">
            <v>3</v>
          </cell>
          <cell r="AE69">
            <v>3</v>
          </cell>
          <cell r="AF69">
            <v>3</v>
          </cell>
          <cell r="AG69">
            <v>21</v>
          </cell>
          <cell r="AH69">
            <v>4</v>
          </cell>
          <cell r="AI69">
            <v>4</v>
          </cell>
          <cell r="AJ69">
            <v>4</v>
          </cell>
          <cell r="AK69">
            <v>4</v>
          </cell>
          <cell r="AL69">
            <v>3</v>
          </cell>
          <cell r="AM69">
            <v>3</v>
          </cell>
          <cell r="AN69">
            <v>3</v>
          </cell>
          <cell r="AO69">
            <v>25</v>
          </cell>
          <cell r="AP69">
            <v>5</v>
          </cell>
          <cell r="AQ69">
            <v>4</v>
          </cell>
          <cell r="AR69">
            <v>4</v>
          </cell>
          <cell r="AS69">
            <v>4</v>
          </cell>
          <cell r="AT69">
            <v>4</v>
          </cell>
          <cell r="AU69">
            <v>4</v>
          </cell>
          <cell r="AV69">
            <v>4</v>
          </cell>
          <cell r="AW69">
            <v>29</v>
          </cell>
          <cell r="AX69">
            <v>5</v>
          </cell>
          <cell r="AY69">
            <v>5</v>
          </cell>
          <cell r="AZ69">
            <v>5</v>
          </cell>
          <cell r="BA69">
            <v>5</v>
          </cell>
          <cell r="BB69">
            <v>5</v>
          </cell>
          <cell r="BC69">
            <v>5</v>
          </cell>
          <cell r="BD69">
            <v>5</v>
          </cell>
          <cell r="BE69">
            <v>35</v>
          </cell>
          <cell r="BF69">
            <v>6</v>
          </cell>
          <cell r="BG69">
            <v>6</v>
          </cell>
          <cell r="BH69">
            <v>6</v>
          </cell>
          <cell r="BI69">
            <v>6</v>
          </cell>
          <cell r="BJ69">
            <v>6</v>
          </cell>
          <cell r="BK69">
            <v>5</v>
          </cell>
          <cell r="BL69">
            <v>5</v>
          </cell>
          <cell r="BM69">
            <v>40</v>
          </cell>
          <cell r="BN69">
            <v>7</v>
          </cell>
          <cell r="BO69">
            <v>7</v>
          </cell>
          <cell r="BP69">
            <v>6</v>
          </cell>
          <cell r="BQ69">
            <v>6</v>
          </cell>
          <cell r="BR69">
            <v>6</v>
          </cell>
          <cell r="BS69">
            <v>6</v>
          </cell>
          <cell r="BT69">
            <v>6</v>
          </cell>
          <cell r="BU69">
            <v>44</v>
          </cell>
          <cell r="BV69">
            <v>7</v>
          </cell>
          <cell r="BW69">
            <v>7</v>
          </cell>
          <cell r="BX69">
            <v>7</v>
          </cell>
          <cell r="BY69">
            <v>7</v>
          </cell>
          <cell r="BZ69">
            <v>7</v>
          </cell>
          <cell r="CA69">
            <v>7</v>
          </cell>
          <cell r="CB69">
            <v>7</v>
          </cell>
          <cell r="CC69">
            <v>49</v>
          </cell>
          <cell r="CD69">
            <v>8</v>
          </cell>
          <cell r="CE69">
            <v>8</v>
          </cell>
          <cell r="CF69">
            <v>8</v>
          </cell>
          <cell r="CG69">
            <v>7</v>
          </cell>
          <cell r="CH69">
            <v>7</v>
          </cell>
          <cell r="CI69">
            <v>7</v>
          </cell>
          <cell r="CJ69">
            <v>7</v>
          </cell>
          <cell r="CK69">
            <v>52</v>
          </cell>
          <cell r="CL69">
            <v>8</v>
          </cell>
          <cell r="CM69">
            <v>8</v>
          </cell>
          <cell r="CN69">
            <v>8</v>
          </cell>
          <cell r="CO69">
            <v>8</v>
          </cell>
          <cell r="CP69">
            <v>7</v>
          </cell>
          <cell r="CQ69">
            <v>7</v>
          </cell>
          <cell r="CR69">
            <v>7</v>
          </cell>
          <cell r="CS69">
            <v>53</v>
          </cell>
          <cell r="CT69">
            <v>8</v>
          </cell>
          <cell r="CU69">
            <v>8</v>
          </cell>
          <cell r="CV69">
            <v>8</v>
          </cell>
          <cell r="CW69">
            <v>8</v>
          </cell>
          <cell r="CX69">
            <v>8</v>
          </cell>
          <cell r="CY69">
            <v>7</v>
          </cell>
          <cell r="CZ69">
            <v>7</v>
          </cell>
          <cell r="DA69">
            <v>54</v>
          </cell>
          <cell r="DB69">
            <v>8</v>
          </cell>
          <cell r="DC69">
            <v>8</v>
          </cell>
          <cell r="DD69">
            <v>8</v>
          </cell>
          <cell r="DE69">
            <v>8</v>
          </cell>
          <cell r="DF69">
            <v>8</v>
          </cell>
          <cell r="DG69">
            <v>8</v>
          </cell>
          <cell r="DH69">
            <v>7</v>
          </cell>
          <cell r="DI69">
            <v>55</v>
          </cell>
          <cell r="DJ69">
            <v>8</v>
          </cell>
          <cell r="DK69">
            <v>8</v>
          </cell>
          <cell r="DL69">
            <v>8</v>
          </cell>
          <cell r="DM69">
            <v>8</v>
          </cell>
          <cell r="DN69">
            <v>8</v>
          </cell>
          <cell r="DO69">
            <v>8</v>
          </cell>
          <cell r="DP69">
            <v>8</v>
          </cell>
          <cell r="DQ69">
            <v>56</v>
          </cell>
        </row>
        <row r="70">
          <cell r="B70">
            <v>1</v>
          </cell>
          <cell r="C70">
            <v>1</v>
          </cell>
          <cell r="D70">
            <v>1</v>
          </cell>
          <cell r="E70">
            <v>1</v>
          </cell>
          <cell r="F70">
            <v>1</v>
          </cell>
          <cell r="G70">
            <v>0</v>
          </cell>
          <cell r="H70">
            <v>0</v>
          </cell>
          <cell r="I70">
            <v>5</v>
          </cell>
          <cell r="J70">
            <v>1</v>
          </cell>
          <cell r="K70">
            <v>1</v>
          </cell>
          <cell r="L70">
            <v>1</v>
          </cell>
          <cell r="M70">
            <v>1</v>
          </cell>
          <cell r="N70">
            <v>0</v>
          </cell>
          <cell r="O70">
            <v>0</v>
          </cell>
          <cell r="P70">
            <v>0</v>
          </cell>
          <cell r="Q70">
            <v>4</v>
          </cell>
          <cell r="R70">
            <v>1</v>
          </cell>
          <cell r="S70">
            <v>1</v>
          </cell>
          <cell r="T70">
            <v>1</v>
          </cell>
          <cell r="U70">
            <v>1</v>
          </cell>
          <cell r="V70">
            <v>1</v>
          </cell>
          <cell r="W70">
            <v>1</v>
          </cell>
          <cell r="X70">
            <v>1</v>
          </cell>
          <cell r="Y70">
            <v>7</v>
          </cell>
          <cell r="Z70">
            <v>2</v>
          </cell>
          <cell r="AA70">
            <v>2</v>
          </cell>
          <cell r="AB70">
            <v>2</v>
          </cell>
          <cell r="AC70">
            <v>2</v>
          </cell>
          <cell r="AD70">
            <v>1</v>
          </cell>
          <cell r="AE70">
            <v>1</v>
          </cell>
          <cell r="AF70">
            <v>1</v>
          </cell>
          <cell r="AG70">
            <v>11</v>
          </cell>
          <cell r="AH70">
            <v>3</v>
          </cell>
          <cell r="AI70">
            <v>3</v>
          </cell>
          <cell r="AJ70">
            <v>2</v>
          </cell>
          <cell r="AK70">
            <v>2</v>
          </cell>
          <cell r="AL70">
            <v>2</v>
          </cell>
          <cell r="AM70">
            <v>2</v>
          </cell>
          <cell r="AN70">
            <v>2</v>
          </cell>
          <cell r="AO70">
            <v>16</v>
          </cell>
          <cell r="AP70">
            <v>3</v>
          </cell>
          <cell r="AQ70">
            <v>3</v>
          </cell>
          <cell r="AR70">
            <v>3</v>
          </cell>
          <cell r="AS70">
            <v>3</v>
          </cell>
          <cell r="AT70">
            <v>3</v>
          </cell>
          <cell r="AU70">
            <v>3</v>
          </cell>
          <cell r="AV70">
            <v>2</v>
          </cell>
          <cell r="AW70">
            <v>20</v>
          </cell>
          <cell r="AX70">
            <v>4</v>
          </cell>
          <cell r="AY70">
            <v>4</v>
          </cell>
          <cell r="AZ70">
            <v>4</v>
          </cell>
          <cell r="BA70">
            <v>3</v>
          </cell>
          <cell r="BB70">
            <v>3</v>
          </cell>
          <cell r="BC70">
            <v>3</v>
          </cell>
          <cell r="BD70">
            <v>3</v>
          </cell>
          <cell r="BE70">
            <v>24</v>
          </cell>
          <cell r="BF70">
            <v>4</v>
          </cell>
          <cell r="BG70">
            <v>4</v>
          </cell>
          <cell r="BH70">
            <v>4</v>
          </cell>
          <cell r="BI70">
            <v>4</v>
          </cell>
          <cell r="BJ70">
            <v>4</v>
          </cell>
          <cell r="BK70">
            <v>4</v>
          </cell>
          <cell r="BL70">
            <v>4</v>
          </cell>
          <cell r="BM70">
            <v>28</v>
          </cell>
          <cell r="BN70">
            <v>5</v>
          </cell>
          <cell r="BO70">
            <v>5</v>
          </cell>
          <cell r="BP70">
            <v>5</v>
          </cell>
          <cell r="BQ70">
            <v>4</v>
          </cell>
          <cell r="BR70">
            <v>4</v>
          </cell>
          <cell r="BS70">
            <v>4</v>
          </cell>
          <cell r="BT70">
            <v>4</v>
          </cell>
          <cell r="BU70">
            <v>31</v>
          </cell>
          <cell r="BV70">
            <v>5</v>
          </cell>
          <cell r="BW70">
            <v>5</v>
          </cell>
          <cell r="BX70">
            <v>5</v>
          </cell>
          <cell r="BY70">
            <v>5</v>
          </cell>
          <cell r="BZ70">
            <v>5</v>
          </cell>
          <cell r="CA70">
            <v>4</v>
          </cell>
          <cell r="CB70">
            <v>4</v>
          </cell>
          <cell r="CC70">
            <v>33</v>
          </cell>
          <cell r="CD70">
            <v>5</v>
          </cell>
          <cell r="CE70">
            <v>5</v>
          </cell>
          <cell r="CF70">
            <v>5</v>
          </cell>
          <cell r="CG70">
            <v>5</v>
          </cell>
          <cell r="CH70">
            <v>5</v>
          </cell>
          <cell r="CI70">
            <v>5</v>
          </cell>
          <cell r="CJ70">
            <v>4</v>
          </cell>
          <cell r="CK70">
            <v>34</v>
          </cell>
          <cell r="CL70">
            <v>5</v>
          </cell>
          <cell r="CM70">
            <v>5</v>
          </cell>
          <cell r="CN70">
            <v>5</v>
          </cell>
          <cell r="CO70">
            <v>5</v>
          </cell>
          <cell r="CP70">
            <v>5</v>
          </cell>
          <cell r="CQ70">
            <v>5</v>
          </cell>
          <cell r="CR70">
            <v>4</v>
          </cell>
          <cell r="CS70">
            <v>34</v>
          </cell>
          <cell r="CT70">
            <v>5</v>
          </cell>
          <cell r="CU70">
            <v>5</v>
          </cell>
          <cell r="CV70">
            <v>5</v>
          </cell>
          <cell r="CW70">
            <v>5</v>
          </cell>
          <cell r="CX70">
            <v>5</v>
          </cell>
          <cell r="CY70">
            <v>5</v>
          </cell>
          <cell r="CZ70">
            <v>4</v>
          </cell>
          <cell r="DA70">
            <v>34</v>
          </cell>
          <cell r="DB70">
            <v>5</v>
          </cell>
          <cell r="DC70">
            <v>5</v>
          </cell>
          <cell r="DD70">
            <v>5</v>
          </cell>
          <cell r="DE70">
            <v>5</v>
          </cell>
          <cell r="DF70">
            <v>5</v>
          </cell>
          <cell r="DG70">
            <v>5</v>
          </cell>
          <cell r="DH70">
            <v>4</v>
          </cell>
          <cell r="DI70">
            <v>34</v>
          </cell>
          <cell r="DJ70">
            <v>5</v>
          </cell>
          <cell r="DK70">
            <v>5</v>
          </cell>
          <cell r="DL70">
            <v>5</v>
          </cell>
          <cell r="DM70">
            <v>5</v>
          </cell>
          <cell r="DN70">
            <v>5</v>
          </cell>
          <cell r="DO70">
            <v>5</v>
          </cell>
          <cell r="DP70">
            <v>4</v>
          </cell>
          <cell r="DQ70">
            <v>34</v>
          </cell>
        </row>
        <row r="71">
          <cell r="B71">
            <v>1</v>
          </cell>
          <cell r="C71">
            <v>1</v>
          </cell>
          <cell r="D71">
            <v>1</v>
          </cell>
          <cell r="E71">
            <v>0</v>
          </cell>
          <cell r="F71">
            <v>0</v>
          </cell>
          <cell r="G71">
            <v>0</v>
          </cell>
          <cell r="H71">
            <v>0</v>
          </cell>
          <cell r="I71">
            <v>3</v>
          </cell>
          <cell r="J71">
            <v>1</v>
          </cell>
          <cell r="K71">
            <v>1</v>
          </cell>
          <cell r="L71">
            <v>1</v>
          </cell>
          <cell r="M71">
            <v>0</v>
          </cell>
          <cell r="N71">
            <v>0</v>
          </cell>
          <cell r="O71">
            <v>0</v>
          </cell>
          <cell r="P71">
            <v>0</v>
          </cell>
          <cell r="Q71">
            <v>3</v>
          </cell>
          <cell r="R71">
            <v>1</v>
          </cell>
          <cell r="S71">
            <v>1</v>
          </cell>
          <cell r="T71">
            <v>1</v>
          </cell>
          <cell r="U71">
            <v>1</v>
          </cell>
          <cell r="V71">
            <v>0</v>
          </cell>
          <cell r="W71">
            <v>0</v>
          </cell>
          <cell r="X71">
            <v>0</v>
          </cell>
          <cell r="Y71">
            <v>4</v>
          </cell>
          <cell r="Z71">
            <v>1</v>
          </cell>
          <cell r="AA71">
            <v>1</v>
          </cell>
          <cell r="AB71">
            <v>1</v>
          </cell>
          <cell r="AC71">
            <v>1</v>
          </cell>
          <cell r="AD71">
            <v>1</v>
          </cell>
          <cell r="AE71">
            <v>1</v>
          </cell>
          <cell r="AF71">
            <v>1</v>
          </cell>
          <cell r="AG71">
            <v>7</v>
          </cell>
          <cell r="AH71">
            <v>2</v>
          </cell>
          <cell r="AI71">
            <v>2</v>
          </cell>
          <cell r="AJ71">
            <v>2</v>
          </cell>
          <cell r="AK71">
            <v>2</v>
          </cell>
          <cell r="AL71">
            <v>1</v>
          </cell>
          <cell r="AM71">
            <v>1</v>
          </cell>
          <cell r="AN71">
            <v>1</v>
          </cell>
          <cell r="AO71">
            <v>11</v>
          </cell>
          <cell r="AP71">
            <v>2</v>
          </cell>
          <cell r="AQ71">
            <v>2</v>
          </cell>
          <cell r="AR71">
            <v>2</v>
          </cell>
          <cell r="AS71">
            <v>2</v>
          </cell>
          <cell r="AT71">
            <v>2</v>
          </cell>
          <cell r="AU71">
            <v>2</v>
          </cell>
          <cell r="AV71">
            <v>1</v>
          </cell>
          <cell r="AW71">
            <v>13</v>
          </cell>
          <cell r="AX71">
            <v>3</v>
          </cell>
          <cell r="AY71">
            <v>3</v>
          </cell>
          <cell r="AZ71">
            <v>3</v>
          </cell>
          <cell r="BA71">
            <v>3</v>
          </cell>
          <cell r="BB71">
            <v>3</v>
          </cell>
          <cell r="BC71">
            <v>2</v>
          </cell>
          <cell r="BD71">
            <v>2</v>
          </cell>
          <cell r="BE71">
            <v>19</v>
          </cell>
          <cell r="BF71">
            <v>4</v>
          </cell>
          <cell r="BG71">
            <v>4</v>
          </cell>
          <cell r="BH71">
            <v>4</v>
          </cell>
          <cell r="BI71">
            <v>3</v>
          </cell>
          <cell r="BJ71">
            <v>3</v>
          </cell>
          <cell r="BK71">
            <v>3</v>
          </cell>
          <cell r="BL71">
            <v>3</v>
          </cell>
          <cell r="BM71">
            <v>24</v>
          </cell>
          <cell r="BN71">
            <v>5</v>
          </cell>
          <cell r="BO71">
            <v>4</v>
          </cell>
          <cell r="BP71">
            <v>4</v>
          </cell>
          <cell r="BQ71">
            <v>4</v>
          </cell>
          <cell r="BR71">
            <v>4</v>
          </cell>
          <cell r="BS71">
            <v>4</v>
          </cell>
          <cell r="BT71">
            <v>4</v>
          </cell>
          <cell r="BU71">
            <v>29</v>
          </cell>
          <cell r="BV71">
            <v>5</v>
          </cell>
          <cell r="BW71">
            <v>5</v>
          </cell>
          <cell r="BX71">
            <v>5</v>
          </cell>
          <cell r="BY71">
            <v>5</v>
          </cell>
          <cell r="BZ71">
            <v>5</v>
          </cell>
          <cell r="CA71">
            <v>5</v>
          </cell>
          <cell r="CB71">
            <v>5</v>
          </cell>
          <cell r="CC71">
            <v>35</v>
          </cell>
          <cell r="CD71">
            <v>6</v>
          </cell>
          <cell r="CE71">
            <v>6</v>
          </cell>
          <cell r="CF71">
            <v>6</v>
          </cell>
          <cell r="CG71">
            <v>6</v>
          </cell>
          <cell r="CH71">
            <v>6</v>
          </cell>
          <cell r="CI71">
            <v>5</v>
          </cell>
          <cell r="CJ71">
            <v>5</v>
          </cell>
          <cell r="CK71">
            <v>40</v>
          </cell>
          <cell r="CL71">
            <v>7</v>
          </cell>
          <cell r="CM71">
            <v>6</v>
          </cell>
          <cell r="CN71">
            <v>6</v>
          </cell>
          <cell r="CO71">
            <v>6</v>
          </cell>
          <cell r="CP71">
            <v>6</v>
          </cell>
          <cell r="CQ71">
            <v>6</v>
          </cell>
          <cell r="CR71">
            <v>6</v>
          </cell>
          <cell r="CS71">
            <v>43</v>
          </cell>
          <cell r="CT71">
            <v>7</v>
          </cell>
          <cell r="CU71">
            <v>7</v>
          </cell>
          <cell r="CV71">
            <v>7</v>
          </cell>
          <cell r="CW71">
            <v>7</v>
          </cell>
          <cell r="CX71">
            <v>7</v>
          </cell>
          <cell r="CY71">
            <v>6</v>
          </cell>
          <cell r="CZ71">
            <v>6</v>
          </cell>
          <cell r="DA71">
            <v>47</v>
          </cell>
          <cell r="DB71">
            <v>8</v>
          </cell>
          <cell r="DC71">
            <v>7</v>
          </cell>
          <cell r="DD71">
            <v>7</v>
          </cell>
          <cell r="DE71">
            <v>7</v>
          </cell>
          <cell r="DF71">
            <v>7</v>
          </cell>
          <cell r="DG71">
            <v>7</v>
          </cell>
          <cell r="DH71">
            <v>7</v>
          </cell>
          <cell r="DI71">
            <v>50</v>
          </cell>
          <cell r="DJ71">
            <v>8</v>
          </cell>
          <cell r="DK71">
            <v>8</v>
          </cell>
          <cell r="DL71">
            <v>8</v>
          </cell>
          <cell r="DM71">
            <v>8</v>
          </cell>
          <cell r="DN71">
            <v>8</v>
          </cell>
          <cell r="DO71">
            <v>7</v>
          </cell>
          <cell r="DP71">
            <v>7</v>
          </cell>
          <cell r="DQ71">
            <v>54</v>
          </cell>
        </row>
        <row r="72">
          <cell r="B72">
            <v>1</v>
          </cell>
          <cell r="C72">
            <v>1</v>
          </cell>
          <cell r="D72">
            <v>1</v>
          </cell>
          <cell r="E72">
            <v>0</v>
          </cell>
          <cell r="F72">
            <v>0</v>
          </cell>
          <cell r="G72">
            <v>0</v>
          </cell>
          <cell r="H72">
            <v>0</v>
          </cell>
          <cell r="I72">
            <v>3</v>
          </cell>
          <cell r="J72">
            <v>2</v>
          </cell>
          <cell r="K72">
            <v>2</v>
          </cell>
          <cell r="L72">
            <v>1</v>
          </cell>
          <cell r="M72">
            <v>1</v>
          </cell>
          <cell r="N72">
            <v>1</v>
          </cell>
          <cell r="O72">
            <v>1</v>
          </cell>
          <cell r="P72">
            <v>1</v>
          </cell>
          <cell r="Q72">
            <v>9</v>
          </cell>
          <cell r="R72">
            <v>3</v>
          </cell>
          <cell r="S72">
            <v>3</v>
          </cell>
          <cell r="T72">
            <v>3</v>
          </cell>
          <cell r="U72">
            <v>2</v>
          </cell>
          <cell r="V72">
            <v>2</v>
          </cell>
          <cell r="W72">
            <v>2</v>
          </cell>
          <cell r="X72">
            <v>2</v>
          </cell>
          <cell r="Y72">
            <v>17</v>
          </cell>
          <cell r="Z72">
            <v>4</v>
          </cell>
          <cell r="AA72">
            <v>4</v>
          </cell>
          <cell r="AB72">
            <v>4</v>
          </cell>
          <cell r="AC72">
            <v>3</v>
          </cell>
          <cell r="AD72">
            <v>3</v>
          </cell>
          <cell r="AE72">
            <v>3</v>
          </cell>
          <cell r="AF72">
            <v>3</v>
          </cell>
          <cell r="AG72">
            <v>24</v>
          </cell>
          <cell r="AH72">
            <v>4</v>
          </cell>
          <cell r="AI72">
            <v>4</v>
          </cell>
          <cell r="AJ72">
            <v>4</v>
          </cell>
          <cell r="AK72">
            <v>4</v>
          </cell>
          <cell r="AL72">
            <v>4</v>
          </cell>
          <cell r="AM72">
            <v>4</v>
          </cell>
          <cell r="AN72">
            <v>4</v>
          </cell>
          <cell r="AO72">
            <v>28</v>
          </cell>
          <cell r="AP72">
            <v>5</v>
          </cell>
          <cell r="AQ72">
            <v>5</v>
          </cell>
          <cell r="AR72">
            <v>5</v>
          </cell>
          <cell r="AS72">
            <v>5</v>
          </cell>
          <cell r="AT72">
            <v>5</v>
          </cell>
          <cell r="AU72">
            <v>4</v>
          </cell>
          <cell r="AV72">
            <v>4</v>
          </cell>
          <cell r="AW72">
            <v>33</v>
          </cell>
          <cell r="AX72">
            <v>6</v>
          </cell>
          <cell r="AY72">
            <v>5</v>
          </cell>
          <cell r="AZ72">
            <v>5</v>
          </cell>
          <cell r="BA72">
            <v>5</v>
          </cell>
          <cell r="BB72">
            <v>5</v>
          </cell>
          <cell r="BC72">
            <v>5</v>
          </cell>
          <cell r="BD72">
            <v>5</v>
          </cell>
          <cell r="BE72">
            <v>36</v>
          </cell>
          <cell r="BF72">
            <v>6</v>
          </cell>
          <cell r="BG72">
            <v>6</v>
          </cell>
          <cell r="BH72">
            <v>6</v>
          </cell>
          <cell r="BI72">
            <v>5</v>
          </cell>
          <cell r="BJ72">
            <v>5</v>
          </cell>
          <cell r="BK72">
            <v>5</v>
          </cell>
          <cell r="BL72">
            <v>5</v>
          </cell>
          <cell r="BM72">
            <v>38</v>
          </cell>
          <cell r="BN72">
            <v>6</v>
          </cell>
          <cell r="BO72">
            <v>6</v>
          </cell>
          <cell r="BP72">
            <v>6</v>
          </cell>
          <cell r="BQ72">
            <v>6</v>
          </cell>
          <cell r="BR72">
            <v>6</v>
          </cell>
          <cell r="BS72">
            <v>6</v>
          </cell>
          <cell r="BT72">
            <v>5</v>
          </cell>
          <cell r="BU72">
            <v>41</v>
          </cell>
          <cell r="BV72">
            <v>7</v>
          </cell>
          <cell r="BW72">
            <v>7</v>
          </cell>
          <cell r="BX72">
            <v>6</v>
          </cell>
          <cell r="BY72">
            <v>6</v>
          </cell>
          <cell r="BZ72">
            <v>6</v>
          </cell>
          <cell r="CA72">
            <v>6</v>
          </cell>
          <cell r="CB72">
            <v>6</v>
          </cell>
          <cell r="CC72">
            <v>44</v>
          </cell>
          <cell r="CD72">
            <v>7</v>
          </cell>
          <cell r="CE72">
            <v>7</v>
          </cell>
          <cell r="CF72">
            <v>7</v>
          </cell>
          <cell r="CG72">
            <v>7</v>
          </cell>
          <cell r="CH72">
            <v>6</v>
          </cell>
          <cell r="CI72">
            <v>6</v>
          </cell>
          <cell r="CJ72">
            <v>6</v>
          </cell>
          <cell r="CK72">
            <v>46</v>
          </cell>
          <cell r="CL72">
            <v>7</v>
          </cell>
          <cell r="CM72">
            <v>7</v>
          </cell>
          <cell r="CN72">
            <v>7</v>
          </cell>
          <cell r="CO72">
            <v>7</v>
          </cell>
          <cell r="CP72">
            <v>7</v>
          </cell>
          <cell r="CQ72">
            <v>6</v>
          </cell>
          <cell r="CR72">
            <v>6</v>
          </cell>
          <cell r="CS72">
            <v>47</v>
          </cell>
          <cell r="CT72">
            <v>7</v>
          </cell>
          <cell r="CU72">
            <v>7</v>
          </cell>
          <cell r="CV72">
            <v>7</v>
          </cell>
          <cell r="CW72">
            <v>7</v>
          </cell>
          <cell r="CX72">
            <v>7</v>
          </cell>
          <cell r="CY72">
            <v>6</v>
          </cell>
          <cell r="CZ72">
            <v>6</v>
          </cell>
          <cell r="DA72">
            <v>47</v>
          </cell>
          <cell r="DB72">
            <v>7</v>
          </cell>
          <cell r="DC72">
            <v>7</v>
          </cell>
          <cell r="DD72">
            <v>7</v>
          </cell>
          <cell r="DE72">
            <v>7</v>
          </cell>
          <cell r="DF72">
            <v>7</v>
          </cell>
          <cell r="DG72">
            <v>7</v>
          </cell>
          <cell r="DH72">
            <v>6</v>
          </cell>
          <cell r="DI72">
            <v>48</v>
          </cell>
          <cell r="DJ72">
            <v>7</v>
          </cell>
          <cell r="DK72">
            <v>7</v>
          </cell>
          <cell r="DL72">
            <v>7</v>
          </cell>
          <cell r="DM72">
            <v>7</v>
          </cell>
          <cell r="DN72">
            <v>7</v>
          </cell>
          <cell r="DO72">
            <v>7</v>
          </cell>
          <cell r="DP72">
            <v>6</v>
          </cell>
          <cell r="DQ72">
            <v>48</v>
          </cell>
        </row>
        <row r="73">
          <cell r="B73">
            <v>1</v>
          </cell>
          <cell r="C73">
            <v>1</v>
          </cell>
          <cell r="D73">
            <v>1</v>
          </cell>
          <cell r="E73">
            <v>1</v>
          </cell>
          <cell r="F73">
            <v>1</v>
          </cell>
          <cell r="G73">
            <v>0</v>
          </cell>
          <cell r="H73">
            <v>0</v>
          </cell>
          <cell r="I73">
            <v>5</v>
          </cell>
          <cell r="J73">
            <v>2</v>
          </cell>
          <cell r="K73">
            <v>1</v>
          </cell>
          <cell r="L73">
            <v>1</v>
          </cell>
          <cell r="M73">
            <v>1</v>
          </cell>
          <cell r="N73">
            <v>1</v>
          </cell>
          <cell r="O73">
            <v>1</v>
          </cell>
          <cell r="P73">
            <v>1</v>
          </cell>
          <cell r="Q73">
            <v>8</v>
          </cell>
          <cell r="R73">
            <v>3</v>
          </cell>
          <cell r="S73">
            <v>3</v>
          </cell>
          <cell r="T73">
            <v>2</v>
          </cell>
          <cell r="U73">
            <v>2</v>
          </cell>
          <cell r="V73">
            <v>2</v>
          </cell>
          <cell r="W73">
            <v>2</v>
          </cell>
          <cell r="X73">
            <v>2</v>
          </cell>
          <cell r="Y73">
            <v>16</v>
          </cell>
          <cell r="Z73">
            <v>4</v>
          </cell>
          <cell r="AA73">
            <v>4</v>
          </cell>
          <cell r="AB73">
            <v>4</v>
          </cell>
          <cell r="AC73">
            <v>4</v>
          </cell>
          <cell r="AD73">
            <v>4</v>
          </cell>
          <cell r="AE73">
            <v>4</v>
          </cell>
          <cell r="AF73">
            <v>4</v>
          </cell>
          <cell r="AG73">
            <v>28</v>
          </cell>
          <cell r="AH73">
            <v>6</v>
          </cell>
          <cell r="AI73">
            <v>6</v>
          </cell>
          <cell r="AJ73">
            <v>6</v>
          </cell>
          <cell r="AK73">
            <v>6</v>
          </cell>
          <cell r="AL73">
            <v>6</v>
          </cell>
          <cell r="AM73">
            <v>6</v>
          </cell>
          <cell r="AN73">
            <v>6</v>
          </cell>
          <cell r="AO73">
            <v>42</v>
          </cell>
          <cell r="AP73">
            <v>8</v>
          </cell>
          <cell r="AQ73">
            <v>8</v>
          </cell>
          <cell r="AR73">
            <v>8</v>
          </cell>
          <cell r="AS73">
            <v>8</v>
          </cell>
          <cell r="AT73">
            <v>7</v>
          </cell>
          <cell r="AU73">
            <v>7</v>
          </cell>
          <cell r="AV73">
            <v>7</v>
          </cell>
          <cell r="AW73">
            <v>53</v>
          </cell>
          <cell r="AX73">
            <v>9</v>
          </cell>
          <cell r="AY73">
            <v>9</v>
          </cell>
          <cell r="AZ73">
            <v>9</v>
          </cell>
          <cell r="BA73">
            <v>9</v>
          </cell>
          <cell r="BB73">
            <v>9</v>
          </cell>
          <cell r="BC73">
            <v>9</v>
          </cell>
          <cell r="BD73">
            <v>9</v>
          </cell>
          <cell r="BE73">
            <v>63</v>
          </cell>
          <cell r="BF73">
            <v>11</v>
          </cell>
          <cell r="BG73">
            <v>11</v>
          </cell>
          <cell r="BH73">
            <v>11</v>
          </cell>
          <cell r="BI73">
            <v>10</v>
          </cell>
          <cell r="BJ73">
            <v>10</v>
          </cell>
          <cell r="BK73">
            <v>10</v>
          </cell>
          <cell r="BL73">
            <v>10</v>
          </cell>
          <cell r="BM73">
            <v>73</v>
          </cell>
          <cell r="BN73">
            <v>12</v>
          </cell>
          <cell r="BO73">
            <v>12</v>
          </cell>
          <cell r="BP73">
            <v>12</v>
          </cell>
          <cell r="BQ73">
            <v>12</v>
          </cell>
          <cell r="BR73">
            <v>12</v>
          </cell>
          <cell r="BS73">
            <v>12</v>
          </cell>
          <cell r="BT73">
            <v>11</v>
          </cell>
          <cell r="BU73">
            <v>83</v>
          </cell>
          <cell r="BV73">
            <v>13</v>
          </cell>
          <cell r="BW73">
            <v>13</v>
          </cell>
          <cell r="BX73">
            <v>13</v>
          </cell>
          <cell r="BY73">
            <v>13</v>
          </cell>
          <cell r="BZ73">
            <v>13</v>
          </cell>
          <cell r="CA73">
            <v>13</v>
          </cell>
          <cell r="CB73">
            <v>12</v>
          </cell>
          <cell r="CC73">
            <v>90</v>
          </cell>
          <cell r="CD73">
            <v>13</v>
          </cell>
          <cell r="CE73">
            <v>13</v>
          </cell>
          <cell r="CF73">
            <v>13</v>
          </cell>
          <cell r="CG73">
            <v>13</v>
          </cell>
          <cell r="CH73">
            <v>13</v>
          </cell>
          <cell r="CI73">
            <v>13</v>
          </cell>
          <cell r="CJ73">
            <v>13</v>
          </cell>
          <cell r="CK73">
            <v>91</v>
          </cell>
          <cell r="CL73">
            <v>14</v>
          </cell>
          <cell r="CM73">
            <v>13</v>
          </cell>
          <cell r="CN73">
            <v>13</v>
          </cell>
          <cell r="CO73">
            <v>13</v>
          </cell>
          <cell r="CP73">
            <v>13</v>
          </cell>
          <cell r="CQ73">
            <v>13</v>
          </cell>
          <cell r="CR73">
            <v>13</v>
          </cell>
          <cell r="CS73">
            <v>92</v>
          </cell>
          <cell r="CT73">
            <v>14</v>
          </cell>
          <cell r="CU73">
            <v>13</v>
          </cell>
          <cell r="CV73">
            <v>13</v>
          </cell>
          <cell r="CW73">
            <v>13</v>
          </cell>
          <cell r="CX73">
            <v>13</v>
          </cell>
          <cell r="CY73">
            <v>13</v>
          </cell>
          <cell r="CZ73">
            <v>13</v>
          </cell>
          <cell r="DA73">
            <v>92</v>
          </cell>
          <cell r="DB73">
            <v>14</v>
          </cell>
          <cell r="DC73">
            <v>13</v>
          </cell>
          <cell r="DD73">
            <v>13</v>
          </cell>
          <cell r="DE73">
            <v>13</v>
          </cell>
          <cell r="DF73">
            <v>13</v>
          </cell>
          <cell r="DG73">
            <v>13</v>
          </cell>
          <cell r="DH73">
            <v>13</v>
          </cell>
          <cell r="DI73">
            <v>92</v>
          </cell>
          <cell r="DJ73">
            <v>14</v>
          </cell>
          <cell r="DK73">
            <v>13</v>
          </cell>
          <cell r="DL73">
            <v>13</v>
          </cell>
          <cell r="DM73">
            <v>13</v>
          </cell>
          <cell r="DN73">
            <v>13</v>
          </cell>
          <cell r="DO73">
            <v>13</v>
          </cell>
          <cell r="DP73">
            <v>13</v>
          </cell>
          <cell r="DQ73">
            <v>92</v>
          </cell>
        </row>
        <row r="74">
          <cell r="B74">
            <v>1</v>
          </cell>
          <cell r="C74">
            <v>1</v>
          </cell>
          <cell r="D74">
            <v>1</v>
          </cell>
          <cell r="E74">
            <v>0</v>
          </cell>
          <cell r="F74">
            <v>0</v>
          </cell>
          <cell r="G74">
            <v>0</v>
          </cell>
          <cell r="H74">
            <v>0</v>
          </cell>
          <cell r="I74">
            <v>3</v>
          </cell>
          <cell r="J74">
            <v>1</v>
          </cell>
          <cell r="K74">
            <v>1</v>
          </cell>
          <cell r="L74">
            <v>1</v>
          </cell>
          <cell r="M74">
            <v>1</v>
          </cell>
          <cell r="N74">
            <v>0</v>
          </cell>
          <cell r="O74">
            <v>0</v>
          </cell>
          <cell r="P74">
            <v>0</v>
          </cell>
          <cell r="Q74">
            <v>4</v>
          </cell>
          <cell r="R74">
            <v>1</v>
          </cell>
          <cell r="S74">
            <v>1</v>
          </cell>
          <cell r="T74">
            <v>1</v>
          </cell>
          <cell r="U74">
            <v>1</v>
          </cell>
          <cell r="V74">
            <v>1</v>
          </cell>
          <cell r="W74">
            <v>1</v>
          </cell>
          <cell r="X74">
            <v>0</v>
          </cell>
          <cell r="Y74">
            <v>6</v>
          </cell>
          <cell r="Z74">
            <v>2</v>
          </cell>
          <cell r="AA74">
            <v>1</v>
          </cell>
          <cell r="AB74">
            <v>1</v>
          </cell>
          <cell r="AC74">
            <v>1</v>
          </cell>
          <cell r="AD74">
            <v>1</v>
          </cell>
          <cell r="AE74">
            <v>1</v>
          </cell>
          <cell r="AF74">
            <v>1</v>
          </cell>
          <cell r="AG74">
            <v>8</v>
          </cell>
          <cell r="AH74">
            <v>2</v>
          </cell>
          <cell r="AI74">
            <v>2</v>
          </cell>
          <cell r="AJ74">
            <v>2</v>
          </cell>
          <cell r="AK74">
            <v>1</v>
          </cell>
          <cell r="AL74">
            <v>1</v>
          </cell>
          <cell r="AM74">
            <v>1</v>
          </cell>
          <cell r="AN74">
            <v>1</v>
          </cell>
          <cell r="AO74">
            <v>10</v>
          </cell>
          <cell r="AP74">
            <v>3</v>
          </cell>
          <cell r="AQ74">
            <v>2</v>
          </cell>
          <cell r="AR74">
            <v>2</v>
          </cell>
          <cell r="AS74">
            <v>2</v>
          </cell>
          <cell r="AT74">
            <v>2</v>
          </cell>
          <cell r="AU74">
            <v>2</v>
          </cell>
          <cell r="AV74">
            <v>2</v>
          </cell>
          <cell r="AW74">
            <v>15</v>
          </cell>
          <cell r="AX74">
            <v>3</v>
          </cell>
          <cell r="AY74">
            <v>3</v>
          </cell>
          <cell r="AZ74">
            <v>3</v>
          </cell>
          <cell r="BA74">
            <v>3</v>
          </cell>
          <cell r="BB74">
            <v>3</v>
          </cell>
          <cell r="BC74">
            <v>3</v>
          </cell>
          <cell r="BD74">
            <v>3</v>
          </cell>
          <cell r="BE74">
            <v>21</v>
          </cell>
          <cell r="BF74">
            <v>4</v>
          </cell>
          <cell r="BG74">
            <v>4</v>
          </cell>
          <cell r="BH74">
            <v>4</v>
          </cell>
          <cell r="BI74">
            <v>4</v>
          </cell>
          <cell r="BJ74">
            <v>4</v>
          </cell>
          <cell r="BK74">
            <v>3</v>
          </cell>
          <cell r="BL74">
            <v>3</v>
          </cell>
          <cell r="BM74">
            <v>26</v>
          </cell>
          <cell r="BN74">
            <v>5</v>
          </cell>
          <cell r="BO74">
            <v>5</v>
          </cell>
          <cell r="BP74">
            <v>5</v>
          </cell>
          <cell r="BQ74">
            <v>5</v>
          </cell>
          <cell r="BR74">
            <v>5</v>
          </cell>
          <cell r="BS74">
            <v>4</v>
          </cell>
          <cell r="BT74">
            <v>4</v>
          </cell>
          <cell r="BU74">
            <v>33</v>
          </cell>
          <cell r="BV74">
            <v>6</v>
          </cell>
          <cell r="BW74">
            <v>6</v>
          </cell>
          <cell r="BX74">
            <v>6</v>
          </cell>
          <cell r="BY74">
            <v>5</v>
          </cell>
          <cell r="BZ74">
            <v>5</v>
          </cell>
          <cell r="CA74">
            <v>5</v>
          </cell>
          <cell r="CB74">
            <v>5</v>
          </cell>
          <cell r="CC74">
            <v>38</v>
          </cell>
          <cell r="CD74">
            <v>7</v>
          </cell>
          <cell r="CE74">
            <v>6</v>
          </cell>
          <cell r="CF74">
            <v>6</v>
          </cell>
          <cell r="CG74">
            <v>6</v>
          </cell>
          <cell r="CH74">
            <v>6</v>
          </cell>
          <cell r="CI74">
            <v>6</v>
          </cell>
          <cell r="CJ74">
            <v>6</v>
          </cell>
          <cell r="CK74">
            <v>43</v>
          </cell>
          <cell r="CL74">
            <v>7</v>
          </cell>
          <cell r="CM74">
            <v>7</v>
          </cell>
          <cell r="CN74">
            <v>7</v>
          </cell>
          <cell r="CO74">
            <v>7</v>
          </cell>
          <cell r="CP74">
            <v>6</v>
          </cell>
          <cell r="CQ74">
            <v>6</v>
          </cell>
          <cell r="CR74">
            <v>6</v>
          </cell>
          <cell r="CS74">
            <v>46</v>
          </cell>
          <cell r="CT74">
            <v>8</v>
          </cell>
          <cell r="CU74">
            <v>7</v>
          </cell>
          <cell r="CV74">
            <v>7</v>
          </cell>
          <cell r="CW74">
            <v>7</v>
          </cell>
          <cell r="CX74">
            <v>7</v>
          </cell>
          <cell r="CY74">
            <v>7</v>
          </cell>
          <cell r="CZ74">
            <v>7</v>
          </cell>
          <cell r="DA74">
            <v>50</v>
          </cell>
          <cell r="DB74">
            <v>8</v>
          </cell>
          <cell r="DC74">
            <v>8</v>
          </cell>
          <cell r="DD74">
            <v>8</v>
          </cell>
          <cell r="DE74">
            <v>8</v>
          </cell>
          <cell r="DF74">
            <v>7</v>
          </cell>
          <cell r="DG74">
            <v>7</v>
          </cell>
          <cell r="DH74">
            <v>7</v>
          </cell>
          <cell r="DI74">
            <v>53</v>
          </cell>
          <cell r="DJ74">
            <v>9</v>
          </cell>
          <cell r="DK74">
            <v>8</v>
          </cell>
          <cell r="DL74">
            <v>8</v>
          </cell>
          <cell r="DM74">
            <v>8</v>
          </cell>
          <cell r="DN74">
            <v>8</v>
          </cell>
          <cell r="DO74">
            <v>8</v>
          </cell>
          <cell r="DP74">
            <v>8</v>
          </cell>
          <cell r="DQ74">
            <v>57</v>
          </cell>
        </row>
        <row r="75">
          <cell r="B75">
            <v>1</v>
          </cell>
          <cell r="C75">
            <v>1</v>
          </cell>
          <cell r="D75">
            <v>1</v>
          </cell>
          <cell r="E75">
            <v>1</v>
          </cell>
          <cell r="F75">
            <v>0</v>
          </cell>
          <cell r="G75">
            <v>0</v>
          </cell>
          <cell r="H75">
            <v>0</v>
          </cell>
          <cell r="I75">
            <v>4</v>
          </cell>
          <cell r="J75">
            <v>1</v>
          </cell>
          <cell r="K75">
            <v>1</v>
          </cell>
          <cell r="L75">
            <v>1</v>
          </cell>
          <cell r="M75">
            <v>1</v>
          </cell>
          <cell r="N75">
            <v>1</v>
          </cell>
          <cell r="O75">
            <v>1</v>
          </cell>
          <cell r="P75">
            <v>0</v>
          </cell>
          <cell r="Q75">
            <v>6</v>
          </cell>
          <cell r="R75">
            <v>2</v>
          </cell>
          <cell r="S75">
            <v>2</v>
          </cell>
          <cell r="T75">
            <v>2</v>
          </cell>
          <cell r="U75">
            <v>2</v>
          </cell>
          <cell r="V75">
            <v>2</v>
          </cell>
          <cell r="W75">
            <v>1</v>
          </cell>
          <cell r="X75">
            <v>1</v>
          </cell>
          <cell r="Y75">
            <v>12</v>
          </cell>
          <cell r="Z75">
            <v>2</v>
          </cell>
          <cell r="AA75">
            <v>2</v>
          </cell>
          <cell r="AB75">
            <v>2</v>
          </cell>
          <cell r="AC75">
            <v>2</v>
          </cell>
          <cell r="AD75">
            <v>2</v>
          </cell>
          <cell r="AE75">
            <v>2</v>
          </cell>
          <cell r="AF75">
            <v>1</v>
          </cell>
          <cell r="AG75">
            <v>13</v>
          </cell>
          <cell r="AH75">
            <v>2</v>
          </cell>
          <cell r="AI75">
            <v>2</v>
          </cell>
          <cell r="AJ75">
            <v>2</v>
          </cell>
          <cell r="AK75">
            <v>2</v>
          </cell>
          <cell r="AL75">
            <v>2</v>
          </cell>
          <cell r="AM75">
            <v>2</v>
          </cell>
          <cell r="AN75">
            <v>1</v>
          </cell>
          <cell r="AO75">
            <v>13</v>
          </cell>
          <cell r="AP75">
            <v>2</v>
          </cell>
          <cell r="AQ75">
            <v>2</v>
          </cell>
          <cell r="AR75">
            <v>2</v>
          </cell>
          <cell r="AS75">
            <v>2</v>
          </cell>
          <cell r="AT75">
            <v>2</v>
          </cell>
          <cell r="AU75">
            <v>2</v>
          </cell>
          <cell r="AV75">
            <v>1</v>
          </cell>
          <cell r="AW75">
            <v>13</v>
          </cell>
          <cell r="AX75">
            <v>2</v>
          </cell>
          <cell r="AY75">
            <v>2</v>
          </cell>
          <cell r="AZ75">
            <v>2</v>
          </cell>
          <cell r="BA75">
            <v>2</v>
          </cell>
          <cell r="BB75">
            <v>2</v>
          </cell>
          <cell r="BC75">
            <v>2</v>
          </cell>
          <cell r="BD75">
            <v>2</v>
          </cell>
          <cell r="BE75">
            <v>14</v>
          </cell>
          <cell r="BF75">
            <v>3</v>
          </cell>
          <cell r="BG75">
            <v>2</v>
          </cell>
          <cell r="BH75">
            <v>2</v>
          </cell>
          <cell r="BI75">
            <v>2</v>
          </cell>
          <cell r="BJ75">
            <v>2</v>
          </cell>
          <cell r="BK75">
            <v>2</v>
          </cell>
          <cell r="BL75">
            <v>2</v>
          </cell>
          <cell r="BM75">
            <v>15</v>
          </cell>
          <cell r="BN75">
            <v>3</v>
          </cell>
          <cell r="BO75">
            <v>3</v>
          </cell>
          <cell r="BP75">
            <v>2</v>
          </cell>
          <cell r="BQ75">
            <v>2</v>
          </cell>
          <cell r="BR75">
            <v>2</v>
          </cell>
          <cell r="BS75">
            <v>2</v>
          </cell>
          <cell r="BT75">
            <v>2</v>
          </cell>
          <cell r="BU75">
            <v>16</v>
          </cell>
          <cell r="BV75">
            <v>3</v>
          </cell>
          <cell r="BW75">
            <v>3</v>
          </cell>
          <cell r="BX75">
            <v>3</v>
          </cell>
          <cell r="BY75">
            <v>2</v>
          </cell>
          <cell r="BZ75">
            <v>2</v>
          </cell>
          <cell r="CA75">
            <v>2</v>
          </cell>
          <cell r="CB75">
            <v>2</v>
          </cell>
          <cell r="CC75">
            <v>17</v>
          </cell>
          <cell r="CD75">
            <v>3</v>
          </cell>
          <cell r="CE75">
            <v>3</v>
          </cell>
          <cell r="CF75">
            <v>3</v>
          </cell>
          <cell r="CG75">
            <v>2</v>
          </cell>
          <cell r="CH75">
            <v>2</v>
          </cell>
          <cell r="CI75">
            <v>2</v>
          </cell>
          <cell r="CJ75">
            <v>2</v>
          </cell>
          <cell r="CK75">
            <v>17</v>
          </cell>
          <cell r="CL75">
            <v>3</v>
          </cell>
          <cell r="CM75">
            <v>3</v>
          </cell>
          <cell r="CN75">
            <v>3</v>
          </cell>
          <cell r="CO75">
            <v>3</v>
          </cell>
          <cell r="CP75">
            <v>2</v>
          </cell>
          <cell r="CQ75">
            <v>2</v>
          </cell>
          <cell r="CR75">
            <v>2</v>
          </cell>
          <cell r="CS75">
            <v>18</v>
          </cell>
          <cell r="CT75">
            <v>3</v>
          </cell>
          <cell r="CU75">
            <v>3</v>
          </cell>
          <cell r="CV75">
            <v>3</v>
          </cell>
          <cell r="CW75">
            <v>3</v>
          </cell>
          <cell r="CX75">
            <v>2</v>
          </cell>
          <cell r="CY75">
            <v>2</v>
          </cell>
          <cell r="CZ75">
            <v>2</v>
          </cell>
          <cell r="DA75">
            <v>18</v>
          </cell>
          <cell r="DB75">
            <v>3</v>
          </cell>
          <cell r="DC75">
            <v>3</v>
          </cell>
          <cell r="DD75">
            <v>3</v>
          </cell>
          <cell r="DE75">
            <v>3</v>
          </cell>
          <cell r="DF75">
            <v>3</v>
          </cell>
          <cell r="DG75">
            <v>2</v>
          </cell>
          <cell r="DH75">
            <v>2</v>
          </cell>
          <cell r="DI75">
            <v>19</v>
          </cell>
          <cell r="DJ75">
            <v>3</v>
          </cell>
          <cell r="DK75">
            <v>3</v>
          </cell>
          <cell r="DL75">
            <v>3</v>
          </cell>
          <cell r="DM75">
            <v>3</v>
          </cell>
          <cell r="DN75">
            <v>3</v>
          </cell>
          <cell r="DO75">
            <v>2</v>
          </cell>
          <cell r="DP75">
            <v>2</v>
          </cell>
          <cell r="DQ75">
            <v>19</v>
          </cell>
        </row>
        <row r="76">
          <cell r="B76">
            <v>1</v>
          </cell>
          <cell r="C76">
            <v>1</v>
          </cell>
          <cell r="D76">
            <v>1</v>
          </cell>
          <cell r="E76">
            <v>1</v>
          </cell>
          <cell r="F76">
            <v>1</v>
          </cell>
          <cell r="G76">
            <v>1</v>
          </cell>
          <cell r="H76">
            <v>0</v>
          </cell>
          <cell r="I76">
            <v>6</v>
          </cell>
          <cell r="J76">
            <v>1</v>
          </cell>
          <cell r="K76">
            <v>1</v>
          </cell>
          <cell r="L76">
            <v>1</v>
          </cell>
          <cell r="M76">
            <v>1</v>
          </cell>
          <cell r="N76">
            <v>0</v>
          </cell>
          <cell r="O76">
            <v>0</v>
          </cell>
          <cell r="P76">
            <v>0</v>
          </cell>
          <cell r="Q76">
            <v>4</v>
          </cell>
          <cell r="R76">
            <v>1</v>
          </cell>
          <cell r="S76">
            <v>1</v>
          </cell>
          <cell r="T76">
            <v>1</v>
          </cell>
          <cell r="U76">
            <v>1</v>
          </cell>
          <cell r="V76">
            <v>0</v>
          </cell>
          <cell r="W76">
            <v>0</v>
          </cell>
          <cell r="X76">
            <v>0</v>
          </cell>
          <cell r="Y76">
            <v>4</v>
          </cell>
          <cell r="Z76">
            <v>1</v>
          </cell>
          <cell r="AA76">
            <v>1</v>
          </cell>
          <cell r="AB76">
            <v>1</v>
          </cell>
          <cell r="AC76">
            <v>1</v>
          </cell>
          <cell r="AD76">
            <v>1</v>
          </cell>
          <cell r="AE76">
            <v>1</v>
          </cell>
          <cell r="AF76">
            <v>1</v>
          </cell>
          <cell r="AG76">
            <v>7</v>
          </cell>
          <cell r="AH76">
            <v>2</v>
          </cell>
          <cell r="AI76">
            <v>2</v>
          </cell>
          <cell r="AJ76">
            <v>2</v>
          </cell>
          <cell r="AK76">
            <v>2</v>
          </cell>
          <cell r="AL76">
            <v>1</v>
          </cell>
          <cell r="AM76">
            <v>1</v>
          </cell>
          <cell r="AN76">
            <v>1</v>
          </cell>
          <cell r="AO76">
            <v>11</v>
          </cell>
          <cell r="AP76">
            <v>3</v>
          </cell>
          <cell r="AQ76">
            <v>2</v>
          </cell>
          <cell r="AR76">
            <v>2</v>
          </cell>
          <cell r="AS76">
            <v>2</v>
          </cell>
          <cell r="AT76">
            <v>2</v>
          </cell>
          <cell r="AU76">
            <v>2</v>
          </cell>
          <cell r="AV76">
            <v>2</v>
          </cell>
          <cell r="AW76">
            <v>15</v>
          </cell>
          <cell r="AX76">
            <v>3</v>
          </cell>
          <cell r="AY76">
            <v>3</v>
          </cell>
          <cell r="AZ76">
            <v>3</v>
          </cell>
          <cell r="BA76">
            <v>3</v>
          </cell>
          <cell r="BB76">
            <v>3</v>
          </cell>
          <cell r="BC76">
            <v>3</v>
          </cell>
          <cell r="BD76">
            <v>2</v>
          </cell>
          <cell r="BE76">
            <v>20</v>
          </cell>
          <cell r="BF76">
            <v>4</v>
          </cell>
          <cell r="BG76">
            <v>4</v>
          </cell>
          <cell r="BH76">
            <v>4</v>
          </cell>
          <cell r="BI76">
            <v>4</v>
          </cell>
          <cell r="BJ76">
            <v>4</v>
          </cell>
          <cell r="BK76">
            <v>4</v>
          </cell>
          <cell r="BL76">
            <v>4</v>
          </cell>
          <cell r="BM76">
            <v>28</v>
          </cell>
          <cell r="BN76">
            <v>5</v>
          </cell>
          <cell r="BO76">
            <v>5</v>
          </cell>
          <cell r="BP76">
            <v>5</v>
          </cell>
          <cell r="BQ76">
            <v>5</v>
          </cell>
          <cell r="BR76">
            <v>5</v>
          </cell>
          <cell r="BS76">
            <v>5</v>
          </cell>
          <cell r="BT76">
            <v>5</v>
          </cell>
          <cell r="BU76">
            <v>35</v>
          </cell>
          <cell r="BV76">
            <v>6</v>
          </cell>
          <cell r="BW76">
            <v>6</v>
          </cell>
          <cell r="BX76">
            <v>6</v>
          </cell>
          <cell r="BY76">
            <v>6</v>
          </cell>
          <cell r="BZ76">
            <v>6</v>
          </cell>
          <cell r="CA76">
            <v>6</v>
          </cell>
          <cell r="CB76">
            <v>5</v>
          </cell>
          <cell r="CC76">
            <v>41</v>
          </cell>
          <cell r="CD76">
            <v>7</v>
          </cell>
          <cell r="CE76">
            <v>7</v>
          </cell>
          <cell r="CF76">
            <v>7</v>
          </cell>
          <cell r="CG76">
            <v>7</v>
          </cell>
          <cell r="CH76">
            <v>7</v>
          </cell>
          <cell r="CI76">
            <v>6</v>
          </cell>
          <cell r="CJ76">
            <v>6</v>
          </cell>
          <cell r="CK76">
            <v>47</v>
          </cell>
          <cell r="CL76">
            <v>8</v>
          </cell>
          <cell r="CM76">
            <v>7</v>
          </cell>
          <cell r="CN76">
            <v>7</v>
          </cell>
          <cell r="CO76">
            <v>7</v>
          </cell>
          <cell r="CP76">
            <v>7</v>
          </cell>
          <cell r="CQ76">
            <v>7</v>
          </cell>
          <cell r="CR76">
            <v>7</v>
          </cell>
          <cell r="CS76">
            <v>50</v>
          </cell>
          <cell r="CT76">
            <v>8</v>
          </cell>
          <cell r="CU76">
            <v>8</v>
          </cell>
          <cell r="CV76">
            <v>8</v>
          </cell>
          <cell r="CW76">
            <v>8</v>
          </cell>
          <cell r="CX76">
            <v>7</v>
          </cell>
          <cell r="CY76">
            <v>7</v>
          </cell>
          <cell r="CZ76">
            <v>7</v>
          </cell>
          <cell r="DA76">
            <v>53</v>
          </cell>
          <cell r="DB76">
            <v>8</v>
          </cell>
          <cell r="DC76">
            <v>8</v>
          </cell>
          <cell r="DD76">
            <v>8</v>
          </cell>
          <cell r="DE76">
            <v>8</v>
          </cell>
          <cell r="DF76">
            <v>8</v>
          </cell>
          <cell r="DG76">
            <v>8</v>
          </cell>
          <cell r="DH76">
            <v>8</v>
          </cell>
          <cell r="DI76">
            <v>56</v>
          </cell>
          <cell r="DJ76">
            <v>9</v>
          </cell>
          <cell r="DK76">
            <v>9</v>
          </cell>
          <cell r="DL76">
            <v>9</v>
          </cell>
          <cell r="DM76">
            <v>8</v>
          </cell>
          <cell r="DN76">
            <v>8</v>
          </cell>
          <cell r="DO76">
            <v>8</v>
          </cell>
          <cell r="DP76">
            <v>8</v>
          </cell>
          <cell r="DQ76">
            <v>59</v>
          </cell>
        </row>
        <row r="77">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1</v>
          </cell>
          <cell r="AY77">
            <v>0</v>
          </cell>
          <cell r="AZ77">
            <v>0</v>
          </cell>
          <cell r="BA77">
            <v>0</v>
          </cell>
          <cell r="BB77">
            <v>0</v>
          </cell>
          <cell r="BC77">
            <v>0</v>
          </cell>
          <cell r="BD77">
            <v>0</v>
          </cell>
          <cell r="BE77">
            <v>1</v>
          </cell>
          <cell r="BF77">
            <v>1</v>
          </cell>
          <cell r="BG77">
            <v>0</v>
          </cell>
          <cell r="BH77">
            <v>0</v>
          </cell>
          <cell r="BI77">
            <v>0</v>
          </cell>
          <cell r="BJ77">
            <v>0</v>
          </cell>
          <cell r="BK77">
            <v>0</v>
          </cell>
          <cell r="BL77">
            <v>0</v>
          </cell>
          <cell r="BM77">
            <v>1</v>
          </cell>
          <cell r="BN77">
            <v>1</v>
          </cell>
          <cell r="BO77">
            <v>0</v>
          </cell>
          <cell r="BP77">
            <v>0</v>
          </cell>
          <cell r="BQ77">
            <v>0</v>
          </cell>
          <cell r="BR77">
            <v>0</v>
          </cell>
          <cell r="BS77">
            <v>0</v>
          </cell>
          <cell r="BT77">
            <v>0</v>
          </cell>
          <cell r="BU77">
            <v>1</v>
          </cell>
          <cell r="BV77">
            <v>1</v>
          </cell>
          <cell r="BW77">
            <v>0</v>
          </cell>
          <cell r="BX77">
            <v>0</v>
          </cell>
          <cell r="BY77">
            <v>0</v>
          </cell>
          <cell r="BZ77">
            <v>0</v>
          </cell>
          <cell r="CA77">
            <v>0</v>
          </cell>
          <cell r="CB77">
            <v>0</v>
          </cell>
          <cell r="CC77">
            <v>1</v>
          </cell>
          <cell r="CD77">
            <v>1</v>
          </cell>
          <cell r="CE77">
            <v>0</v>
          </cell>
          <cell r="CF77">
            <v>0</v>
          </cell>
          <cell r="CG77">
            <v>0</v>
          </cell>
          <cell r="CH77">
            <v>0</v>
          </cell>
          <cell r="CI77">
            <v>0</v>
          </cell>
          <cell r="CJ77">
            <v>0</v>
          </cell>
          <cell r="CK77">
            <v>1</v>
          </cell>
          <cell r="CL77">
            <v>1</v>
          </cell>
          <cell r="CM77">
            <v>0</v>
          </cell>
          <cell r="CN77">
            <v>0</v>
          </cell>
          <cell r="CO77">
            <v>0</v>
          </cell>
          <cell r="CP77">
            <v>0</v>
          </cell>
          <cell r="CQ77">
            <v>0</v>
          </cell>
          <cell r="CR77">
            <v>0</v>
          </cell>
          <cell r="CS77">
            <v>1</v>
          </cell>
          <cell r="CT77">
            <v>1</v>
          </cell>
          <cell r="CU77">
            <v>0</v>
          </cell>
          <cell r="CV77">
            <v>0</v>
          </cell>
          <cell r="CW77">
            <v>0</v>
          </cell>
          <cell r="CX77">
            <v>0</v>
          </cell>
          <cell r="CY77">
            <v>0</v>
          </cell>
          <cell r="CZ77">
            <v>0</v>
          </cell>
          <cell r="DA77">
            <v>1</v>
          </cell>
          <cell r="DB77">
            <v>1</v>
          </cell>
          <cell r="DC77">
            <v>0</v>
          </cell>
          <cell r="DD77">
            <v>0</v>
          </cell>
          <cell r="DE77">
            <v>0</v>
          </cell>
          <cell r="DF77">
            <v>0</v>
          </cell>
          <cell r="DG77">
            <v>0</v>
          </cell>
          <cell r="DH77">
            <v>0</v>
          </cell>
          <cell r="DI77">
            <v>1</v>
          </cell>
          <cell r="DJ77">
            <v>1</v>
          </cell>
          <cell r="DK77">
            <v>0</v>
          </cell>
          <cell r="DL77">
            <v>0</v>
          </cell>
          <cell r="DM77">
            <v>0</v>
          </cell>
          <cell r="DN77">
            <v>0</v>
          </cell>
          <cell r="DO77">
            <v>0</v>
          </cell>
          <cell r="DP77">
            <v>0</v>
          </cell>
          <cell r="DQ77">
            <v>1</v>
          </cell>
        </row>
        <row r="78">
          <cell r="B78">
            <v>1</v>
          </cell>
          <cell r="C78">
            <v>1</v>
          </cell>
          <cell r="D78">
            <v>0</v>
          </cell>
          <cell r="E78">
            <v>0</v>
          </cell>
          <cell r="F78">
            <v>0</v>
          </cell>
          <cell r="G78">
            <v>0</v>
          </cell>
          <cell r="H78">
            <v>0</v>
          </cell>
          <cell r="I78">
            <v>2</v>
          </cell>
          <cell r="J78">
            <v>1</v>
          </cell>
          <cell r="K78">
            <v>1</v>
          </cell>
          <cell r="L78">
            <v>1</v>
          </cell>
          <cell r="M78">
            <v>0</v>
          </cell>
          <cell r="N78">
            <v>0</v>
          </cell>
          <cell r="O78">
            <v>0</v>
          </cell>
          <cell r="P78">
            <v>0</v>
          </cell>
          <cell r="Q78">
            <v>3</v>
          </cell>
          <cell r="R78">
            <v>1</v>
          </cell>
          <cell r="S78">
            <v>1</v>
          </cell>
          <cell r="T78">
            <v>1</v>
          </cell>
          <cell r="U78">
            <v>1</v>
          </cell>
          <cell r="V78">
            <v>1</v>
          </cell>
          <cell r="W78">
            <v>0</v>
          </cell>
          <cell r="X78">
            <v>0</v>
          </cell>
          <cell r="Y78">
            <v>5</v>
          </cell>
          <cell r="Z78">
            <v>2</v>
          </cell>
          <cell r="AA78">
            <v>2</v>
          </cell>
          <cell r="AB78">
            <v>1</v>
          </cell>
          <cell r="AC78">
            <v>1</v>
          </cell>
          <cell r="AD78">
            <v>1</v>
          </cell>
          <cell r="AE78">
            <v>1</v>
          </cell>
          <cell r="AF78">
            <v>1</v>
          </cell>
          <cell r="AG78">
            <v>9</v>
          </cell>
          <cell r="AH78">
            <v>2</v>
          </cell>
          <cell r="AI78">
            <v>2</v>
          </cell>
          <cell r="AJ78">
            <v>2</v>
          </cell>
          <cell r="AK78">
            <v>2</v>
          </cell>
          <cell r="AL78">
            <v>1</v>
          </cell>
          <cell r="AM78">
            <v>1</v>
          </cell>
          <cell r="AN78">
            <v>1</v>
          </cell>
          <cell r="AO78">
            <v>11</v>
          </cell>
          <cell r="AP78">
            <v>2</v>
          </cell>
          <cell r="AQ78">
            <v>2</v>
          </cell>
          <cell r="AR78">
            <v>2</v>
          </cell>
          <cell r="AS78">
            <v>2</v>
          </cell>
          <cell r="AT78">
            <v>2</v>
          </cell>
          <cell r="AU78">
            <v>1</v>
          </cell>
          <cell r="AV78">
            <v>1</v>
          </cell>
          <cell r="AW78">
            <v>12</v>
          </cell>
          <cell r="AX78">
            <v>2</v>
          </cell>
          <cell r="AY78">
            <v>2</v>
          </cell>
          <cell r="AZ78">
            <v>2</v>
          </cell>
          <cell r="BA78">
            <v>2</v>
          </cell>
          <cell r="BB78">
            <v>2</v>
          </cell>
          <cell r="BC78">
            <v>2</v>
          </cell>
          <cell r="BD78">
            <v>2</v>
          </cell>
          <cell r="BE78">
            <v>14</v>
          </cell>
          <cell r="BF78">
            <v>2</v>
          </cell>
          <cell r="BG78">
            <v>2</v>
          </cell>
          <cell r="BH78">
            <v>2</v>
          </cell>
          <cell r="BI78">
            <v>2</v>
          </cell>
          <cell r="BJ78">
            <v>2</v>
          </cell>
          <cell r="BK78">
            <v>2</v>
          </cell>
          <cell r="BL78">
            <v>2</v>
          </cell>
          <cell r="BM78">
            <v>14</v>
          </cell>
          <cell r="BN78">
            <v>3</v>
          </cell>
          <cell r="BO78">
            <v>2</v>
          </cell>
          <cell r="BP78">
            <v>2</v>
          </cell>
          <cell r="BQ78">
            <v>2</v>
          </cell>
          <cell r="BR78">
            <v>2</v>
          </cell>
          <cell r="BS78">
            <v>2</v>
          </cell>
          <cell r="BT78">
            <v>2</v>
          </cell>
          <cell r="BU78">
            <v>15</v>
          </cell>
          <cell r="BV78">
            <v>3</v>
          </cell>
          <cell r="BW78">
            <v>3</v>
          </cell>
          <cell r="BX78">
            <v>2</v>
          </cell>
          <cell r="BY78">
            <v>2</v>
          </cell>
          <cell r="BZ78">
            <v>2</v>
          </cell>
          <cell r="CA78">
            <v>2</v>
          </cell>
          <cell r="CB78">
            <v>2</v>
          </cell>
          <cell r="CC78">
            <v>16</v>
          </cell>
          <cell r="CD78">
            <v>3</v>
          </cell>
          <cell r="CE78">
            <v>3</v>
          </cell>
          <cell r="CF78">
            <v>3</v>
          </cell>
          <cell r="CG78">
            <v>2</v>
          </cell>
          <cell r="CH78">
            <v>2</v>
          </cell>
          <cell r="CI78">
            <v>2</v>
          </cell>
          <cell r="CJ78">
            <v>2</v>
          </cell>
          <cell r="CK78">
            <v>17</v>
          </cell>
          <cell r="CL78">
            <v>3</v>
          </cell>
          <cell r="CM78">
            <v>3</v>
          </cell>
          <cell r="CN78">
            <v>3</v>
          </cell>
          <cell r="CO78">
            <v>2</v>
          </cell>
          <cell r="CP78">
            <v>2</v>
          </cell>
          <cell r="CQ78">
            <v>2</v>
          </cell>
          <cell r="CR78">
            <v>2</v>
          </cell>
          <cell r="CS78">
            <v>17</v>
          </cell>
          <cell r="CT78">
            <v>3</v>
          </cell>
          <cell r="CU78">
            <v>3</v>
          </cell>
          <cell r="CV78">
            <v>3</v>
          </cell>
          <cell r="CW78">
            <v>2</v>
          </cell>
          <cell r="CX78">
            <v>2</v>
          </cell>
          <cell r="CY78">
            <v>2</v>
          </cell>
          <cell r="CZ78">
            <v>2</v>
          </cell>
          <cell r="DA78">
            <v>17</v>
          </cell>
          <cell r="DB78">
            <v>3</v>
          </cell>
          <cell r="DC78">
            <v>3</v>
          </cell>
          <cell r="DD78">
            <v>3</v>
          </cell>
          <cell r="DE78">
            <v>2</v>
          </cell>
          <cell r="DF78">
            <v>2</v>
          </cell>
          <cell r="DG78">
            <v>2</v>
          </cell>
          <cell r="DH78">
            <v>2</v>
          </cell>
          <cell r="DI78">
            <v>17</v>
          </cell>
          <cell r="DJ78">
            <v>3</v>
          </cell>
          <cell r="DK78">
            <v>3</v>
          </cell>
          <cell r="DL78">
            <v>3</v>
          </cell>
          <cell r="DM78">
            <v>2</v>
          </cell>
          <cell r="DN78">
            <v>2</v>
          </cell>
          <cell r="DO78">
            <v>2</v>
          </cell>
          <cell r="DP78">
            <v>2</v>
          </cell>
          <cell r="DQ78">
            <v>17</v>
          </cell>
        </row>
        <row r="79">
          <cell r="B79">
            <v>1</v>
          </cell>
          <cell r="C79">
            <v>1</v>
          </cell>
          <cell r="D79">
            <v>0</v>
          </cell>
          <cell r="E79">
            <v>0</v>
          </cell>
          <cell r="F79">
            <v>0</v>
          </cell>
          <cell r="G79">
            <v>0</v>
          </cell>
          <cell r="H79">
            <v>0</v>
          </cell>
          <cell r="I79">
            <v>2</v>
          </cell>
          <cell r="J79">
            <v>1</v>
          </cell>
          <cell r="K79">
            <v>0</v>
          </cell>
          <cell r="L79">
            <v>0</v>
          </cell>
          <cell r="M79">
            <v>0</v>
          </cell>
          <cell r="N79">
            <v>0</v>
          </cell>
          <cell r="O79">
            <v>0</v>
          </cell>
          <cell r="P79">
            <v>0</v>
          </cell>
          <cell r="Q79">
            <v>1</v>
          </cell>
          <cell r="R79">
            <v>1</v>
          </cell>
          <cell r="S79">
            <v>1</v>
          </cell>
          <cell r="T79">
            <v>0</v>
          </cell>
          <cell r="U79">
            <v>0</v>
          </cell>
          <cell r="V79">
            <v>0</v>
          </cell>
          <cell r="W79">
            <v>0</v>
          </cell>
          <cell r="X79">
            <v>0</v>
          </cell>
          <cell r="Y79">
            <v>2</v>
          </cell>
          <cell r="Z79">
            <v>1</v>
          </cell>
          <cell r="AA79">
            <v>1</v>
          </cell>
          <cell r="AB79">
            <v>1</v>
          </cell>
          <cell r="AC79">
            <v>1</v>
          </cell>
          <cell r="AD79">
            <v>1</v>
          </cell>
          <cell r="AE79">
            <v>1</v>
          </cell>
          <cell r="AF79">
            <v>0</v>
          </cell>
          <cell r="AG79">
            <v>6</v>
          </cell>
          <cell r="AH79">
            <v>2</v>
          </cell>
          <cell r="AI79">
            <v>2</v>
          </cell>
          <cell r="AJ79">
            <v>1</v>
          </cell>
          <cell r="AK79">
            <v>1</v>
          </cell>
          <cell r="AL79">
            <v>1</v>
          </cell>
          <cell r="AM79">
            <v>1</v>
          </cell>
          <cell r="AN79">
            <v>1</v>
          </cell>
          <cell r="AO79">
            <v>9</v>
          </cell>
          <cell r="AP79">
            <v>2</v>
          </cell>
          <cell r="AQ79">
            <v>2</v>
          </cell>
          <cell r="AR79">
            <v>2</v>
          </cell>
          <cell r="AS79">
            <v>2</v>
          </cell>
          <cell r="AT79">
            <v>2</v>
          </cell>
          <cell r="AU79">
            <v>2</v>
          </cell>
          <cell r="AV79">
            <v>1</v>
          </cell>
          <cell r="AW79">
            <v>13</v>
          </cell>
          <cell r="AX79">
            <v>3</v>
          </cell>
          <cell r="AY79">
            <v>3</v>
          </cell>
          <cell r="AZ79">
            <v>3</v>
          </cell>
          <cell r="BA79">
            <v>3</v>
          </cell>
          <cell r="BB79">
            <v>2</v>
          </cell>
          <cell r="BC79">
            <v>2</v>
          </cell>
          <cell r="BD79">
            <v>2</v>
          </cell>
          <cell r="BE79">
            <v>18</v>
          </cell>
          <cell r="BF79">
            <v>4</v>
          </cell>
          <cell r="BG79">
            <v>4</v>
          </cell>
          <cell r="BH79">
            <v>3</v>
          </cell>
          <cell r="BI79">
            <v>3</v>
          </cell>
          <cell r="BJ79">
            <v>3</v>
          </cell>
          <cell r="BK79">
            <v>3</v>
          </cell>
          <cell r="BL79">
            <v>3</v>
          </cell>
          <cell r="BM79">
            <v>23</v>
          </cell>
          <cell r="BN79">
            <v>4</v>
          </cell>
          <cell r="BO79">
            <v>4</v>
          </cell>
          <cell r="BP79">
            <v>4</v>
          </cell>
          <cell r="BQ79">
            <v>4</v>
          </cell>
          <cell r="BR79">
            <v>4</v>
          </cell>
          <cell r="BS79">
            <v>4</v>
          </cell>
          <cell r="BT79">
            <v>4</v>
          </cell>
          <cell r="BU79">
            <v>28</v>
          </cell>
          <cell r="BV79">
            <v>5</v>
          </cell>
          <cell r="BW79">
            <v>5</v>
          </cell>
          <cell r="BX79">
            <v>5</v>
          </cell>
          <cell r="BY79">
            <v>5</v>
          </cell>
          <cell r="BZ79">
            <v>5</v>
          </cell>
          <cell r="CA79">
            <v>4</v>
          </cell>
          <cell r="CB79">
            <v>4</v>
          </cell>
          <cell r="CC79">
            <v>33</v>
          </cell>
          <cell r="CD79">
            <v>6</v>
          </cell>
          <cell r="CE79">
            <v>6</v>
          </cell>
          <cell r="CF79">
            <v>6</v>
          </cell>
          <cell r="CG79">
            <v>5</v>
          </cell>
          <cell r="CH79">
            <v>5</v>
          </cell>
          <cell r="CI79">
            <v>5</v>
          </cell>
          <cell r="CJ79">
            <v>5</v>
          </cell>
          <cell r="CK79">
            <v>38</v>
          </cell>
          <cell r="CL79">
            <v>6</v>
          </cell>
          <cell r="CM79">
            <v>6</v>
          </cell>
          <cell r="CN79">
            <v>6</v>
          </cell>
          <cell r="CO79">
            <v>6</v>
          </cell>
          <cell r="CP79">
            <v>6</v>
          </cell>
          <cell r="CQ79">
            <v>6</v>
          </cell>
          <cell r="CR79">
            <v>6</v>
          </cell>
          <cell r="CS79">
            <v>42</v>
          </cell>
          <cell r="CT79">
            <v>7</v>
          </cell>
          <cell r="CU79">
            <v>7</v>
          </cell>
          <cell r="CV79">
            <v>7</v>
          </cell>
          <cell r="CW79">
            <v>7</v>
          </cell>
          <cell r="CX79">
            <v>6</v>
          </cell>
          <cell r="CY79">
            <v>6</v>
          </cell>
          <cell r="CZ79">
            <v>6</v>
          </cell>
          <cell r="DA79">
            <v>46</v>
          </cell>
          <cell r="DB79">
            <v>8</v>
          </cell>
          <cell r="DC79">
            <v>7</v>
          </cell>
          <cell r="DD79">
            <v>7</v>
          </cell>
          <cell r="DE79">
            <v>7</v>
          </cell>
          <cell r="DF79">
            <v>7</v>
          </cell>
          <cell r="DG79">
            <v>7</v>
          </cell>
          <cell r="DH79">
            <v>7</v>
          </cell>
          <cell r="DI79">
            <v>50</v>
          </cell>
          <cell r="DJ79">
            <v>8</v>
          </cell>
          <cell r="DK79">
            <v>8</v>
          </cell>
          <cell r="DL79">
            <v>8</v>
          </cell>
          <cell r="DM79">
            <v>8</v>
          </cell>
          <cell r="DN79">
            <v>8</v>
          </cell>
          <cell r="DO79">
            <v>7</v>
          </cell>
          <cell r="DP79">
            <v>7</v>
          </cell>
          <cell r="DQ79">
            <v>54</v>
          </cell>
        </row>
        <row r="80">
          <cell r="B80">
            <v>1</v>
          </cell>
          <cell r="C80">
            <v>0</v>
          </cell>
          <cell r="D80">
            <v>0</v>
          </cell>
          <cell r="E80">
            <v>0</v>
          </cell>
          <cell r="F80">
            <v>0</v>
          </cell>
          <cell r="G80">
            <v>0</v>
          </cell>
          <cell r="H80">
            <v>0</v>
          </cell>
          <cell r="I80">
            <v>1</v>
          </cell>
          <cell r="J80">
            <v>1</v>
          </cell>
          <cell r="K80">
            <v>0</v>
          </cell>
          <cell r="L80">
            <v>0</v>
          </cell>
          <cell r="M80">
            <v>0</v>
          </cell>
          <cell r="N80">
            <v>0</v>
          </cell>
          <cell r="O80">
            <v>0</v>
          </cell>
          <cell r="P80">
            <v>0</v>
          </cell>
          <cell r="Q80">
            <v>1</v>
          </cell>
          <cell r="R80">
            <v>1</v>
          </cell>
          <cell r="S80">
            <v>1</v>
          </cell>
          <cell r="T80">
            <v>1</v>
          </cell>
          <cell r="U80">
            <v>0</v>
          </cell>
          <cell r="V80">
            <v>0</v>
          </cell>
          <cell r="W80">
            <v>0</v>
          </cell>
          <cell r="X80">
            <v>0</v>
          </cell>
          <cell r="Y80">
            <v>3</v>
          </cell>
          <cell r="Z80">
            <v>1</v>
          </cell>
          <cell r="AA80">
            <v>1</v>
          </cell>
          <cell r="AB80">
            <v>1</v>
          </cell>
          <cell r="AC80">
            <v>1</v>
          </cell>
          <cell r="AD80">
            <v>0</v>
          </cell>
          <cell r="AE80">
            <v>0</v>
          </cell>
          <cell r="AF80">
            <v>0</v>
          </cell>
          <cell r="AG80">
            <v>4</v>
          </cell>
          <cell r="AH80">
            <v>1</v>
          </cell>
          <cell r="AI80">
            <v>1</v>
          </cell>
          <cell r="AJ80">
            <v>1</v>
          </cell>
          <cell r="AK80">
            <v>1</v>
          </cell>
          <cell r="AL80">
            <v>1</v>
          </cell>
          <cell r="AM80">
            <v>0</v>
          </cell>
          <cell r="AN80">
            <v>0</v>
          </cell>
          <cell r="AO80">
            <v>5</v>
          </cell>
          <cell r="AP80">
            <v>1</v>
          </cell>
          <cell r="AQ80">
            <v>1</v>
          </cell>
          <cell r="AR80">
            <v>1</v>
          </cell>
          <cell r="AS80">
            <v>1</v>
          </cell>
          <cell r="AT80">
            <v>1</v>
          </cell>
          <cell r="AU80">
            <v>0</v>
          </cell>
          <cell r="AV80">
            <v>0</v>
          </cell>
          <cell r="AW80">
            <v>5</v>
          </cell>
          <cell r="AX80">
            <v>1</v>
          </cell>
          <cell r="AY80">
            <v>1</v>
          </cell>
          <cell r="AZ80">
            <v>1</v>
          </cell>
          <cell r="BA80">
            <v>1</v>
          </cell>
          <cell r="BB80">
            <v>1</v>
          </cell>
          <cell r="BC80">
            <v>0</v>
          </cell>
          <cell r="BD80">
            <v>0</v>
          </cell>
          <cell r="BE80">
            <v>5</v>
          </cell>
          <cell r="BF80">
            <v>1</v>
          </cell>
          <cell r="BG80">
            <v>1</v>
          </cell>
          <cell r="BH80">
            <v>1</v>
          </cell>
          <cell r="BI80">
            <v>1</v>
          </cell>
          <cell r="BJ80">
            <v>1</v>
          </cell>
          <cell r="BK80">
            <v>1</v>
          </cell>
          <cell r="BL80">
            <v>0</v>
          </cell>
          <cell r="BM80">
            <v>6</v>
          </cell>
          <cell r="BN80">
            <v>1</v>
          </cell>
          <cell r="BO80">
            <v>1</v>
          </cell>
          <cell r="BP80">
            <v>1</v>
          </cell>
          <cell r="BQ80">
            <v>1</v>
          </cell>
          <cell r="BR80">
            <v>1</v>
          </cell>
          <cell r="BS80">
            <v>1</v>
          </cell>
          <cell r="BT80">
            <v>0</v>
          </cell>
          <cell r="BU80">
            <v>6</v>
          </cell>
          <cell r="BV80">
            <v>1</v>
          </cell>
          <cell r="BW80">
            <v>1</v>
          </cell>
          <cell r="BX80">
            <v>1</v>
          </cell>
          <cell r="BY80">
            <v>1</v>
          </cell>
          <cell r="BZ80">
            <v>1</v>
          </cell>
          <cell r="CA80">
            <v>1</v>
          </cell>
          <cell r="CB80">
            <v>0</v>
          </cell>
          <cell r="CC80">
            <v>6</v>
          </cell>
          <cell r="CD80">
            <v>1</v>
          </cell>
          <cell r="CE80">
            <v>1</v>
          </cell>
          <cell r="CF80">
            <v>1</v>
          </cell>
          <cell r="CG80">
            <v>1</v>
          </cell>
          <cell r="CH80">
            <v>1</v>
          </cell>
          <cell r="CI80">
            <v>1</v>
          </cell>
          <cell r="CJ80">
            <v>0</v>
          </cell>
          <cell r="CK80">
            <v>6</v>
          </cell>
          <cell r="CL80">
            <v>1</v>
          </cell>
          <cell r="CM80">
            <v>1</v>
          </cell>
          <cell r="CN80">
            <v>1</v>
          </cell>
          <cell r="CO80">
            <v>1</v>
          </cell>
          <cell r="CP80">
            <v>1</v>
          </cell>
          <cell r="CQ80">
            <v>1</v>
          </cell>
          <cell r="CR80">
            <v>0</v>
          </cell>
          <cell r="CS80">
            <v>6</v>
          </cell>
          <cell r="CT80">
            <v>1</v>
          </cell>
          <cell r="CU80">
            <v>1</v>
          </cell>
          <cell r="CV80">
            <v>1</v>
          </cell>
          <cell r="CW80">
            <v>1</v>
          </cell>
          <cell r="CX80">
            <v>1</v>
          </cell>
          <cell r="CY80">
            <v>1</v>
          </cell>
          <cell r="CZ80">
            <v>0</v>
          </cell>
          <cell r="DA80">
            <v>6</v>
          </cell>
          <cell r="DB80">
            <v>1</v>
          </cell>
          <cell r="DC80">
            <v>1</v>
          </cell>
          <cell r="DD80">
            <v>1</v>
          </cell>
          <cell r="DE80">
            <v>1</v>
          </cell>
          <cell r="DF80">
            <v>1</v>
          </cell>
          <cell r="DG80">
            <v>1</v>
          </cell>
          <cell r="DH80">
            <v>0</v>
          </cell>
          <cell r="DI80">
            <v>6</v>
          </cell>
          <cell r="DJ80">
            <v>1</v>
          </cell>
          <cell r="DK80">
            <v>1</v>
          </cell>
          <cell r="DL80">
            <v>1</v>
          </cell>
          <cell r="DM80">
            <v>1</v>
          </cell>
          <cell r="DN80">
            <v>1</v>
          </cell>
          <cell r="DO80">
            <v>1</v>
          </cell>
          <cell r="DP80">
            <v>0</v>
          </cell>
          <cell r="DQ80">
            <v>6</v>
          </cell>
        </row>
        <row r="81">
          <cell r="B81">
            <v>1</v>
          </cell>
          <cell r="C81">
            <v>1</v>
          </cell>
          <cell r="D81">
            <v>0</v>
          </cell>
          <cell r="E81">
            <v>0</v>
          </cell>
          <cell r="F81">
            <v>0</v>
          </cell>
          <cell r="G81">
            <v>0</v>
          </cell>
          <cell r="H81">
            <v>0</v>
          </cell>
          <cell r="I81">
            <v>2</v>
          </cell>
          <cell r="J81">
            <v>1</v>
          </cell>
          <cell r="K81">
            <v>0</v>
          </cell>
          <cell r="L81">
            <v>0</v>
          </cell>
          <cell r="M81">
            <v>0</v>
          </cell>
          <cell r="N81">
            <v>0</v>
          </cell>
          <cell r="O81">
            <v>0</v>
          </cell>
          <cell r="P81">
            <v>0</v>
          </cell>
          <cell r="Q81">
            <v>1</v>
          </cell>
          <cell r="R81">
            <v>1</v>
          </cell>
          <cell r="S81">
            <v>1</v>
          </cell>
          <cell r="T81">
            <v>0</v>
          </cell>
          <cell r="U81">
            <v>0</v>
          </cell>
          <cell r="V81">
            <v>0</v>
          </cell>
          <cell r="W81">
            <v>0</v>
          </cell>
          <cell r="X81">
            <v>0</v>
          </cell>
          <cell r="Y81">
            <v>2</v>
          </cell>
          <cell r="Z81">
            <v>1</v>
          </cell>
          <cell r="AA81">
            <v>1</v>
          </cell>
          <cell r="AB81">
            <v>1</v>
          </cell>
          <cell r="AC81">
            <v>1</v>
          </cell>
          <cell r="AD81">
            <v>0</v>
          </cell>
          <cell r="AE81">
            <v>0</v>
          </cell>
          <cell r="AF81">
            <v>0</v>
          </cell>
          <cell r="AG81">
            <v>4</v>
          </cell>
          <cell r="AH81">
            <v>1</v>
          </cell>
          <cell r="AI81">
            <v>1</v>
          </cell>
          <cell r="AJ81">
            <v>1</v>
          </cell>
          <cell r="AK81">
            <v>1</v>
          </cell>
          <cell r="AL81">
            <v>0</v>
          </cell>
          <cell r="AM81">
            <v>0</v>
          </cell>
          <cell r="AN81">
            <v>0</v>
          </cell>
          <cell r="AO81">
            <v>4</v>
          </cell>
          <cell r="AP81">
            <v>1</v>
          </cell>
          <cell r="AQ81">
            <v>1</v>
          </cell>
          <cell r="AR81">
            <v>1</v>
          </cell>
          <cell r="AS81">
            <v>1</v>
          </cell>
          <cell r="AT81">
            <v>0</v>
          </cell>
          <cell r="AU81">
            <v>0</v>
          </cell>
          <cell r="AV81">
            <v>0</v>
          </cell>
          <cell r="AW81">
            <v>4</v>
          </cell>
          <cell r="AX81">
            <v>2</v>
          </cell>
          <cell r="AY81">
            <v>1</v>
          </cell>
          <cell r="AZ81">
            <v>1</v>
          </cell>
          <cell r="BA81">
            <v>1</v>
          </cell>
          <cell r="BB81">
            <v>1</v>
          </cell>
          <cell r="BC81">
            <v>1</v>
          </cell>
          <cell r="BD81">
            <v>1</v>
          </cell>
          <cell r="BE81">
            <v>8</v>
          </cell>
          <cell r="BF81">
            <v>2</v>
          </cell>
          <cell r="BG81">
            <v>2</v>
          </cell>
          <cell r="BH81">
            <v>2</v>
          </cell>
          <cell r="BI81">
            <v>2</v>
          </cell>
          <cell r="BJ81">
            <v>1</v>
          </cell>
          <cell r="BK81">
            <v>1</v>
          </cell>
          <cell r="BL81">
            <v>1</v>
          </cell>
          <cell r="BM81">
            <v>11</v>
          </cell>
          <cell r="BN81">
            <v>2</v>
          </cell>
          <cell r="BO81">
            <v>2</v>
          </cell>
          <cell r="BP81">
            <v>2</v>
          </cell>
          <cell r="BQ81">
            <v>2</v>
          </cell>
          <cell r="BR81">
            <v>2</v>
          </cell>
          <cell r="BS81">
            <v>1</v>
          </cell>
          <cell r="BT81">
            <v>1</v>
          </cell>
          <cell r="BU81">
            <v>12</v>
          </cell>
          <cell r="BV81">
            <v>2</v>
          </cell>
          <cell r="BW81">
            <v>2</v>
          </cell>
          <cell r="BX81">
            <v>2</v>
          </cell>
          <cell r="BY81">
            <v>2</v>
          </cell>
          <cell r="BZ81">
            <v>2</v>
          </cell>
          <cell r="CA81">
            <v>2</v>
          </cell>
          <cell r="CB81">
            <v>2</v>
          </cell>
          <cell r="CC81">
            <v>14</v>
          </cell>
          <cell r="CD81">
            <v>3</v>
          </cell>
          <cell r="CE81">
            <v>3</v>
          </cell>
          <cell r="CF81">
            <v>2</v>
          </cell>
          <cell r="CG81">
            <v>2</v>
          </cell>
          <cell r="CH81">
            <v>2</v>
          </cell>
          <cell r="CI81">
            <v>2</v>
          </cell>
          <cell r="CJ81">
            <v>2</v>
          </cell>
          <cell r="CK81">
            <v>16</v>
          </cell>
          <cell r="CL81">
            <v>3</v>
          </cell>
          <cell r="CM81">
            <v>3</v>
          </cell>
          <cell r="CN81">
            <v>2</v>
          </cell>
          <cell r="CO81">
            <v>2</v>
          </cell>
          <cell r="CP81">
            <v>2</v>
          </cell>
          <cell r="CQ81">
            <v>2</v>
          </cell>
          <cell r="CR81">
            <v>2</v>
          </cell>
          <cell r="CS81">
            <v>16</v>
          </cell>
          <cell r="CT81">
            <v>3</v>
          </cell>
          <cell r="CU81">
            <v>3</v>
          </cell>
          <cell r="CV81">
            <v>3</v>
          </cell>
          <cell r="CW81">
            <v>2</v>
          </cell>
          <cell r="CX81">
            <v>2</v>
          </cell>
          <cell r="CY81">
            <v>2</v>
          </cell>
          <cell r="CZ81">
            <v>2</v>
          </cell>
          <cell r="DA81">
            <v>17</v>
          </cell>
          <cell r="DB81">
            <v>3</v>
          </cell>
          <cell r="DC81">
            <v>3</v>
          </cell>
          <cell r="DD81">
            <v>3</v>
          </cell>
          <cell r="DE81">
            <v>2</v>
          </cell>
          <cell r="DF81">
            <v>2</v>
          </cell>
          <cell r="DG81">
            <v>2</v>
          </cell>
          <cell r="DH81">
            <v>2</v>
          </cell>
          <cell r="DI81">
            <v>17</v>
          </cell>
          <cell r="DJ81">
            <v>3</v>
          </cell>
          <cell r="DK81">
            <v>3</v>
          </cell>
          <cell r="DL81">
            <v>3</v>
          </cell>
          <cell r="DM81">
            <v>3</v>
          </cell>
          <cell r="DN81">
            <v>2</v>
          </cell>
          <cell r="DO81">
            <v>2</v>
          </cell>
          <cell r="DP81">
            <v>2</v>
          </cell>
          <cell r="DQ81">
            <v>18</v>
          </cell>
        </row>
        <row r="82">
          <cell r="B82">
            <v>0</v>
          </cell>
          <cell r="C82">
            <v>0</v>
          </cell>
          <cell r="D82">
            <v>0</v>
          </cell>
          <cell r="E82">
            <v>0</v>
          </cell>
          <cell r="F82">
            <v>0</v>
          </cell>
          <cell r="G82">
            <v>0</v>
          </cell>
          <cell r="H82">
            <v>0</v>
          </cell>
          <cell r="I82">
            <v>0</v>
          </cell>
          <cell r="J82">
            <v>1</v>
          </cell>
          <cell r="K82">
            <v>1</v>
          </cell>
          <cell r="L82">
            <v>1</v>
          </cell>
          <cell r="M82">
            <v>1</v>
          </cell>
          <cell r="N82">
            <v>0</v>
          </cell>
          <cell r="O82">
            <v>0</v>
          </cell>
          <cell r="P82">
            <v>0</v>
          </cell>
          <cell r="Q82">
            <v>4</v>
          </cell>
          <cell r="R82">
            <v>2</v>
          </cell>
          <cell r="S82">
            <v>2</v>
          </cell>
          <cell r="T82">
            <v>2</v>
          </cell>
          <cell r="U82">
            <v>1</v>
          </cell>
          <cell r="V82">
            <v>1</v>
          </cell>
          <cell r="W82">
            <v>1</v>
          </cell>
          <cell r="X82">
            <v>1</v>
          </cell>
          <cell r="Y82">
            <v>10</v>
          </cell>
          <cell r="Z82">
            <v>3</v>
          </cell>
          <cell r="AA82">
            <v>3</v>
          </cell>
          <cell r="AB82">
            <v>2</v>
          </cell>
          <cell r="AC82">
            <v>2</v>
          </cell>
          <cell r="AD82">
            <v>2</v>
          </cell>
          <cell r="AE82">
            <v>2</v>
          </cell>
          <cell r="AF82">
            <v>2</v>
          </cell>
          <cell r="AG82">
            <v>16</v>
          </cell>
          <cell r="AH82">
            <v>3</v>
          </cell>
          <cell r="AI82">
            <v>3</v>
          </cell>
          <cell r="AJ82">
            <v>3</v>
          </cell>
          <cell r="AK82">
            <v>3</v>
          </cell>
          <cell r="AL82">
            <v>2</v>
          </cell>
          <cell r="AM82">
            <v>2</v>
          </cell>
          <cell r="AN82">
            <v>2</v>
          </cell>
          <cell r="AO82">
            <v>18</v>
          </cell>
          <cell r="AP82">
            <v>3</v>
          </cell>
          <cell r="AQ82">
            <v>3</v>
          </cell>
          <cell r="AR82">
            <v>3</v>
          </cell>
          <cell r="AS82">
            <v>3</v>
          </cell>
          <cell r="AT82">
            <v>2</v>
          </cell>
          <cell r="AU82">
            <v>2</v>
          </cell>
          <cell r="AV82">
            <v>2</v>
          </cell>
          <cell r="AW82">
            <v>18</v>
          </cell>
          <cell r="AX82">
            <v>3</v>
          </cell>
          <cell r="AY82">
            <v>3</v>
          </cell>
          <cell r="AZ82">
            <v>3</v>
          </cell>
          <cell r="BA82">
            <v>3</v>
          </cell>
          <cell r="BB82">
            <v>2</v>
          </cell>
          <cell r="BC82">
            <v>2</v>
          </cell>
          <cell r="BD82">
            <v>2</v>
          </cell>
          <cell r="BE82">
            <v>18</v>
          </cell>
          <cell r="BF82">
            <v>3</v>
          </cell>
          <cell r="BG82">
            <v>3</v>
          </cell>
          <cell r="BH82">
            <v>3</v>
          </cell>
          <cell r="BI82">
            <v>3</v>
          </cell>
          <cell r="BJ82">
            <v>2</v>
          </cell>
          <cell r="BK82">
            <v>2</v>
          </cell>
          <cell r="BL82">
            <v>2</v>
          </cell>
          <cell r="BM82">
            <v>18</v>
          </cell>
          <cell r="BN82">
            <v>3</v>
          </cell>
          <cell r="BO82">
            <v>3</v>
          </cell>
          <cell r="BP82">
            <v>3</v>
          </cell>
          <cell r="BQ82">
            <v>3</v>
          </cell>
          <cell r="BR82">
            <v>2</v>
          </cell>
          <cell r="BS82">
            <v>2</v>
          </cell>
          <cell r="BT82">
            <v>2</v>
          </cell>
          <cell r="BU82">
            <v>18</v>
          </cell>
          <cell r="BV82">
            <v>3</v>
          </cell>
          <cell r="BW82">
            <v>3</v>
          </cell>
          <cell r="BX82">
            <v>3</v>
          </cell>
          <cell r="BY82">
            <v>3</v>
          </cell>
          <cell r="BZ82">
            <v>2</v>
          </cell>
          <cell r="CA82">
            <v>2</v>
          </cell>
          <cell r="CB82">
            <v>2</v>
          </cell>
          <cell r="CC82">
            <v>18</v>
          </cell>
          <cell r="CD82">
            <v>3</v>
          </cell>
          <cell r="CE82">
            <v>3</v>
          </cell>
          <cell r="CF82">
            <v>3</v>
          </cell>
          <cell r="CG82">
            <v>3</v>
          </cell>
          <cell r="CH82">
            <v>2</v>
          </cell>
          <cell r="CI82">
            <v>2</v>
          </cell>
          <cell r="CJ82">
            <v>2</v>
          </cell>
          <cell r="CK82">
            <v>18</v>
          </cell>
          <cell r="CL82">
            <v>3</v>
          </cell>
          <cell r="CM82">
            <v>3</v>
          </cell>
          <cell r="CN82">
            <v>3</v>
          </cell>
          <cell r="CO82">
            <v>3</v>
          </cell>
          <cell r="CP82">
            <v>2</v>
          </cell>
          <cell r="CQ82">
            <v>2</v>
          </cell>
          <cell r="CR82">
            <v>2</v>
          </cell>
          <cell r="CS82">
            <v>18</v>
          </cell>
          <cell r="CT82">
            <v>3</v>
          </cell>
          <cell r="CU82">
            <v>3</v>
          </cell>
          <cell r="CV82">
            <v>3</v>
          </cell>
          <cell r="CW82">
            <v>3</v>
          </cell>
          <cell r="CX82">
            <v>2</v>
          </cell>
          <cell r="CY82">
            <v>2</v>
          </cell>
          <cell r="CZ82">
            <v>2</v>
          </cell>
          <cell r="DA82">
            <v>18</v>
          </cell>
          <cell r="DB82">
            <v>3</v>
          </cell>
          <cell r="DC82">
            <v>3</v>
          </cell>
          <cell r="DD82">
            <v>3</v>
          </cell>
          <cell r="DE82">
            <v>3</v>
          </cell>
          <cell r="DF82">
            <v>2</v>
          </cell>
          <cell r="DG82">
            <v>2</v>
          </cell>
          <cell r="DH82">
            <v>2</v>
          </cell>
          <cell r="DI82">
            <v>18</v>
          </cell>
          <cell r="DJ82">
            <v>3</v>
          </cell>
          <cell r="DK82">
            <v>3</v>
          </cell>
          <cell r="DL82">
            <v>3</v>
          </cell>
          <cell r="DM82">
            <v>3</v>
          </cell>
          <cell r="DN82">
            <v>2</v>
          </cell>
          <cell r="DO82">
            <v>2</v>
          </cell>
          <cell r="DP82">
            <v>2</v>
          </cell>
          <cell r="DQ82">
            <v>18</v>
          </cell>
        </row>
        <row r="83">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1</v>
          </cell>
          <cell r="AA83">
            <v>0</v>
          </cell>
          <cell r="AB83">
            <v>0</v>
          </cell>
          <cell r="AC83">
            <v>0</v>
          </cell>
          <cell r="AD83">
            <v>0</v>
          </cell>
          <cell r="AE83">
            <v>0</v>
          </cell>
          <cell r="AF83">
            <v>0</v>
          </cell>
          <cell r="AG83">
            <v>1</v>
          </cell>
          <cell r="AH83">
            <v>1</v>
          </cell>
          <cell r="AI83">
            <v>1</v>
          </cell>
          <cell r="AJ83">
            <v>1</v>
          </cell>
          <cell r="AK83">
            <v>0</v>
          </cell>
          <cell r="AL83">
            <v>0</v>
          </cell>
          <cell r="AM83">
            <v>0</v>
          </cell>
          <cell r="AN83">
            <v>0</v>
          </cell>
          <cell r="AO83">
            <v>3</v>
          </cell>
          <cell r="AP83">
            <v>1</v>
          </cell>
          <cell r="AQ83">
            <v>1</v>
          </cell>
          <cell r="AR83">
            <v>1</v>
          </cell>
          <cell r="AS83">
            <v>1</v>
          </cell>
          <cell r="AT83">
            <v>1</v>
          </cell>
          <cell r="AU83">
            <v>0</v>
          </cell>
          <cell r="AV83">
            <v>0</v>
          </cell>
          <cell r="AW83">
            <v>5</v>
          </cell>
          <cell r="AX83">
            <v>1</v>
          </cell>
          <cell r="AY83">
            <v>1</v>
          </cell>
          <cell r="AZ83">
            <v>1</v>
          </cell>
          <cell r="BA83">
            <v>1</v>
          </cell>
          <cell r="BB83">
            <v>1</v>
          </cell>
          <cell r="BC83">
            <v>0</v>
          </cell>
          <cell r="BD83">
            <v>0</v>
          </cell>
          <cell r="BE83">
            <v>5</v>
          </cell>
          <cell r="BF83">
            <v>1</v>
          </cell>
          <cell r="BG83">
            <v>1</v>
          </cell>
          <cell r="BH83">
            <v>1</v>
          </cell>
          <cell r="BI83">
            <v>1</v>
          </cell>
          <cell r="BJ83">
            <v>1</v>
          </cell>
          <cell r="BK83">
            <v>0</v>
          </cell>
          <cell r="BL83">
            <v>0</v>
          </cell>
          <cell r="BM83">
            <v>5</v>
          </cell>
          <cell r="BN83">
            <v>1</v>
          </cell>
          <cell r="BO83">
            <v>1</v>
          </cell>
          <cell r="BP83">
            <v>1</v>
          </cell>
          <cell r="BQ83">
            <v>1</v>
          </cell>
          <cell r="BR83">
            <v>1</v>
          </cell>
          <cell r="BS83">
            <v>0</v>
          </cell>
          <cell r="BT83">
            <v>0</v>
          </cell>
          <cell r="BU83">
            <v>5</v>
          </cell>
          <cell r="BV83">
            <v>1</v>
          </cell>
          <cell r="BW83">
            <v>1</v>
          </cell>
          <cell r="BX83">
            <v>1</v>
          </cell>
          <cell r="BY83">
            <v>1</v>
          </cell>
          <cell r="BZ83">
            <v>1</v>
          </cell>
          <cell r="CA83">
            <v>0</v>
          </cell>
          <cell r="CB83">
            <v>0</v>
          </cell>
          <cell r="CC83">
            <v>5</v>
          </cell>
          <cell r="CD83">
            <v>1</v>
          </cell>
          <cell r="CE83">
            <v>1</v>
          </cell>
          <cell r="CF83">
            <v>1</v>
          </cell>
          <cell r="CG83">
            <v>1</v>
          </cell>
          <cell r="CH83">
            <v>1</v>
          </cell>
          <cell r="CI83">
            <v>0</v>
          </cell>
          <cell r="CJ83">
            <v>0</v>
          </cell>
          <cell r="CK83">
            <v>5</v>
          </cell>
          <cell r="CL83">
            <v>1</v>
          </cell>
          <cell r="CM83">
            <v>1</v>
          </cell>
          <cell r="CN83">
            <v>1</v>
          </cell>
          <cell r="CO83">
            <v>1</v>
          </cell>
          <cell r="CP83">
            <v>1</v>
          </cell>
          <cell r="CQ83">
            <v>0</v>
          </cell>
          <cell r="CR83">
            <v>0</v>
          </cell>
          <cell r="CS83">
            <v>5</v>
          </cell>
          <cell r="CT83">
            <v>1</v>
          </cell>
          <cell r="CU83">
            <v>1</v>
          </cell>
          <cell r="CV83">
            <v>1</v>
          </cell>
          <cell r="CW83">
            <v>1</v>
          </cell>
          <cell r="CX83">
            <v>1</v>
          </cell>
          <cell r="CY83">
            <v>0</v>
          </cell>
          <cell r="CZ83">
            <v>0</v>
          </cell>
          <cell r="DA83">
            <v>5</v>
          </cell>
          <cell r="DB83">
            <v>1</v>
          </cell>
          <cell r="DC83">
            <v>1</v>
          </cell>
          <cell r="DD83">
            <v>1</v>
          </cell>
          <cell r="DE83">
            <v>1</v>
          </cell>
          <cell r="DF83">
            <v>1</v>
          </cell>
          <cell r="DG83">
            <v>0</v>
          </cell>
          <cell r="DH83">
            <v>0</v>
          </cell>
          <cell r="DI83">
            <v>5</v>
          </cell>
          <cell r="DJ83">
            <v>1</v>
          </cell>
          <cell r="DK83">
            <v>1</v>
          </cell>
          <cell r="DL83">
            <v>1</v>
          </cell>
          <cell r="DM83">
            <v>1</v>
          </cell>
          <cell r="DN83">
            <v>1</v>
          </cell>
          <cell r="DO83">
            <v>0</v>
          </cell>
          <cell r="DP83">
            <v>0</v>
          </cell>
          <cell r="DQ83">
            <v>5</v>
          </cell>
        </row>
        <row r="84">
          <cell r="B84">
            <v>2</v>
          </cell>
          <cell r="C84">
            <v>2</v>
          </cell>
          <cell r="D84">
            <v>2</v>
          </cell>
          <cell r="E84">
            <v>2</v>
          </cell>
          <cell r="F84">
            <v>1</v>
          </cell>
          <cell r="G84">
            <v>1</v>
          </cell>
          <cell r="H84">
            <v>1</v>
          </cell>
          <cell r="I84">
            <v>11</v>
          </cell>
          <cell r="J84">
            <v>3</v>
          </cell>
          <cell r="K84">
            <v>2</v>
          </cell>
          <cell r="L84">
            <v>2</v>
          </cell>
          <cell r="M84">
            <v>2</v>
          </cell>
          <cell r="N84">
            <v>2</v>
          </cell>
          <cell r="O84">
            <v>2</v>
          </cell>
          <cell r="P84">
            <v>2</v>
          </cell>
          <cell r="Q84">
            <v>15</v>
          </cell>
          <cell r="R84">
            <v>3</v>
          </cell>
          <cell r="S84">
            <v>3</v>
          </cell>
          <cell r="T84">
            <v>3</v>
          </cell>
          <cell r="U84">
            <v>3</v>
          </cell>
          <cell r="V84">
            <v>3</v>
          </cell>
          <cell r="W84">
            <v>2</v>
          </cell>
          <cell r="X84">
            <v>2</v>
          </cell>
          <cell r="Y84">
            <v>19</v>
          </cell>
          <cell r="Z84">
            <v>3</v>
          </cell>
          <cell r="AA84">
            <v>3</v>
          </cell>
          <cell r="AB84">
            <v>3</v>
          </cell>
          <cell r="AC84">
            <v>3</v>
          </cell>
          <cell r="AD84">
            <v>3</v>
          </cell>
          <cell r="AE84">
            <v>3</v>
          </cell>
          <cell r="AF84">
            <v>3</v>
          </cell>
          <cell r="AG84">
            <v>21</v>
          </cell>
          <cell r="AH84">
            <v>4</v>
          </cell>
          <cell r="AI84">
            <v>4</v>
          </cell>
          <cell r="AJ84">
            <v>4</v>
          </cell>
          <cell r="AK84">
            <v>4</v>
          </cell>
          <cell r="AL84">
            <v>4</v>
          </cell>
          <cell r="AM84">
            <v>3</v>
          </cell>
          <cell r="AN84">
            <v>3</v>
          </cell>
          <cell r="AO84">
            <v>26</v>
          </cell>
          <cell r="AP84">
            <v>5</v>
          </cell>
          <cell r="AQ84">
            <v>5</v>
          </cell>
          <cell r="AR84">
            <v>5</v>
          </cell>
          <cell r="AS84">
            <v>5</v>
          </cell>
          <cell r="AT84">
            <v>5</v>
          </cell>
          <cell r="AU84">
            <v>5</v>
          </cell>
          <cell r="AV84">
            <v>5</v>
          </cell>
          <cell r="AW84">
            <v>35</v>
          </cell>
          <cell r="AX84">
            <v>7</v>
          </cell>
          <cell r="AY84">
            <v>7</v>
          </cell>
          <cell r="AZ84">
            <v>7</v>
          </cell>
          <cell r="BA84">
            <v>6</v>
          </cell>
          <cell r="BB84">
            <v>6</v>
          </cell>
          <cell r="BC84">
            <v>6</v>
          </cell>
          <cell r="BD84">
            <v>6</v>
          </cell>
          <cell r="BE84">
            <v>45</v>
          </cell>
          <cell r="BF84">
            <v>8</v>
          </cell>
          <cell r="BG84">
            <v>8</v>
          </cell>
          <cell r="BH84">
            <v>8</v>
          </cell>
          <cell r="BI84">
            <v>8</v>
          </cell>
          <cell r="BJ84">
            <v>8</v>
          </cell>
          <cell r="BK84">
            <v>7</v>
          </cell>
          <cell r="BL84">
            <v>7</v>
          </cell>
          <cell r="BM84">
            <v>54</v>
          </cell>
          <cell r="BN84">
            <v>9</v>
          </cell>
          <cell r="BO84">
            <v>9</v>
          </cell>
          <cell r="BP84">
            <v>9</v>
          </cell>
          <cell r="BQ84">
            <v>9</v>
          </cell>
          <cell r="BR84">
            <v>9</v>
          </cell>
          <cell r="BS84">
            <v>9</v>
          </cell>
          <cell r="BT84">
            <v>9</v>
          </cell>
          <cell r="BU84">
            <v>63</v>
          </cell>
          <cell r="BV84">
            <v>9</v>
          </cell>
          <cell r="BW84">
            <v>9</v>
          </cell>
          <cell r="BX84">
            <v>9</v>
          </cell>
          <cell r="BY84">
            <v>9</v>
          </cell>
          <cell r="BZ84">
            <v>9</v>
          </cell>
          <cell r="CA84">
            <v>9</v>
          </cell>
          <cell r="CB84">
            <v>9</v>
          </cell>
          <cell r="CC84">
            <v>63</v>
          </cell>
          <cell r="CD84">
            <v>9</v>
          </cell>
          <cell r="CE84">
            <v>9</v>
          </cell>
          <cell r="CF84">
            <v>9</v>
          </cell>
          <cell r="CG84">
            <v>9</v>
          </cell>
          <cell r="CH84">
            <v>9</v>
          </cell>
          <cell r="CI84">
            <v>9</v>
          </cell>
          <cell r="CJ84">
            <v>9</v>
          </cell>
          <cell r="CK84">
            <v>63</v>
          </cell>
          <cell r="CL84">
            <v>9</v>
          </cell>
          <cell r="CM84">
            <v>9</v>
          </cell>
          <cell r="CN84">
            <v>9</v>
          </cell>
          <cell r="CO84">
            <v>9</v>
          </cell>
          <cell r="CP84">
            <v>9</v>
          </cell>
          <cell r="CQ84">
            <v>9</v>
          </cell>
          <cell r="CR84">
            <v>9</v>
          </cell>
          <cell r="CS84">
            <v>63</v>
          </cell>
          <cell r="CT84">
            <v>9</v>
          </cell>
          <cell r="CU84">
            <v>9</v>
          </cell>
          <cell r="CV84">
            <v>9</v>
          </cell>
          <cell r="CW84">
            <v>9</v>
          </cell>
          <cell r="CX84">
            <v>9</v>
          </cell>
          <cell r="CY84">
            <v>9</v>
          </cell>
          <cell r="CZ84">
            <v>9</v>
          </cell>
          <cell r="DA84">
            <v>63</v>
          </cell>
          <cell r="DB84">
            <v>9</v>
          </cell>
          <cell r="DC84">
            <v>9</v>
          </cell>
          <cell r="DD84">
            <v>9</v>
          </cell>
          <cell r="DE84">
            <v>9</v>
          </cell>
          <cell r="DF84">
            <v>9</v>
          </cell>
          <cell r="DG84">
            <v>9</v>
          </cell>
          <cell r="DH84">
            <v>9</v>
          </cell>
          <cell r="DI84">
            <v>63</v>
          </cell>
          <cell r="DJ84">
            <v>9</v>
          </cell>
          <cell r="DK84">
            <v>9</v>
          </cell>
          <cell r="DL84">
            <v>9</v>
          </cell>
          <cell r="DM84">
            <v>9</v>
          </cell>
          <cell r="DN84">
            <v>9</v>
          </cell>
          <cell r="DO84">
            <v>9</v>
          </cell>
          <cell r="DP84">
            <v>9</v>
          </cell>
          <cell r="DQ84">
            <v>63</v>
          </cell>
        </row>
        <row r="85">
          <cell r="B85">
            <v>2</v>
          </cell>
          <cell r="C85">
            <v>2</v>
          </cell>
          <cell r="D85">
            <v>1</v>
          </cell>
          <cell r="E85">
            <v>1</v>
          </cell>
          <cell r="F85">
            <v>1</v>
          </cell>
          <cell r="G85">
            <v>1</v>
          </cell>
          <cell r="H85">
            <v>1</v>
          </cell>
          <cell r="I85">
            <v>9</v>
          </cell>
          <cell r="J85">
            <v>0</v>
          </cell>
          <cell r="K85">
            <v>0</v>
          </cell>
          <cell r="L85">
            <v>0</v>
          </cell>
          <cell r="M85">
            <v>0</v>
          </cell>
          <cell r="N85">
            <v>0</v>
          </cell>
          <cell r="O85">
            <v>0</v>
          </cell>
          <cell r="P85">
            <v>0</v>
          </cell>
          <cell r="Q85">
            <v>0</v>
          </cell>
          <cell r="R85">
            <v>1</v>
          </cell>
          <cell r="S85">
            <v>1</v>
          </cell>
          <cell r="T85">
            <v>0</v>
          </cell>
          <cell r="U85">
            <v>0</v>
          </cell>
          <cell r="V85">
            <v>0</v>
          </cell>
          <cell r="W85">
            <v>0</v>
          </cell>
          <cell r="X85">
            <v>0</v>
          </cell>
          <cell r="Y85">
            <v>2</v>
          </cell>
          <cell r="Z85">
            <v>1</v>
          </cell>
          <cell r="AA85">
            <v>1</v>
          </cell>
          <cell r="AB85">
            <v>1</v>
          </cell>
          <cell r="AC85">
            <v>1</v>
          </cell>
          <cell r="AD85">
            <v>0</v>
          </cell>
          <cell r="AE85">
            <v>0</v>
          </cell>
          <cell r="AF85">
            <v>0</v>
          </cell>
          <cell r="AG85">
            <v>4</v>
          </cell>
          <cell r="AH85">
            <v>1</v>
          </cell>
          <cell r="AI85">
            <v>1</v>
          </cell>
          <cell r="AJ85">
            <v>1</v>
          </cell>
          <cell r="AK85">
            <v>1</v>
          </cell>
          <cell r="AL85">
            <v>1</v>
          </cell>
          <cell r="AM85">
            <v>1</v>
          </cell>
          <cell r="AN85">
            <v>1</v>
          </cell>
          <cell r="AO85">
            <v>7</v>
          </cell>
          <cell r="AP85">
            <v>1</v>
          </cell>
          <cell r="AQ85">
            <v>1</v>
          </cell>
          <cell r="AR85">
            <v>1</v>
          </cell>
          <cell r="AS85">
            <v>1</v>
          </cell>
          <cell r="AT85">
            <v>1</v>
          </cell>
          <cell r="AU85">
            <v>1</v>
          </cell>
          <cell r="AV85">
            <v>1</v>
          </cell>
          <cell r="AW85">
            <v>7</v>
          </cell>
          <cell r="AX85">
            <v>2</v>
          </cell>
          <cell r="AY85">
            <v>2</v>
          </cell>
          <cell r="AZ85">
            <v>1</v>
          </cell>
          <cell r="BA85">
            <v>1</v>
          </cell>
          <cell r="BB85">
            <v>1</v>
          </cell>
          <cell r="BC85">
            <v>1</v>
          </cell>
          <cell r="BD85">
            <v>1</v>
          </cell>
          <cell r="BE85">
            <v>9</v>
          </cell>
          <cell r="BF85">
            <v>2</v>
          </cell>
          <cell r="BG85">
            <v>2</v>
          </cell>
          <cell r="BH85">
            <v>1</v>
          </cell>
          <cell r="BI85">
            <v>1</v>
          </cell>
          <cell r="BJ85">
            <v>1</v>
          </cell>
          <cell r="BK85">
            <v>1</v>
          </cell>
          <cell r="BL85">
            <v>1</v>
          </cell>
          <cell r="BM85">
            <v>9</v>
          </cell>
          <cell r="BN85">
            <v>2</v>
          </cell>
          <cell r="BO85">
            <v>2</v>
          </cell>
          <cell r="BP85">
            <v>1</v>
          </cell>
          <cell r="BQ85">
            <v>1</v>
          </cell>
          <cell r="BR85">
            <v>1</v>
          </cell>
          <cell r="BS85">
            <v>1</v>
          </cell>
          <cell r="BT85">
            <v>1</v>
          </cell>
          <cell r="BU85">
            <v>9</v>
          </cell>
          <cell r="BV85">
            <v>2</v>
          </cell>
          <cell r="BW85">
            <v>2</v>
          </cell>
          <cell r="BX85">
            <v>1</v>
          </cell>
          <cell r="BY85">
            <v>1</v>
          </cell>
          <cell r="BZ85">
            <v>1</v>
          </cell>
          <cell r="CA85">
            <v>1</v>
          </cell>
          <cell r="CB85">
            <v>1</v>
          </cell>
          <cell r="CC85">
            <v>9</v>
          </cell>
          <cell r="CD85">
            <v>2</v>
          </cell>
          <cell r="CE85">
            <v>2</v>
          </cell>
          <cell r="CF85">
            <v>1</v>
          </cell>
          <cell r="CG85">
            <v>1</v>
          </cell>
          <cell r="CH85">
            <v>1</v>
          </cell>
          <cell r="CI85">
            <v>1</v>
          </cell>
          <cell r="CJ85">
            <v>1</v>
          </cell>
          <cell r="CK85">
            <v>9</v>
          </cell>
          <cell r="CL85">
            <v>2</v>
          </cell>
          <cell r="CM85">
            <v>2</v>
          </cell>
          <cell r="CN85">
            <v>1</v>
          </cell>
          <cell r="CO85">
            <v>1</v>
          </cell>
          <cell r="CP85">
            <v>1</v>
          </cell>
          <cell r="CQ85">
            <v>1</v>
          </cell>
          <cell r="CR85">
            <v>1</v>
          </cell>
          <cell r="CS85">
            <v>9</v>
          </cell>
          <cell r="CT85">
            <v>2</v>
          </cell>
          <cell r="CU85">
            <v>2</v>
          </cell>
          <cell r="CV85">
            <v>1</v>
          </cell>
          <cell r="CW85">
            <v>1</v>
          </cell>
          <cell r="CX85">
            <v>1</v>
          </cell>
          <cell r="CY85">
            <v>1</v>
          </cell>
          <cell r="CZ85">
            <v>1</v>
          </cell>
          <cell r="DA85">
            <v>9</v>
          </cell>
          <cell r="DB85">
            <v>2</v>
          </cell>
          <cell r="DC85">
            <v>2</v>
          </cell>
          <cell r="DD85">
            <v>1</v>
          </cell>
          <cell r="DE85">
            <v>1</v>
          </cell>
          <cell r="DF85">
            <v>1</v>
          </cell>
          <cell r="DG85">
            <v>1</v>
          </cell>
          <cell r="DH85">
            <v>1</v>
          </cell>
          <cell r="DI85">
            <v>9</v>
          </cell>
          <cell r="DJ85">
            <v>2</v>
          </cell>
          <cell r="DK85">
            <v>2</v>
          </cell>
          <cell r="DL85">
            <v>1</v>
          </cell>
          <cell r="DM85">
            <v>1</v>
          </cell>
          <cell r="DN85">
            <v>1</v>
          </cell>
          <cell r="DO85">
            <v>1</v>
          </cell>
          <cell r="DP85">
            <v>1</v>
          </cell>
          <cell r="DQ85">
            <v>9</v>
          </cell>
        </row>
        <row r="86">
          <cell r="B86">
            <v>1</v>
          </cell>
          <cell r="C86">
            <v>1</v>
          </cell>
          <cell r="D86">
            <v>0</v>
          </cell>
          <cell r="E86">
            <v>0</v>
          </cell>
          <cell r="F86">
            <v>0</v>
          </cell>
          <cell r="G86">
            <v>0</v>
          </cell>
          <cell r="H86">
            <v>0</v>
          </cell>
          <cell r="I86">
            <v>2</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1</v>
          </cell>
          <cell r="BW86">
            <v>0</v>
          </cell>
          <cell r="BX86">
            <v>0</v>
          </cell>
          <cell r="BY86">
            <v>0</v>
          </cell>
          <cell r="BZ86">
            <v>0</v>
          </cell>
          <cell r="CA86">
            <v>0</v>
          </cell>
          <cell r="CB86">
            <v>0</v>
          </cell>
          <cell r="CC86">
            <v>1</v>
          </cell>
          <cell r="CD86">
            <v>1</v>
          </cell>
          <cell r="CE86">
            <v>0</v>
          </cell>
          <cell r="CF86">
            <v>0</v>
          </cell>
          <cell r="CG86">
            <v>0</v>
          </cell>
          <cell r="CH86">
            <v>0</v>
          </cell>
          <cell r="CI86">
            <v>0</v>
          </cell>
          <cell r="CJ86">
            <v>0</v>
          </cell>
          <cell r="CK86">
            <v>1</v>
          </cell>
          <cell r="CL86">
            <v>1</v>
          </cell>
          <cell r="CM86">
            <v>0</v>
          </cell>
          <cell r="CN86">
            <v>0</v>
          </cell>
          <cell r="CO86">
            <v>0</v>
          </cell>
          <cell r="CP86">
            <v>0</v>
          </cell>
          <cell r="CQ86">
            <v>0</v>
          </cell>
          <cell r="CR86">
            <v>0</v>
          </cell>
          <cell r="CS86">
            <v>1</v>
          </cell>
          <cell r="CT86">
            <v>1</v>
          </cell>
          <cell r="CU86">
            <v>0</v>
          </cell>
          <cell r="CV86">
            <v>0</v>
          </cell>
          <cell r="CW86">
            <v>0</v>
          </cell>
          <cell r="CX86">
            <v>0</v>
          </cell>
          <cell r="CY86">
            <v>0</v>
          </cell>
          <cell r="CZ86">
            <v>0</v>
          </cell>
          <cell r="DA86">
            <v>1</v>
          </cell>
          <cell r="DB86">
            <v>1</v>
          </cell>
          <cell r="DC86">
            <v>0</v>
          </cell>
          <cell r="DD86">
            <v>0</v>
          </cell>
          <cell r="DE86">
            <v>0</v>
          </cell>
          <cell r="DF86">
            <v>0</v>
          </cell>
          <cell r="DG86">
            <v>0</v>
          </cell>
          <cell r="DH86">
            <v>0</v>
          </cell>
          <cell r="DI86">
            <v>1</v>
          </cell>
          <cell r="DJ86">
            <v>1</v>
          </cell>
          <cell r="DK86">
            <v>0</v>
          </cell>
          <cell r="DL86">
            <v>0</v>
          </cell>
          <cell r="DM86">
            <v>0</v>
          </cell>
          <cell r="DN86">
            <v>0</v>
          </cell>
          <cell r="DO86">
            <v>0</v>
          </cell>
          <cell r="DP86">
            <v>0</v>
          </cell>
          <cell r="DQ86">
            <v>1</v>
          </cell>
        </row>
        <row r="87">
          <cell r="B87">
            <v>1</v>
          </cell>
          <cell r="C87">
            <v>1</v>
          </cell>
          <cell r="D87">
            <v>1</v>
          </cell>
          <cell r="E87">
            <v>1</v>
          </cell>
          <cell r="F87">
            <v>0</v>
          </cell>
          <cell r="G87">
            <v>0</v>
          </cell>
          <cell r="H87">
            <v>0</v>
          </cell>
          <cell r="I87">
            <v>4</v>
          </cell>
          <cell r="J87">
            <v>1</v>
          </cell>
          <cell r="K87">
            <v>1</v>
          </cell>
          <cell r="L87">
            <v>0</v>
          </cell>
          <cell r="M87">
            <v>0</v>
          </cell>
          <cell r="N87">
            <v>0</v>
          </cell>
          <cell r="O87">
            <v>0</v>
          </cell>
          <cell r="P87">
            <v>0</v>
          </cell>
          <cell r="Q87">
            <v>2</v>
          </cell>
          <cell r="R87">
            <v>1</v>
          </cell>
          <cell r="S87">
            <v>1</v>
          </cell>
          <cell r="T87">
            <v>1</v>
          </cell>
          <cell r="U87">
            <v>1</v>
          </cell>
          <cell r="V87">
            <v>1</v>
          </cell>
          <cell r="W87">
            <v>0</v>
          </cell>
          <cell r="X87">
            <v>0</v>
          </cell>
          <cell r="Y87">
            <v>5</v>
          </cell>
          <cell r="Z87">
            <v>3</v>
          </cell>
          <cell r="AA87">
            <v>3</v>
          </cell>
          <cell r="AB87">
            <v>2</v>
          </cell>
          <cell r="AC87">
            <v>2</v>
          </cell>
          <cell r="AD87">
            <v>2</v>
          </cell>
          <cell r="AE87">
            <v>2</v>
          </cell>
          <cell r="AF87">
            <v>2</v>
          </cell>
          <cell r="AG87">
            <v>16</v>
          </cell>
          <cell r="AH87">
            <v>4</v>
          </cell>
          <cell r="AI87">
            <v>4</v>
          </cell>
          <cell r="AJ87">
            <v>4</v>
          </cell>
          <cell r="AK87">
            <v>4</v>
          </cell>
          <cell r="AL87">
            <v>4</v>
          </cell>
          <cell r="AM87">
            <v>4</v>
          </cell>
          <cell r="AN87">
            <v>4</v>
          </cell>
          <cell r="AO87">
            <v>28</v>
          </cell>
          <cell r="AP87">
            <v>6</v>
          </cell>
          <cell r="AQ87">
            <v>6</v>
          </cell>
          <cell r="AR87">
            <v>6</v>
          </cell>
          <cell r="AS87">
            <v>5</v>
          </cell>
          <cell r="AT87">
            <v>5</v>
          </cell>
          <cell r="AU87">
            <v>5</v>
          </cell>
          <cell r="AV87">
            <v>5</v>
          </cell>
          <cell r="AW87">
            <v>38</v>
          </cell>
          <cell r="AX87">
            <v>8</v>
          </cell>
          <cell r="AY87">
            <v>7</v>
          </cell>
          <cell r="AZ87">
            <v>7</v>
          </cell>
          <cell r="BA87">
            <v>7</v>
          </cell>
          <cell r="BB87">
            <v>7</v>
          </cell>
          <cell r="BC87">
            <v>7</v>
          </cell>
          <cell r="BD87">
            <v>7</v>
          </cell>
          <cell r="BE87">
            <v>50</v>
          </cell>
          <cell r="BF87">
            <v>10</v>
          </cell>
          <cell r="BG87">
            <v>10</v>
          </cell>
          <cell r="BH87">
            <v>10</v>
          </cell>
          <cell r="BI87">
            <v>9</v>
          </cell>
          <cell r="BJ87">
            <v>9</v>
          </cell>
          <cell r="BK87">
            <v>9</v>
          </cell>
          <cell r="BL87">
            <v>9</v>
          </cell>
          <cell r="BM87">
            <v>66</v>
          </cell>
          <cell r="BN87">
            <v>12</v>
          </cell>
          <cell r="BO87">
            <v>12</v>
          </cell>
          <cell r="BP87">
            <v>12</v>
          </cell>
          <cell r="BQ87">
            <v>12</v>
          </cell>
          <cell r="BR87">
            <v>12</v>
          </cell>
          <cell r="BS87">
            <v>11</v>
          </cell>
          <cell r="BT87">
            <v>11</v>
          </cell>
          <cell r="BU87">
            <v>82</v>
          </cell>
          <cell r="BV87">
            <v>14</v>
          </cell>
          <cell r="BW87">
            <v>14</v>
          </cell>
          <cell r="BX87">
            <v>14</v>
          </cell>
          <cell r="BY87">
            <v>14</v>
          </cell>
          <cell r="BZ87">
            <v>14</v>
          </cell>
          <cell r="CA87">
            <v>14</v>
          </cell>
          <cell r="CB87">
            <v>13</v>
          </cell>
          <cell r="CC87">
            <v>97</v>
          </cell>
          <cell r="CD87">
            <v>16</v>
          </cell>
          <cell r="CE87">
            <v>16</v>
          </cell>
          <cell r="CF87">
            <v>16</v>
          </cell>
          <cell r="CG87">
            <v>16</v>
          </cell>
          <cell r="CH87">
            <v>16</v>
          </cell>
          <cell r="CI87">
            <v>16</v>
          </cell>
          <cell r="CJ87">
            <v>16</v>
          </cell>
          <cell r="CK87">
            <v>112</v>
          </cell>
          <cell r="CL87">
            <v>18</v>
          </cell>
          <cell r="CM87">
            <v>18</v>
          </cell>
          <cell r="CN87">
            <v>18</v>
          </cell>
          <cell r="CO87">
            <v>18</v>
          </cell>
          <cell r="CP87">
            <v>18</v>
          </cell>
          <cell r="CQ87">
            <v>18</v>
          </cell>
          <cell r="CR87">
            <v>17</v>
          </cell>
          <cell r="CS87">
            <v>125</v>
          </cell>
          <cell r="CT87">
            <v>20</v>
          </cell>
          <cell r="CU87">
            <v>20</v>
          </cell>
          <cell r="CV87">
            <v>20</v>
          </cell>
          <cell r="CW87">
            <v>20</v>
          </cell>
          <cell r="CX87">
            <v>20</v>
          </cell>
          <cell r="CY87">
            <v>19</v>
          </cell>
          <cell r="CZ87">
            <v>19</v>
          </cell>
          <cell r="DA87">
            <v>138</v>
          </cell>
          <cell r="DB87">
            <v>22</v>
          </cell>
          <cell r="DC87">
            <v>22</v>
          </cell>
          <cell r="DD87">
            <v>22</v>
          </cell>
          <cell r="DE87">
            <v>22</v>
          </cell>
          <cell r="DF87">
            <v>21</v>
          </cell>
          <cell r="DG87">
            <v>21</v>
          </cell>
          <cell r="DH87">
            <v>21</v>
          </cell>
          <cell r="DI87">
            <v>151</v>
          </cell>
          <cell r="DJ87">
            <v>24</v>
          </cell>
          <cell r="DK87">
            <v>24</v>
          </cell>
          <cell r="DL87">
            <v>24</v>
          </cell>
          <cell r="DM87">
            <v>23</v>
          </cell>
          <cell r="DN87">
            <v>23</v>
          </cell>
          <cell r="DO87">
            <v>23</v>
          </cell>
          <cell r="DP87">
            <v>23</v>
          </cell>
          <cell r="DQ87">
            <v>164</v>
          </cell>
        </row>
        <row r="88">
          <cell r="B88">
            <v>1</v>
          </cell>
          <cell r="C88">
            <v>1</v>
          </cell>
          <cell r="D88">
            <v>1</v>
          </cell>
          <cell r="E88">
            <v>0</v>
          </cell>
          <cell r="F88">
            <v>0</v>
          </cell>
          <cell r="G88">
            <v>0</v>
          </cell>
          <cell r="H88">
            <v>0</v>
          </cell>
          <cell r="I88">
            <v>3</v>
          </cell>
          <cell r="J88">
            <v>1</v>
          </cell>
          <cell r="K88">
            <v>1</v>
          </cell>
          <cell r="L88">
            <v>1</v>
          </cell>
          <cell r="M88">
            <v>0</v>
          </cell>
          <cell r="N88">
            <v>0</v>
          </cell>
          <cell r="O88">
            <v>0</v>
          </cell>
          <cell r="P88">
            <v>0</v>
          </cell>
          <cell r="Q88">
            <v>3</v>
          </cell>
          <cell r="R88">
            <v>2</v>
          </cell>
          <cell r="S88">
            <v>2</v>
          </cell>
          <cell r="T88">
            <v>1</v>
          </cell>
          <cell r="U88">
            <v>1</v>
          </cell>
          <cell r="V88">
            <v>1</v>
          </cell>
          <cell r="W88">
            <v>1</v>
          </cell>
          <cell r="X88">
            <v>1</v>
          </cell>
          <cell r="Y88">
            <v>9</v>
          </cell>
          <cell r="Z88">
            <v>2</v>
          </cell>
          <cell r="AA88">
            <v>2</v>
          </cell>
          <cell r="AB88">
            <v>1</v>
          </cell>
          <cell r="AC88">
            <v>1</v>
          </cell>
          <cell r="AD88">
            <v>1</v>
          </cell>
          <cell r="AE88">
            <v>1</v>
          </cell>
          <cell r="AF88">
            <v>1</v>
          </cell>
          <cell r="AG88">
            <v>9</v>
          </cell>
          <cell r="AH88">
            <v>2</v>
          </cell>
          <cell r="AI88">
            <v>2</v>
          </cell>
          <cell r="AJ88">
            <v>1</v>
          </cell>
          <cell r="AK88">
            <v>1</v>
          </cell>
          <cell r="AL88">
            <v>1</v>
          </cell>
          <cell r="AM88">
            <v>1</v>
          </cell>
          <cell r="AN88">
            <v>1</v>
          </cell>
          <cell r="AO88">
            <v>9</v>
          </cell>
          <cell r="AP88">
            <v>2</v>
          </cell>
          <cell r="AQ88">
            <v>2</v>
          </cell>
          <cell r="AR88">
            <v>2</v>
          </cell>
          <cell r="AS88">
            <v>2</v>
          </cell>
          <cell r="AT88">
            <v>2</v>
          </cell>
          <cell r="AU88">
            <v>1</v>
          </cell>
          <cell r="AV88">
            <v>1</v>
          </cell>
          <cell r="AW88">
            <v>12</v>
          </cell>
          <cell r="AX88">
            <v>3</v>
          </cell>
          <cell r="AY88">
            <v>3</v>
          </cell>
          <cell r="AZ88">
            <v>3</v>
          </cell>
          <cell r="BA88">
            <v>3</v>
          </cell>
          <cell r="BB88">
            <v>3</v>
          </cell>
          <cell r="BC88">
            <v>3</v>
          </cell>
          <cell r="BD88">
            <v>2</v>
          </cell>
          <cell r="BE88">
            <v>20</v>
          </cell>
          <cell r="BF88">
            <v>5</v>
          </cell>
          <cell r="BG88">
            <v>4</v>
          </cell>
          <cell r="BH88">
            <v>4</v>
          </cell>
          <cell r="BI88">
            <v>4</v>
          </cell>
          <cell r="BJ88">
            <v>4</v>
          </cell>
          <cell r="BK88">
            <v>4</v>
          </cell>
          <cell r="BL88">
            <v>4</v>
          </cell>
          <cell r="BM88">
            <v>29</v>
          </cell>
          <cell r="BN88">
            <v>6</v>
          </cell>
          <cell r="BO88">
            <v>6</v>
          </cell>
          <cell r="BP88">
            <v>6</v>
          </cell>
          <cell r="BQ88">
            <v>6</v>
          </cell>
          <cell r="BR88">
            <v>6</v>
          </cell>
          <cell r="BS88">
            <v>5</v>
          </cell>
          <cell r="BT88">
            <v>5</v>
          </cell>
          <cell r="BU88">
            <v>40</v>
          </cell>
          <cell r="BV88">
            <v>8</v>
          </cell>
          <cell r="BW88">
            <v>8</v>
          </cell>
          <cell r="BX88">
            <v>7</v>
          </cell>
          <cell r="BY88">
            <v>7</v>
          </cell>
          <cell r="BZ88">
            <v>7</v>
          </cell>
          <cell r="CA88">
            <v>7</v>
          </cell>
          <cell r="CB88">
            <v>7</v>
          </cell>
          <cell r="CC88">
            <v>51</v>
          </cell>
          <cell r="CD88">
            <v>9</v>
          </cell>
          <cell r="CE88">
            <v>9</v>
          </cell>
          <cell r="CF88">
            <v>9</v>
          </cell>
          <cell r="CG88">
            <v>9</v>
          </cell>
          <cell r="CH88">
            <v>9</v>
          </cell>
          <cell r="CI88">
            <v>9</v>
          </cell>
          <cell r="CJ88">
            <v>8</v>
          </cell>
          <cell r="CK88">
            <v>62</v>
          </cell>
          <cell r="CL88">
            <v>11</v>
          </cell>
          <cell r="CM88">
            <v>10</v>
          </cell>
          <cell r="CN88">
            <v>10</v>
          </cell>
          <cell r="CO88">
            <v>10</v>
          </cell>
          <cell r="CP88">
            <v>10</v>
          </cell>
          <cell r="CQ88">
            <v>10</v>
          </cell>
          <cell r="CR88">
            <v>10</v>
          </cell>
          <cell r="CS88">
            <v>71</v>
          </cell>
          <cell r="CT88">
            <v>12</v>
          </cell>
          <cell r="CU88">
            <v>12</v>
          </cell>
          <cell r="CV88">
            <v>12</v>
          </cell>
          <cell r="CW88">
            <v>11</v>
          </cell>
          <cell r="CX88">
            <v>11</v>
          </cell>
          <cell r="CY88">
            <v>11</v>
          </cell>
          <cell r="CZ88">
            <v>11</v>
          </cell>
          <cell r="DA88">
            <v>80</v>
          </cell>
          <cell r="DB88">
            <v>13</v>
          </cell>
          <cell r="DC88">
            <v>13</v>
          </cell>
          <cell r="DD88">
            <v>13</v>
          </cell>
          <cell r="DE88">
            <v>13</v>
          </cell>
          <cell r="DF88">
            <v>13</v>
          </cell>
          <cell r="DG88">
            <v>13</v>
          </cell>
          <cell r="DH88">
            <v>12</v>
          </cell>
          <cell r="DI88">
            <v>90</v>
          </cell>
          <cell r="DJ88">
            <v>15</v>
          </cell>
          <cell r="DK88">
            <v>14</v>
          </cell>
          <cell r="DL88">
            <v>14</v>
          </cell>
          <cell r="DM88">
            <v>14</v>
          </cell>
          <cell r="DN88">
            <v>14</v>
          </cell>
          <cell r="DO88">
            <v>14</v>
          </cell>
          <cell r="DP88">
            <v>14</v>
          </cell>
          <cell r="DQ88">
            <v>99</v>
          </cell>
        </row>
        <row r="89">
          <cell r="B89">
            <v>0</v>
          </cell>
          <cell r="C89">
            <v>0</v>
          </cell>
          <cell r="D89">
            <v>0</v>
          </cell>
          <cell r="E89">
            <v>0</v>
          </cell>
          <cell r="F89">
            <v>0</v>
          </cell>
          <cell r="G89">
            <v>0</v>
          </cell>
          <cell r="H89">
            <v>0</v>
          </cell>
          <cell r="I89">
            <v>0</v>
          </cell>
          <cell r="J89">
            <v>1</v>
          </cell>
          <cell r="K89">
            <v>0</v>
          </cell>
          <cell r="L89">
            <v>0</v>
          </cell>
          <cell r="M89">
            <v>0</v>
          </cell>
          <cell r="N89">
            <v>0</v>
          </cell>
          <cell r="O89">
            <v>0</v>
          </cell>
          <cell r="P89">
            <v>0</v>
          </cell>
          <cell r="Q89">
            <v>1</v>
          </cell>
          <cell r="R89">
            <v>1</v>
          </cell>
          <cell r="S89">
            <v>0</v>
          </cell>
          <cell r="T89">
            <v>0</v>
          </cell>
          <cell r="U89">
            <v>0</v>
          </cell>
          <cell r="V89">
            <v>0</v>
          </cell>
          <cell r="W89">
            <v>0</v>
          </cell>
          <cell r="X89">
            <v>0</v>
          </cell>
          <cell r="Y89">
            <v>1</v>
          </cell>
          <cell r="Z89">
            <v>1</v>
          </cell>
          <cell r="AA89">
            <v>0</v>
          </cell>
          <cell r="AB89">
            <v>0</v>
          </cell>
          <cell r="AC89">
            <v>0</v>
          </cell>
          <cell r="AD89">
            <v>0</v>
          </cell>
          <cell r="AE89">
            <v>0</v>
          </cell>
          <cell r="AF89">
            <v>0</v>
          </cell>
          <cell r="AG89">
            <v>1</v>
          </cell>
          <cell r="AH89">
            <v>1</v>
          </cell>
          <cell r="AI89">
            <v>0</v>
          </cell>
          <cell r="AJ89">
            <v>0</v>
          </cell>
          <cell r="AK89">
            <v>0</v>
          </cell>
          <cell r="AL89">
            <v>0</v>
          </cell>
          <cell r="AM89">
            <v>0</v>
          </cell>
          <cell r="AN89">
            <v>0</v>
          </cell>
          <cell r="AO89">
            <v>1</v>
          </cell>
          <cell r="AP89">
            <v>1</v>
          </cell>
          <cell r="AQ89">
            <v>0</v>
          </cell>
          <cell r="AR89">
            <v>0</v>
          </cell>
          <cell r="AS89">
            <v>0</v>
          </cell>
          <cell r="AT89">
            <v>0</v>
          </cell>
          <cell r="AU89">
            <v>0</v>
          </cell>
          <cell r="AV89">
            <v>0</v>
          </cell>
          <cell r="AW89">
            <v>1</v>
          </cell>
          <cell r="AX89">
            <v>1</v>
          </cell>
          <cell r="AY89">
            <v>0</v>
          </cell>
          <cell r="AZ89">
            <v>0</v>
          </cell>
          <cell r="BA89">
            <v>0</v>
          </cell>
          <cell r="BB89">
            <v>0</v>
          </cell>
          <cell r="BC89">
            <v>0</v>
          </cell>
          <cell r="BD89">
            <v>0</v>
          </cell>
          <cell r="BE89">
            <v>1</v>
          </cell>
          <cell r="BF89">
            <v>1</v>
          </cell>
          <cell r="BG89">
            <v>0</v>
          </cell>
          <cell r="BH89">
            <v>0</v>
          </cell>
          <cell r="BI89">
            <v>0</v>
          </cell>
          <cell r="BJ89">
            <v>0</v>
          </cell>
          <cell r="BK89">
            <v>0</v>
          </cell>
          <cell r="BL89">
            <v>0</v>
          </cell>
          <cell r="BM89">
            <v>1</v>
          </cell>
          <cell r="BN89">
            <v>1</v>
          </cell>
          <cell r="BO89">
            <v>0</v>
          </cell>
          <cell r="BP89">
            <v>0</v>
          </cell>
          <cell r="BQ89">
            <v>0</v>
          </cell>
          <cell r="BR89">
            <v>0</v>
          </cell>
          <cell r="BS89">
            <v>0</v>
          </cell>
          <cell r="BT89">
            <v>0</v>
          </cell>
          <cell r="BU89">
            <v>1</v>
          </cell>
          <cell r="BV89">
            <v>1</v>
          </cell>
          <cell r="BW89">
            <v>0</v>
          </cell>
          <cell r="BX89">
            <v>0</v>
          </cell>
          <cell r="BY89">
            <v>0</v>
          </cell>
          <cell r="BZ89">
            <v>0</v>
          </cell>
          <cell r="CA89">
            <v>0</v>
          </cell>
          <cell r="CB89">
            <v>0</v>
          </cell>
          <cell r="CC89">
            <v>1</v>
          </cell>
          <cell r="CD89">
            <v>1</v>
          </cell>
          <cell r="CE89">
            <v>0</v>
          </cell>
          <cell r="CF89">
            <v>0</v>
          </cell>
          <cell r="CG89">
            <v>0</v>
          </cell>
          <cell r="CH89">
            <v>0</v>
          </cell>
          <cell r="CI89">
            <v>0</v>
          </cell>
          <cell r="CJ89">
            <v>0</v>
          </cell>
          <cell r="CK89">
            <v>1</v>
          </cell>
          <cell r="CL89">
            <v>1</v>
          </cell>
          <cell r="CM89">
            <v>0</v>
          </cell>
          <cell r="CN89">
            <v>0</v>
          </cell>
          <cell r="CO89">
            <v>0</v>
          </cell>
          <cell r="CP89">
            <v>0</v>
          </cell>
          <cell r="CQ89">
            <v>0</v>
          </cell>
          <cell r="CR89">
            <v>0</v>
          </cell>
          <cell r="CS89">
            <v>1</v>
          </cell>
          <cell r="CT89">
            <v>1</v>
          </cell>
          <cell r="CU89">
            <v>0</v>
          </cell>
          <cell r="CV89">
            <v>0</v>
          </cell>
          <cell r="CW89">
            <v>0</v>
          </cell>
          <cell r="CX89">
            <v>0</v>
          </cell>
          <cell r="CY89">
            <v>0</v>
          </cell>
          <cell r="CZ89">
            <v>0</v>
          </cell>
          <cell r="DA89">
            <v>1</v>
          </cell>
          <cell r="DB89">
            <v>1</v>
          </cell>
          <cell r="DC89">
            <v>0</v>
          </cell>
          <cell r="DD89">
            <v>0</v>
          </cell>
          <cell r="DE89">
            <v>0</v>
          </cell>
          <cell r="DF89">
            <v>0</v>
          </cell>
          <cell r="DG89">
            <v>0</v>
          </cell>
          <cell r="DH89">
            <v>0</v>
          </cell>
          <cell r="DI89">
            <v>1</v>
          </cell>
          <cell r="DJ89">
            <v>1</v>
          </cell>
          <cell r="DK89">
            <v>0</v>
          </cell>
          <cell r="DL89">
            <v>0</v>
          </cell>
          <cell r="DM89">
            <v>0</v>
          </cell>
          <cell r="DN89">
            <v>0</v>
          </cell>
          <cell r="DO89">
            <v>0</v>
          </cell>
          <cell r="DP89">
            <v>0</v>
          </cell>
          <cell r="DQ89">
            <v>1</v>
          </cell>
        </row>
        <row r="90">
          <cell r="B90">
            <v>0</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cell r="CB90">
            <v>0</v>
          </cell>
          <cell r="CC90">
            <v>0</v>
          </cell>
          <cell r="CD90">
            <v>0</v>
          </cell>
          <cell r="CE90">
            <v>0</v>
          </cell>
          <cell r="CF90">
            <v>0</v>
          </cell>
          <cell r="CG90">
            <v>0</v>
          </cell>
          <cell r="CH90">
            <v>0</v>
          </cell>
          <cell r="CI90">
            <v>0</v>
          </cell>
          <cell r="CJ90">
            <v>0</v>
          </cell>
          <cell r="CK90">
            <v>0</v>
          </cell>
          <cell r="CL90">
            <v>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0</v>
          </cell>
          <cell r="DM90">
            <v>0</v>
          </cell>
          <cell r="DN90">
            <v>0</v>
          </cell>
          <cell r="DO90">
            <v>0</v>
          </cell>
          <cell r="DP90">
            <v>0</v>
          </cell>
          <cell r="DQ90">
            <v>0</v>
          </cell>
        </row>
      </sheetData>
      <sheetData sheetId="94"/>
      <sheetData sheetId="95"/>
      <sheetData sheetId="96"/>
      <sheetData sheetId="97">
        <row r="1">
          <cell r="B1" t="str">
            <v>Actual Catchment Births</v>
          </cell>
          <cell r="E1"/>
          <cell r="F1"/>
          <cell r="G1"/>
          <cell r="H1"/>
          <cell r="I1"/>
          <cell r="K1" t="str">
            <v>Projected Catchment Births*</v>
          </cell>
          <cell r="L1"/>
          <cell r="M1"/>
          <cell r="N1"/>
          <cell r="O1"/>
          <cell r="P1"/>
          <cell r="Q1"/>
          <cell r="R1"/>
          <cell r="S1"/>
          <cell r="T1"/>
          <cell r="U1" t="str">
            <v>Total P1 Catchment Population</v>
          </cell>
          <cell r="V1"/>
          <cell r="X1"/>
          <cell r="Y1"/>
          <cell r="Z1" t="str">
            <v>Projected Total P1 Catchment Population (Birth Based)</v>
          </cell>
          <cell r="AA1"/>
          <cell r="AB1"/>
          <cell r="AN1" t="str">
            <v>Actual ND P1 Catchment Population (excl. GME)</v>
          </cell>
          <cell r="AO1"/>
          <cell r="AP1"/>
          <cell r="AR1"/>
          <cell r="AS1" t="str">
            <v>Projected ND (or RC) P1 Catchment Population (Birth Based)</v>
          </cell>
          <cell r="AT1"/>
          <cell r="AU1"/>
          <cell r="BB1"/>
          <cell r="BC1"/>
          <cell r="BD1"/>
          <cell r="BE1"/>
          <cell r="BF1"/>
          <cell r="BG1" t="str">
            <v>Projected ND (or RC) P1 Catchment Population (Birth Based) + Housing (2016-2030)</v>
          </cell>
          <cell r="BH1"/>
          <cell r="BI1"/>
          <cell r="BJ1"/>
          <cell r="BQ1"/>
          <cell r="BR1"/>
          <cell r="BS1"/>
          <cell r="BT1"/>
          <cell r="BU1"/>
          <cell r="BV1" t="str">
            <v>P1 Catchment Population Attendees</v>
          </cell>
          <cell r="BW1"/>
          <cell r="BY1"/>
          <cell r="BZ1"/>
        </row>
        <row r="2">
          <cell r="D2"/>
          <cell r="E2"/>
          <cell r="F2"/>
          <cell r="G2"/>
          <cell r="H2"/>
          <cell r="I2"/>
          <cell r="J2"/>
          <cell r="K2">
            <v>1.0923902980929457E-2</v>
          </cell>
          <cell r="L2">
            <v>1.4285714285714285E-2</v>
          </cell>
          <cell r="M2">
            <v>1.2098230408089564E-2</v>
          </cell>
          <cell r="N2">
            <v>9.455842997323818E-3</v>
          </cell>
          <cell r="O2">
            <v>7.246376811594203E-3</v>
          </cell>
          <cell r="P2">
            <v>4.9131426566064226E-3</v>
          </cell>
          <cell r="Q2">
            <v>2.7937838309760781E-3</v>
          </cell>
          <cell r="R2">
            <v>3.1342503917812991E-3</v>
          </cell>
          <cell r="S2">
            <v>1.7358097552508245E-4</v>
          </cell>
          <cell r="T2">
            <v>-3.4710170079833391E-4</v>
          </cell>
          <cell r="U2"/>
          <cell r="V2"/>
          <cell r="W2"/>
          <cell r="X2"/>
          <cell r="Y2"/>
          <cell r="Z2"/>
          <cell r="AA2"/>
          <cell r="AB2"/>
          <cell r="AC2"/>
          <cell r="AN2"/>
          <cell r="AO2"/>
          <cell r="AR2"/>
          <cell r="AS2"/>
          <cell r="AT2"/>
          <cell r="AU2"/>
          <cell r="AV2"/>
          <cell r="BB2"/>
          <cell r="BC2"/>
          <cell r="BD2"/>
          <cell r="BE2"/>
          <cell r="BF2"/>
          <cell r="BG2"/>
          <cell r="BH2"/>
          <cell r="BI2"/>
          <cell r="BJ2"/>
          <cell r="BK2"/>
          <cell r="BN2"/>
          <cell r="BO2"/>
          <cell r="BP2"/>
          <cell r="BQ2"/>
          <cell r="BR2"/>
          <cell r="BS2"/>
          <cell r="BT2"/>
          <cell r="BU2"/>
          <cell r="BV2"/>
          <cell r="BW2"/>
          <cell r="BX2"/>
          <cell r="BY2"/>
          <cell r="BZ2"/>
        </row>
        <row r="3">
          <cell r="A3" t="str">
            <v>School</v>
          </cell>
          <cell r="B3">
            <v>2009</v>
          </cell>
          <cell r="C3">
            <v>2010</v>
          </cell>
          <cell r="D3">
            <v>2011</v>
          </cell>
          <cell r="E3">
            <v>2012</v>
          </cell>
          <cell r="F3">
            <v>2013</v>
          </cell>
          <cell r="G3">
            <v>2014</v>
          </cell>
          <cell r="H3">
            <v>2015</v>
          </cell>
          <cell r="I3">
            <v>2016</v>
          </cell>
          <cell r="J3">
            <v>2017</v>
          </cell>
          <cell r="K3">
            <v>2018</v>
          </cell>
          <cell r="L3">
            <v>2019</v>
          </cell>
          <cell r="M3">
            <v>2020</v>
          </cell>
          <cell r="N3">
            <v>2021</v>
          </cell>
          <cell r="O3">
            <v>2022</v>
          </cell>
          <cell r="P3">
            <v>2023</v>
          </cell>
          <cell r="Q3">
            <v>2024</v>
          </cell>
          <cell r="R3">
            <v>2025</v>
          </cell>
          <cell r="S3">
            <v>2026</v>
          </cell>
          <cell r="T3">
            <v>2027</v>
          </cell>
          <cell r="U3">
            <v>2014</v>
          </cell>
          <cell r="V3">
            <v>2015</v>
          </cell>
          <cell r="W3">
            <v>2016</v>
          </cell>
          <cell r="X3">
            <v>2017</v>
          </cell>
          <cell r="Y3">
            <v>2018</v>
          </cell>
          <cell r="Z3">
            <v>2019</v>
          </cell>
          <cell r="AA3">
            <v>2020</v>
          </cell>
          <cell r="AB3">
            <v>2021</v>
          </cell>
          <cell r="AC3">
            <v>2022</v>
          </cell>
          <cell r="AD3">
            <v>2023</v>
          </cell>
          <cell r="AE3">
            <v>2024</v>
          </cell>
          <cell r="AF3">
            <v>2025</v>
          </cell>
          <cell r="AG3">
            <v>2026</v>
          </cell>
          <cell r="AH3">
            <v>2027</v>
          </cell>
          <cell r="AI3">
            <v>2028</v>
          </cell>
          <cell r="AJ3">
            <v>2029</v>
          </cell>
          <cell r="AK3">
            <v>2030</v>
          </cell>
          <cell r="AL3">
            <v>2031</v>
          </cell>
          <cell r="AM3">
            <v>2032</v>
          </cell>
          <cell r="AN3">
            <v>2014</v>
          </cell>
          <cell r="AO3">
            <v>2015</v>
          </cell>
          <cell r="AP3">
            <v>2016</v>
          </cell>
          <cell r="AQ3">
            <v>2017</v>
          </cell>
          <cell r="AR3">
            <v>2018</v>
          </cell>
          <cell r="AS3">
            <v>2019</v>
          </cell>
          <cell r="AT3">
            <v>2020</v>
          </cell>
          <cell r="AU3">
            <v>2021</v>
          </cell>
          <cell r="AV3">
            <v>2022</v>
          </cell>
          <cell r="AW3">
            <v>2023</v>
          </cell>
          <cell r="AX3">
            <v>2024</v>
          </cell>
          <cell r="AY3">
            <v>2025</v>
          </cell>
          <cell r="AZ3">
            <v>2026</v>
          </cell>
          <cell r="BA3">
            <v>2027</v>
          </cell>
          <cell r="BB3">
            <v>2028</v>
          </cell>
          <cell r="BC3">
            <v>2029</v>
          </cell>
          <cell r="BD3">
            <v>2030</v>
          </cell>
          <cell r="BE3">
            <v>2031</v>
          </cell>
          <cell r="BF3">
            <v>2032</v>
          </cell>
          <cell r="BG3">
            <v>2018</v>
          </cell>
          <cell r="BH3">
            <v>2019</v>
          </cell>
          <cell r="BI3">
            <v>2020</v>
          </cell>
          <cell r="BJ3">
            <v>2021</v>
          </cell>
          <cell r="BK3">
            <v>2022</v>
          </cell>
          <cell r="BL3">
            <v>2023</v>
          </cell>
          <cell r="BM3">
            <v>2024</v>
          </cell>
          <cell r="BN3">
            <v>2025</v>
          </cell>
          <cell r="BO3">
            <v>2026</v>
          </cell>
          <cell r="BP3">
            <v>2027</v>
          </cell>
          <cell r="BQ3">
            <v>2028</v>
          </cell>
          <cell r="BR3">
            <v>2029</v>
          </cell>
          <cell r="BS3">
            <v>2030</v>
          </cell>
          <cell r="BT3">
            <v>2031</v>
          </cell>
          <cell r="BU3">
            <v>2032</v>
          </cell>
          <cell r="BV3">
            <v>2014</v>
          </cell>
          <cell r="BW3">
            <v>2015</v>
          </cell>
          <cell r="BX3">
            <v>2016</v>
          </cell>
          <cell r="BY3">
            <v>2017</v>
          </cell>
          <cell r="BZ3">
            <v>2018</v>
          </cell>
        </row>
        <row r="4">
          <cell r="A4" t="str">
            <v>Abbeyhill Primary School</v>
          </cell>
          <cell r="B4">
            <v>79</v>
          </cell>
          <cell r="C4">
            <v>65</v>
          </cell>
          <cell r="D4">
            <v>76</v>
          </cell>
          <cell r="E4">
            <v>89</v>
          </cell>
          <cell r="F4">
            <v>77</v>
          </cell>
          <cell r="G4">
            <v>71</v>
          </cell>
          <cell r="H4">
            <v>68</v>
          </cell>
          <cell r="I4">
            <v>75</v>
          </cell>
          <cell r="J4">
            <v>58</v>
          </cell>
          <cell r="K4">
            <v>67.731901499722269</v>
          </cell>
          <cell r="L4">
            <v>68.699500092575448</v>
          </cell>
          <cell r="M4">
            <v>69.530642473615998</v>
          </cell>
          <cell r="N4">
            <v>70.188113312349572</v>
          </cell>
          <cell r="O4">
            <v>70.696722829105724</v>
          </cell>
          <cell r="P4">
            <v>71.044065913719677</v>
          </cell>
          <cell r="Q4">
            <v>71.242547676356224</v>
          </cell>
          <cell r="R4">
            <v>71.465839659322342</v>
          </cell>
          <cell r="S4">
            <v>71.478244769487119</v>
          </cell>
          <cell r="T4">
            <v>71.453434549157549</v>
          </cell>
          <cell r="U4">
            <v>27</v>
          </cell>
          <cell r="V4">
            <v>36</v>
          </cell>
          <cell r="W4">
            <v>24</v>
          </cell>
          <cell r="X4">
            <v>22</v>
          </cell>
          <cell r="Y4">
            <v>18</v>
          </cell>
          <cell r="Z4">
            <v>24</v>
          </cell>
          <cell r="AA4">
            <v>23</v>
          </cell>
          <cell r="AB4">
            <v>25</v>
          </cell>
          <cell r="AC4">
            <v>20</v>
          </cell>
          <cell r="AD4">
            <v>23</v>
          </cell>
          <cell r="AE4">
            <v>23</v>
          </cell>
          <cell r="AF4">
            <v>24</v>
          </cell>
          <cell r="AG4">
            <v>24</v>
          </cell>
          <cell r="AH4">
            <v>24</v>
          </cell>
          <cell r="AI4">
            <v>24</v>
          </cell>
          <cell r="AJ4">
            <v>24</v>
          </cell>
          <cell r="AK4">
            <v>24</v>
          </cell>
          <cell r="AL4">
            <v>24</v>
          </cell>
          <cell r="AM4">
            <v>24</v>
          </cell>
          <cell r="AN4">
            <v>24</v>
          </cell>
          <cell r="AO4">
            <v>32</v>
          </cell>
          <cell r="AP4">
            <v>19</v>
          </cell>
          <cell r="AQ4">
            <v>21</v>
          </cell>
          <cell r="AR4">
            <v>14</v>
          </cell>
          <cell r="AS4">
            <v>20</v>
          </cell>
          <cell r="AT4">
            <v>19</v>
          </cell>
          <cell r="AU4">
            <v>21</v>
          </cell>
          <cell r="AV4">
            <v>17</v>
          </cell>
          <cell r="AW4">
            <v>19</v>
          </cell>
          <cell r="AX4">
            <v>19</v>
          </cell>
          <cell r="AY4">
            <v>20</v>
          </cell>
          <cell r="AZ4">
            <v>20</v>
          </cell>
          <cell r="BA4">
            <v>20</v>
          </cell>
          <cell r="BB4">
            <v>20</v>
          </cell>
          <cell r="BC4">
            <v>20</v>
          </cell>
          <cell r="BD4">
            <v>20</v>
          </cell>
          <cell r="BE4">
            <v>20</v>
          </cell>
          <cell r="BF4">
            <v>20</v>
          </cell>
          <cell r="BG4">
            <v>16</v>
          </cell>
          <cell r="BH4">
            <v>21</v>
          </cell>
          <cell r="BI4">
            <v>21</v>
          </cell>
          <cell r="BJ4">
            <v>24</v>
          </cell>
          <cell r="BK4">
            <v>21</v>
          </cell>
          <cell r="BL4">
            <v>23</v>
          </cell>
          <cell r="BM4">
            <v>23</v>
          </cell>
          <cell r="BN4">
            <v>24</v>
          </cell>
          <cell r="BO4">
            <v>24</v>
          </cell>
          <cell r="BP4">
            <v>24</v>
          </cell>
          <cell r="BQ4">
            <v>24</v>
          </cell>
          <cell r="BR4">
            <v>24</v>
          </cell>
          <cell r="BS4">
            <v>24</v>
          </cell>
          <cell r="BT4">
            <v>24</v>
          </cell>
          <cell r="BU4">
            <v>24</v>
          </cell>
          <cell r="BV4">
            <v>21</v>
          </cell>
          <cell r="BW4">
            <v>27</v>
          </cell>
          <cell r="BX4">
            <v>15</v>
          </cell>
          <cell r="BY4">
            <v>19</v>
          </cell>
          <cell r="BZ4">
            <v>13</v>
          </cell>
        </row>
        <row r="5">
          <cell r="A5" t="str">
            <v>Balgreen Primary School</v>
          </cell>
          <cell r="B5">
            <v>109</v>
          </cell>
          <cell r="C5">
            <v>140</v>
          </cell>
          <cell r="D5">
            <v>137</v>
          </cell>
          <cell r="E5">
            <v>156</v>
          </cell>
          <cell r="F5">
            <v>134</v>
          </cell>
          <cell r="G5">
            <v>142</v>
          </cell>
          <cell r="H5">
            <v>117</v>
          </cell>
          <cell r="I5">
            <v>103</v>
          </cell>
          <cell r="J5">
            <v>93</v>
          </cell>
          <cell r="K5">
            <v>105.47306054434364</v>
          </cell>
          <cell r="L5">
            <v>106.97981855211998</v>
          </cell>
          <cell r="M5">
            <v>108.27408504597915</v>
          </cell>
          <cell r="N5">
            <v>109.29790779485282</v>
          </cell>
          <cell r="O5">
            <v>110.08992161945321</v>
          </cell>
          <cell r="P5">
            <v>110.63080910942421</v>
          </cell>
          <cell r="Q5">
            <v>110.93988767512191</v>
          </cell>
          <cell r="R5">
            <v>111.28760106153183</v>
          </cell>
          <cell r="S5">
            <v>111.30691847188794</v>
          </cell>
          <cell r="T5">
            <v>111.26828365117572</v>
          </cell>
          <cell r="U5">
            <v>88</v>
          </cell>
          <cell r="V5">
            <v>88</v>
          </cell>
          <cell r="W5">
            <v>89</v>
          </cell>
          <cell r="X5">
            <v>77</v>
          </cell>
          <cell r="Y5">
            <v>91</v>
          </cell>
          <cell r="Z5">
            <v>93</v>
          </cell>
          <cell r="AA5">
            <v>76</v>
          </cell>
          <cell r="AB5">
            <v>67</v>
          </cell>
          <cell r="AC5">
            <v>61</v>
          </cell>
          <cell r="AD5">
            <v>69</v>
          </cell>
          <cell r="AE5">
            <v>70</v>
          </cell>
          <cell r="AF5">
            <v>71</v>
          </cell>
          <cell r="AG5">
            <v>71</v>
          </cell>
          <cell r="AH5">
            <v>72</v>
          </cell>
          <cell r="AI5">
            <v>72</v>
          </cell>
          <cell r="AJ5">
            <v>72</v>
          </cell>
          <cell r="AK5">
            <v>73</v>
          </cell>
          <cell r="AL5">
            <v>73</v>
          </cell>
          <cell r="AM5">
            <v>73</v>
          </cell>
          <cell r="AN5">
            <v>73</v>
          </cell>
          <cell r="AO5">
            <v>70</v>
          </cell>
          <cell r="AP5">
            <v>67</v>
          </cell>
          <cell r="AQ5">
            <v>64</v>
          </cell>
          <cell r="AR5">
            <v>67</v>
          </cell>
          <cell r="AS5">
            <v>72</v>
          </cell>
          <cell r="AT5">
            <v>59</v>
          </cell>
          <cell r="AU5">
            <v>52</v>
          </cell>
          <cell r="AV5">
            <v>47</v>
          </cell>
          <cell r="AW5">
            <v>53</v>
          </cell>
          <cell r="AX5">
            <v>54</v>
          </cell>
          <cell r="AY5">
            <v>55</v>
          </cell>
          <cell r="AZ5">
            <v>55</v>
          </cell>
          <cell r="BA5">
            <v>56</v>
          </cell>
          <cell r="BB5">
            <v>56</v>
          </cell>
          <cell r="BC5">
            <v>56</v>
          </cell>
          <cell r="BD5">
            <v>56</v>
          </cell>
          <cell r="BE5">
            <v>56</v>
          </cell>
          <cell r="BF5">
            <v>56</v>
          </cell>
          <cell r="BG5">
            <v>69</v>
          </cell>
          <cell r="BH5">
            <v>72</v>
          </cell>
          <cell r="BI5">
            <v>59</v>
          </cell>
          <cell r="BJ5">
            <v>52</v>
          </cell>
          <cell r="BK5">
            <v>47</v>
          </cell>
          <cell r="BL5">
            <v>54</v>
          </cell>
          <cell r="BM5">
            <v>56</v>
          </cell>
          <cell r="BN5">
            <v>57</v>
          </cell>
          <cell r="BO5">
            <v>59</v>
          </cell>
          <cell r="BP5">
            <v>61</v>
          </cell>
          <cell r="BQ5">
            <v>61</v>
          </cell>
          <cell r="BR5">
            <v>62</v>
          </cell>
          <cell r="BS5">
            <v>62</v>
          </cell>
          <cell r="BT5">
            <v>62</v>
          </cell>
          <cell r="BU5">
            <v>62</v>
          </cell>
          <cell r="BV5">
            <v>50</v>
          </cell>
          <cell r="BW5">
            <v>55</v>
          </cell>
          <cell r="BX5">
            <v>48</v>
          </cell>
          <cell r="BY5">
            <v>49</v>
          </cell>
          <cell r="BZ5">
            <v>56</v>
          </cell>
        </row>
        <row r="6">
          <cell r="A6" t="str">
            <v>Blackhall Primary School</v>
          </cell>
          <cell r="B6">
            <v>45</v>
          </cell>
          <cell r="C6">
            <v>49</v>
          </cell>
          <cell r="D6">
            <v>50</v>
          </cell>
          <cell r="E6">
            <v>51</v>
          </cell>
          <cell r="F6">
            <v>57</v>
          </cell>
          <cell r="G6">
            <v>45</v>
          </cell>
          <cell r="H6">
            <v>46</v>
          </cell>
          <cell r="I6">
            <v>32</v>
          </cell>
          <cell r="J6">
            <v>44</v>
          </cell>
          <cell r="K6">
            <v>41.11090538789113</v>
          </cell>
          <cell r="L6">
            <v>41.698204036289575</v>
          </cell>
          <cell r="M6">
            <v>42.202678516324134</v>
          </cell>
          <cell r="N6">
            <v>42.601740418441025</v>
          </cell>
          <cell r="O6">
            <v>42.910448682342775</v>
          </cell>
          <cell r="P6">
            <v>43.121273838178112</v>
          </cell>
          <cell r="Q6">
            <v>43.241745355798308</v>
          </cell>
          <cell r="R6">
            <v>43.377275813121024</v>
          </cell>
          <cell r="S6">
            <v>43.384805282972287</v>
          </cell>
          <cell r="T6">
            <v>43.36974634326976</v>
          </cell>
          <cell r="U6">
            <v>52</v>
          </cell>
          <cell r="V6">
            <v>57</v>
          </cell>
          <cell r="W6">
            <v>73</v>
          </cell>
          <cell r="X6">
            <v>65</v>
          </cell>
          <cell r="Y6">
            <v>67</v>
          </cell>
          <cell r="Z6">
            <v>56</v>
          </cell>
          <cell r="AA6">
            <v>57</v>
          </cell>
          <cell r="AB6">
            <v>40</v>
          </cell>
          <cell r="AC6">
            <v>55</v>
          </cell>
          <cell r="AD6">
            <v>51</v>
          </cell>
          <cell r="AE6">
            <v>52</v>
          </cell>
          <cell r="AF6">
            <v>53</v>
          </cell>
          <cell r="AG6">
            <v>53</v>
          </cell>
          <cell r="AH6">
            <v>53</v>
          </cell>
          <cell r="AI6">
            <v>54</v>
          </cell>
          <cell r="AJ6">
            <v>54</v>
          </cell>
          <cell r="AK6">
            <v>54</v>
          </cell>
          <cell r="AL6">
            <v>54</v>
          </cell>
          <cell r="AM6">
            <v>54</v>
          </cell>
          <cell r="AN6">
            <v>52</v>
          </cell>
          <cell r="AO6">
            <v>56</v>
          </cell>
          <cell r="AP6">
            <v>73</v>
          </cell>
          <cell r="AQ6">
            <v>65</v>
          </cell>
          <cell r="AR6">
            <v>67</v>
          </cell>
          <cell r="AS6">
            <v>56</v>
          </cell>
          <cell r="AT6">
            <v>57</v>
          </cell>
          <cell r="AU6">
            <v>40</v>
          </cell>
          <cell r="AV6">
            <v>55</v>
          </cell>
          <cell r="AW6">
            <v>51</v>
          </cell>
          <cell r="AX6">
            <v>52</v>
          </cell>
          <cell r="AY6">
            <v>53</v>
          </cell>
          <cell r="AZ6">
            <v>53</v>
          </cell>
          <cell r="BA6">
            <v>53</v>
          </cell>
          <cell r="BB6">
            <v>54</v>
          </cell>
          <cell r="BC6">
            <v>54</v>
          </cell>
          <cell r="BD6">
            <v>54</v>
          </cell>
          <cell r="BE6">
            <v>54</v>
          </cell>
          <cell r="BF6">
            <v>54</v>
          </cell>
          <cell r="BG6">
            <v>67</v>
          </cell>
          <cell r="BH6">
            <v>56</v>
          </cell>
          <cell r="BI6">
            <v>57</v>
          </cell>
          <cell r="BJ6">
            <v>40</v>
          </cell>
          <cell r="BK6">
            <v>55</v>
          </cell>
          <cell r="BL6">
            <v>51</v>
          </cell>
          <cell r="BM6">
            <v>52</v>
          </cell>
          <cell r="BN6">
            <v>53</v>
          </cell>
          <cell r="BO6">
            <v>53</v>
          </cell>
          <cell r="BP6">
            <v>53</v>
          </cell>
          <cell r="BQ6">
            <v>54</v>
          </cell>
          <cell r="BR6">
            <v>54</v>
          </cell>
          <cell r="BS6">
            <v>54</v>
          </cell>
          <cell r="BT6">
            <v>54</v>
          </cell>
          <cell r="BU6">
            <v>54</v>
          </cell>
          <cell r="BV6">
            <v>52</v>
          </cell>
          <cell r="BW6">
            <v>56</v>
          </cell>
          <cell r="BX6">
            <v>72</v>
          </cell>
          <cell r="BY6">
            <v>64</v>
          </cell>
          <cell r="BZ6">
            <v>67</v>
          </cell>
        </row>
        <row r="7">
          <cell r="A7" t="str">
            <v>Bonaly Primary School</v>
          </cell>
          <cell r="B7">
            <v>44</v>
          </cell>
          <cell r="C7">
            <v>40</v>
          </cell>
          <cell r="D7">
            <v>50</v>
          </cell>
          <cell r="E7">
            <v>45</v>
          </cell>
          <cell r="F7">
            <v>50</v>
          </cell>
          <cell r="G7">
            <v>43</v>
          </cell>
          <cell r="H7">
            <v>46</v>
          </cell>
          <cell r="I7">
            <v>52</v>
          </cell>
          <cell r="J7">
            <v>37</v>
          </cell>
          <cell r="K7">
            <v>45.491575634141824</v>
          </cell>
          <cell r="L7">
            <v>46.14145528605814</v>
          </cell>
          <cell r="M7">
            <v>46.699685243473432</v>
          </cell>
          <cell r="N7">
            <v>47.141270135160156</v>
          </cell>
          <cell r="O7">
            <v>47.482873541936677</v>
          </cell>
          <cell r="P7">
            <v>47.716163673393815</v>
          </cell>
          <cell r="Q7">
            <v>47.849472319940752</v>
          </cell>
          <cell r="R7">
            <v>47.999444547306055</v>
          </cell>
          <cell r="S7">
            <v>48.007776337715235</v>
          </cell>
          <cell r="T7">
            <v>47.991112756896868</v>
          </cell>
          <cell r="U7">
            <v>54</v>
          </cell>
          <cell r="V7">
            <v>56</v>
          </cell>
          <cell r="W7">
            <v>64</v>
          </cell>
          <cell r="X7">
            <v>65</v>
          </cell>
          <cell r="Y7">
            <v>77</v>
          </cell>
          <cell r="Z7">
            <v>59</v>
          </cell>
          <cell r="AA7">
            <v>63</v>
          </cell>
          <cell r="AB7">
            <v>72</v>
          </cell>
          <cell r="AC7">
            <v>51</v>
          </cell>
          <cell r="AD7">
            <v>63</v>
          </cell>
          <cell r="AE7">
            <v>64</v>
          </cell>
          <cell r="AF7">
            <v>64</v>
          </cell>
          <cell r="AG7">
            <v>65</v>
          </cell>
          <cell r="AH7">
            <v>65</v>
          </cell>
          <cell r="AI7">
            <v>66</v>
          </cell>
          <cell r="AJ7">
            <v>66</v>
          </cell>
          <cell r="AK7">
            <v>66</v>
          </cell>
          <cell r="AL7">
            <v>66</v>
          </cell>
          <cell r="AM7">
            <v>66</v>
          </cell>
          <cell r="AN7">
            <v>54</v>
          </cell>
          <cell r="AO7">
            <v>56</v>
          </cell>
          <cell r="AP7">
            <v>64</v>
          </cell>
          <cell r="AQ7">
            <v>65</v>
          </cell>
          <cell r="AR7">
            <v>77</v>
          </cell>
          <cell r="AS7">
            <v>59</v>
          </cell>
          <cell r="AT7">
            <v>63</v>
          </cell>
          <cell r="AU7">
            <v>72</v>
          </cell>
          <cell r="AV7">
            <v>51</v>
          </cell>
          <cell r="AW7">
            <v>63</v>
          </cell>
          <cell r="AX7">
            <v>64</v>
          </cell>
          <cell r="AY7">
            <v>64</v>
          </cell>
          <cell r="AZ7">
            <v>65</v>
          </cell>
          <cell r="BA7">
            <v>65</v>
          </cell>
          <cell r="BB7">
            <v>66</v>
          </cell>
          <cell r="BC7">
            <v>66</v>
          </cell>
          <cell r="BD7">
            <v>66</v>
          </cell>
          <cell r="BE7">
            <v>66</v>
          </cell>
          <cell r="BF7">
            <v>66</v>
          </cell>
          <cell r="BG7">
            <v>78</v>
          </cell>
          <cell r="BH7">
            <v>60</v>
          </cell>
          <cell r="BI7">
            <v>64</v>
          </cell>
          <cell r="BJ7">
            <v>73</v>
          </cell>
          <cell r="BK7">
            <v>52</v>
          </cell>
          <cell r="BL7">
            <v>64</v>
          </cell>
          <cell r="BM7">
            <v>65</v>
          </cell>
          <cell r="BN7">
            <v>65</v>
          </cell>
          <cell r="BO7">
            <v>66</v>
          </cell>
          <cell r="BP7">
            <v>66</v>
          </cell>
          <cell r="BQ7">
            <v>67</v>
          </cell>
          <cell r="BR7">
            <v>67</v>
          </cell>
          <cell r="BS7">
            <v>67</v>
          </cell>
          <cell r="BT7">
            <v>67</v>
          </cell>
          <cell r="BU7">
            <v>67</v>
          </cell>
          <cell r="BV7">
            <v>54</v>
          </cell>
          <cell r="BW7">
            <v>55</v>
          </cell>
          <cell r="BX7">
            <v>62</v>
          </cell>
          <cell r="BY7">
            <v>63</v>
          </cell>
          <cell r="BZ7">
            <v>74</v>
          </cell>
        </row>
        <row r="8">
          <cell r="A8" t="str">
            <v>Broomhouse Primary School</v>
          </cell>
          <cell r="B8">
            <v>58</v>
          </cell>
          <cell r="C8">
            <v>57</v>
          </cell>
          <cell r="D8">
            <v>42</v>
          </cell>
          <cell r="E8">
            <v>37</v>
          </cell>
          <cell r="F8">
            <v>32</v>
          </cell>
          <cell r="G8">
            <v>37</v>
          </cell>
          <cell r="H8">
            <v>31</v>
          </cell>
          <cell r="I8">
            <v>48</v>
          </cell>
          <cell r="J8">
            <v>39</v>
          </cell>
          <cell r="K8">
            <v>39.763006850583224</v>
          </cell>
          <cell r="L8">
            <v>40.331049805591555</v>
          </cell>
          <cell r="M8">
            <v>40.818984138739737</v>
          </cell>
          <cell r="N8">
            <v>41.204962044065908</v>
          </cell>
          <cell r="O8">
            <v>41.503548725544647</v>
          </cell>
          <cell r="P8">
            <v>41.70746158118866</v>
          </cell>
          <cell r="Q8">
            <v>41.82398321298524</v>
          </cell>
          <cell r="R8">
            <v>41.955070048756397</v>
          </cell>
          <cell r="S8">
            <v>41.962352650743682</v>
          </cell>
          <cell r="T8">
            <v>41.947787446769112</v>
          </cell>
          <cell r="U8">
            <v>44</v>
          </cell>
          <cell r="V8">
            <v>57</v>
          </cell>
          <cell r="W8">
            <v>48</v>
          </cell>
          <cell r="X8">
            <v>46</v>
          </cell>
          <cell r="Y8">
            <v>36</v>
          </cell>
          <cell r="Z8">
            <v>39</v>
          </cell>
          <cell r="AA8">
            <v>33</v>
          </cell>
          <cell r="AB8">
            <v>51</v>
          </cell>
          <cell r="AC8">
            <v>41</v>
          </cell>
          <cell r="AD8">
            <v>42</v>
          </cell>
          <cell r="AE8">
            <v>43</v>
          </cell>
          <cell r="AF8">
            <v>43</v>
          </cell>
          <cell r="AG8">
            <v>43</v>
          </cell>
          <cell r="AH8">
            <v>44</v>
          </cell>
          <cell r="AI8">
            <v>44</v>
          </cell>
          <cell r="AJ8">
            <v>44</v>
          </cell>
          <cell r="AK8">
            <v>44</v>
          </cell>
          <cell r="AL8">
            <v>44</v>
          </cell>
          <cell r="AM8">
            <v>44</v>
          </cell>
          <cell r="AN8">
            <v>33</v>
          </cell>
          <cell r="AO8">
            <v>41</v>
          </cell>
          <cell r="AP8">
            <v>34</v>
          </cell>
          <cell r="AQ8">
            <v>31</v>
          </cell>
          <cell r="AR8">
            <v>25</v>
          </cell>
          <cell r="AS8">
            <v>27</v>
          </cell>
          <cell r="AT8">
            <v>23</v>
          </cell>
          <cell r="AU8">
            <v>35</v>
          </cell>
          <cell r="AV8">
            <v>28</v>
          </cell>
          <cell r="AW8">
            <v>29</v>
          </cell>
          <cell r="AX8">
            <v>30</v>
          </cell>
          <cell r="AY8">
            <v>30</v>
          </cell>
          <cell r="AZ8">
            <v>30</v>
          </cell>
          <cell r="BA8">
            <v>30</v>
          </cell>
          <cell r="BB8">
            <v>30</v>
          </cell>
          <cell r="BC8">
            <v>30</v>
          </cell>
          <cell r="BD8">
            <v>30</v>
          </cell>
          <cell r="BE8">
            <v>30</v>
          </cell>
          <cell r="BF8">
            <v>30</v>
          </cell>
          <cell r="BG8">
            <v>25</v>
          </cell>
          <cell r="BH8">
            <v>30</v>
          </cell>
          <cell r="BI8">
            <v>29</v>
          </cell>
          <cell r="BJ8">
            <v>41</v>
          </cell>
          <cell r="BK8">
            <v>34</v>
          </cell>
          <cell r="BL8">
            <v>35</v>
          </cell>
          <cell r="BM8">
            <v>36</v>
          </cell>
          <cell r="BN8">
            <v>36</v>
          </cell>
          <cell r="BO8">
            <v>36</v>
          </cell>
          <cell r="BP8">
            <v>36</v>
          </cell>
          <cell r="BQ8">
            <v>36</v>
          </cell>
          <cell r="BR8">
            <v>36</v>
          </cell>
          <cell r="BS8">
            <v>36</v>
          </cell>
          <cell r="BT8">
            <v>36</v>
          </cell>
          <cell r="BU8">
            <v>36</v>
          </cell>
          <cell r="BV8">
            <v>24</v>
          </cell>
          <cell r="BW8">
            <v>30</v>
          </cell>
          <cell r="BX8">
            <v>24</v>
          </cell>
          <cell r="BY8">
            <v>25</v>
          </cell>
          <cell r="BZ8">
            <v>19</v>
          </cell>
        </row>
        <row r="9">
          <cell r="A9" t="str">
            <v>Broughton Primary School</v>
          </cell>
          <cell r="B9">
            <v>211</v>
          </cell>
          <cell r="C9">
            <v>213</v>
          </cell>
          <cell r="D9">
            <v>212</v>
          </cell>
          <cell r="E9">
            <v>223</v>
          </cell>
          <cell r="F9">
            <v>198</v>
          </cell>
          <cell r="G9">
            <v>197</v>
          </cell>
          <cell r="H9">
            <v>213</v>
          </cell>
          <cell r="I9">
            <v>193</v>
          </cell>
          <cell r="J9">
            <v>211</v>
          </cell>
          <cell r="K9">
            <v>207.91334937974449</v>
          </cell>
          <cell r="L9">
            <v>210.88354008516941</v>
          </cell>
          <cell r="M9">
            <v>213.43485774239338</v>
          </cell>
          <cell r="N9">
            <v>215.4530642473616</v>
          </cell>
          <cell r="O9">
            <v>217.01431833611059</v>
          </cell>
          <cell r="P9">
            <v>218.0805406406221</v>
          </cell>
          <cell r="Q9">
            <v>218.68981052891439</v>
          </cell>
          <cell r="R9">
            <v>219.37523915324323</v>
          </cell>
          <cell r="S9">
            <v>219.41331852126149</v>
          </cell>
          <cell r="T9">
            <v>219.33715978522494</v>
          </cell>
          <cell r="U9">
            <v>110</v>
          </cell>
          <cell r="V9">
            <v>92</v>
          </cell>
          <cell r="W9">
            <v>91</v>
          </cell>
          <cell r="X9">
            <v>99</v>
          </cell>
          <cell r="Y9">
            <v>79</v>
          </cell>
          <cell r="Z9">
            <v>88</v>
          </cell>
          <cell r="AA9">
            <v>95</v>
          </cell>
          <cell r="AB9">
            <v>86</v>
          </cell>
          <cell r="AC9">
            <v>94</v>
          </cell>
          <cell r="AD9">
            <v>93</v>
          </cell>
          <cell r="AE9">
            <v>94</v>
          </cell>
          <cell r="AF9">
            <v>95</v>
          </cell>
          <cell r="AG9">
            <v>96</v>
          </cell>
          <cell r="AH9">
            <v>97</v>
          </cell>
          <cell r="AI9">
            <v>97</v>
          </cell>
          <cell r="AJ9">
            <v>97</v>
          </cell>
          <cell r="AK9">
            <v>98</v>
          </cell>
          <cell r="AL9">
            <v>98</v>
          </cell>
          <cell r="AM9">
            <v>98</v>
          </cell>
          <cell r="AN9">
            <v>75</v>
          </cell>
          <cell r="AO9">
            <v>54</v>
          </cell>
          <cell r="AP9">
            <v>65</v>
          </cell>
          <cell r="AQ9">
            <v>62</v>
          </cell>
          <cell r="AR9">
            <v>58</v>
          </cell>
          <cell r="AS9">
            <v>61</v>
          </cell>
          <cell r="AT9">
            <v>66</v>
          </cell>
          <cell r="AU9">
            <v>59</v>
          </cell>
          <cell r="AV9">
            <v>65</v>
          </cell>
          <cell r="AW9">
            <v>64</v>
          </cell>
          <cell r="AX9">
            <v>65</v>
          </cell>
          <cell r="AY9">
            <v>66</v>
          </cell>
          <cell r="AZ9">
            <v>66</v>
          </cell>
          <cell r="BA9">
            <v>67</v>
          </cell>
          <cell r="BB9">
            <v>67</v>
          </cell>
          <cell r="BC9">
            <v>67</v>
          </cell>
          <cell r="BD9">
            <v>68</v>
          </cell>
          <cell r="BE9">
            <v>68</v>
          </cell>
          <cell r="BF9">
            <v>68</v>
          </cell>
          <cell r="BG9">
            <v>60</v>
          </cell>
          <cell r="BH9">
            <v>64</v>
          </cell>
          <cell r="BI9">
            <v>70</v>
          </cell>
          <cell r="BJ9">
            <v>65</v>
          </cell>
          <cell r="BK9">
            <v>74</v>
          </cell>
          <cell r="BL9">
            <v>74</v>
          </cell>
          <cell r="BM9">
            <v>76</v>
          </cell>
          <cell r="BN9">
            <v>77</v>
          </cell>
          <cell r="BO9">
            <v>77</v>
          </cell>
          <cell r="BP9">
            <v>79</v>
          </cell>
          <cell r="BQ9">
            <v>79</v>
          </cell>
          <cell r="BR9">
            <v>79</v>
          </cell>
          <cell r="BS9">
            <v>80</v>
          </cell>
          <cell r="BT9">
            <v>80</v>
          </cell>
          <cell r="BU9">
            <v>80</v>
          </cell>
          <cell r="BV9">
            <v>59</v>
          </cell>
          <cell r="BW9">
            <v>42</v>
          </cell>
          <cell r="BX9">
            <v>57</v>
          </cell>
          <cell r="BY9">
            <v>50</v>
          </cell>
          <cell r="BZ9">
            <v>46</v>
          </cell>
        </row>
        <row r="10">
          <cell r="A10" t="str">
            <v>Brunstane Primary School</v>
          </cell>
          <cell r="B10">
            <v>50</v>
          </cell>
          <cell r="C10">
            <v>49</v>
          </cell>
          <cell r="D10">
            <v>60</v>
          </cell>
          <cell r="E10">
            <v>62</v>
          </cell>
          <cell r="F10">
            <v>52</v>
          </cell>
          <cell r="G10">
            <v>55</v>
          </cell>
          <cell r="H10">
            <v>85</v>
          </cell>
          <cell r="I10">
            <v>72</v>
          </cell>
          <cell r="J10">
            <v>63</v>
          </cell>
          <cell r="K10">
            <v>74.134419551934826</v>
          </cell>
          <cell r="L10">
            <v>75.193482688391043</v>
          </cell>
          <cell r="M10">
            <v>76.103190767141896</v>
          </cell>
          <cell r="N10">
            <v>76.822810590631377</v>
          </cell>
          <cell r="O10">
            <v>77.379497623896825</v>
          </cell>
          <cell r="P10">
            <v>77.759674134419569</v>
          </cell>
          <cell r="Q10">
            <v>77.97691785471828</v>
          </cell>
          <cell r="R10">
            <v>78.221317040054331</v>
          </cell>
          <cell r="S10">
            <v>78.234894772573</v>
          </cell>
          <cell r="T10">
            <v>78.207739307535661</v>
          </cell>
          <cell r="U10">
            <v>45</v>
          </cell>
          <cell r="V10">
            <v>49</v>
          </cell>
          <cell r="W10">
            <v>69</v>
          </cell>
          <cell r="X10">
            <v>68</v>
          </cell>
          <cell r="Y10">
            <v>54</v>
          </cell>
          <cell r="Z10">
            <v>57</v>
          </cell>
          <cell r="AA10">
            <v>88</v>
          </cell>
          <cell r="AB10">
            <v>75</v>
          </cell>
          <cell r="AC10">
            <v>65</v>
          </cell>
          <cell r="AD10">
            <v>77</v>
          </cell>
          <cell r="AE10">
            <v>78</v>
          </cell>
          <cell r="AF10">
            <v>79</v>
          </cell>
          <cell r="AG10">
            <v>80</v>
          </cell>
          <cell r="AH10">
            <v>80</v>
          </cell>
          <cell r="AI10">
            <v>81</v>
          </cell>
          <cell r="AJ10">
            <v>81</v>
          </cell>
          <cell r="AK10">
            <v>81</v>
          </cell>
          <cell r="AL10">
            <v>81</v>
          </cell>
          <cell r="AM10">
            <v>81</v>
          </cell>
          <cell r="AN10">
            <v>33</v>
          </cell>
          <cell r="AO10">
            <v>32</v>
          </cell>
          <cell r="AP10">
            <v>51</v>
          </cell>
          <cell r="AQ10">
            <v>41</v>
          </cell>
          <cell r="AR10">
            <v>34</v>
          </cell>
          <cell r="AS10">
            <v>37</v>
          </cell>
          <cell r="AT10">
            <v>58</v>
          </cell>
          <cell r="AU10">
            <v>49</v>
          </cell>
          <cell r="AV10">
            <v>43</v>
          </cell>
          <cell r="AW10">
            <v>51</v>
          </cell>
          <cell r="AX10">
            <v>51</v>
          </cell>
          <cell r="AY10">
            <v>52</v>
          </cell>
          <cell r="AZ10">
            <v>53</v>
          </cell>
          <cell r="BA10">
            <v>53</v>
          </cell>
          <cell r="BB10">
            <v>53</v>
          </cell>
          <cell r="BC10">
            <v>53</v>
          </cell>
          <cell r="BD10">
            <v>53</v>
          </cell>
          <cell r="BE10">
            <v>53</v>
          </cell>
          <cell r="BF10">
            <v>53</v>
          </cell>
          <cell r="BG10">
            <v>34</v>
          </cell>
          <cell r="BH10">
            <v>37</v>
          </cell>
          <cell r="BI10">
            <v>58</v>
          </cell>
          <cell r="BJ10">
            <v>50</v>
          </cell>
          <cell r="BK10">
            <v>45</v>
          </cell>
          <cell r="BL10">
            <v>53</v>
          </cell>
          <cell r="BM10">
            <v>54</v>
          </cell>
          <cell r="BN10">
            <v>55</v>
          </cell>
          <cell r="BO10">
            <v>56</v>
          </cell>
          <cell r="BP10">
            <v>57</v>
          </cell>
          <cell r="BQ10">
            <v>57</v>
          </cell>
          <cell r="BR10">
            <v>57</v>
          </cell>
          <cell r="BS10">
            <v>57</v>
          </cell>
          <cell r="BT10">
            <v>57</v>
          </cell>
          <cell r="BU10">
            <v>57</v>
          </cell>
          <cell r="BV10">
            <v>16</v>
          </cell>
          <cell r="BW10">
            <v>21</v>
          </cell>
          <cell r="BX10">
            <v>29</v>
          </cell>
          <cell r="BY10">
            <v>30</v>
          </cell>
          <cell r="BZ10">
            <v>21</v>
          </cell>
        </row>
        <row r="11">
          <cell r="A11" t="str">
            <v>Bruntsfield Primary School</v>
          </cell>
          <cell r="B11">
            <v>152</v>
          </cell>
          <cell r="C11">
            <v>119</v>
          </cell>
          <cell r="D11">
            <v>157</v>
          </cell>
          <cell r="E11">
            <v>137</v>
          </cell>
          <cell r="F11">
            <v>135</v>
          </cell>
          <cell r="G11">
            <v>149</v>
          </cell>
          <cell r="H11">
            <v>122</v>
          </cell>
          <cell r="I11">
            <v>126</v>
          </cell>
          <cell r="J11">
            <v>150</v>
          </cell>
          <cell r="K11">
            <v>134.11590446213663</v>
          </cell>
          <cell r="L11">
            <v>136.03184595445288</v>
          </cell>
          <cell r="M11">
            <v>137.67759056964761</v>
          </cell>
          <cell r="N11">
            <v>138.97944825032403</v>
          </cell>
          <cell r="O11">
            <v>139.98654570141332</v>
          </cell>
          <cell r="P11">
            <v>140.67431957044991</v>
          </cell>
          <cell r="Q11">
            <v>141.0673332098994</v>
          </cell>
          <cell r="R11">
            <v>141.50947355428008</v>
          </cell>
          <cell r="S11">
            <v>141.53403690674568</v>
          </cell>
          <cell r="T11">
            <v>141.4849102018145</v>
          </cell>
          <cell r="U11">
            <v>103</v>
          </cell>
          <cell r="V11">
            <v>76</v>
          </cell>
          <cell r="W11">
            <v>96</v>
          </cell>
          <cell r="X11">
            <v>91</v>
          </cell>
          <cell r="Y11">
            <v>75</v>
          </cell>
          <cell r="Z11">
            <v>94</v>
          </cell>
          <cell r="AA11">
            <v>77</v>
          </cell>
          <cell r="AB11">
            <v>79</v>
          </cell>
          <cell r="AC11">
            <v>94</v>
          </cell>
          <cell r="AD11">
            <v>84</v>
          </cell>
          <cell r="AE11">
            <v>86</v>
          </cell>
          <cell r="AF11">
            <v>87</v>
          </cell>
          <cell r="AG11">
            <v>87</v>
          </cell>
          <cell r="AH11">
            <v>88</v>
          </cell>
          <cell r="AI11">
            <v>89</v>
          </cell>
          <cell r="AJ11">
            <v>89</v>
          </cell>
          <cell r="AK11">
            <v>89</v>
          </cell>
          <cell r="AL11">
            <v>89</v>
          </cell>
          <cell r="AM11">
            <v>89</v>
          </cell>
          <cell r="AN11">
            <v>90</v>
          </cell>
          <cell r="AO11">
            <v>67</v>
          </cell>
          <cell r="AP11">
            <v>90</v>
          </cell>
          <cell r="AQ11">
            <v>82</v>
          </cell>
          <cell r="AR11">
            <v>69</v>
          </cell>
          <cell r="AS11">
            <v>86</v>
          </cell>
          <cell r="AT11">
            <v>71</v>
          </cell>
          <cell r="AU11">
            <v>73</v>
          </cell>
          <cell r="AV11">
            <v>86</v>
          </cell>
          <cell r="AW11">
            <v>77</v>
          </cell>
          <cell r="AX11">
            <v>79</v>
          </cell>
          <cell r="AY11">
            <v>80</v>
          </cell>
          <cell r="AZ11">
            <v>80</v>
          </cell>
          <cell r="BA11">
            <v>81</v>
          </cell>
          <cell r="BB11">
            <v>82</v>
          </cell>
          <cell r="BC11">
            <v>82</v>
          </cell>
          <cell r="BD11">
            <v>82</v>
          </cell>
          <cell r="BE11">
            <v>82</v>
          </cell>
          <cell r="BF11">
            <v>82</v>
          </cell>
          <cell r="BG11">
            <v>70</v>
          </cell>
          <cell r="BH11">
            <v>86</v>
          </cell>
          <cell r="BI11">
            <v>71</v>
          </cell>
          <cell r="BJ11">
            <v>73</v>
          </cell>
          <cell r="BK11">
            <v>86</v>
          </cell>
          <cell r="BL11">
            <v>77</v>
          </cell>
          <cell r="BM11">
            <v>80</v>
          </cell>
          <cell r="BN11">
            <v>81</v>
          </cell>
          <cell r="BO11">
            <v>81</v>
          </cell>
          <cell r="BP11">
            <v>82</v>
          </cell>
          <cell r="BQ11">
            <v>83</v>
          </cell>
          <cell r="BR11">
            <v>83</v>
          </cell>
          <cell r="BS11">
            <v>83</v>
          </cell>
          <cell r="BT11">
            <v>83</v>
          </cell>
          <cell r="BU11">
            <v>83</v>
          </cell>
          <cell r="BV11">
            <v>82</v>
          </cell>
          <cell r="BW11">
            <v>61</v>
          </cell>
          <cell r="BX11">
            <v>81</v>
          </cell>
          <cell r="BY11">
            <v>79</v>
          </cell>
          <cell r="BZ11">
            <v>62</v>
          </cell>
        </row>
        <row r="12">
          <cell r="A12" t="str">
            <v>Buckstone Primary School</v>
          </cell>
          <cell r="B12">
            <v>25</v>
          </cell>
          <cell r="C12">
            <v>33</v>
          </cell>
          <cell r="D12">
            <v>17</v>
          </cell>
          <cell r="E12">
            <v>29</v>
          </cell>
          <cell r="F12">
            <v>26</v>
          </cell>
          <cell r="G12">
            <v>29</v>
          </cell>
          <cell r="H12">
            <v>56</v>
          </cell>
          <cell r="I12">
            <v>40</v>
          </cell>
          <cell r="J12">
            <v>49</v>
          </cell>
          <cell r="K12">
            <v>48.861321977411592</v>
          </cell>
          <cell r="L12">
            <v>49.55934086280319</v>
          </cell>
          <cell r="M12">
            <v>50.15892118743443</v>
          </cell>
          <cell r="N12">
            <v>50.633216071097948</v>
          </cell>
          <cell r="O12">
            <v>51.000123433931989</v>
          </cell>
          <cell r="P12">
            <v>51.250694315867435</v>
          </cell>
          <cell r="Q12">
            <v>51.393877676973403</v>
          </cell>
          <cell r="R12">
            <v>51.554958958217618</v>
          </cell>
          <cell r="S12">
            <v>51.563907918286738</v>
          </cell>
          <cell r="T12">
            <v>51.546009998148492</v>
          </cell>
          <cell r="U12">
            <v>39</v>
          </cell>
          <cell r="V12">
            <v>67</v>
          </cell>
          <cell r="W12">
            <v>51</v>
          </cell>
          <cell r="X12">
            <v>58</v>
          </cell>
          <cell r="Y12">
            <v>64</v>
          </cell>
          <cell r="Z12">
            <v>64</v>
          </cell>
          <cell r="AA12">
            <v>124</v>
          </cell>
          <cell r="AB12">
            <v>49</v>
          </cell>
          <cell r="AC12">
            <v>60</v>
          </cell>
          <cell r="AD12">
            <v>60</v>
          </cell>
          <cell r="AE12">
            <v>61</v>
          </cell>
          <cell r="AF12">
            <v>62</v>
          </cell>
          <cell r="AG12">
            <v>62</v>
          </cell>
          <cell r="AH12">
            <v>63</v>
          </cell>
          <cell r="AI12">
            <v>63</v>
          </cell>
          <cell r="AJ12">
            <v>63</v>
          </cell>
          <cell r="AK12">
            <v>63</v>
          </cell>
          <cell r="AL12">
            <v>63</v>
          </cell>
          <cell r="AM12">
            <v>63</v>
          </cell>
          <cell r="AN12">
            <v>39</v>
          </cell>
          <cell r="AO12">
            <v>62</v>
          </cell>
          <cell r="AP12">
            <v>44</v>
          </cell>
          <cell r="AQ12">
            <v>53</v>
          </cell>
          <cell r="AR12">
            <v>59</v>
          </cell>
          <cell r="AS12">
            <v>58</v>
          </cell>
          <cell r="AT12">
            <v>112</v>
          </cell>
          <cell r="AU12">
            <v>44</v>
          </cell>
          <cell r="AV12">
            <v>54</v>
          </cell>
          <cell r="AW12">
            <v>54</v>
          </cell>
          <cell r="AX12">
            <v>55</v>
          </cell>
          <cell r="AY12">
            <v>56</v>
          </cell>
          <cell r="AZ12">
            <v>56</v>
          </cell>
          <cell r="BA12">
            <v>57</v>
          </cell>
          <cell r="BB12">
            <v>57</v>
          </cell>
          <cell r="BC12">
            <v>57</v>
          </cell>
          <cell r="BD12">
            <v>57</v>
          </cell>
          <cell r="BE12">
            <v>57</v>
          </cell>
          <cell r="BF12">
            <v>57</v>
          </cell>
          <cell r="BG12">
            <v>60</v>
          </cell>
          <cell r="BH12">
            <v>58</v>
          </cell>
          <cell r="BI12">
            <v>112</v>
          </cell>
          <cell r="BJ12">
            <v>44</v>
          </cell>
          <cell r="BK12">
            <v>54</v>
          </cell>
          <cell r="BL12">
            <v>54</v>
          </cell>
          <cell r="BM12">
            <v>55</v>
          </cell>
          <cell r="BN12">
            <v>56</v>
          </cell>
          <cell r="BO12">
            <v>56</v>
          </cell>
          <cell r="BP12">
            <v>57</v>
          </cell>
          <cell r="BQ12">
            <v>57</v>
          </cell>
          <cell r="BR12">
            <v>57</v>
          </cell>
          <cell r="BS12">
            <v>57</v>
          </cell>
          <cell r="BT12">
            <v>57</v>
          </cell>
          <cell r="BU12">
            <v>57</v>
          </cell>
          <cell r="BV12">
            <v>39</v>
          </cell>
          <cell r="BW12">
            <v>62</v>
          </cell>
          <cell r="BX12">
            <v>43</v>
          </cell>
          <cell r="BY12">
            <v>52</v>
          </cell>
          <cell r="BZ12">
            <v>59</v>
          </cell>
        </row>
        <row r="13">
          <cell r="A13" t="str">
            <v>Canal View Primary School</v>
          </cell>
          <cell r="B13">
            <v>77</v>
          </cell>
          <cell r="C13">
            <v>83</v>
          </cell>
          <cell r="D13">
            <v>65</v>
          </cell>
          <cell r="E13">
            <v>68</v>
          </cell>
          <cell r="F13">
            <v>94</v>
          </cell>
          <cell r="G13">
            <v>63</v>
          </cell>
          <cell r="H13">
            <v>46</v>
          </cell>
          <cell r="I13">
            <v>71</v>
          </cell>
          <cell r="J13">
            <v>75</v>
          </cell>
          <cell r="K13">
            <v>64.69912979077948</v>
          </cell>
          <cell r="L13">
            <v>65.623403073504903</v>
          </cell>
          <cell r="M13">
            <v>66.417330124051105</v>
          </cell>
          <cell r="N13">
            <v>67.045361970005558</v>
          </cell>
          <cell r="O13">
            <v>67.531197926309943</v>
          </cell>
          <cell r="P13">
            <v>67.862988335493426</v>
          </cell>
          <cell r="Q13">
            <v>68.052582855026841</v>
          </cell>
          <cell r="R13">
            <v>68.265876689501937</v>
          </cell>
          <cell r="S13">
            <v>68.27772634697277</v>
          </cell>
          <cell r="T13">
            <v>68.25402703203109</v>
          </cell>
          <cell r="U13">
            <v>67</v>
          </cell>
          <cell r="V13">
            <v>65</v>
          </cell>
          <cell r="W13">
            <v>63</v>
          </cell>
          <cell r="X13">
            <v>76</v>
          </cell>
          <cell r="Y13">
            <v>57</v>
          </cell>
          <cell r="Z13">
            <v>55</v>
          </cell>
          <cell r="AA13">
            <v>40</v>
          </cell>
          <cell r="AB13">
            <v>62</v>
          </cell>
          <cell r="AC13">
            <v>65</v>
          </cell>
          <cell r="AD13">
            <v>56</v>
          </cell>
          <cell r="AE13">
            <v>57</v>
          </cell>
          <cell r="AF13">
            <v>58</v>
          </cell>
          <cell r="AG13">
            <v>58</v>
          </cell>
          <cell r="AH13">
            <v>59</v>
          </cell>
          <cell r="AI13">
            <v>59</v>
          </cell>
          <cell r="AJ13">
            <v>59</v>
          </cell>
          <cell r="AK13">
            <v>59</v>
          </cell>
          <cell r="AL13">
            <v>59</v>
          </cell>
          <cell r="AM13">
            <v>59</v>
          </cell>
          <cell r="AN13">
            <v>61</v>
          </cell>
          <cell r="AO13">
            <v>61</v>
          </cell>
          <cell r="AP13">
            <v>56</v>
          </cell>
          <cell r="AQ13">
            <v>67</v>
          </cell>
          <cell r="AR13">
            <v>49</v>
          </cell>
          <cell r="AS13">
            <v>48</v>
          </cell>
          <cell r="AT13">
            <v>35</v>
          </cell>
          <cell r="AU13">
            <v>54</v>
          </cell>
          <cell r="AV13">
            <v>57</v>
          </cell>
          <cell r="AW13">
            <v>49</v>
          </cell>
          <cell r="AX13">
            <v>50</v>
          </cell>
          <cell r="AY13">
            <v>51</v>
          </cell>
          <cell r="AZ13">
            <v>51</v>
          </cell>
          <cell r="BA13">
            <v>52</v>
          </cell>
          <cell r="BB13">
            <v>52</v>
          </cell>
          <cell r="BC13">
            <v>52</v>
          </cell>
          <cell r="BD13">
            <v>52</v>
          </cell>
          <cell r="BE13">
            <v>52</v>
          </cell>
          <cell r="BF13">
            <v>52</v>
          </cell>
          <cell r="BG13">
            <v>49</v>
          </cell>
          <cell r="BH13">
            <v>49</v>
          </cell>
          <cell r="BI13">
            <v>36</v>
          </cell>
          <cell r="BJ13">
            <v>55</v>
          </cell>
          <cell r="BK13">
            <v>58</v>
          </cell>
          <cell r="BL13">
            <v>50</v>
          </cell>
          <cell r="BM13">
            <v>51</v>
          </cell>
          <cell r="BN13">
            <v>52</v>
          </cell>
          <cell r="BO13">
            <v>52</v>
          </cell>
          <cell r="BP13">
            <v>53</v>
          </cell>
          <cell r="BQ13">
            <v>53</v>
          </cell>
          <cell r="BR13">
            <v>53</v>
          </cell>
          <cell r="BS13">
            <v>53</v>
          </cell>
          <cell r="BT13">
            <v>53</v>
          </cell>
          <cell r="BU13">
            <v>53</v>
          </cell>
          <cell r="BV13">
            <v>31</v>
          </cell>
          <cell r="BW13">
            <v>34</v>
          </cell>
          <cell r="BX13">
            <v>33</v>
          </cell>
          <cell r="BY13">
            <v>43</v>
          </cell>
          <cell r="BZ13">
            <v>31</v>
          </cell>
        </row>
        <row r="14">
          <cell r="A14" t="str">
            <v>Carrick Knowe Primary School</v>
          </cell>
          <cell r="B14">
            <v>85</v>
          </cell>
          <cell r="C14">
            <v>97</v>
          </cell>
          <cell r="D14">
            <v>68</v>
          </cell>
          <cell r="E14">
            <v>74</v>
          </cell>
          <cell r="F14">
            <v>80</v>
          </cell>
          <cell r="G14">
            <v>82</v>
          </cell>
          <cell r="H14">
            <v>65</v>
          </cell>
          <cell r="I14">
            <v>65</v>
          </cell>
          <cell r="J14">
            <v>73</v>
          </cell>
          <cell r="K14">
            <v>68.405850768376226</v>
          </cell>
          <cell r="L14">
            <v>69.383077207924458</v>
          </cell>
          <cell r="M14">
            <v>70.222489662408194</v>
          </cell>
          <cell r="N14">
            <v>70.886502499537116</v>
          </cell>
          <cell r="O14">
            <v>71.400172807504774</v>
          </cell>
          <cell r="P14">
            <v>71.7509720422144</v>
          </cell>
          <cell r="Q14">
            <v>71.951428747762762</v>
          </cell>
          <cell r="R14">
            <v>72.176942541504658</v>
          </cell>
          <cell r="S14">
            <v>72.189471085601426</v>
          </cell>
          <cell r="T14">
            <v>72.164413997407877</v>
          </cell>
          <cell r="U14">
            <v>73</v>
          </cell>
          <cell r="V14">
            <v>62</v>
          </cell>
          <cell r="W14">
            <v>42</v>
          </cell>
          <cell r="X14">
            <v>78</v>
          </cell>
          <cell r="Y14">
            <v>57</v>
          </cell>
          <cell r="Z14">
            <v>64</v>
          </cell>
          <cell r="AA14">
            <v>50</v>
          </cell>
          <cell r="AB14">
            <v>50</v>
          </cell>
          <cell r="AC14">
            <v>57</v>
          </cell>
          <cell r="AD14">
            <v>53</v>
          </cell>
          <cell r="AE14">
            <v>54</v>
          </cell>
          <cell r="AF14">
            <v>55</v>
          </cell>
          <cell r="AG14">
            <v>55</v>
          </cell>
          <cell r="AH14">
            <v>55</v>
          </cell>
          <cell r="AI14">
            <v>56</v>
          </cell>
          <cell r="AJ14">
            <v>56</v>
          </cell>
          <cell r="AK14">
            <v>56</v>
          </cell>
          <cell r="AL14">
            <v>56</v>
          </cell>
          <cell r="AM14">
            <v>56</v>
          </cell>
          <cell r="AN14">
            <v>72</v>
          </cell>
          <cell r="AO14">
            <v>61</v>
          </cell>
          <cell r="AP14">
            <v>39</v>
          </cell>
          <cell r="AQ14">
            <v>75</v>
          </cell>
          <cell r="AR14">
            <v>55</v>
          </cell>
          <cell r="AS14">
            <v>61</v>
          </cell>
          <cell r="AT14">
            <v>48</v>
          </cell>
          <cell r="AU14">
            <v>48</v>
          </cell>
          <cell r="AV14">
            <v>54</v>
          </cell>
          <cell r="AW14">
            <v>50</v>
          </cell>
          <cell r="AX14">
            <v>51</v>
          </cell>
          <cell r="AY14">
            <v>52</v>
          </cell>
          <cell r="AZ14">
            <v>52</v>
          </cell>
          <cell r="BA14">
            <v>52</v>
          </cell>
          <cell r="BB14">
            <v>53</v>
          </cell>
          <cell r="BC14">
            <v>53</v>
          </cell>
          <cell r="BD14">
            <v>53</v>
          </cell>
          <cell r="BE14">
            <v>53</v>
          </cell>
          <cell r="BF14">
            <v>53</v>
          </cell>
          <cell r="BG14">
            <v>56</v>
          </cell>
          <cell r="BH14">
            <v>61</v>
          </cell>
          <cell r="BI14">
            <v>48</v>
          </cell>
          <cell r="BJ14">
            <v>48</v>
          </cell>
          <cell r="BK14">
            <v>54</v>
          </cell>
          <cell r="BL14">
            <v>50</v>
          </cell>
          <cell r="BM14">
            <v>51</v>
          </cell>
          <cell r="BN14">
            <v>52</v>
          </cell>
          <cell r="BO14">
            <v>52</v>
          </cell>
          <cell r="BP14">
            <v>52</v>
          </cell>
          <cell r="BQ14">
            <v>53</v>
          </cell>
          <cell r="BR14">
            <v>53</v>
          </cell>
          <cell r="BS14">
            <v>53</v>
          </cell>
          <cell r="BT14">
            <v>53</v>
          </cell>
          <cell r="BU14">
            <v>53</v>
          </cell>
          <cell r="BV14">
            <v>63</v>
          </cell>
          <cell r="BW14">
            <v>51</v>
          </cell>
          <cell r="BX14">
            <v>31</v>
          </cell>
          <cell r="BY14">
            <v>59</v>
          </cell>
          <cell r="BZ14">
            <v>41</v>
          </cell>
        </row>
        <row r="15">
          <cell r="A15" t="str">
            <v>Castleview Primary School</v>
          </cell>
          <cell r="B15">
            <v>73</v>
          </cell>
          <cell r="C15">
            <v>62</v>
          </cell>
          <cell r="D15">
            <v>57</v>
          </cell>
          <cell r="E15">
            <v>71</v>
          </cell>
          <cell r="F15">
            <v>62</v>
          </cell>
          <cell r="G15">
            <v>56</v>
          </cell>
          <cell r="H15">
            <v>66</v>
          </cell>
          <cell r="I15">
            <v>89</v>
          </cell>
          <cell r="J15">
            <v>81</v>
          </cell>
          <cell r="K15">
            <v>79.526013701166448</v>
          </cell>
          <cell r="L15">
            <v>80.662099611183109</v>
          </cell>
          <cell r="M15">
            <v>81.637968277479473</v>
          </cell>
          <cell r="N15">
            <v>82.409924088131817</v>
          </cell>
          <cell r="O15">
            <v>83.007097451089294</v>
          </cell>
          <cell r="P15">
            <v>83.41492316237732</v>
          </cell>
          <cell r="Q15">
            <v>83.64796642597048</v>
          </cell>
          <cell r="R15">
            <v>83.910140097512794</v>
          </cell>
          <cell r="S15">
            <v>83.924705301487364</v>
          </cell>
          <cell r="T15">
            <v>83.895574893538225</v>
          </cell>
          <cell r="U15">
            <v>71</v>
          </cell>
          <cell r="V15">
            <v>63</v>
          </cell>
          <cell r="W15">
            <v>74</v>
          </cell>
          <cell r="X15">
            <v>73</v>
          </cell>
          <cell r="Y15">
            <v>79</v>
          </cell>
          <cell r="Z15">
            <v>63</v>
          </cell>
          <cell r="AA15">
            <v>74</v>
          </cell>
          <cell r="AB15">
            <v>99</v>
          </cell>
          <cell r="AC15">
            <v>91</v>
          </cell>
          <cell r="AD15">
            <v>89</v>
          </cell>
          <cell r="AE15">
            <v>90</v>
          </cell>
          <cell r="AF15">
            <v>91</v>
          </cell>
          <cell r="AG15">
            <v>92</v>
          </cell>
          <cell r="AH15">
            <v>93</v>
          </cell>
          <cell r="AI15">
            <v>93</v>
          </cell>
          <cell r="AJ15">
            <v>94</v>
          </cell>
          <cell r="AK15">
            <v>94</v>
          </cell>
          <cell r="AL15">
            <v>94</v>
          </cell>
          <cell r="AM15">
            <v>94</v>
          </cell>
          <cell r="AN15">
            <v>56</v>
          </cell>
          <cell r="AO15">
            <v>52</v>
          </cell>
          <cell r="AP15">
            <v>68</v>
          </cell>
          <cell r="AQ15">
            <v>53</v>
          </cell>
          <cell r="AR15">
            <v>61</v>
          </cell>
          <cell r="AS15">
            <v>51</v>
          </cell>
          <cell r="AT15">
            <v>60</v>
          </cell>
          <cell r="AU15">
            <v>80</v>
          </cell>
          <cell r="AV15">
            <v>73</v>
          </cell>
          <cell r="AW15">
            <v>72</v>
          </cell>
          <cell r="AX15">
            <v>73</v>
          </cell>
          <cell r="AY15">
            <v>73</v>
          </cell>
          <cell r="AZ15">
            <v>74</v>
          </cell>
          <cell r="BA15">
            <v>75</v>
          </cell>
          <cell r="BB15">
            <v>75</v>
          </cell>
          <cell r="BC15">
            <v>76</v>
          </cell>
          <cell r="BD15">
            <v>76</v>
          </cell>
          <cell r="BE15">
            <v>76</v>
          </cell>
          <cell r="BF15">
            <v>76</v>
          </cell>
          <cell r="BG15">
            <v>65</v>
          </cell>
          <cell r="BH15">
            <v>59</v>
          </cell>
          <cell r="BI15">
            <v>73</v>
          </cell>
          <cell r="BJ15">
            <v>99</v>
          </cell>
          <cell r="BK15">
            <v>96</v>
          </cell>
          <cell r="BL15">
            <v>100</v>
          </cell>
          <cell r="BM15">
            <v>104</v>
          </cell>
          <cell r="BN15">
            <v>107</v>
          </cell>
          <cell r="BO15">
            <v>111</v>
          </cell>
          <cell r="BP15">
            <v>116</v>
          </cell>
          <cell r="BQ15">
            <v>120</v>
          </cell>
          <cell r="BR15">
            <v>121</v>
          </cell>
          <cell r="BS15">
            <v>122</v>
          </cell>
          <cell r="BT15">
            <v>123</v>
          </cell>
          <cell r="BU15">
            <v>123</v>
          </cell>
          <cell r="BV15">
            <v>36</v>
          </cell>
          <cell r="BW15">
            <v>32</v>
          </cell>
          <cell r="BX15">
            <v>53</v>
          </cell>
          <cell r="BY15">
            <v>43</v>
          </cell>
          <cell r="BZ15">
            <v>37</v>
          </cell>
        </row>
        <row r="16">
          <cell r="A16" t="str">
            <v>Clermiston Primary School</v>
          </cell>
          <cell r="B16">
            <v>98</v>
          </cell>
          <cell r="C16">
            <v>78</v>
          </cell>
          <cell r="D16">
            <v>92</v>
          </cell>
          <cell r="E16">
            <v>87</v>
          </cell>
          <cell r="F16">
            <v>93</v>
          </cell>
          <cell r="G16">
            <v>84</v>
          </cell>
          <cell r="H16">
            <v>91</v>
          </cell>
          <cell r="I16">
            <v>98</v>
          </cell>
          <cell r="J16">
            <v>75</v>
          </cell>
          <cell r="K16">
            <v>88.961303462321794</v>
          </cell>
          <cell r="L16">
            <v>90.232179226069249</v>
          </cell>
          <cell r="M16">
            <v>91.323828920570264</v>
          </cell>
          <cell r="N16">
            <v>92.187372708757636</v>
          </cell>
          <cell r="O16">
            <v>92.855397148676175</v>
          </cell>
          <cell r="P16">
            <v>93.311608961303463</v>
          </cell>
          <cell r="Q16">
            <v>93.572301425661919</v>
          </cell>
          <cell r="R16">
            <v>93.865580448065174</v>
          </cell>
          <cell r="S16">
            <v>93.88187372708758</v>
          </cell>
          <cell r="T16">
            <v>93.849287169042768</v>
          </cell>
          <cell r="U16">
            <v>77</v>
          </cell>
          <cell r="V16">
            <v>83</v>
          </cell>
          <cell r="W16">
            <v>90</v>
          </cell>
          <cell r="X16">
            <v>79</v>
          </cell>
          <cell r="Y16">
            <v>90</v>
          </cell>
          <cell r="Z16">
            <v>79</v>
          </cell>
          <cell r="AA16">
            <v>86</v>
          </cell>
          <cell r="AB16">
            <v>92</v>
          </cell>
          <cell r="AC16">
            <v>71</v>
          </cell>
          <cell r="AD16">
            <v>84</v>
          </cell>
          <cell r="AE16">
            <v>85</v>
          </cell>
          <cell r="AF16">
            <v>86</v>
          </cell>
          <cell r="AG16">
            <v>87</v>
          </cell>
          <cell r="AH16">
            <v>87</v>
          </cell>
          <cell r="AI16">
            <v>88</v>
          </cell>
          <cell r="AJ16">
            <v>88</v>
          </cell>
          <cell r="AK16">
            <v>88</v>
          </cell>
          <cell r="AL16">
            <v>88</v>
          </cell>
          <cell r="AM16">
            <v>88</v>
          </cell>
          <cell r="AN16">
            <v>69</v>
          </cell>
          <cell r="AO16">
            <v>73</v>
          </cell>
          <cell r="AP16">
            <v>77</v>
          </cell>
          <cell r="AQ16">
            <v>67</v>
          </cell>
          <cell r="AR16">
            <v>77</v>
          </cell>
          <cell r="AS16">
            <v>67</v>
          </cell>
          <cell r="AT16">
            <v>73</v>
          </cell>
          <cell r="AU16">
            <v>78</v>
          </cell>
          <cell r="AV16">
            <v>61</v>
          </cell>
          <cell r="AW16">
            <v>72</v>
          </cell>
          <cell r="AX16">
            <v>73</v>
          </cell>
          <cell r="AY16">
            <v>73</v>
          </cell>
          <cell r="AZ16">
            <v>74</v>
          </cell>
          <cell r="BA16">
            <v>74</v>
          </cell>
          <cell r="BB16">
            <v>75</v>
          </cell>
          <cell r="BC16">
            <v>75</v>
          </cell>
          <cell r="BD16">
            <v>75</v>
          </cell>
          <cell r="BE16">
            <v>75</v>
          </cell>
          <cell r="BF16">
            <v>75</v>
          </cell>
          <cell r="BG16">
            <v>77</v>
          </cell>
          <cell r="BH16">
            <v>68</v>
          </cell>
          <cell r="BI16">
            <v>74</v>
          </cell>
          <cell r="BJ16">
            <v>79</v>
          </cell>
          <cell r="BK16">
            <v>62</v>
          </cell>
          <cell r="BL16">
            <v>73</v>
          </cell>
          <cell r="BM16">
            <v>74</v>
          </cell>
          <cell r="BN16">
            <v>74</v>
          </cell>
          <cell r="BO16">
            <v>75</v>
          </cell>
          <cell r="BP16">
            <v>75</v>
          </cell>
          <cell r="BQ16">
            <v>76</v>
          </cell>
          <cell r="BR16">
            <v>76</v>
          </cell>
          <cell r="BS16">
            <v>75</v>
          </cell>
          <cell r="BT16">
            <v>75</v>
          </cell>
          <cell r="BU16">
            <v>75</v>
          </cell>
          <cell r="BV16">
            <v>60</v>
          </cell>
          <cell r="BW16">
            <v>70</v>
          </cell>
          <cell r="BX16">
            <v>70</v>
          </cell>
          <cell r="BY16">
            <v>58</v>
          </cell>
          <cell r="BZ16">
            <v>69</v>
          </cell>
        </row>
        <row r="17">
          <cell r="A17" t="str">
            <v>Clovenstone Primary School</v>
          </cell>
          <cell r="B17">
            <v>47</v>
          </cell>
          <cell r="C17">
            <v>47</v>
          </cell>
          <cell r="D17">
            <v>69</v>
          </cell>
          <cell r="E17">
            <v>60</v>
          </cell>
          <cell r="F17">
            <v>44</v>
          </cell>
          <cell r="G17">
            <v>47</v>
          </cell>
          <cell r="H17">
            <v>47</v>
          </cell>
          <cell r="I17">
            <v>44</v>
          </cell>
          <cell r="J17">
            <v>42</v>
          </cell>
          <cell r="K17">
            <v>44.817626365487875</v>
          </cell>
          <cell r="L17">
            <v>45.45787817070913</v>
          </cell>
          <cell r="M17">
            <v>46.007838054681237</v>
          </cell>
          <cell r="N17">
            <v>46.442880947972604</v>
          </cell>
          <cell r="O17">
            <v>46.77942356353762</v>
          </cell>
          <cell r="P17">
            <v>47.009257544899093</v>
          </cell>
          <cell r="Q17">
            <v>47.140591248534221</v>
          </cell>
          <cell r="R17">
            <v>47.288341665123738</v>
          </cell>
          <cell r="S17">
            <v>47.296550021600936</v>
          </cell>
          <cell r="T17">
            <v>47.280133308646548</v>
          </cell>
          <cell r="U17">
            <v>51</v>
          </cell>
          <cell r="V17">
            <v>50</v>
          </cell>
          <cell r="W17">
            <v>49</v>
          </cell>
          <cell r="X17">
            <v>47</v>
          </cell>
          <cell r="Y17">
            <v>43</v>
          </cell>
          <cell r="Z17">
            <v>43</v>
          </cell>
          <cell r="AA17">
            <v>43</v>
          </cell>
          <cell r="AB17">
            <v>41</v>
          </cell>
          <cell r="AC17">
            <v>39</v>
          </cell>
          <cell r="AD17">
            <v>41</v>
          </cell>
          <cell r="AE17">
            <v>42</v>
          </cell>
          <cell r="AF17">
            <v>43</v>
          </cell>
          <cell r="AG17">
            <v>43</v>
          </cell>
          <cell r="AH17">
            <v>43</v>
          </cell>
          <cell r="AI17">
            <v>43</v>
          </cell>
          <cell r="AJ17">
            <v>44</v>
          </cell>
          <cell r="AK17">
            <v>44</v>
          </cell>
          <cell r="AL17">
            <v>44</v>
          </cell>
          <cell r="AM17">
            <v>44</v>
          </cell>
          <cell r="AN17">
            <v>49</v>
          </cell>
          <cell r="AO17">
            <v>42</v>
          </cell>
          <cell r="AP17">
            <v>42</v>
          </cell>
          <cell r="AQ17">
            <v>41</v>
          </cell>
          <cell r="AR17">
            <v>39</v>
          </cell>
          <cell r="AS17">
            <v>38</v>
          </cell>
          <cell r="AT17">
            <v>38</v>
          </cell>
          <cell r="AU17">
            <v>36</v>
          </cell>
          <cell r="AV17">
            <v>34</v>
          </cell>
          <cell r="AW17">
            <v>36</v>
          </cell>
          <cell r="AX17">
            <v>37</v>
          </cell>
          <cell r="AY17">
            <v>38</v>
          </cell>
          <cell r="AZ17">
            <v>38</v>
          </cell>
          <cell r="BA17">
            <v>38</v>
          </cell>
          <cell r="BB17">
            <v>38</v>
          </cell>
          <cell r="BC17">
            <v>39</v>
          </cell>
          <cell r="BD17">
            <v>39</v>
          </cell>
          <cell r="BE17">
            <v>39</v>
          </cell>
          <cell r="BF17">
            <v>39</v>
          </cell>
          <cell r="BG17">
            <v>39</v>
          </cell>
          <cell r="BH17">
            <v>38</v>
          </cell>
          <cell r="BI17">
            <v>38</v>
          </cell>
          <cell r="BJ17">
            <v>36</v>
          </cell>
          <cell r="BK17">
            <v>34</v>
          </cell>
          <cell r="BL17">
            <v>36</v>
          </cell>
          <cell r="BM17">
            <v>37</v>
          </cell>
          <cell r="BN17">
            <v>38</v>
          </cell>
          <cell r="BO17">
            <v>38</v>
          </cell>
          <cell r="BP17">
            <v>38</v>
          </cell>
          <cell r="BQ17">
            <v>38</v>
          </cell>
          <cell r="BR17">
            <v>39</v>
          </cell>
          <cell r="BS17">
            <v>39</v>
          </cell>
          <cell r="BT17">
            <v>39</v>
          </cell>
          <cell r="BU17">
            <v>39</v>
          </cell>
          <cell r="BV17">
            <v>23</v>
          </cell>
          <cell r="BW17">
            <v>30</v>
          </cell>
          <cell r="BX17">
            <v>23</v>
          </cell>
          <cell r="BY17">
            <v>28</v>
          </cell>
          <cell r="BZ17">
            <v>27</v>
          </cell>
        </row>
        <row r="18">
          <cell r="A18" t="str">
            <v>Colinton Primary School</v>
          </cell>
          <cell r="B18">
            <v>50</v>
          </cell>
          <cell r="C18">
            <v>55</v>
          </cell>
          <cell r="D18">
            <v>77</v>
          </cell>
          <cell r="E18">
            <v>54</v>
          </cell>
          <cell r="F18">
            <v>57</v>
          </cell>
          <cell r="G18">
            <v>41</v>
          </cell>
          <cell r="H18">
            <v>40</v>
          </cell>
          <cell r="I18">
            <v>60</v>
          </cell>
          <cell r="J18">
            <v>37</v>
          </cell>
          <cell r="K18">
            <v>46.165524902795774</v>
          </cell>
          <cell r="L18">
            <v>46.825032401407142</v>
          </cell>
          <cell r="M18">
            <v>47.391532432265628</v>
          </cell>
          <cell r="N18">
            <v>47.839659322347714</v>
          </cell>
          <cell r="O18">
            <v>48.186323520335741</v>
          </cell>
          <cell r="P18">
            <v>48.423069801888538</v>
          </cell>
          <cell r="Q18">
            <v>48.558353391347282</v>
          </cell>
          <cell r="R18">
            <v>48.710547429488365</v>
          </cell>
          <cell r="S18">
            <v>48.719002653829534</v>
          </cell>
          <cell r="T18">
            <v>48.702092205147189</v>
          </cell>
          <cell r="U18">
            <v>21</v>
          </cell>
          <cell r="V18">
            <v>33</v>
          </cell>
          <cell r="W18">
            <v>30</v>
          </cell>
          <cell r="X18">
            <v>21</v>
          </cell>
          <cell r="Y18">
            <v>27</v>
          </cell>
          <cell r="Z18">
            <v>19</v>
          </cell>
          <cell r="AA18">
            <v>18</v>
          </cell>
          <cell r="AB18">
            <v>27</v>
          </cell>
          <cell r="AC18">
            <v>17</v>
          </cell>
          <cell r="AD18">
            <v>21</v>
          </cell>
          <cell r="AE18">
            <v>21</v>
          </cell>
          <cell r="AF18">
            <v>22</v>
          </cell>
          <cell r="AG18">
            <v>22</v>
          </cell>
          <cell r="AH18">
            <v>22</v>
          </cell>
          <cell r="AI18">
            <v>22</v>
          </cell>
          <cell r="AJ18">
            <v>22</v>
          </cell>
          <cell r="AK18">
            <v>22</v>
          </cell>
          <cell r="AL18">
            <v>22</v>
          </cell>
          <cell r="AM18">
            <v>22</v>
          </cell>
          <cell r="AN18">
            <v>20</v>
          </cell>
          <cell r="AO18">
            <v>28</v>
          </cell>
          <cell r="AP18">
            <v>27</v>
          </cell>
          <cell r="AQ18">
            <v>20</v>
          </cell>
          <cell r="AR18">
            <v>24</v>
          </cell>
          <cell r="AS18">
            <v>17</v>
          </cell>
          <cell r="AT18">
            <v>16</v>
          </cell>
          <cell r="AU18">
            <v>25</v>
          </cell>
          <cell r="AV18">
            <v>16</v>
          </cell>
          <cell r="AW18">
            <v>19</v>
          </cell>
          <cell r="AX18">
            <v>19</v>
          </cell>
          <cell r="AY18">
            <v>20</v>
          </cell>
          <cell r="AZ18">
            <v>20</v>
          </cell>
          <cell r="BA18">
            <v>20</v>
          </cell>
          <cell r="BB18">
            <v>20</v>
          </cell>
          <cell r="BC18">
            <v>20</v>
          </cell>
          <cell r="BD18">
            <v>20</v>
          </cell>
          <cell r="BE18">
            <v>20</v>
          </cell>
          <cell r="BF18">
            <v>20</v>
          </cell>
          <cell r="BG18">
            <v>24</v>
          </cell>
          <cell r="BH18">
            <v>17</v>
          </cell>
          <cell r="BI18">
            <v>16</v>
          </cell>
          <cell r="BJ18">
            <v>25</v>
          </cell>
          <cell r="BK18">
            <v>16</v>
          </cell>
          <cell r="BL18">
            <v>19</v>
          </cell>
          <cell r="BM18">
            <v>19</v>
          </cell>
          <cell r="BN18">
            <v>20</v>
          </cell>
          <cell r="BO18">
            <v>20</v>
          </cell>
          <cell r="BP18">
            <v>20</v>
          </cell>
          <cell r="BQ18">
            <v>20</v>
          </cell>
          <cell r="BR18">
            <v>20</v>
          </cell>
          <cell r="BS18">
            <v>20</v>
          </cell>
          <cell r="BT18">
            <v>20</v>
          </cell>
          <cell r="BU18">
            <v>20</v>
          </cell>
          <cell r="BV18">
            <v>18</v>
          </cell>
          <cell r="BW18">
            <v>26</v>
          </cell>
          <cell r="BX18">
            <v>21</v>
          </cell>
          <cell r="BY18">
            <v>18</v>
          </cell>
          <cell r="BZ18">
            <v>16</v>
          </cell>
        </row>
        <row r="19">
          <cell r="A19" t="str">
            <v>Corstorphine Primary School</v>
          </cell>
          <cell r="B19">
            <v>67</v>
          </cell>
          <cell r="C19">
            <v>67</v>
          </cell>
          <cell r="D19">
            <v>75</v>
          </cell>
          <cell r="E19">
            <v>66</v>
          </cell>
          <cell r="F19">
            <v>81</v>
          </cell>
          <cell r="G19">
            <v>63</v>
          </cell>
          <cell r="H19">
            <v>73</v>
          </cell>
          <cell r="I19">
            <v>64</v>
          </cell>
          <cell r="J19">
            <v>60</v>
          </cell>
          <cell r="K19">
            <v>66.384002962414371</v>
          </cell>
          <cell r="L19">
            <v>67.332345861877428</v>
          </cell>
          <cell r="M19">
            <v>68.146948096031593</v>
          </cell>
          <cell r="N19">
            <v>68.79133493797444</v>
          </cell>
          <cell r="O19">
            <v>69.289822872307582</v>
          </cell>
          <cell r="P19">
            <v>69.630253656730218</v>
          </cell>
          <cell r="Q19">
            <v>69.82478553354315</v>
          </cell>
          <cell r="R19">
            <v>70.043633894957708</v>
          </cell>
          <cell r="S19">
            <v>70.055792137258521</v>
          </cell>
          <cell r="T19">
            <v>70.031475652656908</v>
          </cell>
          <cell r="U19">
            <v>65</v>
          </cell>
          <cell r="V19">
            <v>87</v>
          </cell>
          <cell r="W19">
            <v>76</v>
          </cell>
          <cell r="X19">
            <v>58</v>
          </cell>
          <cell r="Y19">
            <v>82</v>
          </cell>
          <cell r="Z19">
            <v>65</v>
          </cell>
          <cell r="AA19">
            <v>76</v>
          </cell>
          <cell r="AB19">
            <v>66</v>
          </cell>
          <cell r="AC19">
            <v>62</v>
          </cell>
          <cell r="AD19">
            <v>69</v>
          </cell>
          <cell r="AE19">
            <v>70</v>
          </cell>
          <cell r="AF19">
            <v>71</v>
          </cell>
          <cell r="AG19">
            <v>71</v>
          </cell>
          <cell r="AH19">
            <v>72</v>
          </cell>
          <cell r="AI19">
            <v>72</v>
          </cell>
          <cell r="AJ19">
            <v>72</v>
          </cell>
          <cell r="AK19">
            <v>72</v>
          </cell>
          <cell r="AL19">
            <v>72</v>
          </cell>
          <cell r="AM19">
            <v>72</v>
          </cell>
          <cell r="AN19">
            <v>64</v>
          </cell>
          <cell r="AO19">
            <v>84</v>
          </cell>
          <cell r="AP19">
            <v>76</v>
          </cell>
          <cell r="AQ19">
            <v>57</v>
          </cell>
          <cell r="AR19">
            <v>82</v>
          </cell>
          <cell r="AS19">
            <v>65</v>
          </cell>
          <cell r="AT19">
            <v>76</v>
          </cell>
          <cell r="AU19">
            <v>66</v>
          </cell>
          <cell r="AV19">
            <v>62</v>
          </cell>
          <cell r="AW19">
            <v>69</v>
          </cell>
          <cell r="AX19">
            <v>70</v>
          </cell>
          <cell r="AY19">
            <v>71</v>
          </cell>
          <cell r="AZ19">
            <v>71</v>
          </cell>
          <cell r="BA19">
            <v>72</v>
          </cell>
          <cell r="BB19">
            <v>72</v>
          </cell>
          <cell r="BC19">
            <v>72</v>
          </cell>
          <cell r="BD19">
            <v>72</v>
          </cell>
          <cell r="BE19">
            <v>72</v>
          </cell>
          <cell r="BF19">
            <v>72</v>
          </cell>
          <cell r="BG19">
            <v>82</v>
          </cell>
          <cell r="BH19">
            <v>66</v>
          </cell>
          <cell r="BI19">
            <v>77</v>
          </cell>
          <cell r="BJ19">
            <v>70</v>
          </cell>
          <cell r="BK19">
            <v>73</v>
          </cell>
          <cell r="BL19">
            <v>91</v>
          </cell>
          <cell r="BM19">
            <v>101</v>
          </cell>
          <cell r="BN19">
            <v>109</v>
          </cell>
          <cell r="BO19">
            <v>115</v>
          </cell>
          <cell r="BP19">
            <v>121</v>
          </cell>
          <cell r="BQ19">
            <v>127</v>
          </cell>
          <cell r="BR19">
            <v>130</v>
          </cell>
          <cell r="BS19">
            <v>133</v>
          </cell>
          <cell r="BT19">
            <v>136</v>
          </cell>
          <cell r="BU19">
            <v>139</v>
          </cell>
          <cell r="BV19">
            <v>62</v>
          </cell>
          <cell r="BW19">
            <v>83</v>
          </cell>
          <cell r="BX19">
            <v>72</v>
          </cell>
          <cell r="BY19">
            <v>54</v>
          </cell>
          <cell r="BZ19">
            <v>78</v>
          </cell>
        </row>
        <row r="20">
          <cell r="A20" t="str">
            <v>Craigentinny Primary School</v>
          </cell>
          <cell r="B20">
            <v>88</v>
          </cell>
          <cell r="C20">
            <v>106</v>
          </cell>
          <cell r="D20">
            <v>107</v>
          </cell>
          <cell r="E20">
            <v>116</v>
          </cell>
          <cell r="F20">
            <v>105</v>
          </cell>
          <cell r="G20">
            <v>111</v>
          </cell>
          <cell r="H20">
            <v>92</v>
          </cell>
          <cell r="I20">
            <v>101</v>
          </cell>
          <cell r="J20">
            <v>89</v>
          </cell>
          <cell r="K20">
            <v>95.026846880207373</v>
          </cell>
          <cell r="L20">
            <v>96.384373264210339</v>
          </cell>
          <cell r="M20">
            <v>97.550453619700065</v>
          </cell>
          <cell r="N20">
            <v>98.472875393445662</v>
          </cell>
          <cell r="O20">
            <v>99.186446954267737</v>
          </cell>
          <cell r="P20">
            <v>99.673764117755979</v>
          </cell>
          <cell r="Q20">
            <v>99.952231068320685</v>
          </cell>
          <cell r="R20">
            <v>100.26550638770598</v>
          </cell>
          <cell r="S20">
            <v>100.28291057211628</v>
          </cell>
          <cell r="T20">
            <v>100.24810220329569</v>
          </cell>
          <cell r="U20">
            <v>76</v>
          </cell>
          <cell r="V20">
            <v>80</v>
          </cell>
          <cell r="W20">
            <v>75</v>
          </cell>
          <cell r="X20">
            <v>72</v>
          </cell>
          <cell r="Y20">
            <v>76</v>
          </cell>
          <cell r="Z20">
            <v>81</v>
          </cell>
          <cell r="AA20">
            <v>67</v>
          </cell>
          <cell r="AB20">
            <v>74</v>
          </cell>
          <cell r="AC20">
            <v>65</v>
          </cell>
          <cell r="AD20">
            <v>70</v>
          </cell>
          <cell r="AE20">
            <v>71</v>
          </cell>
          <cell r="AF20">
            <v>71</v>
          </cell>
          <cell r="AG20">
            <v>72</v>
          </cell>
          <cell r="AH20">
            <v>73</v>
          </cell>
          <cell r="AI20">
            <v>73</v>
          </cell>
          <cell r="AJ20">
            <v>73</v>
          </cell>
          <cell r="AK20">
            <v>73</v>
          </cell>
          <cell r="AL20">
            <v>73</v>
          </cell>
          <cell r="AM20">
            <v>73</v>
          </cell>
          <cell r="AN20">
            <v>55</v>
          </cell>
          <cell r="AO20">
            <v>52</v>
          </cell>
          <cell r="AP20">
            <v>51</v>
          </cell>
          <cell r="AQ20">
            <v>59</v>
          </cell>
          <cell r="AR20">
            <v>53</v>
          </cell>
          <cell r="AS20">
            <v>59</v>
          </cell>
          <cell r="AT20">
            <v>49</v>
          </cell>
          <cell r="AU20">
            <v>54</v>
          </cell>
          <cell r="AV20">
            <v>48</v>
          </cell>
          <cell r="AW20">
            <v>51</v>
          </cell>
          <cell r="AX20">
            <v>52</v>
          </cell>
          <cell r="AY20">
            <v>52</v>
          </cell>
          <cell r="AZ20">
            <v>53</v>
          </cell>
          <cell r="BA20">
            <v>53</v>
          </cell>
          <cell r="BB20">
            <v>53</v>
          </cell>
          <cell r="BC20">
            <v>53</v>
          </cell>
          <cell r="BD20">
            <v>53</v>
          </cell>
          <cell r="BE20">
            <v>53</v>
          </cell>
          <cell r="BF20">
            <v>53</v>
          </cell>
          <cell r="BG20">
            <v>53</v>
          </cell>
          <cell r="BH20">
            <v>60</v>
          </cell>
          <cell r="BI20">
            <v>50</v>
          </cell>
          <cell r="BJ20">
            <v>55</v>
          </cell>
          <cell r="BK20">
            <v>49</v>
          </cell>
          <cell r="BL20">
            <v>53</v>
          </cell>
          <cell r="BM20">
            <v>54</v>
          </cell>
          <cell r="BN20">
            <v>54</v>
          </cell>
          <cell r="BO20">
            <v>55</v>
          </cell>
          <cell r="BP20">
            <v>56</v>
          </cell>
          <cell r="BQ20">
            <v>56</v>
          </cell>
          <cell r="BR20">
            <v>56</v>
          </cell>
          <cell r="BS20">
            <v>56</v>
          </cell>
          <cell r="BT20">
            <v>56</v>
          </cell>
          <cell r="BU20">
            <v>56</v>
          </cell>
          <cell r="BV20">
            <v>28</v>
          </cell>
          <cell r="BW20">
            <v>33</v>
          </cell>
          <cell r="BX20">
            <v>37</v>
          </cell>
          <cell r="BY20">
            <v>49</v>
          </cell>
          <cell r="BZ20">
            <v>35</v>
          </cell>
        </row>
        <row r="21">
          <cell r="A21" t="str">
            <v>Craiglockhart Primary School</v>
          </cell>
          <cell r="B21">
            <v>86</v>
          </cell>
          <cell r="C21">
            <v>90</v>
          </cell>
          <cell r="D21">
            <v>94</v>
          </cell>
          <cell r="E21">
            <v>109</v>
          </cell>
          <cell r="F21">
            <v>88</v>
          </cell>
          <cell r="G21">
            <v>78</v>
          </cell>
          <cell r="H21">
            <v>80</v>
          </cell>
          <cell r="I21">
            <v>86</v>
          </cell>
          <cell r="J21">
            <v>59</v>
          </cell>
          <cell r="K21">
            <v>75.819292723569703</v>
          </cell>
          <cell r="L21">
            <v>76.902425476763554</v>
          </cell>
          <cell r="M21">
            <v>77.83280873912237</v>
          </cell>
          <cell r="N21">
            <v>78.568783558600245</v>
          </cell>
          <cell r="O21">
            <v>79.138122569894449</v>
          </cell>
          <cell r="P21">
            <v>79.526939455656347</v>
          </cell>
          <cell r="Q21">
            <v>79.749120533234574</v>
          </cell>
          <cell r="R21">
            <v>79.999074245510073</v>
          </cell>
          <cell r="S21">
            <v>80.012960562858709</v>
          </cell>
          <cell r="T21">
            <v>79.985187928161437</v>
          </cell>
          <cell r="U21">
            <v>47</v>
          </cell>
          <cell r="V21">
            <v>47</v>
          </cell>
          <cell r="W21">
            <v>61</v>
          </cell>
          <cell r="X21">
            <v>55</v>
          </cell>
          <cell r="Y21">
            <v>44</v>
          </cell>
          <cell r="Z21">
            <v>42</v>
          </cell>
          <cell r="AA21">
            <v>44</v>
          </cell>
          <cell r="AB21">
            <v>47</v>
          </cell>
          <cell r="AC21">
            <v>32</v>
          </cell>
          <cell r="AD21">
            <v>41</v>
          </cell>
          <cell r="AE21">
            <v>42</v>
          </cell>
          <cell r="AF21">
            <v>42</v>
          </cell>
          <cell r="AG21">
            <v>43</v>
          </cell>
          <cell r="AH21">
            <v>43</v>
          </cell>
          <cell r="AI21">
            <v>43</v>
          </cell>
          <cell r="AJ21">
            <v>43</v>
          </cell>
          <cell r="AK21">
            <v>44</v>
          </cell>
          <cell r="AL21">
            <v>44</v>
          </cell>
          <cell r="AM21">
            <v>44</v>
          </cell>
          <cell r="AN21">
            <v>45</v>
          </cell>
          <cell r="AO21">
            <v>46</v>
          </cell>
          <cell r="AP21">
            <v>60</v>
          </cell>
          <cell r="AQ21">
            <v>53</v>
          </cell>
          <cell r="AR21">
            <v>43</v>
          </cell>
          <cell r="AS21">
            <v>41</v>
          </cell>
          <cell r="AT21">
            <v>43</v>
          </cell>
          <cell r="AU21">
            <v>46</v>
          </cell>
          <cell r="AV21">
            <v>31</v>
          </cell>
          <cell r="AW21">
            <v>40</v>
          </cell>
          <cell r="AX21">
            <v>41</v>
          </cell>
          <cell r="AY21">
            <v>41</v>
          </cell>
          <cell r="AZ21">
            <v>42</v>
          </cell>
          <cell r="BA21">
            <v>42</v>
          </cell>
          <cell r="BB21">
            <v>42</v>
          </cell>
          <cell r="BC21">
            <v>42</v>
          </cell>
          <cell r="BD21">
            <v>43</v>
          </cell>
          <cell r="BE21">
            <v>43</v>
          </cell>
          <cell r="BF21">
            <v>43</v>
          </cell>
          <cell r="BG21">
            <v>43</v>
          </cell>
          <cell r="BH21">
            <v>41</v>
          </cell>
          <cell r="BI21">
            <v>43</v>
          </cell>
          <cell r="BJ21">
            <v>46</v>
          </cell>
          <cell r="BK21">
            <v>31</v>
          </cell>
          <cell r="BL21">
            <v>40</v>
          </cell>
          <cell r="BM21">
            <v>41</v>
          </cell>
          <cell r="BN21">
            <v>41</v>
          </cell>
          <cell r="BO21">
            <v>42</v>
          </cell>
          <cell r="BP21">
            <v>42</v>
          </cell>
          <cell r="BQ21">
            <v>42</v>
          </cell>
          <cell r="BR21">
            <v>42</v>
          </cell>
          <cell r="BS21">
            <v>43</v>
          </cell>
          <cell r="BT21">
            <v>43</v>
          </cell>
          <cell r="BU21">
            <v>43</v>
          </cell>
          <cell r="BV21">
            <v>42</v>
          </cell>
          <cell r="BW21">
            <v>43</v>
          </cell>
          <cell r="BX21">
            <v>56</v>
          </cell>
          <cell r="BY21">
            <v>52</v>
          </cell>
          <cell r="BZ21">
            <v>40</v>
          </cell>
        </row>
        <row r="22">
          <cell r="A22" t="str">
            <v>Craigour Park Primary School</v>
          </cell>
          <cell r="B22">
            <v>101</v>
          </cell>
          <cell r="C22">
            <v>109</v>
          </cell>
          <cell r="D22">
            <v>91</v>
          </cell>
          <cell r="E22">
            <v>125</v>
          </cell>
          <cell r="F22">
            <v>91</v>
          </cell>
          <cell r="G22">
            <v>106</v>
          </cell>
          <cell r="H22">
            <v>96</v>
          </cell>
          <cell r="I22">
            <v>98</v>
          </cell>
          <cell r="J22">
            <v>80</v>
          </cell>
          <cell r="K22">
            <v>92.331049805591547</v>
          </cell>
          <cell r="L22">
            <v>93.650064802814285</v>
          </cell>
          <cell r="M22">
            <v>94.783064864531255</v>
          </cell>
          <cell r="N22">
            <v>95.679318644695428</v>
          </cell>
          <cell r="O22">
            <v>96.372647040671481</v>
          </cell>
          <cell r="P22">
            <v>96.846139603777075</v>
          </cell>
          <cell r="Q22">
            <v>97.116706782694564</v>
          </cell>
          <cell r="R22">
            <v>97.42109485897673</v>
          </cell>
          <cell r="S22">
            <v>97.438005307659068</v>
          </cell>
          <cell r="T22">
            <v>97.404184410294377</v>
          </cell>
          <cell r="U22">
            <v>90</v>
          </cell>
          <cell r="V22">
            <v>85</v>
          </cell>
          <cell r="W22">
            <v>79</v>
          </cell>
          <cell r="X22">
            <v>99</v>
          </cell>
          <cell r="Y22">
            <v>90</v>
          </cell>
          <cell r="Z22">
            <v>92</v>
          </cell>
          <cell r="AA22">
            <v>83</v>
          </cell>
          <cell r="AB22">
            <v>85</v>
          </cell>
          <cell r="AC22">
            <v>69</v>
          </cell>
          <cell r="AD22">
            <v>80</v>
          </cell>
          <cell r="AE22">
            <v>81</v>
          </cell>
          <cell r="AF22">
            <v>82</v>
          </cell>
          <cell r="AG22">
            <v>83</v>
          </cell>
          <cell r="AH22">
            <v>83</v>
          </cell>
          <cell r="AI22">
            <v>84</v>
          </cell>
          <cell r="AJ22">
            <v>84</v>
          </cell>
          <cell r="AK22">
            <v>84</v>
          </cell>
          <cell r="AL22">
            <v>84</v>
          </cell>
          <cell r="AM22">
            <v>84</v>
          </cell>
          <cell r="AN22">
            <v>75</v>
          </cell>
          <cell r="AO22">
            <v>73</v>
          </cell>
          <cell r="AP22">
            <v>73</v>
          </cell>
          <cell r="AQ22">
            <v>89</v>
          </cell>
          <cell r="AR22">
            <v>78</v>
          </cell>
          <cell r="AS22">
            <v>82</v>
          </cell>
          <cell r="AT22">
            <v>74</v>
          </cell>
          <cell r="AU22">
            <v>76</v>
          </cell>
          <cell r="AV22">
            <v>62</v>
          </cell>
          <cell r="AW22">
            <v>72</v>
          </cell>
          <cell r="AX22">
            <v>73</v>
          </cell>
          <cell r="AY22">
            <v>74</v>
          </cell>
          <cell r="AZ22">
            <v>74</v>
          </cell>
          <cell r="BA22">
            <v>74</v>
          </cell>
          <cell r="BB22">
            <v>75</v>
          </cell>
          <cell r="BC22">
            <v>75</v>
          </cell>
          <cell r="BD22">
            <v>75</v>
          </cell>
          <cell r="BE22">
            <v>75</v>
          </cell>
          <cell r="BF22">
            <v>75</v>
          </cell>
          <cell r="BG22">
            <v>78</v>
          </cell>
          <cell r="BH22">
            <v>82</v>
          </cell>
          <cell r="BI22">
            <v>75</v>
          </cell>
          <cell r="BJ22">
            <v>80</v>
          </cell>
          <cell r="BK22">
            <v>70</v>
          </cell>
          <cell r="BL22">
            <v>82</v>
          </cell>
          <cell r="BM22">
            <v>86</v>
          </cell>
          <cell r="BN22">
            <v>90</v>
          </cell>
          <cell r="BO22">
            <v>94</v>
          </cell>
          <cell r="BP22">
            <v>96</v>
          </cell>
          <cell r="BQ22">
            <v>97</v>
          </cell>
          <cell r="BR22">
            <v>97</v>
          </cell>
          <cell r="BS22">
            <v>97</v>
          </cell>
          <cell r="BT22">
            <v>97</v>
          </cell>
          <cell r="BU22">
            <v>97</v>
          </cell>
          <cell r="BV22">
            <v>63</v>
          </cell>
          <cell r="BW22">
            <v>68</v>
          </cell>
          <cell r="BX22">
            <v>64</v>
          </cell>
          <cell r="BY22">
            <v>79</v>
          </cell>
          <cell r="BZ22">
            <v>59</v>
          </cell>
        </row>
        <row r="23">
          <cell r="A23" t="str">
            <v>Craigroyston Primary School</v>
          </cell>
          <cell r="B23">
            <v>93</v>
          </cell>
          <cell r="C23">
            <v>78</v>
          </cell>
          <cell r="D23">
            <v>85</v>
          </cell>
          <cell r="E23">
            <v>81</v>
          </cell>
          <cell r="F23">
            <v>85</v>
          </cell>
          <cell r="G23">
            <v>84</v>
          </cell>
          <cell r="H23">
            <v>77</v>
          </cell>
          <cell r="I23">
            <v>89</v>
          </cell>
          <cell r="J23">
            <v>104</v>
          </cell>
          <cell r="K23">
            <v>90.983151268283649</v>
          </cell>
          <cell r="L23">
            <v>92.282910572116279</v>
          </cell>
          <cell r="M23">
            <v>93.399370486946864</v>
          </cell>
          <cell r="N23">
            <v>94.282540270320311</v>
          </cell>
          <cell r="O23">
            <v>94.965747083873353</v>
          </cell>
          <cell r="P23">
            <v>95.432327346787631</v>
          </cell>
          <cell r="Q23">
            <v>95.698944639881503</v>
          </cell>
          <cell r="R23">
            <v>95.99888909461211</v>
          </cell>
          <cell r="S23">
            <v>96.01555267543047</v>
          </cell>
          <cell r="T23">
            <v>95.982225513793736</v>
          </cell>
          <cell r="U23">
            <v>72</v>
          </cell>
          <cell r="V23">
            <v>82</v>
          </cell>
          <cell r="W23">
            <v>76</v>
          </cell>
          <cell r="X23">
            <v>71</v>
          </cell>
          <cell r="Y23">
            <v>99</v>
          </cell>
          <cell r="Z23">
            <v>80</v>
          </cell>
          <cell r="AA23">
            <v>73</v>
          </cell>
          <cell r="AB23">
            <v>85</v>
          </cell>
          <cell r="AC23">
            <v>99</v>
          </cell>
          <cell r="AD23">
            <v>87</v>
          </cell>
          <cell r="AE23">
            <v>88</v>
          </cell>
          <cell r="AF23">
            <v>89</v>
          </cell>
          <cell r="AG23">
            <v>90</v>
          </cell>
          <cell r="AH23">
            <v>90</v>
          </cell>
          <cell r="AI23">
            <v>91</v>
          </cell>
          <cell r="AJ23">
            <v>91</v>
          </cell>
          <cell r="AK23">
            <v>91</v>
          </cell>
          <cell r="AL23">
            <v>91</v>
          </cell>
          <cell r="AM23">
            <v>91</v>
          </cell>
          <cell r="AN23">
            <v>62</v>
          </cell>
          <cell r="AO23">
            <v>60</v>
          </cell>
          <cell r="AP23">
            <v>62</v>
          </cell>
          <cell r="AQ23">
            <v>61</v>
          </cell>
          <cell r="AR23">
            <v>77</v>
          </cell>
          <cell r="AS23">
            <v>65</v>
          </cell>
          <cell r="AT23">
            <v>60</v>
          </cell>
          <cell r="AU23">
            <v>69</v>
          </cell>
          <cell r="AV23">
            <v>81</v>
          </cell>
          <cell r="AW23">
            <v>71</v>
          </cell>
          <cell r="AX23">
            <v>72</v>
          </cell>
          <cell r="AY23">
            <v>73</v>
          </cell>
          <cell r="AZ23">
            <v>74</v>
          </cell>
          <cell r="BA23">
            <v>74</v>
          </cell>
          <cell r="BB23">
            <v>74</v>
          </cell>
          <cell r="BC23">
            <v>74</v>
          </cell>
          <cell r="BD23">
            <v>74</v>
          </cell>
          <cell r="BE23">
            <v>74</v>
          </cell>
          <cell r="BF23">
            <v>74</v>
          </cell>
          <cell r="BG23">
            <v>79</v>
          </cell>
          <cell r="BH23">
            <v>68</v>
          </cell>
          <cell r="BI23">
            <v>63</v>
          </cell>
          <cell r="BJ23">
            <v>73</v>
          </cell>
          <cell r="BK23">
            <v>87</v>
          </cell>
          <cell r="BL23">
            <v>78</v>
          </cell>
          <cell r="BM23">
            <v>80</v>
          </cell>
          <cell r="BN23">
            <v>82</v>
          </cell>
          <cell r="BO23">
            <v>84</v>
          </cell>
          <cell r="BP23">
            <v>85</v>
          </cell>
          <cell r="BQ23">
            <v>85</v>
          </cell>
          <cell r="BR23">
            <v>85</v>
          </cell>
          <cell r="BS23">
            <v>85</v>
          </cell>
          <cell r="BT23">
            <v>85</v>
          </cell>
          <cell r="BU23">
            <v>85</v>
          </cell>
          <cell r="BV23">
            <v>40</v>
          </cell>
          <cell r="BW23">
            <v>39</v>
          </cell>
          <cell r="BX23">
            <v>40</v>
          </cell>
          <cell r="BY23">
            <v>42</v>
          </cell>
          <cell r="BZ23">
            <v>44</v>
          </cell>
        </row>
        <row r="24">
          <cell r="A24" t="str">
            <v>Cramond Primary School</v>
          </cell>
          <cell r="B24">
            <v>36</v>
          </cell>
          <cell r="C24">
            <v>44</v>
          </cell>
          <cell r="D24">
            <v>47</v>
          </cell>
          <cell r="E24">
            <v>44</v>
          </cell>
          <cell r="F24">
            <v>53</v>
          </cell>
          <cell r="G24">
            <v>45</v>
          </cell>
          <cell r="H24">
            <v>46</v>
          </cell>
          <cell r="I24">
            <v>46</v>
          </cell>
          <cell r="J24">
            <v>39</v>
          </cell>
          <cell r="K24">
            <v>44.143677096833919</v>
          </cell>
          <cell r="L24">
            <v>44.77430105536012</v>
          </cell>
          <cell r="M24">
            <v>45.315990865889034</v>
          </cell>
          <cell r="N24">
            <v>45.744491760785039</v>
          </cell>
          <cell r="O24">
            <v>46.075973585138556</v>
          </cell>
          <cell r="P24">
            <v>46.30235141640437</v>
          </cell>
          <cell r="Q24">
            <v>46.431710177127691</v>
          </cell>
          <cell r="R24">
            <v>46.577238782941428</v>
          </cell>
          <cell r="S24">
            <v>46.585323705486637</v>
          </cell>
          <cell r="T24">
            <v>46.56915386039622</v>
          </cell>
          <cell r="U24">
            <v>54</v>
          </cell>
          <cell r="V24">
            <v>59</v>
          </cell>
          <cell r="W24">
            <v>57</v>
          </cell>
          <cell r="X24">
            <v>79</v>
          </cell>
          <cell r="Y24">
            <v>56</v>
          </cell>
          <cell r="Z24">
            <v>62</v>
          </cell>
          <cell r="AA24">
            <v>64</v>
          </cell>
          <cell r="AB24">
            <v>64</v>
          </cell>
          <cell r="AC24">
            <v>54</v>
          </cell>
          <cell r="AD24">
            <v>61</v>
          </cell>
          <cell r="AE24">
            <v>62</v>
          </cell>
          <cell r="AF24">
            <v>63</v>
          </cell>
          <cell r="AG24">
            <v>63</v>
          </cell>
          <cell r="AH24">
            <v>64</v>
          </cell>
          <cell r="AI24">
            <v>64</v>
          </cell>
          <cell r="AJ24">
            <v>64</v>
          </cell>
          <cell r="AK24">
            <v>64</v>
          </cell>
          <cell r="AL24">
            <v>64</v>
          </cell>
          <cell r="AM24">
            <v>64</v>
          </cell>
          <cell r="AN24">
            <v>53</v>
          </cell>
          <cell r="AO24">
            <v>58</v>
          </cell>
          <cell r="AP24">
            <v>57</v>
          </cell>
          <cell r="AQ24">
            <v>79</v>
          </cell>
          <cell r="AR24">
            <v>56</v>
          </cell>
          <cell r="AS24">
            <v>62</v>
          </cell>
          <cell r="AT24">
            <v>64</v>
          </cell>
          <cell r="AU24">
            <v>64</v>
          </cell>
          <cell r="AV24">
            <v>54</v>
          </cell>
          <cell r="AW24">
            <v>61</v>
          </cell>
          <cell r="AX24">
            <v>62</v>
          </cell>
          <cell r="AY24">
            <v>63</v>
          </cell>
          <cell r="AZ24">
            <v>63</v>
          </cell>
          <cell r="BA24">
            <v>64</v>
          </cell>
          <cell r="BB24">
            <v>64</v>
          </cell>
          <cell r="BC24">
            <v>64</v>
          </cell>
          <cell r="BD24">
            <v>64</v>
          </cell>
          <cell r="BE24">
            <v>64</v>
          </cell>
          <cell r="BF24">
            <v>64</v>
          </cell>
          <cell r="BG24">
            <v>57</v>
          </cell>
          <cell r="BH24">
            <v>62</v>
          </cell>
          <cell r="BI24">
            <v>64</v>
          </cell>
          <cell r="BJ24">
            <v>65</v>
          </cell>
          <cell r="BK24">
            <v>56</v>
          </cell>
          <cell r="BL24">
            <v>65</v>
          </cell>
          <cell r="BM24">
            <v>68</v>
          </cell>
          <cell r="BN24">
            <v>71</v>
          </cell>
          <cell r="BO24">
            <v>73</v>
          </cell>
          <cell r="BP24">
            <v>76</v>
          </cell>
          <cell r="BQ24">
            <v>78</v>
          </cell>
          <cell r="BR24">
            <v>78</v>
          </cell>
          <cell r="BS24">
            <v>78</v>
          </cell>
          <cell r="BT24">
            <v>78</v>
          </cell>
          <cell r="BU24">
            <v>78</v>
          </cell>
          <cell r="BV24">
            <v>52</v>
          </cell>
          <cell r="BW24">
            <v>57</v>
          </cell>
          <cell r="BX24">
            <v>56</v>
          </cell>
          <cell r="BY24">
            <v>77</v>
          </cell>
          <cell r="BZ24">
            <v>54</v>
          </cell>
        </row>
        <row r="25">
          <cell r="A25" t="str">
            <v>Currie Primary School</v>
          </cell>
          <cell r="B25">
            <v>48</v>
          </cell>
          <cell r="C25">
            <v>48</v>
          </cell>
          <cell r="D25">
            <v>40</v>
          </cell>
          <cell r="E25">
            <v>46</v>
          </cell>
          <cell r="F25">
            <v>52</v>
          </cell>
          <cell r="G25">
            <v>63</v>
          </cell>
          <cell r="H25">
            <v>68</v>
          </cell>
          <cell r="I25">
            <v>60</v>
          </cell>
          <cell r="J25">
            <v>57</v>
          </cell>
          <cell r="K25">
            <v>62.340307350490647</v>
          </cell>
          <cell r="L25">
            <v>63.230883169783368</v>
          </cell>
          <cell r="M25">
            <v>63.9958649632784</v>
          </cell>
          <cell r="N25">
            <v>64.600999814849104</v>
          </cell>
          <cell r="O25">
            <v>65.069123001913226</v>
          </cell>
          <cell r="P25">
            <v>65.388816885761898</v>
          </cell>
          <cell r="Q25">
            <v>65.571499105103996</v>
          </cell>
          <cell r="R25">
            <v>65.777016601863849</v>
          </cell>
          <cell r="S25">
            <v>65.788434240572727</v>
          </cell>
          <cell r="T25">
            <v>65.765598963154972</v>
          </cell>
          <cell r="U25">
            <v>59</v>
          </cell>
          <cell r="V25">
            <v>67</v>
          </cell>
          <cell r="W25">
            <v>58</v>
          </cell>
          <cell r="X25">
            <v>71</v>
          </cell>
          <cell r="Y25">
            <v>87</v>
          </cell>
          <cell r="Z25">
            <v>92</v>
          </cell>
          <cell r="AA25">
            <v>99</v>
          </cell>
          <cell r="AB25">
            <v>87</v>
          </cell>
          <cell r="AC25">
            <v>83</v>
          </cell>
          <cell r="AD25">
            <v>91</v>
          </cell>
          <cell r="AE25">
            <v>92</v>
          </cell>
          <cell r="AF25">
            <v>93</v>
          </cell>
          <cell r="AG25">
            <v>94</v>
          </cell>
          <cell r="AH25">
            <v>95</v>
          </cell>
          <cell r="AI25">
            <v>95</v>
          </cell>
          <cell r="AJ25">
            <v>96</v>
          </cell>
          <cell r="AK25">
            <v>96</v>
          </cell>
          <cell r="AL25">
            <v>96</v>
          </cell>
          <cell r="AM25">
            <v>96</v>
          </cell>
          <cell r="AN25">
            <v>58</v>
          </cell>
          <cell r="AO25">
            <v>67</v>
          </cell>
          <cell r="AP25">
            <v>57</v>
          </cell>
          <cell r="AQ25">
            <v>71</v>
          </cell>
          <cell r="AR25">
            <v>87</v>
          </cell>
          <cell r="AS25">
            <v>91</v>
          </cell>
          <cell r="AT25">
            <v>98</v>
          </cell>
          <cell r="AU25">
            <v>87</v>
          </cell>
          <cell r="AV25">
            <v>83</v>
          </cell>
          <cell r="AW25">
            <v>90</v>
          </cell>
          <cell r="AX25">
            <v>91</v>
          </cell>
          <cell r="AY25">
            <v>92</v>
          </cell>
          <cell r="AZ25">
            <v>93</v>
          </cell>
          <cell r="BA25">
            <v>94</v>
          </cell>
          <cell r="BB25">
            <v>94</v>
          </cell>
          <cell r="BC25">
            <v>95</v>
          </cell>
          <cell r="BD25">
            <v>95</v>
          </cell>
          <cell r="BE25">
            <v>95</v>
          </cell>
          <cell r="BF25">
            <v>95</v>
          </cell>
          <cell r="BG25">
            <v>89</v>
          </cell>
          <cell r="BH25">
            <v>94</v>
          </cell>
          <cell r="BI25">
            <v>102</v>
          </cell>
          <cell r="BJ25">
            <v>93</v>
          </cell>
          <cell r="BK25">
            <v>90</v>
          </cell>
          <cell r="BL25">
            <v>97</v>
          </cell>
          <cell r="BM25">
            <v>98</v>
          </cell>
          <cell r="BN25">
            <v>99</v>
          </cell>
          <cell r="BO25">
            <v>100</v>
          </cell>
          <cell r="BP25">
            <v>101</v>
          </cell>
          <cell r="BQ25">
            <v>101</v>
          </cell>
          <cell r="BR25">
            <v>102</v>
          </cell>
          <cell r="BS25">
            <v>102</v>
          </cell>
          <cell r="BT25">
            <v>102</v>
          </cell>
          <cell r="BU25">
            <v>102</v>
          </cell>
          <cell r="BV25">
            <v>48</v>
          </cell>
          <cell r="BW25">
            <v>61</v>
          </cell>
          <cell r="BX25">
            <v>52</v>
          </cell>
          <cell r="BY25">
            <v>67</v>
          </cell>
          <cell r="BZ25">
            <v>81</v>
          </cell>
        </row>
        <row r="26">
          <cell r="A26" t="str">
            <v>Dalmeny Primary School</v>
          </cell>
          <cell r="B26">
            <v>4</v>
          </cell>
          <cell r="C26">
            <v>19</v>
          </cell>
          <cell r="D26">
            <v>9</v>
          </cell>
          <cell r="E26">
            <v>9</v>
          </cell>
          <cell r="F26">
            <v>11</v>
          </cell>
          <cell r="G26">
            <v>8</v>
          </cell>
          <cell r="H26">
            <v>13</v>
          </cell>
          <cell r="I26">
            <v>18</v>
          </cell>
          <cell r="J26">
            <v>25</v>
          </cell>
          <cell r="K26">
            <v>18.870579522310685</v>
          </cell>
          <cell r="L26">
            <v>19.140159229772266</v>
          </cell>
          <cell r="M26">
            <v>19.371721286181572</v>
          </cell>
          <cell r="N26">
            <v>19.55489724125162</v>
          </cell>
          <cell r="O26">
            <v>19.696599395173735</v>
          </cell>
          <cell r="P26">
            <v>19.79337159785225</v>
          </cell>
          <cell r="Q26">
            <v>19.848669999382832</v>
          </cell>
          <cell r="R26">
            <v>19.910880701104734</v>
          </cell>
          <cell r="S26">
            <v>19.914336851200396</v>
          </cell>
          <cell r="T26">
            <v>19.907424551009072</v>
          </cell>
          <cell r="U26">
            <v>11</v>
          </cell>
          <cell r="V26">
            <v>5</v>
          </cell>
          <cell r="W26">
            <v>7</v>
          </cell>
          <cell r="X26">
            <v>6</v>
          </cell>
          <cell r="Y26">
            <v>10</v>
          </cell>
          <cell r="Z26">
            <v>9</v>
          </cell>
          <cell r="AA26">
            <v>14</v>
          </cell>
          <cell r="AB26">
            <v>19</v>
          </cell>
          <cell r="AC26">
            <v>27</v>
          </cell>
          <cell r="AD26">
            <v>20</v>
          </cell>
          <cell r="AE26">
            <v>21</v>
          </cell>
          <cell r="AF26">
            <v>21</v>
          </cell>
          <cell r="AG26">
            <v>21</v>
          </cell>
          <cell r="AH26">
            <v>21</v>
          </cell>
          <cell r="AI26">
            <v>21</v>
          </cell>
          <cell r="AJ26">
            <v>21</v>
          </cell>
          <cell r="AK26">
            <v>21</v>
          </cell>
          <cell r="AL26">
            <v>21</v>
          </cell>
          <cell r="AM26">
            <v>21</v>
          </cell>
          <cell r="AN26">
            <v>10</v>
          </cell>
          <cell r="AO26">
            <v>5</v>
          </cell>
          <cell r="AP26">
            <v>7</v>
          </cell>
          <cell r="AQ26">
            <v>5</v>
          </cell>
          <cell r="AR26">
            <v>10</v>
          </cell>
          <cell r="AS26">
            <v>9</v>
          </cell>
          <cell r="AT26">
            <v>13</v>
          </cell>
          <cell r="AU26">
            <v>18</v>
          </cell>
          <cell r="AV26">
            <v>26</v>
          </cell>
          <cell r="AW26">
            <v>19</v>
          </cell>
          <cell r="AX26">
            <v>20</v>
          </cell>
          <cell r="AY26">
            <v>20</v>
          </cell>
          <cell r="AZ26">
            <v>20</v>
          </cell>
          <cell r="BA26">
            <v>20</v>
          </cell>
          <cell r="BB26">
            <v>20</v>
          </cell>
          <cell r="BC26">
            <v>20</v>
          </cell>
          <cell r="BD26">
            <v>20</v>
          </cell>
          <cell r="BE26">
            <v>20</v>
          </cell>
          <cell r="BF26">
            <v>20</v>
          </cell>
          <cell r="BG26">
            <v>10</v>
          </cell>
          <cell r="BH26">
            <v>10</v>
          </cell>
          <cell r="BI26">
            <v>14</v>
          </cell>
          <cell r="BJ26">
            <v>19</v>
          </cell>
          <cell r="BK26">
            <v>27</v>
          </cell>
          <cell r="BL26">
            <v>20</v>
          </cell>
          <cell r="BM26">
            <v>21</v>
          </cell>
          <cell r="BN26">
            <v>21</v>
          </cell>
          <cell r="BO26">
            <v>21</v>
          </cell>
          <cell r="BP26">
            <v>21</v>
          </cell>
          <cell r="BQ26">
            <v>21</v>
          </cell>
          <cell r="BR26">
            <v>21</v>
          </cell>
          <cell r="BS26">
            <v>21</v>
          </cell>
          <cell r="BT26">
            <v>21</v>
          </cell>
          <cell r="BU26">
            <v>21</v>
          </cell>
          <cell r="BV26">
            <v>10</v>
          </cell>
          <cell r="BW26">
            <v>3</v>
          </cell>
          <cell r="BX26">
            <v>7</v>
          </cell>
          <cell r="BY26">
            <v>4</v>
          </cell>
          <cell r="BZ26">
            <v>10</v>
          </cell>
        </row>
        <row r="27">
          <cell r="A27" t="str">
            <v>Dalry Primary School</v>
          </cell>
          <cell r="B27">
            <v>118</v>
          </cell>
          <cell r="C27">
            <v>145</v>
          </cell>
          <cell r="D27">
            <v>134</v>
          </cell>
          <cell r="E27">
            <v>142</v>
          </cell>
          <cell r="F27">
            <v>121</v>
          </cell>
          <cell r="G27">
            <v>104</v>
          </cell>
          <cell r="H27">
            <v>141</v>
          </cell>
          <cell r="I27">
            <v>130</v>
          </cell>
          <cell r="J27">
            <v>111</v>
          </cell>
          <cell r="K27">
            <v>128.724310312905</v>
          </cell>
          <cell r="L27">
            <v>130.5632290316608</v>
          </cell>
          <cell r="M27">
            <v>132.14281305930999</v>
          </cell>
          <cell r="N27">
            <v>133.39233475282353</v>
          </cell>
          <cell r="O27">
            <v>134.35894587422081</v>
          </cell>
          <cell r="P27">
            <v>135.0190705424921</v>
          </cell>
          <cell r="Q27">
            <v>135.39628463864713</v>
          </cell>
          <cell r="R27">
            <v>135.82065049682154</v>
          </cell>
          <cell r="S27">
            <v>135.84422637783123</v>
          </cell>
          <cell r="T27">
            <v>135.79707461581185</v>
          </cell>
          <cell r="U27">
            <v>51</v>
          </cell>
          <cell r="V27">
            <v>47</v>
          </cell>
          <cell r="W27">
            <v>55</v>
          </cell>
          <cell r="X27">
            <v>57</v>
          </cell>
          <cell r="Y27">
            <v>53</v>
          </cell>
          <cell r="Z27">
            <v>42</v>
          </cell>
          <cell r="AA27">
            <v>57</v>
          </cell>
          <cell r="AB27">
            <v>52</v>
          </cell>
          <cell r="AC27">
            <v>45</v>
          </cell>
          <cell r="AD27">
            <v>52</v>
          </cell>
          <cell r="AE27">
            <v>52</v>
          </cell>
          <cell r="AF27">
            <v>53</v>
          </cell>
          <cell r="AG27">
            <v>54</v>
          </cell>
          <cell r="AH27">
            <v>54</v>
          </cell>
          <cell r="AI27">
            <v>54</v>
          </cell>
          <cell r="AJ27">
            <v>54</v>
          </cell>
          <cell r="AK27">
            <v>54</v>
          </cell>
          <cell r="AL27">
            <v>55</v>
          </cell>
          <cell r="AM27">
            <v>54</v>
          </cell>
          <cell r="AN27">
            <v>45</v>
          </cell>
          <cell r="AO27">
            <v>43</v>
          </cell>
          <cell r="AP27">
            <v>51</v>
          </cell>
          <cell r="AQ27">
            <v>51</v>
          </cell>
          <cell r="AR27">
            <v>49</v>
          </cell>
          <cell r="AS27">
            <v>38</v>
          </cell>
          <cell r="AT27">
            <v>52</v>
          </cell>
          <cell r="AU27">
            <v>48</v>
          </cell>
          <cell r="AV27">
            <v>41</v>
          </cell>
          <cell r="AW27">
            <v>48</v>
          </cell>
          <cell r="AX27">
            <v>48</v>
          </cell>
          <cell r="AY27">
            <v>49</v>
          </cell>
          <cell r="AZ27">
            <v>49</v>
          </cell>
          <cell r="BA27">
            <v>49</v>
          </cell>
          <cell r="BB27">
            <v>49</v>
          </cell>
          <cell r="BC27">
            <v>49</v>
          </cell>
          <cell r="BD27">
            <v>49</v>
          </cell>
          <cell r="BE27">
            <v>50</v>
          </cell>
          <cell r="BF27">
            <v>49</v>
          </cell>
          <cell r="BG27">
            <v>49</v>
          </cell>
          <cell r="BH27">
            <v>38</v>
          </cell>
          <cell r="BI27">
            <v>53</v>
          </cell>
          <cell r="BJ27">
            <v>49</v>
          </cell>
          <cell r="BK27">
            <v>43</v>
          </cell>
          <cell r="BL27">
            <v>50</v>
          </cell>
          <cell r="BM27">
            <v>51</v>
          </cell>
          <cell r="BN27">
            <v>53</v>
          </cell>
          <cell r="BO27">
            <v>53</v>
          </cell>
          <cell r="BP27">
            <v>53</v>
          </cell>
          <cell r="BQ27">
            <v>53</v>
          </cell>
          <cell r="BR27">
            <v>53</v>
          </cell>
          <cell r="BS27">
            <v>53</v>
          </cell>
          <cell r="BT27">
            <v>54</v>
          </cell>
          <cell r="BU27">
            <v>53</v>
          </cell>
          <cell r="BV27">
            <v>33</v>
          </cell>
          <cell r="BW27">
            <v>35</v>
          </cell>
          <cell r="BX27">
            <v>34</v>
          </cell>
          <cell r="BY27">
            <v>41</v>
          </cell>
          <cell r="BZ27">
            <v>38</v>
          </cell>
        </row>
        <row r="28">
          <cell r="A28" t="str">
            <v>Davidson's Mains Primary School</v>
          </cell>
          <cell r="B28">
            <v>53</v>
          </cell>
          <cell r="C28">
            <v>54</v>
          </cell>
          <cell r="D28">
            <v>42</v>
          </cell>
          <cell r="E28">
            <v>46</v>
          </cell>
          <cell r="F28">
            <v>44</v>
          </cell>
          <cell r="G28">
            <v>47</v>
          </cell>
          <cell r="H28">
            <v>46</v>
          </cell>
          <cell r="I28">
            <v>42</v>
          </cell>
          <cell r="J28">
            <v>39</v>
          </cell>
          <cell r="K28">
            <v>42.795778559526013</v>
          </cell>
          <cell r="L28">
            <v>43.4071468246621</v>
          </cell>
          <cell r="M28">
            <v>43.932296488304637</v>
          </cell>
          <cell r="N28">
            <v>44.347713386409929</v>
          </cell>
          <cell r="O28">
            <v>44.669073628340435</v>
          </cell>
          <cell r="P28">
            <v>44.888539159414925</v>
          </cell>
          <cell r="Q28">
            <v>45.013948034314637</v>
          </cell>
          <cell r="R28">
            <v>45.155033018576809</v>
          </cell>
          <cell r="S28">
            <v>45.162871073258039</v>
          </cell>
          <cell r="T28">
            <v>45.147194963895572</v>
          </cell>
          <cell r="U28">
            <v>72</v>
          </cell>
          <cell r="V28">
            <v>81</v>
          </cell>
          <cell r="W28">
            <v>63</v>
          </cell>
          <cell r="X28">
            <v>77</v>
          </cell>
          <cell r="Y28">
            <v>61</v>
          </cell>
          <cell r="Z28">
            <v>70</v>
          </cell>
          <cell r="AA28">
            <v>68</v>
          </cell>
          <cell r="AB28">
            <v>62</v>
          </cell>
          <cell r="AC28">
            <v>58</v>
          </cell>
          <cell r="AD28">
            <v>63</v>
          </cell>
          <cell r="AE28">
            <v>64</v>
          </cell>
          <cell r="AF28">
            <v>65</v>
          </cell>
          <cell r="AG28">
            <v>66</v>
          </cell>
          <cell r="AH28">
            <v>66</v>
          </cell>
          <cell r="AI28">
            <v>67</v>
          </cell>
          <cell r="AJ28">
            <v>67</v>
          </cell>
          <cell r="AK28">
            <v>67</v>
          </cell>
          <cell r="AL28">
            <v>67</v>
          </cell>
          <cell r="AM28">
            <v>67</v>
          </cell>
          <cell r="AN28">
            <v>72</v>
          </cell>
          <cell r="AO28">
            <v>79</v>
          </cell>
          <cell r="AP28">
            <v>63</v>
          </cell>
          <cell r="AQ28">
            <v>77</v>
          </cell>
          <cell r="AR28">
            <v>61</v>
          </cell>
          <cell r="AS28">
            <v>70</v>
          </cell>
          <cell r="AT28">
            <v>68</v>
          </cell>
          <cell r="AU28">
            <v>62</v>
          </cell>
          <cell r="AV28">
            <v>58</v>
          </cell>
          <cell r="AW28">
            <v>63</v>
          </cell>
          <cell r="AX28">
            <v>64</v>
          </cell>
          <cell r="AY28">
            <v>65</v>
          </cell>
          <cell r="AZ28">
            <v>66</v>
          </cell>
          <cell r="BA28">
            <v>66</v>
          </cell>
          <cell r="BB28">
            <v>67</v>
          </cell>
          <cell r="BC28">
            <v>67</v>
          </cell>
          <cell r="BD28">
            <v>67</v>
          </cell>
          <cell r="BE28">
            <v>67</v>
          </cell>
          <cell r="BF28">
            <v>67</v>
          </cell>
          <cell r="BG28">
            <v>61</v>
          </cell>
          <cell r="BH28">
            <v>70</v>
          </cell>
          <cell r="BI28">
            <v>68</v>
          </cell>
          <cell r="BJ28">
            <v>62</v>
          </cell>
          <cell r="BK28">
            <v>58</v>
          </cell>
          <cell r="BL28">
            <v>63</v>
          </cell>
          <cell r="BM28">
            <v>64</v>
          </cell>
          <cell r="BN28">
            <v>65</v>
          </cell>
          <cell r="BO28">
            <v>66</v>
          </cell>
          <cell r="BP28">
            <v>66</v>
          </cell>
          <cell r="BQ28">
            <v>67</v>
          </cell>
          <cell r="BR28">
            <v>67</v>
          </cell>
          <cell r="BS28">
            <v>67</v>
          </cell>
          <cell r="BT28">
            <v>67</v>
          </cell>
          <cell r="BU28">
            <v>67</v>
          </cell>
          <cell r="BV28">
            <v>66</v>
          </cell>
          <cell r="BW28">
            <v>79</v>
          </cell>
          <cell r="BX28">
            <v>62</v>
          </cell>
          <cell r="BY28">
            <v>74</v>
          </cell>
          <cell r="BZ28">
            <v>59</v>
          </cell>
        </row>
        <row r="29">
          <cell r="A29" t="str">
            <v>Dean Park Primary School</v>
          </cell>
          <cell r="B29">
            <v>42</v>
          </cell>
          <cell r="C29">
            <v>45</v>
          </cell>
          <cell r="D29">
            <v>46</v>
          </cell>
          <cell r="E29">
            <v>29</v>
          </cell>
          <cell r="F29">
            <v>33</v>
          </cell>
          <cell r="G29">
            <v>49</v>
          </cell>
          <cell r="H29">
            <v>35</v>
          </cell>
          <cell r="I29">
            <v>28</v>
          </cell>
          <cell r="J29">
            <v>33</v>
          </cell>
          <cell r="K29">
            <v>32.34956489538974</v>
          </cell>
          <cell r="L29">
            <v>32.811701536752452</v>
          </cell>
          <cell r="M29">
            <v>33.208665062025553</v>
          </cell>
          <cell r="N29">
            <v>33.522680985002779</v>
          </cell>
          <cell r="O29">
            <v>33.765598963154972</v>
          </cell>
          <cell r="P29">
            <v>33.931494167746713</v>
          </cell>
          <cell r="Q29">
            <v>34.026291427513421</v>
          </cell>
          <cell r="R29">
            <v>34.132938344750968</v>
          </cell>
          <cell r="S29">
            <v>34.138863173486385</v>
          </cell>
          <cell r="T29">
            <v>34.127013516015545</v>
          </cell>
          <cell r="U29">
            <v>54</v>
          </cell>
          <cell r="V29">
            <v>54</v>
          </cell>
          <cell r="W29">
            <v>67</v>
          </cell>
          <cell r="X29">
            <v>58</v>
          </cell>
          <cell r="Y29">
            <v>49</v>
          </cell>
          <cell r="Z29">
            <v>73</v>
          </cell>
          <cell r="AA29">
            <v>52</v>
          </cell>
          <cell r="AB29">
            <v>42</v>
          </cell>
          <cell r="AC29">
            <v>49</v>
          </cell>
          <cell r="AD29">
            <v>48</v>
          </cell>
          <cell r="AE29">
            <v>49</v>
          </cell>
          <cell r="AF29">
            <v>49</v>
          </cell>
          <cell r="AG29">
            <v>50</v>
          </cell>
          <cell r="AH29">
            <v>50</v>
          </cell>
          <cell r="AI29">
            <v>50</v>
          </cell>
          <cell r="AJ29">
            <v>51</v>
          </cell>
          <cell r="AK29">
            <v>51</v>
          </cell>
          <cell r="AL29">
            <v>51</v>
          </cell>
          <cell r="AM29">
            <v>51</v>
          </cell>
          <cell r="AN29">
            <v>54</v>
          </cell>
          <cell r="AO29">
            <v>54</v>
          </cell>
          <cell r="AP29">
            <v>67</v>
          </cell>
          <cell r="AQ29">
            <v>58</v>
          </cell>
          <cell r="AR29">
            <v>49</v>
          </cell>
          <cell r="AS29">
            <v>73</v>
          </cell>
          <cell r="AT29">
            <v>52</v>
          </cell>
          <cell r="AU29">
            <v>42</v>
          </cell>
          <cell r="AV29">
            <v>49</v>
          </cell>
          <cell r="AW29">
            <v>48</v>
          </cell>
          <cell r="AX29">
            <v>49</v>
          </cell>
          <cell r="AY29">
            <v>49</v>
          </cell>
          <cell r="AZ29">
            <v>50</v>
          </cell>
          <cell r="BA29">
            <v>50</v>
          </cell>
          <cell r="BB29">
            <v>50</v>
          </cell>
          <cell r="BC29">
            <v>51</v>
          </cell>
          <cell r="BD29">
            <v>51</v>
          </cell>
          <cell r="BE29">
            <v>51</v>
          </cell>
          <cell r="BF29">
            <v>51</v>
          </cell>
          <cell r="BG29">
            <v>49</v>
          </cell>
          <cell r="BH29">
            <v>75</v>
          </cell>
          <cell r="BI29">
            <v>55</v>
          </cell>
          <cell r="BJ29">
            <v>46</v>
          </cell>
          <cell r="BK29">
            <v>54</v>
          </cell>
          <cell r="BL29">
            <v>53</v>
          </cell>
          <cell r="BM29">
            <v>54</v>
          </cell>
          <cell r="BN29">
            <v>54</v>
          </cell>
          <cell r="BO29">
            <v>55</v>
          </cell>
          <cell r="BP29">
            <v>55</v>
          </cell>
          <cell r="BQ29">
            <v>55</v>
          </cell>
          <cell r="BR29">
            <v>56</v>
          </cell>
          <cell r="BS29">
            <v>56</v>
          </cell>
          <cell r="BT29">
            <v>56</v>
          </cell>
          <cell r="BU29">
            <v>56</v>
          </cell>
          <cell r="BV29">
            <v>52</v>
          </cell>
          <cell r="BW29">
            <v>53</v>
          </cell>
          <cell r="BX29">
            <v>67</v>
          </cell>
          <cell r="BY29">
            <v>57</v>
          </cell>
          <cell r="BZ29">
            <v>47</v>
          </cell>
        </row>
        <row r="30">
          <cell r="A30" t="str">
            <v>Duddingston Primary School</v>
          </cell>
          <cell r="B30">
            <v>42</v>
          </cell>
          <cell r="C30">
            <v>42</v>
          </cell>
          <cell r="D30">
            <v>52</v>
          </cell>
          <cell r="E30">
            <v>49</v>
          </cell>
          <cell r="F30">
            <v>51</v>
          </cell>
          <cell r="G30">
            <v>33</v>
          </cell>
          <cell r="H30">
            <v>46</v>
          </cell>
          <cell r="I30">
            <v>49</v>
          </cell>
          <cell r="J30">
            <v>55</v>
          </cell>
          <cell r="K30">
            <v>50.546195149046476</v>
          </cell>
          <cell r="L30">
            <v>51.268283651175707</v>
          </cell>
          <cell r="M30">
            <v>51.888539159414925</v>
          </cell>
          <cell r="N30">
            <v>52.379189039066844</v>
          </cell>
          <cell r="O30">
            <v>52.758748379929649</v>
          </cell>
          <cell r="P30">
            <v>53.017959637104248</v>
          </cell>
          <cell r="Q30">
            <v>53.166080355489733</v>
          </cell>
          <cell r="R30">
            <v>53.332716163673403</v>
          </cell>
          <cell r="S30">
            <v>53.341973708572496</v>
          </cell>
          <cell r="T30">
            <v>53.32345861877431</v>
          </cell>
          <cell r="U30">
            <v>46</v>
          </cell>
          <cell r="V30">
            <v>51</v>
          </cell>
          <cell r="W30">
            <v>57</v>
          </cell>
          <cell r="X30">
            <v>68</v>
          </cell>
          <cell r="Y30">
            <v>60</v>
          </cell>
          <cell r="Z30">
            <v>39</v>
          </cell>
          <cell r="AA30">
            <v>55</v>
          </cell>
          <cell r="AB30">
            <v>59</v>
          </cell>
          <cell r="AC30">
            <v>66</v>
          </cell>
          <cell r="AD30">
            <v>60</v>
          </cell>
          <cell r="AE30">
            <v>61</v>
          </cell>
          <cell r="AF30">
            <v>62</v>
          </cell>
          <cell r="AG30">
            <v>63</v>
          </cell>
          <cell r="AH30">
            <v>63</v>
          </cell>
          <cell r="AI30">
            <v>63</v>
          </cell>
          <cell r="AJ30">
            <v>63</v>
          </cell>
          <cell r="AK30">
            <v>64</v>
          </cell>
          <cell r="AL30">
            <v>64</v>
          </cell>
          <cell r="AM30">
            <v>64</v>
          </cell>
          <cell r="AN30">
            <v>38</v>
          </cell>
          <cell r="AO30">
            <v>43</v>
          </cell>
          <cell r="AP30">
            <v>45</v>
          </cell>
          <cell r="AQ30">
            <v>58</v>
          </cell>
          <cell r="AR30">
            <v>53</v>
          </cell>
          <cell r="AS30">
            <v>33</v>
          </cell>
          <cell r="AT30">
            <v>46</v>
          </cell>
          <cell r="AU30">
            <v>50</v>
          </cell>
          <cell r="AV30">
            <v>56</v>
          </cell>
          <cell r="AW30">
            <v>51</v>
          </cell>
          <cell r="AX30">
            <v>51</v>
          </cell>
          <cell r="AY30">
            <v>52</v>
          </cell>
          <cell r="AZ30">
            <v>53</v>
          </cell>
          <cell r="BA30">
            <v>53</v>
          </cell>
          <cell r="BB30">
            <v>53</v>
          </cell>
          <cell r="BC30">
            <v>53</v>
          </cell>
          <cell r="BD30">
            <v>54</v>
          </cell>
          <cell r="BE30">
            <v>54</v>
          </cell>
          <cell r="BF30">
            <v>54</v>
          </cell>
          <cell r="BG30">
            <v>53</v>
          </cell>
          <cell r="BH30">
            <v>33</v>
          </cell>
          <cell r="BI30">
            <v>46</v>
          </cell>
          <cell r="BJ30">
            <v>50</v>
          </cell>
          <cell r="BK30">
            <v>56</v>
          </cell>
          <cell r="BL30">
            <v>51</v>
          </cell>
          <cell r="BM30">
            <v>51</v>
          </cell>
          <cell r="BN30">
            <v>52</v>
          </cell>
          <cell r="BO30">
            <v>53</v>
          </cell>
          <cell r="BP30">
            <v>53</v>
          </cell>
          <cell r="BQ30">
            <v>53</v>
          </cell>
          <cell r="BR30">
            <v>53</v>
          </cell>
          <cell r="BS30">
            <v>54</v>
          </cell>
          <cell r="BT30">
            <v>54</v>
          </cell>
          <cell r="BU30">
            <v>54</v>
          </cell>
          <cell r="BV30">
            <v>29</v>
          </cell>
          <cell r="BW30">
            <v>37</v>
          </cell>
          <cell r="BX30">
            <v>39</v>
          </cell>
          <cell r="BY30">
            <v>49</v>
          </cell>
          <cell r="BZ30">
            <v>48</v>
          </cell>
        </row>
        <row r="31">
          <cell r="A31" t="str">
            <v>East Craigs Primary School</v>
          </cell>
          <cell r="B31">
            <v>70</v>
          </cell>
          <cell r="C31">
            <v>62</v>
          </cell>
          <cell r="D31">
            <v>62</v>
          </cell>
          <cell r="E31">
            <v>60</v>
          </cell>
          <cell r="F31">
            <v>65</v>
          </cell>
          <cell r="G31">
            <v>70</v>
          </cell>
          <cell r="H31">
            <v>63</v>
          </cell>
          <cell r="I31">
            <v>49</v>
          </cell>
          <cell r="J31">
            <v>72</v>
          </cell>
          <cell r="K31">
            <v>62.003332716163676</v>
          </cell>
          <cell r="L31">
            <v>62.88909461210887</v>
          </cell>
          <cell r="M31">
            <v>63.64994136888231</v>
          </cell>
          <cell r="N31">
            <v>64.251805221255324</v>
          </cell>
          <cell r="O31">
            <v>64.717398012713701</v>
          </cell>
          <cell r="P31">
            <v>65.035363821514537</v>
          </cell>
          <cell r="Q31">
            <v>65.217058569400734</v>
          </cell>
          <cell r="R31">
            <v>65.421465160772698</v>
          </cell>
          <cell r="S31">
            <v>65.432821082515588</v>
          </cell>
          <cell r="T31">
            <v>65.410109239029808</v>
          </cell>
          <cell r="U31">
            <v>69</v>
          </cell>
          <cell r="V31">
            <v>70</v>
          </cell>
          <cell r="W31">
            <v>74</v>
          </cell>
          <cell r="X31">
            <v>45</v>
          </cell>
          <cell r="Y31">
            <v>58</v>
          </cell>
          <cell r="Z31">
            <v>69</v>
          </cell>
          <cell r="AA31">
            <v>62</v>
          </cell>
          <cell r="AB31">
            <v>49</v>
          </cell>
          <cell r="AC31">
            <v>71</v>
          </cell>
          <cell r="AD31">
            <v>61</v>
          </cell>
          <cell r="AE31">
            <v>62</v>
          </cell>
          <cell r="AF31">
            <v>63</v>
          </cell>
          <cell r="AG31">
            <v>64</v>
          </cell>
          <cell r="AH31">
            <v>64</v>
          </cell>
          <cell r="AI31">
            <v>64</v>
          </cell>
          <cell r="AJ31">
            <v>65</v>
          </cell>
          <cell r="AK31">
            <v>65</v>
          </cell>
          <cell r="AL31">
            <v>65</v>
          </cell>
          <cell r="AM31">
            <v>65</v>
          </cell>
          <cell r="AN31">
            <v>68</v>
          </cell>
          <cell r="AO31">
            <v>70</v>
          </cell>
          <cell r="AP31">
            <v>72</v>
          </cell>
          <cell r="AQ31">
            <v>44</v>
          </cell>
          <cell r="AR31">
            <v>57</v>
          </cell>
          <cell r="AS31">
            <v>67</v>
          </cell>
          <cell r="AT31">
            <v>61</v>
          </cell>
          <cell r="AU31">
            <v>48</v>
          </cell>
          <cell r="AV31">
            <v>69</v>
          </cell>
          <cell r="AW31">
            <v>60</v>
          </cell>
          <cell r="AX31">
            <v>61</v>
          </cell>
          <cell r="AY31">
            <v>62</v>
          </cell>
          <cell r="AZ31">
            <v>63</v>
          </cell>
          <cell r="BA31">
            <v>63</v>
          </cell>
          <cell r="BB31">
            <v>63</v>
          </cell>
          <cell r="BC31">
            <v>64</v>
          </cell>
          <cell r="BD31">
            <v>64</v>
          </cell>
          <cell r="BE31">
            <v>64</v>
          </cell>
          <cell r="BF31">
            <v>64</v>
          </cell>
          <cell r="BG31">
            <v>57</v>
          </cell>
          <cell r="BH31">
            <v>67</v>
          </cell>
          <cell r="BI31">
            <v>61</v>
          </cell>
          <cell r="BJ31">
            <v>48</v>
          </cell>
          <cell r="BK31">
            <v>69</v>
          </cell>
          <cell r="BL31">
            <v>60</v>
          </cell>
          <cell r="BM31">
            <v>61</v>
          </cell>
          <cell r="BN31">
            <v>62</v>
          </cell>
          <cell r="BO31">
            <v>63</v>
          </cell>
          <cell r="BP31">
            <v>63</v>
          </cell>
          <cell r="BQ31">
            <v>63</v>
          </cell>
          <cell r="BR31">
            <v>64</v>
          </cell>
          <cell r="BS31">
            <v>64</v>
          </cell>
          <cell r="BT31">
            <v>64</v>
          </cell>
          <cell r="BU31">
            <v>64</v>
          </cell>
          <cell r="BV31">
            <v>60</v>
          </cell>
          <cell r="BW31">
            <v>65</v>
          </cell>
          <cell r="BX31">
            <v>64</v>
          </cell>
          <cell r="BY31">
            <v>41</v>
          </cell>
          <cell r="BZ31">
            <v>56</v>
          </cell>
        </row>
        <row r="32">
          <cell r="A32" t="str">
            <v>Echline Primary School</v>
          </cell>
          <cell r="B32">
            <v>48</v>
          </cell>
          <cell r="C32">
            <v>29</v>
          </cell>
          <cell r="D32">
            <v>38</v>
          </cell>
          <cell r="E32">
            <v>46</v>
          </cell>
          <cell r="F32">
            <v>37</v>
          </cell>
          <cell r="G32">
            <v>45</v>
          </cell>
          <cell r="H32">
            <v>39</v>
          </cell>
          <cell r="I32">
            <v>40</v>
          </cell>
          <cell r="J32">
            <v>36</v>
          </cell>
          <cell r="K32">
            <v>38.752082947602297</v>
          </cell>
          <cell r="L32">
            <v>39.305684132568047</v>
          </cell>
          <cell r="M32">
            <v>39.781213355551444</v>
          </cell>
          <cell r="N32">
            <v>40.157378263284578</v>
          </cell>
          <cell r="O32">
            <v>40.448373757946058</v>
          </cell>
          <cell r="P32">
            <v>40.647102388446584</v>
          </cell>
          <cell r="Q32">
            <v>40.760661605875455</v>
          </cell>
          <cell r="R32">
            <v>40.888415725482936</v>
          </cell>
          <cell r="S32">
            <v>40.895513176572237</v>
          </cell>
          <cell r="T32">
            <v>40.881318274393628</v>
          </cell>
          <cell r="U32">
            <v>47</v>
          </cell>
          <cell r="V32">
            <v>29</v>
          </cell>
          <cell r="W32">
            <v>50</v>
          </cell>
          <cell r="X32">
            <v>42</v>
          </cell>
          <cell r="Y32">
            <v>39</v>
          </cell>
          <cell r="Z32">
            <v>47</v>
          </cell>
          <cell r="AA32">
            <v>41</v>
          </cell>
          <cell r="AB32">
            <v>42</v>
          </cell>
          <cell r="AC32">
            <v>38</v>
          </cell>
          <cell r="AD32">
            <v>41</v>
          </cell>
          <cell r="AE32">
            <v>41</v>
          </cell>
          <cell r="AF32">
            <v>42</v>
          </cell>
          <cell r="AG32">
            <v>42</v>
          </cell>
          <cell r="AH32">
            <v>43</v>
          </cell>
          <cell r="AI32">
            <v>43</v>
          </cell>
          <cell r="AJ32">
            <v>43</v>
          </cell>
          <cell r="AK32">
            <v>43</v>
          </cell>
          <cell r="AL32">
            <v>43</v>
          </cell>
          <cell r="AM32">
            <v>43</v>
          </cell>
          <cell r="AN32">
            <v>46</v>
          </cell>
          <cell r="AO32">
            <v>29</v>
          </cell>
          <cell r="AP32">
            <v>48</v>
          </cell>
          <cell r="AQ32">
            <v>41</v>
          </cell>
          <cell r="AR32">
            <v>36</v>
          </cell>
          <cell r="AS32">
            <v>45</v>
          </cell>
          <cell r="AT32">
            <v>39</v>
          </cell>
          <cell r="AU32">
            <v>40</v>
          </cell>
          <cell r="AV32">
            <v>36</v>
          </cell>
          <cell r="AW32">
            <v>39</v>
          </cell>
          <cell r="AX32">
            <v>39</v>
          </cell>
          <cell r="AY32">
            <v>40</v>
          </cell>
          <cell r="AZ32">
            <v>40</v>
          </cell>
          <cell r="BA32">
            <v>41</v>
          </cell>
          <cell r="BB32">
            <v>41</v>
          </cell>
          <cell r="BC32">
            <v>41</v>
          </cell>
          <cell r="BD32">
            <v>41</v>
          </cell>
          <cell r="BE32">
            <v>41</v>
          </cell>
          <cell r="BF32">
            <v>41</v>
          </cell>
          <cell r="BG32">
            <v>36</v>
          </cell>
          <cell r="BH32">
            <v>45</v>
          </cell>
          <cell r="BI32">
            <v>39</v>
          </cell>
          <cell r="BJ32">
            <v>40</v>
          </cell>
          <cell r="BK32">
            <v>37</v>
          </cell>
          <cell r="BL32">
            <v>42</v>
          </cell>
          <cell r="BM32">
            <v>45</v>
          </cell>
          <cell r="BN32">
            <v>51</v>
          </cell>
          <cell r="BO32">
            <v>55</v>
          </cell>
          <cell r="BP32">
            <v>60</v>
          </cell>
          <cell r="BQ32">
            <v>65</v>
          </cell>
          <cell r="BR32">
            <v>67</v>
          </cell>
          <cell r="BS32">
            <v>69</v>
          </cell>
          <cell r="BT32">
            <v>71</v>
          </cell>
          <cell r="BU32">
            <v>73</v>
          </cell>
          <cell r="BV32">
            <v>45</v>
          </cell>
          <cell r="BW32">
            <v>28</v>
          </cell>
          <cell r="BX32">
            <v>47</v>
          </cell>
          <cell r="BY32">
            <v>41</v>
          </cell>
          <cell r="BZ32">
            <v>35</v>
          </cell>
        </row>
        <row r="33">
          <cell r="A33" t="str">
            <v>Ferryhill Primary School</v>
          </cell>
          <cell r="B33">
            <v>53</v>
          </cell>
          <cell r="C33">
            <v>59</v>
          </cell>
          <cell r="D33">
            <v>60</v>
          </cell>
          <cell r="E33">
            <v>68</v>
          </cell>
          <cell r="F33">
            <v>68</v>
          </cell>
          <cell r="G33">
            <v>56</v>
          </cell>
          <cell r="H33">
            <v>66</v>
          </cell>
          <cell r="I33">
            <v>51</v>
          </cell>
          <cell r="J33">
            <v>45</v>
          </cell>
          <cell r="K33">
            <v>54.589890760970192</v>
          </cell>
          <cell r="L33">
            <v>55.369746343269767</v>
          </cell>
          <cell r="M33">
            <v>56.039622292168119</v>
          </cell>
          <cell r="N33">
            <v>56.569524162192188</v>
          </cell>
          <cell r="O33">
            <v>56.979448250324019</v>
          </cell>
          <cell r="P33">
            <v>57.259396408072583</v>
          </cell>
          <cell r="Q33">
            <v>57.419366783928908</v>
          </cell>
          <cell r="R33">
            <v>57.599333456767269</v>
          </cell>
          <cell r="S33">
            <v>57.609331605258291</v>
          </cell>
          <cell r="T33">
            <v>57.589335308276247</v>
          </cell>
          <cell r="U33">
            <v>68</v>
          </cell>
          <cell r="V33">
            <v>56</v>
          </cell>
          <cell r="W33">
            <v>60</v>
          </cell>
          <cell r="X33">
            <v>66</v>
          </cell>
          <cell r="Y33">
            <v>56</v>
          </cell>
          <cell r="Z33">
            <v>56</v>
          </cell>
          <cell r="AA33">
            <v>66</v>
          </cell>
          <cell r="AB33">
            <v>51</v>
          </cell>
          <cell r="AC33">
            <v>45</v>
          </cell>
          <cell r="AD33">
            <v>55</v>
          </cell>
          <cell r="AE33">
            <v>56</v>
          </cell>
          <cell r="AF33">
            <v>56</v>
          </cell>
          <cell r="AG33">
            <v>57</v>
          </cell>
          <cell r="AH33">
            <v>57</v>
          </cell>
          <cell r="AI33">
            <v>58</v>
          </cell>
          <cell r="AJ33">
            <v>58</v>
          </cell>
          <cell r="AK33">
            <v>58</v>
          </cell>
          <cell r="AL33">
            <v>58</v>
          </cell>
          <cell r="AM33">
            <v>58</v>
          </cell>
          <cell r="AN33">
            <v>63</v>
          </cell>
          <cell r="AO33">
            <v>54</v>
          </cell>
          <cell r="AP33">
            <v>58</v>
          </cell>
          <cell r="AQ33">
            <v>62</v>
          </cell>
          <cell r="AR33">
            <v>54</v>
          </cell>
          <cell r="AS33">
            <v>54</v>
          </cell>
          <cell r="AT33">
            <v>63</v>
          </cell>
          <cell r="AU33">
            <v>49</v>
          </cell>
          <cell r="AV33">
            <v>43</v>
          </cell>
          <cell r="AW33">
            <v>53</v>
          </cell>
          <cell r="AX33">
            <v>54</v>
          </cell>
          <cell r="AY33">
            <v>54</v>
          </cell>
          <cell r="AZ33">
            <v>55</v>
          </cell>
          <cell r="BA33">
            <v>55</v>
          </cell>
          <cell r="BB33">
            <v>55</v>
          </cell>
          <cell r="BC33">
            <v>55</v>
          </cell>
          <cell r="BD33">
            <v>55</v>
          </cell>
          <cell r="BE33">
            <v>55</v>
          </cell>
          <cell r="BF33">
            <v>55</v>
          </cell>
          <cell r="BG33">
            <v>54</v>
          </cell>
          <cell r="BH33">
            <v>54</v>
          </cell>
          <cell r="BI33">
            <v>63</v>
          </cell>
          <cell r="BJ33">
            <v>49</v>
          </cell>
          <cell r="BK33">
            <v>43</v>
          </cell>
          <cell r="BL33">
            <v>53</v>
          </cell>
          <cell r="BM33">
            <v>54</v>
          </cell>
          <cell r="BN33">
            <v>54</v>
          </cell>
          <cell r="BO33">
            <v>55</v>
          </cell>
          <cell r="BP33">
            <v>55</v>
          </cell>
          <cell r="BQ33">
            <v>55</v>
          </cell>
          <cell r="BR33">
            <v>55</v>
          </cell>
          <cell r="BS33">
            <v>55</v>
          </cell>
          <cell r="BT33">
            <v>55</v>
          </cell>
          <cell r="BU33">
            <v>55</v>
          </cell>
          <cell r="BV33">
            <v>49</v>
          </cell>
          <cell r="BW33">
            <v>48</v>
          </cell>
          <cell r="BX33">
            <v>49</v>
          </cell>
          <cell r="BY33">
            <v>54</v>
          </cell>
          <cell r="BZ33">
            <v>44</v>
          </cell>
        </row>
        <row r="34">
          <cell r="A34" t="str">
            <v>Flora Stevenson Primary School</v>
          </cell>
          <cell r="B34">
            <v>135</v>
          </cell>
          <cell r="C34">
            <v>166</v>
          </cell>
          <cell r="D34">
            <v>168</v>
          </cell>
          <cell r="E34">
            <v>133</v>
          </cell>
          <cell r="F34">
            <v>177</v>
          </cell>
          <cell r="G34">
            <v>149</v>
          </cell>
          <cell r="H34">
            <v>149</v>
          </cell>
          <cell r="I34">
            <v>134</v>
          </cell>
          <cell r="J34">
            <v>138</v>
          </cell>
          <cell r="K34">
            <v>141.86632105165711</v>
          </cell>
          <cell r="L34">
            <v>143.89298278096649</v>
          </cell>
          <cell r="M34">
            <v>145.63383324075789</v>
          </cell>
          <cell r="N34">
            <v>147.01092390298095</v>
          </cell>
          <cell r="O34">
            <v>148.07622045300255</v>
          </cell>
          <cell r="P34">
            <v>148.80374004813925</v>
          </cell>
          <cell r="Q34">
            <v>149.21946553107452</v>
          </cell>
          <cell r="R34">
            <v>149.68715669937669</v>
          </cell>
          <cell r="S34">
            <v>149.71313954206013</v>
          </cell>
          <cell r="T34">
            <v>149.66117385669324</v>
          </cell>
          <cell r="U34">
            <v>89</v>
          </cell>
          <cell r="V34">
            <v>80</v>
          </cell>
          <cell r="W34">
            <v>84</v>
          </cell>
          <cell r="X34">
            <v>76</v>
          </cell>
          <cell r="Y34">
            <v>92</v>
          </cell>
          <cell r="Z34">
            <v>81</v>
          </cell>
          <cell r="AA34">
            <v>81</v>
          </cell>
          <cell r="AB34">
            <v>73</v>
          </cell>
          <cell r="AC34">
            <v>75</v>
          </cell>
          <cell r="AD34">
            <v>78</v>
          </cell>
          <cell r="AE34">
            <v>79</v>
          </cell>
          <cell r="AF34">
            <v>80</v>
          </cell>
          <cell r="AG34">
            <v>80</v>
          </cell>
          <cell r="AH34">
            <v>81</v>
          </cell>
          <cell r="AI34">
            <v>81</v>
          </cell>
          <cell r="AJ34">
            <v>82</v>
          </cell>
          <cell r="AK34">
            <v>82</v>
          </cell>
          <cell r="AL34">
            <v>82</v>
          </cell>
          <cell r="AM34">
            <v>82</v>
          </cell>
          <cell r="AN34">
            <v>84</v>
          </cell>
          <cell r="AO34">
            <v>79</v>
          </cell>
          <cell r="AP34">
            <v>82</v>
          </cell>
          <cell r="AQ34">
            <v>74</v>
          </cell>
          <cell r="AR34">
            <v>89</v>
          </cell>
          <cell r="AS34">
            <v>79</v>
          </cell>
          <cell r="AT34">
            <v>79</v>
          </cell>
          <cell r="AU34">
            <v>71</v>
          </cell>
          <cell r="AV34">
            <v>73</v>
          </cell>
          <cell r="AW34">
            <v>76</v>
          </cell>
          <cell r="AX34">
            <v>77</v>
          </cell>
          <cell r="AY34">
            <v>78</v>
          </cell>
          <cell r="AZ34">
            <v>78</v>
          </cell>
          <cell r="BA34">
            <v>79</v>
          </cell>
          <cell r="BB34">
            <v>79</v>
          </cell>
          <cell r="BC34">
            <v>80</v>
          </cell>
          <cell r="BD34">
            <v>80</v>
          </cell>
          <cell r="BE34">
            <v>80</v>
          </cell>
          <cell r="BF34">
            <v>80</v>
          </cell>
          <cell r="BG34">
            <v>90</v>
          </cell>
          <cell r="BH34">
            <v>79</v>
          </cell>
          <cell r="BI34">
            <v>79</v>
          </cell>
          <cell r="BJ34">
            <v>72</v>
          </cell>
          <cell r="BK34">
            <v>74</v>
          </cell>
          <cell r="BL34">
            <v>77</v>
          </cell>
          <cell r="BM34">
            <v>78</v>
          </cell>
          <cell r="BN34">
            <v>80</v>
          </cell>
          <cell r="BO34">
            <v>80</v>
          </cell>
          <cell r="BP34">
            <v>82</v>
          </cell>
          <cell r="BQ34">
            <v>83</v>
          </cell>
          <cell r="BR34">
            <v>84</v>
          </cell>
          <cell r="BS34">
            <v>84</v>
          </cell>
          <cell r="BT34">
            <v>84</v>
          </cell>
          <cell r="BU34">
            <v>84</v>
          </cell>
          <cell r="BV34">
            <v>78</v>
          </cell>
          <cell r="BW34">
            <v>75</v>
          </cell>
          <cell r="BX34">
            <v>80</v>
          </cell>
          <cell r="BY34">
            <v>73</v>
          </cell>
          <cell r="BZ34">
            <v>87</v>
          </cell>
        </row>
        <row r="35">
          <cell r="A35" t="str">
            <v>Forthview Primary School</v>
          </cell>
          <cell r="B35">
            <v>85</v>
          </cell>
          <cell r="C35">
            <v>78</v>
          </cell>
          <cell r="D35">
            <v>96</v>
          </cell>
          <cell r="E35">
            <v>86</v>
          </cell>
          <cell r="F35">
            <v>79</v>
          </cell>
          <cell r="G35">
            <v>102</v>
          </cell>
          <cell r="H35">
            <v>107</v>
          </cell>
          <cell r="I35">
            <v>90</v>
          </cell>
          <cell r="J35">
            <v>102</v>
          </cell>
          <cell r="K35">
            <v>100.75541566376597</v>
          </cell>
          <cell r="L35">
            <v>102.19477874467691</v>
          </cell>
          <cell r="M35">
            <v>103.43115472443374</v>
          </cell>
          <cell r="N35">
            <v>104.40918348453989</v>
          </cell>
          <cell r="O35">
            <v>105.16577177065975</v>
          </cell>
          <cell r="P35">
            <v>105.68246620996111</v>
          </cell>
          <cell r="Q35">
            <v>105.97772017527618</v>
          </cell>
          <cell r="R35">
            <v>106.30988088625563</v>
          </cell>
          <cell r="S35">
            <v>106.32833425908782</v>
          </cell>
          <cell r="T35">
            <v>106.29142751342344</v>
          </cell>
          <cell r="U35">
            <v>75</v>
          </cell>
          <cell r="V35">
            <v>82</v>
          </cell>
          <cell r="W35">
            <v>78</v>
          </cell>
          <cell r="X35">
            <v>87</v>
          </cell>
          <cell r="Y35">
            <v>77</v>
          </cell>
          <cell r="Z35">
            <v>97</v>
          </cell>
          <cell r="AA35">
            <v>101</v>
          </cell>
          <cell r="AB35">
            <v>85</v>
          </cell>
          <cell r="AC35">
            <v>97</v>
          </cell>
          <cell r="AD35">
            <v>95</v>
          </cell>
          <cell r="AE35">
            <v>97</v>
          </cell>
          <cell r="AF35">
            <v>98</v>
          </cell>
          <cell r="AG35">
            <v>99</v>
          </cell>
          <cell r="AH35">
            <v>100</v>
          </cell>
          <cell r="AI35">
            <v>100</v>
          </cell>
          <cell r="AJ35">
            <v>100</v>
          </cell>
          <cell r="AK35">
            <v>101</v>
          </cell>
          <cell r="AL35">
            <v>101</v>
          </cell>
          <cell r="AM35">
            <v>101</v>
          </cell>
          <cell r="AN35">
            <v>66</v>
          </cell>
          <cell r="AO35">
            <v>63</v>
          </cell>
          <cell r="AP35">
            <v>68</v>
          </cell>
          <cell r="AQ35">
            <v>67</v>
          </cell>
          <cell r="AR35">
            <v>69</v>
          </cell>
          <cell r="AS35">
            <v>82</v>
          </cell>
          <cell r="AT35">
            <v>85</v>
          </cell>
          <cell r="AU35">
            <v>72</v>
          </cell>
          <cell r="AV35">
            <v>82</v>
          </cell>
          <cell r="AW35">
            <v>80</v>
          </cell>
          <cell r="AX35">
            <v>82</v>
          </cell>
          <cell r="AY35">
            <v>83</v>
          </cell>
          <cell r="AZ35">
            <v>84</v>
          </cell>
          <cell r="BA35">
            <v>85</v>
          </cell>
          <cell r="BB35">
            <v>85</v>
          </cell>
          <cell r="BC35">
            <v>85</v>
          </cell>
          <cell r="BD35">
            <v>85</v>
          </cell>
          <cell r="BE35">
            <v>85</v>
          </cell>
          <cell r="BF35">
            <v>85</v>
          </cell>
          <cell r="BG35">
            <v>70</v>
          </cell>
          <cell r="BH35">
            <v>83</v>
          </cell>
          <cell r="BI35">
            <v>86</v>
          </cell>
          <cell r="BJ35">
            <v>73</v>
          </cell>
          <cell r="BK35">
            <v>83</v>
          </cell>
          <cell r="BL35">
            <v>81</v>
          </cell>
          <cell r="BM35">
            <v>83</v>
          </cell>
          <cell r="BN35">
            <v>84</v>
          </cell>
          <cell r="BO35">
            <v>85</v>
          </cell>
          <cell r="BP35">
            <v>87</v>
          </cell>
          <cell r="BQ35">
            <v>87</v>
          </cell>
          <cell r="BR35">
            <v>87</v>
          </cell>
          <cell r="BS35">
            <v>87</v>
          </cell>
          <cell r="BT35">
            <v>87</v>
          </cell>
          <cell r="BU35">
            <v>87</v>
          </cell>
          <cell r="BV35">
            <v>44</v>
          </cell>
          <cell r="BW35">
            <v>42</v>
          </cell>
          <cell r="BX35">
            <v>47</v>
          </cell>
          <cell r="BY35">
            <v>49</v>
          </cell>
          <cell r="BZ35">
            <v>52</v>
          </cell>
        </row>
        <row r="36">
          <cell r="A36" t="str">
            <v>Fox Covert ND Primary School</v>
          </cell>
          <cell r="B36">
            <v>28</v>
          </cell>
          <cell r="C36">
            <v>34</v>
          </cell>
          <cell r="D36">
            <v>40</v>
          </cell>
          <cell r="E36">
            <v>37</v>
          </cell>
          <cell r="F36">
            <v>45</v>
          </cell>
          <cell r="G36">
            <v>36</v>
          </cell>
          <cell r="H36">
            <v>50</v>
          </cell>
          <cell r="I36">
            <v>41</v>
          </cell>
          <cell r="J36">
            <v>38</v>
          </cell>
          <cell r="K36">
            <v>43.46972782817997</v>
          </cell>
          <cell r="L36">
            <v>44.09072394001111</v>
          </cell>
          <cell r="M36">
            <v>44.624143677096832</v>
          </cell>
          <cell r="N36">
            <v>45.04610257359748</v>
          </cell>
          <cell r="O36">
            <v>45.372523606739492</v>
          </cell>
          <cell r="P36">
            <v>45.595445287909648</v>
          </cell>
          <cell r="Q36">
            <v>45.722829105721168</v>
          </cell>
          <cell r="R36">
            <v>45.866135900759126</v>
          </cell>
          <cell r="S36">
            <v>45.874097389372345</v>
          </cell>
          <cell r="T36">
            <v>45.858174412145907</v>
          </cell>
          <cell r="U36">
            <v>40</v>
          </cell>
          <cell r="V36">
            <v>41</v>
          </cell>
          <cell r="W36">
            <v>54</v>
          </cell>
          <cell r="X36">
            <v>53</v>
          </cell>
          <cell r="Y36">
            <v>41</v>
          </cell>
          <cell r="Z36">
            <v>46</v>
          </cell>
          <cell r="AA36">
            <v>63</v>
          </cell>
          <cell r="AB36">
            <v>52</v>
          </cell>
          <cell r="AC36">
            <v>48</v>
          </cell>
          <cell r="AD36">
            <v>55</v>
          </cell>
          <cell r="AE36">
            <v>56</v>
          </cell>
          <cell r="AF36">
            <v>56</v>
          </cell>
          <cell r="AG36">
            <v>57</v>
          </cell>
          <cell r="AH36">
            <v>57</v>
          </cell>
          <cell r="AI36">
            <v>58</v>
          </cell>
          <cell r="AJ36">
            <v>58</v>
          </cell>
          <cell r="AK36">
            <v>58</v>
          </cell>
          <cell r="AL36">
            <v>58</v>
          </cell>
          <cell r="AM36">
            <v>58</v>
          </cell>
          <cell r="AN36">
            <v>34</v>
          </cell>
          <cell r="AO36">
            <v>34</v>
          </cell>
          <cell r="AP36">
            <v>47</v>
          </cell>
          <cell r="AQ36">
            <v>45</v>
          </cell>
          <cell r="AR36">
            <v>38</v>
          </cell>
          <cell r="AS36">
            <v>41</v>
          </cell>
          <cell r="AT36">
            <v>56</v>
          </cell>
          <cell r="AU36">
            <v>46</v>
          </cell>
          <cell r="AV36">
            <v>42</v>
          </cell>
          <cell r="AW36">
            <v>49</v>
          </cell>
          <cell r="AX36">
            <v>49</v>
          </cell>
          <cell r="AY36">
            <v>49</v>
          </cell>
          <cell r="AZ36">
            <v>50</v>
          </cell>
          <cell r="BA36">
            <v>50</v>
          </cell>
          <cell r="BB36">
            <v>51</v>
          </cell>
          <cell r="BC36">
            <v>51</v>
          </cell>
          <cell r="BD36">
            <v>51</v>
          </cell>
          <cell r="BE36">
            <v>51</v>
          </cell>
          <cell r="BF36">
            <v>51</v>
          </cell>
          <cell r="BG36">
            <v>38</v>
          </cell>
          <cell r="BH36">
            <v>41</v>
          </cell>
          <cell r="BI36">
            <v>56</v>
          </cell>
          <cell r="BJ36">
            <v>46</v>
          </cell>
          <cell r="BK36">
            <v>42</v>
          </cell>
          <cell r="BL36">
            <v>49</v>
          </cell>
          <cell r="BM36">
            <v>49</v>
          </cell>
          <cell r="BN36">
            <v>49</v>
          </cell>
          <cell r="BO36">
            <v>50</v>
          </cell>
          <cell r="BP36">
            <v>50</v>
          </cell>
          <cell r="BQ36">
            <v>51</v>
          </cell>
          <cell r="BR36">
            <v>51</v>
          </cell>
          <cell r="BS36">
            <v>51</v>
          </cell>
          <cell r="BT36">
            <v>51</v>
          </cell>
          <cell r="BU36">
            <v>51</v>
          </cell>
          <cell r="BV36">
            <v>33</v>
          </cell>
          <cell r="BW36">
            <v>29</v>
          </cell>
          <cell r="BX36">
            <v>46</v>
          </cell>
          <cell r="BY36">
            <v>43</v>
          </cell>
          <cell r="BZ36">
            <v>36</v>
          </cell>
        </row>
        <row r="37">
          <cell r="A37" t="str">
            <v>Fox Covert RC Primary School</v>
          </cell>
          <cell r="B37">
            <v>524</v>
          </cell>
          <cell r="C37">
            <v>528</v>
          </cell>
          <cell r="D37">
            <v>541</v>
          </cell>
          <cell r="E37">
            <v>536</v>
          </cell>
          <cell r="F37">
            <v>566</v>
          </cell>
          <cell r="G37">
            <v>534</v>
          </cell>
          <cell r="H37">
            <v>544</v>
          </cell>
          <cell r="I37">
            <v>511</v>
          </cell>
          <cell r="J37">
            <v>489</v>
          </cell>
          <cell r="K37">
            <v>520.28883540085167</v>
          </cell>
          <cell r="L37">
            <v>527.72153304943527</v>
          </cell>
          <cell r="M37">
            <v>534.10602974757762</v>
          </cell>
          <cell r="N37">
            <v>539.1564525087947</v>
          </cell>
          <cell r="O37">
            <v>543.06338332407586</v>
          </cell>
          <cell r="P37">
            <v>545.73153119792642</v>
          </cell>
          <cell r="Q37">
            <v>547.25618712584105</v>
          </cell>
          <cell r="R37">
            <v>548.97142504474493</v>
          </cell>
          <cell r="S37">
            <v>549.06671604023961</v>
          </cell>
          <cell r="T37">
            <v>548.87613404925025</v>
          </cell>
          <cell r="U37">
            <v>551</v>
          </cell>
          <cell r="V37">
            <v>598</v>
          </cell>
          <cell r="W37">
            <v>605</v>
          </cell>
          <cell r="X37">
            <v>582</v>
          </cell>
          <cell r="Y37">
            <v>573</v>
          </cell>
          <cell r="Z37">
            <v>577</v>
          </cell>
          <cell r="AA37">
            <v>588</v>
          </cell>
          <cell r="AB37">
            <v>552</v>
          </cell>
          <cell r="AC37">
            <v>528</v>
          </cell>
          <cell r="AD37">
            <v>562</v>
          </cell>
          <cell r="AE37">
            <v>570</v>
          </cell>
          <cell r="AF37">
            <v>577</v>
          </cell>
          <cell r="AG37">
            <v>582</v>
          </cell>
          <cell r="AH37">
            <v>587</v>
          </cell>
          <cell r="AI37">
            <v>589</v>
          </cell>
          <cell r="AJ37">
            <v>591</v>
          </cell>
          <cell r="AK37">
            <v>593</v>
          </cell>
          <cell r="AL37">
            <v>593</v>
          </cell>
          <cell r="AM37">
            <v>593</v>
          </cell>
          <cell r="AN37">
            <v>19</v>
          </cell>
          <cell r="AO37">
            <v>27</v>
          </cell>
          <cell r="AP37">
            <v>26</v>
          </cell>
          <cell r="AQ37">
            <v>24</v>
          </cell>
          <cell r="AR37">
            <v>22</v>
          </cell>
          <cell r="AS37">
            <v>24</v>
          </cell>
          <cell r="AT37">
            <v>24</v>
          </cell>
          <cell r="AU37">
            <v>23</v>
          </cell>
          <cell r="AV37">
            <v>22</v>
          </cell>
          <cell r="AW37">
            <v>23</v>
          </cell>
          <cell r="AX37">
            <v>23</v>
          </cell>
          <cell r="AY37">
            <v>24</v>
          </cell>
          <cell r="AZ37">
            <v>24</v>
          </cell>
          <cell r="BA37">
            <v>24</v>
          </cell>
          <cell r="BB37">
            <v>24</v>
          </cell>
          <cell r="BC37">
            <v>24</v>
          </cell>
          <cell r="BD37">
            <v>24</v>
          </cell>
          <cell r="BE37">
            <v>24</v>
          </cell>
          <cell r="BF37">
            <v>24</v>
          </cell>
          <cell r="BG37">
            <v>26</v>
          </cell>
          <cell r="BH37">
            <v>25</v>
          </cell>
          <cell r="BI37">
            <v>25</v>
          </cell>
          <cell r="BJ37">
            <v>25</v>
          </cell>
          <cell r="BK37">
            <v>25</v>
          </cell>
          <cell r="BL37">
            <v>28</v>
          </cell>
          <cell r="BM37">
            <v>30</v>
          </cell>
          <cell r="BN37">
            <v>32</v>
          </cell>
          <cell r="BO37">
            <v>34</v>
          </cell>
          <cell r="BP37">
            <v>35</v>
          </cell>
          <cell r="BQ37">
            <v>36</v>
          </cell>
          <cell r="BR37">
            <v>36</v>
          </cell>
          <cell r="BS37">
            <v>37</v>
          </cell>
          <cell r="BT37">
            <v>37</v>
          </cell>
          <cell r="BU37">
            <v>37</v>
          </cell>
          <cell r="BV37">
            <v>19</v>
          </cell>
          <cell r="BW37">
            <v>25</v>
          </cell>
          <cell r="BX37">
            <v>25</v>
          </cell>
          <cell r="BY37">
            <v>21</v>
          </cell>
          <cell r="BZ37">
            <v>21</v>
          </cell>
        </row>
        <row r="38">
          <cell r="A38" t="str">
            <v>Gilmerton Primary School</v>
          </cell>
          <cell r="B38">
            <v>112</v>
          </cell>
          <cell r="C38">
            <v>100</v>
          </cell>
          <cell r="D38">
            <v>92</v>
          </cell>
          <cell r="E38">
            <v>94</v>
          </cell>
          <cell r="F38">
            <v>108</v>
          </cell>
          <cell r="G38">
            <v>105</v>
          </cell>
          <cell r="H38">
            <v>123</v>
          </cell>
          <cell r="I38">
            <v>101</v>
          </cell>
          <cell r="J38">
            <v>105</v>
          </cell>
          <cell r="K38">
            <v>110.86465469357528</v>
          </cell>
          <cell r="L38">
            <v>112.44843547491206</v>
          </cell>
          <cell r="M38">
            <v>113.80886255631674</v>
          </cell>
          <cell r="N38">
            <v>114.88502129235327</v>
          </cell>
          <cell r="O38">
            <v>115.71752144664569</v>
          </cell>
          <cell r="P38">
            <v>116.28605813738197</v>
          </cell>
          <cell r="Q38">
            <v>116.61093624637414</v>
          </cell>
          <cell r="R38">
            <v>116.97642411899032</v>
          </cell>
          <cell r="S38">
            <v>116.99672900080233</v>
          </cell>
          <cell r="T38">
            <v>116.95611923717831</v>
          </cell>
          <cell r="U38">
            <v>103</v>
          </cell>
          <cell r="V38">
            <v>95</v>
          </cell>
          <cell r="W38">
            <v>75</v>
          </cell>
          <cell r="X38">
            <v>71</v>
          </cell>
          <cell r="Y38">
            <v>81</v>
          </cell>
          <cell r="Z38">
            <v>88</v>
          </cell>
          <cell r="AA38">
            <v>103</v>
          </cell>
          <cell r="AB38">
            <v>85</v>
          </cell>
          <cell r="AC38">
            <v>88</v>
          </cell>
          <cell r="AD38">
            <v>93</v>
          </cell>
          <cell r="AE38">
            <v>94</v>
          </cell>
          <cell r="AF38">
            <v>95</v>
          </cell>
          <cell r="AG38">
            <v>96</v>
          </cell>
          <cell r="AH38">
            <v>97</v>
          </cell>
          <cell r="AI38">
            <v>97</v>
          </cell>
          <cell r="AJ38">
            <v>98</v>
          </cell>
          <cell r="AK38">
            <v>98</v>
          </cell>
          <cell r="AL38">
            <v>98</v>
          </cell>
          <cell r="AM38">
            <v>98</v>
          </cell>
          <cell r="AN38">
            <v>93</v>
          </cell>
          <cell r="AO38">
            <v>87</v>
          </cell>
          <cell r="AP38">
            <v>63</v>
          </cell>
          <cell r="AQ38">
            <v>61</v>
          </cell>
          <cell r="AR38">
            <v>71</v>
          </cell>
          <cell r="AS38">
            <v>76</v>
          </cell>
          <cell r="AT38">
            <v>88</v>
          </cell>
          <cell r="AU38">
            <v>73</v>
          </cell>
          <cell r="AV38">
            <v>76</v>
          </cell>
          <cell r="AW38">
            <v>80</v>
          </cell>
          <cell r="AX38">
            <v>81</v>
          </cell>
          <cell r="AY38">
            <v>82</v>
          </cell>
          <cell r="AZ38">
            <v>82</v>
          </cell>
          <cell r="BA38">
            <v>83</v>
          </cell>
          <cell r="BB38">
            <v>83</v>
          </cell>
          <cell r="BC38">
            <v>84</v>
          </cell>
          <cell r="BD38">
            <v>84</v>
          </cell>
          <cell r="BE38">
            <v>84</v>
          </cell>
          <cell r="BF38">
            <v>84</v>
          </cell>
          <cell r="BG38">
            <v>74</v>
          </cell>
          <cell r="BH38">
            <v>81</v>
          </cell>
          <cell r="BI38">
            <v>102</v>
          </cell>
          <cell r="BJ38">
            <v>98</v>
          </cell>
          <cell r="BK38">
            <v>111</v>
          </cell>
          <cell r="BL38">
            <v>122</v>
          </cell>
          <cell r="BM38">
            <v>130</v>
          </cell>
          <cell r="BN38">
            <v>136</v>
          </cell>
          <cell r="BO38">
            <v>140</v>
          </cell>
          <cell r="BP38">
            <v>144</v>
          </cell>
          <cell r="BQ38">
            <v>144</v>
          </cell>
          <cell r="BR38">
            <v>145</v>
          </cell>
          <cell r="BS38">
            <v>145</v>
          </cell>
          <cell r="BT38">
            <v>145</v>
          </cell>
          <cell r="BU38">
            <v>145</v>
          </cell>
          <cell r="BV38">
            <v>79</v>
          </cell>
          <cell r="BW38">
            <v>69</v>
          </cell>
          <cell r="BX38">
            <v>55</v>
          </cell>
          <cell r="BY38">
            <v>52</v>
          </cell>
          <cell r="BZ38">
            <v>64</v>
          </cell>
        </row>
        <row r="39">
          <cell r="A39" t="str">
            <v>Gracemount Primary School</v>
          </cell>
          <cell r="B39">
            <v>129</v>
          </cell>
          <cell r="C39">
            <v>133</v>
          </cell>
          <cell r="D39">
            <v>114</v>
          </cell>
          <cell r="E39">
            <v>129</v>
          </cell>
          <cell r="F39">
            <v>138</v>
          </cell>
          <cell r="G39">
            <v>130</v>
          </cell>
          <cell r="H39">
            <v>115</v>
          </cell>
          <cell r="I39">
            <v>144</v>
          </cell>
          <cell r="J39">
            <v>120</v>
          </cell>
          <cell r="K39">
            <v>127.71338640992408</v>
          </cell>
          <cell r="L39">
            <v>129.53786335863728</v>
          </cell>
          <cell r="M39">
            <v>131.10504227612171</v>
          </cell>
          <cell r="N39">
            <v>132.34475097204222</v>
          </cell>
          <cell r="O39">
            <v>133.30377090662225</v>
          </cell>
          <cell r="P39">
            <v>133.95871134975008</v>
          </cell>
          <cell r="Q39">
            <v>134.33296303153739</v>
          </cell>
          <cell r="R39">
            <v>134.75399617354813</v>
          </cell>
          <cell r="S39">
            <v>134.77738690365985</v>
          </cell>
          <cell r="T39">
            <v>134.73060544343642</v>
          </cell>
          <cell r="U39">
            <v>108</v>
          </cell>
          <cell r="V39">
            <v>93</v>
          </cell>
          <cell r="W39">
            <v>102</v>
          </cell>
          <cell r="X39">
            <v>120</v>
          </cell>
          <cell r="Y39">
            <v>90</v>
          </cell>
          <cell r="Z39">
            <v>104</v>
          </cell>
          <cell r="AA39">
            <v>92</v>
          </cell>
          <cell r="AB39">
            <v>116</v>
          </cell>
          <cell r="AC39">
            <v>96</v>
          </cell>
          <cell r="AD39">
            <v>103</v>
          </cell>
          <cell r="AE39">
            <v>104</v>
          </cell>
          <cell r="AF39">
            <v>105</v>
          </cell>
          <cell r="AG39">
            <v>106</v>
          </cell>
          <cell r="AH39">
            <v>107</v>
          </cell>
          <cell r="AI39">
            <v>108</v>
          </cell>
          <cell r="AJ39">
            <v>108</v>
          </cell>
          <cell r="AK39">
            <v>108</v>
          </cell>
          <cell r="AL39">
            <v>108</v>
          </cell>
          <cell r="AM39">
            <v>108</v>
          </cell>
          <cell r="AN39">
            <v>83</v>
          </cell>
          <cell r="AO39">
            <v>65</v>
          </cell>
          <cell r="AP39">
            <v>81</v>
          </cell>
          <cell r="AQ39">
            <v>94</v>
          </cell>
          <cell r="AR39">
            <v>64</v>
          </cell>
          <cell r="AS39">
            <v>79</v>
          </cell>
          <cell r="AT39">
            <v>70</v>
          </cell>
          <cell r="AU39">
            <v>88</v>
          </cell>
          <cell r="AV39">
            <v>73</v>
          </cell>
          <cell r="AW39">
            <v>79</v>
          </cell>
          <cell r="AX39">
            <v>79</v>
          </cell>
          <cell r="AY39">
            <v>80</v>
          </cell>
          <cell r="AZ39">
            <v>81</v>
          </cell>
          <cell r="BA39">
            <v>82</v>
          </cell>
          <cell r="BB39">
            <v>82</v>
          </cell>
          <cell r="BC39">
            <v>82</v>
          </cell>
          <cell r="BD39">
            <v>82</v>
          </cell>
          <cell r="BE39">
            <v>82</v>
          </cell>
          <cell r="BF39">
            <v>82</v>
          </cell>
          <cell r="BG39">
            <v>66</v>
          </cell>
          <cell r="BH39">
            <v>84</v>
          </cell>
          <cell r="BI39">
            <v>77</v>
          </cell>
          <cell r="BJ39">
            <v>96</v>
          </cell>
          <cell r="BK39">
            <v>83</v>
          </cell>
          <cell r="BL39">
            <v>90</v>
          </cell>
          <cell r="BM39">
            <v>94</v>
          </cell>
          <cell r="BN39">
            <v>100</v>
          </cell>
          <cell r="BO39">
            <v>105</v>
          </cell>
          <cell r="BP39">
            <v>110</v>
          </cell>
          <cell r="BQ39">
            <v>112</v>
          </cell>
          <cell r="BR39">
            <v>113</v>
          </cell>
          <cell r="BS39">
            <v>114</v>
          </cell>
          <cell r="BT39">
            <v>115</v>
          </cell>
          <cell r="BU39">
            <v>116</v>
          </cell>
          <cell r="BV39">
            <v>70</v>
          </cell>
          <cell r="BW39">
            <v>56</v>
          </cell>
          <cell r="BX39">
            <v>68</v>
          </cell>
          <cell r="BY39">
            <v>83</v>
          </cell>
          <cell r="BZ39">
            <v>51</v>
          </cell>
        </row>
        <row r="40">
          <cell r="A40" t="str">
            <v>Granton Primary School</v>
          </cell>
          <cell r="B40">
            <v>132</v>
          </cell>
          <cell r="C40">
            <v>139</v>
          </cell>
          <cell r="D40">
            <v>161</v>
          </cell>
          <cell r="E40">
            <v>155</v>
          </cell>
          <cell r="F40">
            <v>139</v>
          </cell>
          <cell r="G40">
            <v>134</v>
          </cell>
          <cell r="H40">
            <v>148</v>
          </cell>
          <cell r="I40">
            <v>158</v>
          </cell>
          <cell r="J40">
            <v>150</v>
          </cell>
          <cell r="K40">
            <v>153.66043325310127</v>
          </cell>
          <cell r="L40">
            <v>155.85558229957414</v>
          </cell>
          <cell r="M40">
            <v>157.74115904462136</v>
          </cell>
          <cell r="N40">
            <v>159.23273467876319</v>
          </cell>
          <cell r="O40">
            <v>160.3865950749861</v>
          </cell>
          <cell r="P40">
            <v>161.17459729679689</v>
          </cell>
          <cell r="Q40">
            <v>161.62488428068878</v>
          </cell>
          <cell r="R40">
            <v>162.13145713756714</v>
          </cell>
          <cell r="S40">
            <v>162.15960007406039</v>
          </cell>
          <cell r="T40">
            <v>162.10331420107391</v>
          </cell>
          <cell r="U40">
            <v>112</v>
          </cell>
          <cell r="V40">
            <v>104</v>
          </cell>
          <cell r="W40">
            <v>130</v>
          </cell>
          <cell r="X40">
            <v>126</v>
          </cell>
          <cell r="Y40">
            <v>109</v>
          </cell>
          <cell r="Z40">
            <v>107</v>
          </cell>
          <cell r="AA40">
            <v>118</v>
          </cell>
          <cell r="AB40">
            <v>126</v>
          </cell>
          <cell r="AC40">
            <v>120</v>
          </cell>
          <cell r="AD40">
            <v>123</v>
          </cell>
          <cell r="AE40">
            <v>125</v>
          </cell>
          <cell r="AF40">
            <v>126</v>
          </cell>
          <cell r="AG40">
            <v>127</v>
          </cell>
          <cell r="AH40">
            <v>128</v>
          </cell>
          <cell r="AI40">
            <v>129</v>
          </cell>
          <cell r="AJ40">
            <v>129</v>
          </cell>
          <cell r="AK40">
            <v>130</v>
          </cell>
          <cell r="AL40">
            <v>130</v>
          </cell>
          <cell r="AM40">
            <v>130</v>
          </cell>
          <cell r="AN40">
            <v>90</v>
          </cell>
          <cell r="AO40">
            <v>77</v>
          </cell>
          <cell r="AP40">
            <v>103</v>
          </cell>
          <cell r="AQ40">
            <v>100</v>
          </cell>
          <cell r="AR40">
            <v>85</v>
          </cell>
          <cell r="AS40">
            <v>84</v>
          </cell>
          <cell r="AT40">
            <v>93</v>
          </cell>
          <cell r="AU40">
            <v>99</v>
          </cell>
          <cell r="AV40">
            <v>95</v>
          </cell>
          <cell r="AW40">
            <v>97</v>
          </cell>
          <cell r="AX40">
            <v>99</v>
          </cell>
          <cell r="AY40">
            <v>99</v>
          </cell>
          <cell r="AZ40">
            <v>100</v>
          </cell>
          <cell r="BA40">
            <v>101</v>
          </cell>
          <cell r="BB40">
            <v>102</v>
          </cell>
          <cell r="BC40">
            <v>102</v>
          </cell>
          <cell r="BD40">
            <v>103</v>
          </cell>
          <cell r="BE40">
            <v>103</v>
          </cell>
          <cell r="BF40">
            <v>103</v>
          </cell>
          <cell r="BG40">
            <v>86</v>
          </cell>
          <cell r="BH40">
            <v>84</v>
          </cell>
          <cell r="BI40">
            <v>96</v>
          </cell>
          <cell r="BJ40">
            <v>104</v>
          </cell>
          <cell r="BK40">
            <v>102</v>
          </cell>
          <cell r="BL40">
            <v>105</v>
          </cell>
          <cell r="BM40">
            <v>110</v>
          </cell>
          <cell r="BN40">
            <v>114</v>
          </cell>
          <cell r="BO40">
            <v>118</v>
          </cell>
          <cell r="BP40">
            <v>122</v>
          </cell>
          <cell r="BQ40">
            <v>128</v>
          </cell>
          <cell r="BR40">
            <v>130</v>
          </cell>
          <cell r="BS40">
            <v>133</v>
          </cell>
          <cell r="BT40">
            <v>135</v>
          </cell>
          <cell r="BU40">
            <v>137</v>
          </cell>
          <cell r="BV40">
            <v>64</v>
          </cell>
          <cell r="BW40">
            <v>62</v>
          </cell>
          <cell r="BX40">
            <v>94</v>
          </cell>
          <cell r="BY40">
            <v>80</v>
          </cell>
          <cell r="BZ40">
            <v>62</v>
          </cell>
        </row>
        <row r="41">
          <cell r="A41" t="str">
            <v>Gylemuir Primary School</v>
          </cell>
          <cell r="B41">
            <v>81</v>
          </cell>
          <cell r="C41">
            <v>88</v>
          </cell>
          <cell r="D41">
            <v>81</v>
          </cell>
          <cell r="E41">
            <v>83</v>
          </cell>
          <cell r="F41">
            <v>70</v>
          </cell>
          <cell r="G41">
            <v>71</v>
          </cell>
          <cell r="H41">
            <v>75</v>
          </cell>
          <cell r="I41">
            <v>73</v>
          </cell>
          <cell r="J41">
            <v>81</v>
          </cell>
          <cell r="K41">
            <v>77.167191260877615</v>
          </cell>
          <cell r="L41">
            <v>78.269579707461588</v>
          </cell>
          <cell r="M41">
            <v>79.216503116706789</v>
          </cell>
          <cell r="N41">
            <v>79.965561932975376</v>
          </cell>
          <cell r="O41">
            <v>80.545022526692591</v>
          </cell>
          <cell r="P41">
            <v>80.940751712645806</v>
          </cell>
          <cell r="Q41">
            <v>81.166882676047649</v>
          </cell>
          <cell r="R41">
            <v>81.421280009874721</v>
          </cell>
          <cell r="S41">
            <v>81.435413195087335</v>
          </cell>
          <cell r="T41">
            <v>81.407146824662107</v>
          </cell>
          <cell r="U41">
            <v>80</v>
          </cell>
          <cell r="V41">
            <v>74</v>
          </cell>
          <cell r="W41">
            <v>52</v>
          </cell>
          <cell r="X41">
            <v>75</v>
          </cell>
          <cell r="Y41">
            <v>88</v>
          </cell>
          <cell r="Z41">
            <v>66</v>
          </cell>
          <cell r="AA41">
            <v>69</v>
          </cell>
          <cell r="AB41">
            <v>68</v>
          </cell>
          <cell r="AC41">
            <v>75</v>
          </cell>
          <cell r="AD41">
            <v>71</v>
          </cell>
          <cell r="AE41">
            <v>72</v>
          </cell>
          <cell r="AF41">
            <v>73</v>
          </cell>
          <cell r="AG41">
            <v>74</v>
          </cell>
          <cell r="AH41">
            <v>75</v>
          </cell>
          <cell r="AI41">
            <v>75</v>
          </cell>
          <cell r="AJ41">
            <v>75</v>
          </cell>
          <cell r="AK41">
            <v>75</v>
          </cell>
          <cell r="AL41">
            <v>75</v>
          </cell>
          <cell r="AM41">
            <v>75</v>
          </cell>
          <cell r="AN41">
            <v>79</v>
          </cell>
          <cell r="AO41">
            <v>71</v>
          </cell>
          <cell r="AP41">
            <v>51</v>
          </cell>
          <cell r="AQ41">
            <v>71</v>
          </cell>
          <cell r="AR41">
            <v>86</v>
          </cell>
          <cell r="AS41">
            <v>64</v>
          </cell>
          <cell r="AT41">
            <v>67</v>
          </cell>
          <cell r="AU41">
            <v>66</v>
          </cell>
          <cell r="AV41">
            <v>73</v>
          </cell>
          <cell r="AW41">
            <v>69</v>
          </cell>
          <cell r="AX41">
            <v>70</v>
          </cell>
          <cell r="AY41">
            <v>71</v>
          </cell>
          <cell r="AZ41">
            <v>72</v>
          </cell>
          <cell r="BA41">
            <v>73</v>
          </cell>
          <cell r="BB41">
            <v>73</v>
          </cell>
          <cell r="BC41">
            <v>73</v>
          </cell>
          <cell r="BD41">
            <v>73</v>
          </cell>
          <cell r="BE41">
            <v>73</v>
          </cell>
          <cell r="BF41">
            <v>73</v>
          </cell>
          <cell r="BG41">
            <v>90</v>
          </cell>
          <cell r="BH41">
            <v>66</v>
          </cell>
          <cell r="BI41">
            <v>69</v>
          </cell>
          <cell r="BJ41">
            <v>68</v>
          </cell>
          <cell r="BK41">
            <v>75</v>
          </cell>
          <cell r="BL41">
            <v>71</v>
          </cell>
          <cell r="BM41">
            <v>73</v>
          </cell>
          <cell r="BN41">
            <v>75</v>
          </cell>
          <cell r="BO41">
            <v>76</v>
          </cell>
          <cell r="BP41">
            <v>78</v>
          </cell>
          <cell r="BQ41">
            <v>79</v>
          </cell>
          <cell r="BR41">
            <v>79</v>
          </cell>
          <cell r="BS41">
            <v>80</v>
          </cell>
          <cell r="BT41">
            <v>80</v>
          </cell>
          <cell r="BU41">
            <v>80</v>
          </cell>
          <cell r="BV41">
            <v>74</v>
          </cell>
          <cell r="BW41">
            <v>68</v>
          </cell>
          <cell r="BX41">
            <v>49</v>
          </cell>
          <cell r="BY41">
            <v>67</v>
          </cell>
          <cell r="BZ41">
            <v>81</v>
          </cell>
        </row>
        <row r="42">
          <cell r="A42" t="str">
            <v>Hermitage Park Primary School</v>
          </cell>
          <cell r="B42">
            <v>99</v>
          </cell>
          <cell r="C42">
            <v>89</v>
          </cell>
          <cell r="D42">
            <v>84</v>
          </cell>
          <cell r="E42">
            <v>101</v>
          </cell>
          <cell r="F42">
            <v>101</v>
          </cell>
          <cell r="G42">
            <v>90</v>
          </cell>
          <cell r="H42">
            <v>93</v>
          </cell>
          <cell r="I42">
            <v>89</v>
          </cell>
          <cell r="J42">
            <v>70</v>
          </cell>
          <cell r="K42">
            <v>84.91760785039807</v>
          </cell>
          <cell r="L42">
            <v>86.130716533975189</v>
          </cell>
          <cell r="M42">
            <v>87.172745787817064</v>
          </cell>
          <cell r="N42">
            <v>87.997037585632285</v>
          </cell>
          <cell r="O42">
            <v>88.634697278281791</v>
          </cell>
          <cell r="P42">
            <v>89.070172190335114</v>
          </cell>
          <cell r="Q42">
            <v>89.319014997222723</v>
          </cell>
          <cell r="R42">
            <v>89.598963154971287</v>
          </cell>
          <cell r="S42">
            <v>89.614515830401757</v>
          </cell>
          <cell r="T42">
            <v>89.583410479540802</v>
          </cell>
          <cell r="U42">
            <v>71</v>
          </cell>
          <cell r="V42">
            <v>70</v>
          </cell>
          <cell r="W42">
            <v>68</v>
          </cell>
          <cell r="X42">
            <v>65</v>
          </cell>
          <cell r="Y42">
            <v>68</v>
          </cell>
          <cell r="Z42">
            <v>65</v>
          </cell>
          <cell r="AA42">
            <v>68</v>
          </cell>
          <cell r="AB42">
            <v>65</v>
          </cell>
          <cell r="AC42">
            <v>51</v>
          </cell>
          <cell r="AD42">
            <v>62</v>
          </cell>
          <cell r="AE42">
            <v>63</v>
          </cell>
          <cell r="AF42">
            <v>63</v>
          </cell>
          <cell r="AG42">
            <v>64</v>
          </cell>
          <cell r="AH42">
            <v>64</v>
          </cell>
          <cell r="AI42">
            <v>65</v>
          </cell>
          <cell r="AJ42">
            <v>65</v>
          </cell>
          <cell r="AK42">
            <v>65</v>
          </cell>
          <cell r="AL42">
            <v>65</v>
          </cell>
          <cell r="AM42">
            <v>65</v>
          </cell>
          <cell r="AN42">
            <v>53</v>
          </cell>
          <cell r="AO42">
            <v>50</v>
          </cell>
          <cell r="AP42">
            <v>50</v>
          </cell>
          <cell r="AQ42">
            <v>56</v>
          </cell>
          <cell r="AR42">
            <v>53</v>
          </cell>
          <cell r="AS42">
            <v>51</v>
          </cell>
          <cell r="AT42">
            <v>54</v>
          </cell>
          <cell r="AU42">
            <v>51</v>
          </cell>
          <cell r="AV42">
            <v>40</v>
          </cell>
          <cell r="AW42">
            <v>49</v>
          </cell>
          <cell r="AX42">
            <v>50</v>
          </cell>
          <cell r="AY42">
            <v>50</v>
          </cell>
          <cell r="AZ42">
            <v>51</v>
          </cell>
          <cell r="BA42">
            <v>51</v>
          </cell>
          <cell r="BB42">
            <v>51</v>
          </cell>
          <cell r="BC42">
            <v>51</v>
          </cell>
          <cell r="BD42">
            <v>51</v>
          </cell>
          <cell r="BE42">
            <v>51</v>
          </cell>
          <cell r="BF42">
            <v>51</v>
          </cell>
          <cell r="BG42">
            <v>53</v>
          </cell>
          <cell r="BH42">
            <v>51</v>
          </cell>
          <cell r="BI42">
            <v>54</v>
          </cell>
          <cell r="BJ42">
            <v>52</v>
          </cell>
          <cell r="BK42">
            <v>41</v>
          </cell>
          <cell r="BL42">
            <v>50</v>
          </cell>
          <cell r="BM42">
            <v>51</v>
          </cell>
          <cell r="BN42">
            <v>51</v>
          </cell>
          <cell r="BO42">
            <v>52</v>
          </cell>
          <cell r="BP42">
            <v>52</v>
          </cell>
          <cell r="BQ42">
            <v>52</v>
          </cell>
          <cell r="BR42">
            <v>52</v>
          </cell>
          <cell r="BS42">
            <v>51</v>
          </cell>
          <cell r="BT42">
            <v>51</v>
          </cell>
          <cell r="BU42">
            <v>51</v>
          </cell>
          <cell r="BV42">
            <v>49</v>
          </cell>
          <cell r="BW42">
            <v>43</v>
          </cell>
          <cell r="BX42">
            <v>41</v>
          </cell>
          <cell r="BY42">
            <v>39</v>
          </cell>
          <cell r="BZ42">
            <v>43</v>
          </cell>
        </row>
        <row r="43">
          <cell r="A43" t="str">
            <v>Hillwood Primary School</v>
          </cell>
          <cell r="B43">
            <v>9</v>
          </cell>
          <cell r="C43">
            <v>10</v>
          </cell>
          <cell r="D43">
            <v>16</v>
          </cell>
          <cell r="E43">
            <v>16</v>
          </cell>
          <cell r="F43">
            <v>10</v>
          </cell>
          <cell r="G43">
            <v>15</v>
          </cell>
          <cell r="H43">
            <v>8</v>
          </cell>
          <cell r="I43">
            <v>18</v>
          </cell>
          <cell r="J43">
            <v>15</v>
          </cell>
          <cell r="K43">
            <v>13.815960007406035</v>
          </cell>
          <cell r="L43">
            <v>14.013330864654693</v>
          </cell>
          <cell r="M43">
            <v>14.182867370240078</v>
          </cell>
          <cell r="N43">
            <v>14.316978337344935</v>
          </cell>
          <cell r="O43">
            <v>14.420724557180767</v>
          </cell>
          <cell r="P43">
            <v>14.491575634141824</v>
          </cell>
          <cell r="Q43">
            <v>14.532061963833856</v>
          </cell>
          <cell r="R43">
            <v>14.577609084737393</v>
          </cell>
          <cell r="S43">
            <v>14.580139480343146</v>
          </cell>
          <cell r="T43">
            <v>14.575078689131642</v>
          </cell>
          <cell r="U43">
            <v>6</v>
          </cell>
          <cell r="V43">
            <v>15</v>
          </cell>
          <cell r="W43">
            <v>15</v>
          </cell>
          <cell r="X43">
            <v>12</v>
          </cell>
          <cell r="Y43">
            <v>7</v>
          </cell>
          <cell r="Z43">
            <v>14</v>
          </cell>
          <cell r="AA43">
            <v>7</v>
          </cell>
          <cell r="AB43">
            <v>16</v>
          </cell>
          <cell r="AC43">
            <v>14</v>
          </cell>
          <cell r="AD43">
            <v>13</v>
          </cell>
          <cell r="AE43">
            <v>13</v>
          </cell>
          <cell r="AF43">
            <v>13</v>
          </cell>
          <cell r="AG43">
            <v>13</v>
          </cell>
          <cell r="AH43">
            <v>13</v>
          </cell>
          <cell r="AI43">
            <v>13</v>
          </cell>
          <cell r="AJ43">
            <v>13</v>
          </cell>
          <cell r="AK43">
            <v>13</v>
          </cell>
          <cell r="AL43">
            <v>13</v>
          </cell>
          <cell r="AM43">
            <v>13</v>
          </cell>
          <cell r="AN43">
            <v>6</v>
          </cell>
          <cell r="AO43">
            <v>15</v>
          </cell>
          <cell r="AP43">
            <v>15</v>
          </cell>
          <cell r="AQ43">
            <v>12</v>
          </cell>
          <cell r="AR43">
            <v>7</v>
          </cell>
          <cell r="AS43">
            <v>14</v>
          </cell>
          <cell r="AT43">
            <v>7</v>
          </cell>
          <cell r="AU43">
            <v>16</v>
          </cell>
          <cell r="AV43">
            <v>14</v>
          </cell>
          <cell r="AW43">
            <v>13</v>
          </cell>
          <cell r="AX43">
            <v>13</v>
          </cell>
          <cell r="AY43">
            <v>13</v>
          </cell>
          <cell r="AZ43">
            <v>13</v>
          </cell>
          <cell r="BA43">
            <v>13</v>
          </cell>
          <cell r="BB43">
            <v>13</v>
          </cell>
          <cell r="BC43">
            <v>13</v>
          </cell>
          <cell r="BD43">
            <v>13</v>
          </cell>
          <cell r="BE43">
            <v>13</v>
          </cell>
          <cell r="BF43">
            <v>13</v>
          </cell>
          <cell r="BG43">
            <v>7</v>
          </cell>
          <cell r="BH43">
            <v>14</v>
          </cell>
          <cell r="BI43">
            <v>8</v>
          </cell>
          <cell r="BJ43">
            <v>18</v>
          </cell>
          <cell r="BK43">
            <v>18</v>
          </cell>
          <cell r="BL43">
            <v>18</v>
          </cell>
          <cell r="BM43">
            <v>18</v>
          </cell>
          <cell r="BN43">
            <v>18</v>
          </cell>
          <cell r="BO43">
            <v>18</v>
          </cell>
          <cell r="BP43">
            <v>18</v>
          </cell>
          <cell r="BQ43">
            <v>18</v>
          </cell>
          <cell r="BR43">
            <v>19</v>
          </cell>
          <cell r="BS43">
            <v>21</v>
          </cell>
          <cell r="BT43">
            <v>23</v>
          </cell>
          <cell r="BU43">
            <v>26</v>
          </cell>
          <cell r="BV43">
            <v>4</v>
          </cell>
          <cell r="BW43">
            <v>11</v>
          </cell>
          <cell r="BX43">
            <v>13</v>
          </cell>
          <cell r="BY43">
            <v>11</v>
          </cell>
          <cell r="BZ43">
            <v>3</v>
          </cell>
        </row>
        <row r="44">
          <cell r="A44" t="str">
            <v>Holy Cross RC Primary School</v>
          </cell>
          <cell r="B44">
            <v>419</v>
          </cell>
          <cell r="C44">
            <v>446</v>
          </cell>
          <cell r="D44">
            <v>456</v>
          </cell>
          <cell r="E44">
            <v>419</v>
          </cell>
          <cell r="F44">
            <v>404</v>
          </cell>
          <cell r="G44">
            <v>423</v>
          </cell>
          <cell r="H44">
            <v>403</v>
          </cell>
          <cell r="I44">
            <v>370</v>
          </cell>
          <cell r="J44">
            <v>397</v>
          </cell>
          <cell r="K44">
            <v>394.26032216256249</v>
          </cell>
          <cell r="L44">
            <v>399.89261247917051</v>
          </cell>
          <cell r="M44">
            <v>404.73060544343639</v>
          </cell>
          <cell r="N44">
            <v>408.55767450472132</v>
          </cell>
          <cell r="O44">
            <v>411.51823736345119</v>
          </cell>
          <cell r="P44">
            <v>413.54008516941303</v>
          </cell>
          <cell r="Q44">
            <v>414.69542677281981</v>
          </cell>
          <cell r="R44">
            <v>415.99518607665243</v>
          </cell>
          <cell r="S44">
            <v>416.06739492686535</v>
          </cell>
          <cell r="T44">
            <v>415.92297722643951</v>
          </cell>
          <cell r="U44">
            <v>304</v>
          </cell>
          <cell r="V44">
            <v>279</v>
          </cell>
          <cell r="W44">
            <v>323</v>
          </cell>
          <cell r="X44">
            <v>325</v>
          </cell>
          <cell r="Y44">
            <v>303</v>
          </cell>
          <cell r="Z44">
            <v>303</v>
          </cell>
          <cell r="AA44">
            <v>289</v>
          </cell>
          <cell r="AB44">
            <v>265</v>
          </cell>
          <cell r="AC44">
            <v>285</v>
          </cell>
          <cell r="AD44">
            <v>283</v>
          </cell>
          <cell r="AE44">
            <v>287</v>
          </cell>
          <cell r="AF44">
            <v>290</v>
          </cell>
          <cell r="AG44">
            <v>293</v>
          </cell>
          <cell r="AH44">
            <v>295</v>
          </cell>
          <cell r="AI44">
            <v>297</v>
          </cell>
          <cell r="AJ44">
            <v>297</v>
          </cell>
          <cell r="AK44">
            <v>298</v>
          </cell>
          <cell r="AL44">
            <v>298</v>
          </cell>
          <cell r="AM44">
            <v>298</v>
          </cell>
          <cell r="AN44">
            <v>45</v>
          </cell>
          <cell r="AO44">
            <v>44</v>
          </cell>
          <cell r="AP44">
            <v>47</v>
          </cell>
          <cell r="AQ44">
            <v>57</v>
          </cell>
          <cell r="AR44">
            <v>46</v>
          </cell>
          <cell r="AS44">
            <v>48</v>
          </cell>
          <cell r="AT44">
            <v>46</v>
          </cell>
          <cell r="AU44">
            <v>42</v>
          </cell>
          <cell r="AV44">
            <v>45</v>
          </cell>
          <cell r="AW44">
            <v>45</v>
          </cell>
          <cell r="AX44">
            <v>45</v>
          </cell>
          <cell r="AY44">
            <v>46</v>
          </cell>
          <cell r="AZ44">
            <v>46</v>
          </cell>
          <cell r="BA44">
            <v>46</v>
          </cell>
          <cell r="BB44">
            <v>47</v>
          </cell>
          <cell r="BC44">
            <v>47</v>
          </cell>
          <cell r="BD44">
            <v>47</v>
          </cell>
          <cell r="BE44">
            <v>47</v>
          </cell>
          <cell r="BF44">
            <v>47</v>
          </cell>
          <cell r="BG44">
            <v>47</v>
          </cell>
          <cell r="BH44">
            <v>49</v>
          </cell>
          <cell r="BI44">
            <v>47</v>
          </cell>
          <cell r="BJ44">
            <v>43</v>
          </cell>
          <cell r="BK44">
            <v>47</v>
          </cell>
          <cell r="BL44">
            <v>47</v>
          </cell>
          <cell r="BM44">
            <v>48</v>
          </cell>
          <cell r="BN44">
            <v>50</v>
          </cell>
          <cell r="BO44">
            <v>50</v>
          </cell>
          <cell r="BP44">
            <v>51</v>
          </cell>
          <cell r="BQ44">
            <v>53</v>
          </cell>
          <cell r="BR44">
            <v>53</v>
          </cell>
          <cell r="BS44">
            <v>54</v>
          </cell>
          <cell r="BT44">
            <v>54</v>
          </cell>
          <cell r="BU44">
            <v>54</v>
          </cell>
          <cell r="BV44">
            <v>42</v>
          </cell>
          <cell r="BW44">
            <v>43</v>
          </cell>
          <cell r="BX44">
            <v>46</v>
          </cell>
          <cell r="BY44">
            <v>55</v>
          </cell>
          <cell r="BZ44">
            <v>45</v>
          </cell>
        </row>
        <row r="45">
          <cell r="A45" t="str">
            <v>James Gillespie's Primary School</v>
          </cell>
          <cell r="B45">
            <v>96</v>
          </cell>
          <cell r="C45">
            <v>101</v>
          </cell>
          <cell r="D45">
            <v>62</v>
          </cell>
          <cell r="E45">
            <v>84</v>
          </cell>
          <cell r="F45">
            <v>90</v>
          </cell>
          <cell r="G45">
            <v>93</v>
          </cell>
          <cell r="H45">
            <v>90</v>
          </cell>
          <cell r="I45">
            <v>59</v>
          </cell>
          <cell r="J45">
            <v>63</v>
          </cell>
          <cell r="K45">
            <v>71.438622477319015</v>
          </cell>
          <cell r="L45">
            <v>72.459174226995003</v>
          </cell>
          <cell r="M45">
            <v>73.335802011973101</v>
          </cell>
          <cell r="N45">
            <v>74.029253841881143</v>
          </cell>
          <cell r="O45">
            <v>74.565697710300569</v>
          </cell>
          <cell r="P45">
            <v>74.932049620440665</v>
          </cell>
          <cell r="Q45">
            <v>75.141393569092145</v>
          </cell>
          <cell r="R45">
            <v>75.376905511325063</v>
          </cell>
          <cell r="S45">
            <v>75.389989508115775</v>
          </cell>
          <cell r="T45">
            <v>75.363821514534337</v>
          </cell>
          <cell r="U45">
            <v>89</v>
          </cell>
          <cell r="V45">
            <v>96</v>
          </cell>
          <cell r="W45">
            <v>72</v>
          </cell>
          <cell r="X45">
            <v>95</v>
          </cell>
          <cell r="Y45">
            <v>90</v>
          </cell>
          <cell r="Z45">
            <v>96</v>
          </cell>
          <cell r="AA45">
            <v>93</v>
          </cell>
          <cell r="AB45">
            <v>61</v>
          </cell>
          <cell r="AC45">
            <v>65</v>
          </cell>
          <cell r="AD45">
            <v>74</v>
          </cell>
          <cell r="AE45">
            <v>75</v>
          </cell>
          <cell r="AF45">
            <v>76</v>
          </cell>
          <cell r="AG45">
            <v>77</v>
          </cell>
          <cell r="AH45">
            <v>77</v>
          </cell>
          <cell r="AI45">
            <v>77</v>
          </cell>
          <cell r="AJ45">
            <v>78</v>
          </cell>
          <cell r="AK45">
            <v>78</v>
          </cell>
          <cell r="AL45">
            <v>78</v>
          </cell>
          <cell r="AM45">
            <v>78</v>
          </cell>
          <cell r="AN45">
            <v>85</v>
          </cell>
          <cell r="AO45">
            <v>93</v>
          </cell>
          <cell r="AP45">
            <v>70</v>
          </cell>
          <cell r="AQ45">
            <v>89</v>
          </cell>
          <cell r="AR45">
            <v>86</v>
          </cell>
          <cell r="AS45">
            <v>92</v>
          </cell>
          <cell r="AT45">
            <v>89</v>
          </cell>
          <cell r="AU45">
            <v>58</v>
          </cell>
          <cell r="AV45">
            <v>62</v>
          </cell>
          <cell r="AW45">
            <v>71</v>
          </cell>
          <cell r="AX45">
            <v>72</v>
          </cell>
          <cell r="AY45">
            <v>73</v>
          </cell>
          <cell r="AZ45">
            <v>74</v>
          </cell>
          <cell r="BA45">
            <v>74</v>
          </cell>
          <cell r="BB45">
            <v>74</v>
          </cell>
          <cell r="BC45">
            <v>74</v>
          </cell>
          <cell r="BD45">
            <v>74</v>
          </cell>
          <cell r="BE45">
            <v>74</v>
          </cell>
          <cell r="BF45">
            <v>74</v>
          </cell>
          <cell r="BG45">
            <v>86</v>
          </cell>
          <cell r="BH45">
            <v>92</v>
          </cell>
          <cell r="BI45">
            <v>89</v>
          </cell>
          <cell r="BJ45">
            <v>58</v>
          </cell>
          <cell r="BK45">
            <v>62</v>
          </cell>
          <cell r="BL45">
            <v>71</v>
          </cell>
          <cell r="BM45">
            <v>74</v>
          </cell>
          <cell r="BN45">
            <v>77</v>
          </cell>
          <cell r="BO45">
            <v>79</v>
          </cell>
          <cell r="BP45">
            <v>81</v>
          </cell>
          <cell r="BQ45">
            <v>82</v>
          </cell>
          <cell r="BR45">
            <v>82</v>
          </cell>
          <cell r="BS45">
            <v>83</v>
          </cell>
          <cell r="BT45">
            <v>83</v>
          </cell>
          <cell r="BU45">
            <v>83</v>
          </cell>
          <cell r="BV45">
            <v>79</v>
          </cell>
          <cell r="BW45">
            <v>84</v>
          </cell>
          <cell r="BX45">
            <v>67</v>
          </cell>
          <cell r="BY45">
            <v>83</v>
          </cell>
          <cell r="BZ45">
            <v>84</v>
          </cell>
        </row>
        <row r="46">
          <cell r="A46" t="str">
            <v>Juniper Green Primary School</v>
          </cell>
          <cell r="B46">
            <v>55</v>
          </cell>
          <cell r="C46">
            <v>36</v>
          </cell>
          <cell r="D46">
            <v>39</v>
          </cell>
          <cell r="E46">
            <v>45</v>
          </cell>
          <cell r="F46">
            <v>41</v>
          </cell>
          <cell r="G46">
            <v>58</v>
          </cell>
          <cell r="H46">
            <v>41</v>
          </cell>
          <cell r="I46">
            <v>36</v>
          </cell>
          <cell r="J46">
            <v>53</v>
          </cell>
          <cell r="K46">
            <v>43.806702462506948</v>
          </cell>
          <cell r="L46">
            <v>44.432512497685622</v>
          </cell>
          <cell r="M46">
            <v>44.970067271492944</v>
          </cell>
          <cell r="N46">
            <v>45.395297167191274</v>
          </cell>
          <cell r="O46">
            <v>45.724248595939038</v>
          </cell>
          <cell r="P46">
            <v>45.948898352157023</v>
          </cell>
          <cell r="Q46">
            <v>46.077269641424444</v>
          </cell>
          <cell r="R46">
            <v>46.221687341850291</v>
          </cell>
          <cell r="S46">
            <v>46.229710547429505</v>
          </cell>
          <cell r="T46">
            <v>46.213664136271078</v>
          </cell>
          <cell r="U46">
            <v>49</v>
          </cell>
          <cell r="V46">
            <v>64</v>
          </cell>
          <cell r="W46">
            <v>54</v>
          </cell>
          <cell r="X46">
            <v>54</v>
          </cell>
          <cell r="Y46">
            <v>40</v>
          </cell>
          <cell r="Z46">
            <v>72</v>
          </cell>
          <cell r="AA46">
            <v>51</v>
          </cell>
          <cell r="AB46">
            <v>45</v>
          </cell>
          <cell r="AC46">
            <v>66</v>
          </cell>
          <cell r="AD46">
            <v>55</v>
          </cell>
          <cell r="AE46">
            <v>55</v>
          </cell>
          <cell r="AF46">
            <v>56</v>
          </cell>
          <cell r="AG46">
            <v>57</v>
          </cell>
          <cell r="AH46">
            <v>57</v>
          </cell>
          <cell r="AI46">
            <v>57</v>
          </cell>
          <cell r="AJ46">
            <v>57</v>
          </cell>
          <cell r="AK46">
            <v>58</v>
          </cell>
          <cell r="AL46">
            <v>58</v>
          </cell>
          <cell r="AM46">
            <v>58</v>
          </cell>
          <cell r="AN46">
            <v>49</v>
          </cell>
          <cell r="AO46">
            <v>62</v>
          </cell>
          <cell r="AP46">
            <v>54</v>
          </cell>
          <cell r="AQ46">
            <v>53</v>
          </cell>
          <cell r="AR46">
            <v>39</v>
          </cell>
          <cell r="AS46">
            <v>71</v>
          </cell>
          <cell r="AT46">
            <v>50</v>
          </cell>
          <cell r="AU46">
            <v>44</v>
          </cell>
          <cell r="AV46">
            <v>65</v>
          </cell>
          <cell r="AW46">
            <v>54</v>
          </cell>
          <cell r="AX46">
            <v>54</v>
          </cell>
          <cell r="AY46">
            <v>55</v>
          </cell>
          <cell r="AZ46">
            <v>56</v>
          </cell>
          <cell r="BA46">
            <v>56</v>
          </cell>
          <cell r="BB46">
            <v>56</v>
          </cell>
          <cell r="BC46">
            <v>56</v>
          </cell>
          <cell r="BD46">
            <v>57</v>
          </cell>
          <cell r="BE46">
            <v>57</v>
          </cell>
          <cell r="BF46">
            <v>57</v>
          </cell>
          <cell r="BG46">
            <v>40</v>
          </cell>
          <cell r="BH46">
            <v>71</v>
          </cell>
          <cell r="BI46">
            <v>50</v>
          </cell>
          <cell r="BJ46">
            <v>44</v>
          </cell>
          <cell r="BK46">
            <v>66</v>
          </cell>
          <cell r="BL46">
            <v>57</v>
          </cell>
          <cell r="BM46">
            <v>58</v>
          </cell>
          <cell r="BN46">
            <v>61</v>
          </cell>
          <cell r="BO46">
            <v>62</v>
          </cell>
          <cell r="BP46">
            <v>62</v>
          </cell>
          <cell r="BQ46">
            <v>62</v>
          </cell>
          <cell r="BR46">
            <v>62</v>
          </cell>
          <cell r="BS46">
            <v>63</v>
          </cell>
          <cell r="BT46">
            <v>63</v>
          </cell>
          <cell r="BU46">
            <v>63</v>
          </cell>
          <cell r="BV46">
            <v>47</v>
          </cell>
          <cell r="BW46">
            <v>61</v>
          </cell>
          <cell r="BX46">
            <v>53</v>
          </cell>
          <cell r="BY46">
            <v>50</v>
          </cell>
          <cell r="BZ46">
            <v>38</v>
          </cell>
        </row>
        <row r="47">
          <cell r="A47" t="str">
            <v>Kirkliston Primary School</v>
          </cell>
          <cell r="B47">
            <v>48</v>
          </cell>
          <cell r="C47">
            <v>41</v>
          </cell>
          <cell r="D47">
            <v>50</v>
          </cell>
          <cell r="E47">
            <v>58</v>
          </cell>
          <cell r="F47">
            <v>70</v>
          </cell>
          <cell r="G47">
            <v>69</v>
          </cell>
          <cell r="H47">
            <v>80</v>
          </cell>
          <cell r="I47">
            <v>84</v>
          </cell>
          <cell r="J47">
            <v>99</v>
          </cell>
          <cell r="K47">
            <v>88.624328827994816</v>
          </cell>
          <cell r="L47">
            <v>89.890390668394744</v>
          </cell>
          <cell r="M47">
            <v>90.977905326174167</v>
          </cell>
          <cell r="N47">
            <v>91.838178115163856</v>
          </cell>
          <cell r="O47">
            <v>92.503672159476636</v>
          </cell>
          <cell r="P47">
            <v>92.958155897056102</v>
          </cell>
          <cell r="Q47">
            <v>93.217860889958658</v>
          </cell>
          <cell r="R47">
            <v>93.510029006974023</v>
          </cell>
          <cell r="S47">
            <v>93.526260569030427</v>
          </cell>
          <cell r="T47">
            <v>93.493797444917604</v>
          </cell>
          <cell r="U47">
            <v>90</v>
          </cell>
          <cell r="V47">
            <v>70</v>
          </cell>
          <cell r="W47">
            <v>102</v>
          </cell>
          <cell r="X47">
            <v>104</v>
          </cell>
          <cell r="Y47">
            <v>111</v>
          </cell>
          <cell r="Z47">
            <v>124</v>
          </cell>
          <cell r="AA47">
            <v>144</v>
          </cell>
          <cell r="AB47">
            <v>151</v>
          </cell>
          <cell r="AC47">
            <v>178</v>
          </cell>
          <cell r="AD47">
            <v>160</v>
          </cell>
          <cell r="AE47">
            <v>162</v>
          </cell>
          <cell r="AF47">
            <v>164</v>
          </cell>
          <cell r="AG47">
            <v>165</v>
          </cell>
          <cell r="AH47">
            <v>167</v>
          </cell>
          <cell r="AI47">
            <v>167</v>
          </cell>
          <cell r="AJ47">
            <v>168</v>
          </cell>
          <cell r="AK47">
            <v>168</v>
          </cell>
          <cell r="AL47">
            <v>168</v>
          </cell>
          <cell r="AM47">
            <v>168</v>
          </cell>
          <cell r="AN47">
            <v>86</v>
          </cell>
          <cell r="AO47">
            <v>67</v>
          </cell>
          <cell r="AP47">
            <v>96</v>
          </cell>
          <cell r="AQ47">
            <v>98</v>
          </cell>
          <cell r="AR47">
            <v>106</v>
          </cell>
          <cell r="AS47">
            <v>117</v>
          </cell>
          <cell r="AT47">
            <v>136</v>
          </cell>
          <cell r="AU47">
            <v>143</v>
          </cell>
          <cell r="AV47">
            <v>168</v>
          </cell>
          <cell r="AW47">
            <v>151</v>
          </cell>
          <cell r="AX47">
            <v>153</v>
          </cell>
          <cell r="AY47">
            <v>155</v>
          </cell>
          <cell r="AZ47">
            <v>156</v>
          </cell>
          <cell r="BA47">
            <v>158</v>
          </cell>
          <cell r="BB47">
            <v>158</v>
          </cell>
          <cell r="BC47">
            <v>159</v>
          </cell>
          <cell r="BD47">
            <v>159</v>
          </cell>
          <cell r="BE47">
            <v>159</v>
          </cell>
          <cell r="BF47">
            <v>159</v>
          </cell>
          <cell r="BG47">
            <v>109</v>
          </cell>
          <cell r="BH47">
            <v>119</v>
          </cell>
          <cell r="BI47">
            <v>138</v>
          </cell>
          <cell r="BJ47">
            <v>145</v>
          </cell>
          <cell r="BK47">
            <v>170</v>
          </cell>
          <cell r="BL47">
            <v>153</v>
          </cell>
          <cell r="BM47">
            <v>155</v>
          </cell>
          <cell r="BN47">
            <v>158</v>
          </cell>
          <cell r="BO47">
            <v>160</v>
          </cell>
          <cell r="BP47">
            <v>163</v>
          </cell>
          <cell r="BQ47">
            <v>163</v>
          </cell>
          <cell r="BR47">
            <v>164</v>
          </cell>
          <cell r="BS47">
            <v>164</v>
          </cell>
          <cell r="BT47">
            <v>164</v>
          </cell>
          <cell r="BU47">
            <v>164</v>
          </cell>
          <cell r="BV47">
            <v>80</v>
          </cell>
          <cell r="BW47">
            <v>63</v>
          </cell>
          <cell r="BX47">
            <v>93</v>
          </cell>
          <cell r="BY47">
            <v>95</v>
          </cell>
          <cell r="BZ47">
            <v>105</v>
          </cell>
        </row>
        <row r="48">
          <cell r="A48" t="str">
            <v>Leith Primary School</v>
          </cell>
          <cell r="B48">
            <v>181</v>
          </cell>
          <cell r="C48">
            <v>181</v>
          </cell>
          <cell r="D48">
            <v>168</v>
          </cell>
          <cell r="E48">
            <v>207</v>
          </cell>
          <cell r="F48">
            <v>162</v>
          </cell>
          <cell r="G48">
            <v>175</v>
          </cell>
          <cell r="H48">
            <v>146</v>
          </cell>
          <cell r="I48">
            <v>155</v>
          </cell>
          <cell r="J48">
            <v>168</v>
          </cell>
          <cell r="K48">
            <v>158.04110349935198</v>
          </cell>
          <cell r="L48">
            <v>160.29883354934273</v>
          </cell>
          <cell r="M48">
            <v>162.23816577177067</v>
          </cell>
          <cell r="N48">
            <v>163.77226439548232</v>
          </cell>
          <cell r="O48">
            <v>164.95901993458003</v>
          </cell>
          <cell r="P48">
            <v>165.76948713201261</v>
          </cell>
          <cell r="Q48">
            <v>166.23261124483122</v>
          </cell>
          <cell r="R48">
            <v>166.75362587175215</v>
          </cell>
          <cell r="S48">
            <v>166.78257112880331</v>
          </cell>
          <cell r="T48">
            <v>166.72468061470099</v>
          </cell>
          <cell r="U48">
            <v>119</v>
          </cell>
          <cell r="V48">
            <v>108</v>
          </cell>
          <cell r="W48">
            <v>97</v>
          </cell>
          <cell r="X48">
            <v>100</v>
          </cell>
          <cell r="Y48">
            <v>106</v>
          </cell>
          <cell r="Z48">
            <v>104</v>
          </cell>
          <cell r="AA48">
            <v>87</v>
          </cell>
          <cell r="AB48">
            <v>92</v>
          </cell>
          <cell r="AC48">
            <v>100</v>
          </cell>
          <cell r="AD48">
            <v>94</v>
          </cell>
          <cell r="AE48">
            <v>95</v>
          </cell>
          <cell r="AF48">
            <v>96</v>
          </cell>
          <cell r="AG48">
            <v>97</v>
          </cell>
          <cell r="AH48">
            <v>98</v>
          </cell>
          <cell r="AI48">
            <v>98</v>
          </cell>
          <cell r="AJ48">
            <v>99</v>
          </cell>
          <cell r="AK48">
            <v>99</v>
          </cell>
          <cell r="AL48">
            <v>99</v>
          </cell>
          <cell r="AM48">
            <v>99</v>
          </cell>
          <cell r="AN48">
            <v>83</v>
          </cell>
          <cell r="AO48">
            <v>70</v>
          </cell>
          <cell r="AP48">
            <v>55</v>
          </cell>
          <cell r="AQ48">
            <v>61</v>
          </cell>
          <cell r="AR48">
            <v>72</v>
          </cell>
          <cell r="AS48">
            <v>64</v>
          </cell>
          <cell r="AT48">
            <v>54</v>
          </cell>
          <cell r="AU48">
            <v>57</v>
          </cell>
          <cell r="AV48">
            <v>62</v>
          </cell>
          <cell r="AW48">
            <v>58</v>
          </cell>
          <cell r="AX48">
            <v>59</v>
          </cell>
          <cell r="AY48">
            <v>59</v>
          </cell>
          <cell r="AZ48">
            <v>60</v>
          </cell>
          <cell r="BA48">
            <v>61</v>
          </cell>
          <cell r="BB48">
            <v>61</v>
          </cell>
          <cell r="BC48">
            <v>61</v>
          </cell>
          <cell r="BD48">
            <v>61</v>
          </cell>
          <cell r="BE48">
            <v>61</v>
          </cell>
          <cell r="BF48">
            <v>61</v>
          </cell>
          <cell r="BG48">
            <v>73</v>
          </cell>
          <cell r="BH48">
            <v>65</v>
          </cell>
          <cell r="BI48">
            <v>56</v>
          </cell>
          <cell r="BJ48">
            <v>60</v>
          </cell>
          <cell r="BK48">
            <v>67</v>
          </cell>
          <cell r="BL48">
            <v>64</v>
          </cell>
          <cell r="BM48">
            <v>67</v>
          </cell>
          <cell r="BN48">
            <v>70</v>
          </cell>
          <cell r="BO48">
            <v>73</v>
          </cell>
          <cell r="BP48">
            <v>77</v>
          </cell>
          <cell r="BQ48">
            <v>79</v>
          </cell>
          <cell r="BR48">
            <v>81</v>
          </cell>
          <cell r="BS48">
            <v>82</v>
          </cell>
          <cell r="BT48">
            <v>84</v>
          </cell>
          <cell r="BU48">
            <v>86</v>
          </cell>
          <cell r="BV48">
            <v>63</v>
          </cell>
          <cell r="BW48">
            <v>59</v>
          </cell>
          <cell r="BX48">
            <v>37</v>
          </cell>
          <cell r="BY48">
            <v>40</v>
          </cell>
          <cell r="BZ48">
            <v>53</v>
          </cell>
        </row>
        <row r="49">
          <cell r="A49" t="str">
            <v>Leith Walk Primary School</v>
          </cell>
          <cell r="B49">
            <v>155</v>
          </cell>
          <cell r="C49">
            <v>145</v>
          </cell>
          <cell r="D49">
            <v>150</v>
          </cell>
          <cell r="E49">
            <v>133</v>
          </cell>
          <cell r="F49">
            <v>146</v>
          </cell>
          <cell r="G49">
            <v>137</v>
          </cell>
          <cell r="H49">
            <v>112</v>
          </cell>
          <cell r="I49">
            <v>128</v>
          </cell>
          <cell r="J49">
            <v>99</v>
          </cell>
          <cell r="K49">
            <v>114.23440103684503</v>
          </cell>
          <cell r="L49">
            <v>115.8663210516571</v>
          </cell>
          <cell r="M49">
            <v>117.26809850027772</v>
          </cell>
          <cell r="N49">
            <v>118.37696722829105</v>
          </cell>
          <cell r="O49">
            <v>119.23477133864098</v>
          </cell>
          <cell r="P49">
            <v>119.82058877985557</v>
          </cell>
          <cell r="Q49">
            <v>120.15534160340677</v>
          </cell>
          <cell r="R49">
            <v>120.53193852990186</v>
          </cell>
          <cell r="S49">
            <v>120.55286058137382</v>
          </cell>
          <cell r="T49">
            <v>120.51101647842992</v>
          </cell>
          <cell r="U49">
            <v>70</v>
          </cell>
          <cell r="V49">
            <v>59</v>
          </cell>
          <cell r="W49">
            <v>50</v>
          </cell>
          <cell r="X49">
            <v>63</v>
          </cell>
          <cell r="Y49">
            <v>58</v>
          </cell>
          <cell r="Z49">
            <v>57</v>
          </cell>
          <cell r="AA49">
            <v>46</v>
          </cell>
          <cell r="AB49">
            <v>53</v>
          </cell>
          <cell r="AC49">
            <v>41</v>
          </cell>
          <cell r="AD49">
            <v>47</v>
          </cell>
          <cell r="AE49">
            <v>48</v>
          </cell>
          <cell r="AF49">
            <v>48</v>
          </cell>
          <cell r="AG49">
            <v>49</v>
          </cell>
          <cell r="AH49">
            <v>49</v>
          </cell>
          <cell r="AI49">
            <v>49</v>
          </cell>
          <cell r="AJ49">
            <v>50</v>
          </cell>
          <cell r="AK49">
            <v>50</v>
          </cell>
          <cell r="AL49">
            <v>50</v>
          </cell>
          <cell r="AM49">
            <v>50</v>
          </cell>
          <cell r="AN49">
            <v>48</v>
          </cell>
          <cell r="AO49">
            <v>43</v>
          </cell>
          <cell r="AP49">
            <v>33</v>
          </cell>
          <cell r="AQ49">
            <v>47</v>
          </cell>
          <cell r="AR49">
            <v>41</v>
          </cell>
          <cell r="AS49">
            <v>40</v>
          </cell>
          <cell r="AT49">
            <v>32</v>
          </cell>
          <cell r="AU49">
            <v>37</v>
          </cell>
          <cell r="AV49">
            <v>29</v>
          </cell>
          <cell r="AW49">
            <v>33</v>
          </cell>
          <cell r="AX49">
            <v>34</v>
          </cell>
          <cell r="AY49">
            <v>34</v>
          </cell>
          <cell r="AZ49">
            <v>35</v>
          </cell>
          <cell r="BA49">
            <v>35</v>
          </cell>
          <cell r="BB49">
            <v>35</v>
          </cell>
          <cell r="BC49">
            <v>35</v>
          </cell>
          <cell r="BD49">
            <v>35</v>
          </cell>
          <cell r="BE49">
            <v>35</v>
          </cell>
          <cell r="BF49">
            <v>35</v>
          </cell>
          <cell r="BG49">
            <v>42</v>
          </cell>
          <cell r="BH49">
            <v>41</v>
          </cell>
          <cell r="BI49">
            <v>33</v>
          </cell>
          <cell r="BJ49">
            <v>38</v>
          </cell>
          <cell r="BK49">
            <v>30</v>
          </cell>
          <cell r="BL49">
            <v>34</v>
          </cell>
          <cell r="BM49">
            <v>35</v>
          </cell>
          <cell r="BN49">
            <v>35</v>
          </cell>
          <cell r="BO49">
            <v>36</v>
          </cell>
          <cell r="BP49">
            <v>36</v>
          </cell>
          <cell r="BQ49">
            <v>36</v>
          </cell>
          <cell r="BR49">
            <v>36</v>
          </cell>
          <cell r="BS49">
            <v>36</v>
          </cell>
          <cell r="BT49">
            <v>36</v>
          </cell>
          <cell r="BU49">
            <v>36</v>
          </cell>
          <cell r="BV49">
            <v>41</v>
          </cell>
          <cell r="BW49">
            <v>29</v>
          </cell>
          <cell r="BX49">
            <v>27</v>
          </cell>
          <cell r="BY49">
            <v>30</v>
          </cell>
          <cell r="BZ49">
            <v>27</v>
          </cell>
        </row>
        <row r="50">
          <cell r="A50" t="str">
            <v>Liberton Primary School</v>
          </cell>
          <cell r="B50">
            <v>85</v>
          </cell>
          <cell r="C50">
            <v>115</v>
          </cell>
          <cell r="D50">
            <v>99</v>
          </cell>
          <cell r="E50">
            <v>102</v>
          </cell>
          <cell r="F50">
            <v>98</v>
          </cell>
          <cell r="G50">
            <v>96</v>
          </cell>
          <cell r="H50">
            <v>100</v>
          </cell>
          <cell r="I50">
            <v>107</v>
          </cell>
          <cell r="J50">
            <v>106</v>
          </cell>
          <cell r="K50">
            <v>105.47306054434364</v>
          </cell>
          <cell r="L50">
            <v>106.97981855211998</v>
          </cell>
          <cell r="M50">
            <v>108.27408504597915</v>
          </cell>
          <cell r="N50">
            <v>109.29790779485282</v>
          </cell>
          <cell r="O50">
            <v>110.08992161945321</v>
          </cell>
          <cell r="P50">
            <v>110.63080910942421</v>
          </cell>
          <cell r="Q50">
            <v>110.93988767512191</v>
          </cell>
          <cell r="R50">
            <v>111.28760106153183</v>
          </cell>
          <cell r="S50">
            <v>111.30691847188794</v>
          </cell>
          <cell r="T50">
            <v>111.26828365117572</v>
          </cell>
          <cell r="U50">
            <v>80</v>
          </cell>
          <cell r="V50">
            <v>96</v>
          </cell>
          <cell r="W50">
            <v>87</v>
          </cell>
          <cell r="X50">
            <v>77</v>
          </cell>
          <cell r="Y50">
            <v>89</v>
          </cell>
          <cell r="Z50">
            <v>83</v>
          </cell>
          <cell r="AA50">
            <v>86</v>
          </cell>
          <cell r="AB50">
            <v>92</v>
          </cell>
          <cell r="AC50">
            <v>92</v>
          </cell>
          <cell r="AD50">
            <v>91</v>
          </cell>
          <cell r="AE50">
            <v>92</v>
          </cell>
          <cell r="AF50">
            <v>94</v>
          </cell>
          <cell r="AG50">
            <v>94</v>
          </cell>
          <cell r="AH50">
            <v>95</v>
          </cell>
          <cell r="AI50">
            <v>96</v>
          </cell>
          <cell r="AJ50">
            <v>96</v>
          </cell>
          <cell r="AK50">
            <v>96</v>
          </cell>
          <cell r="AL50">
            <v>96</v>
          </cell>
          <cell r="AM50">
            <v>96</v>
          </cell>
          <cell r="AN50">
            <v>64</v>
          </cell>
          <cell r="AO50">
            <v>86</v>
          </cell>
          <cell r="AP50">
            <v>73</v>
          </cell>
          <cell r="AQ50">
            <v>66</v>
          </cell>
          <cell r="AR50">
            <v>61</v>
          </cell>
          <cell r="AS50">
            <v>66</v>
          </cell>
          <cell r="AT50">
            <v>68</v>
          </cell>
          <cell r="AU50">
            <v>73</v>
          </cell>
          <cell r="AV50">
            <v>73</v>
          </cell>
          <cell r="AW50">
            <v>72</v>
          </cell>
          <cell r="AX50">
            <v>73</v>
          </cell>
          <cell r="AY50">
            <v>75</v>
          </cell>
          <cell r="AZ50">
            <v>75</v>
          </cell>
          <cell r="BA50">
            <v>75</v>
          </cell>
          <cell r="BB50">
            <v>76</v>
          </cell>
          <cell r="BC50">
            <v>76</v>
          </cell>
          <cell r="BD50">
            <v>76</v>
          </cell>
          <cell r="BE50">
            <v>76</v>
          </cell>
          <cell r="BF50">
            <v>76</v>
          </cell>
          <cell r="BG50">
            <v>61</v>
          </cell>
          <cell r="BH50">
            <v>66</v>
          </cell>
          <cell r="BI50">
            <v>69</v>
          </cell>
          <cell r="BJ50">
            <v>74</v>
          </cell>
          <cell r="BK50">
            <v>74</v>
          </cell>
          <cell r="BL50">
            <v>73</v>
          </cell>
          <cell r="BM50">
            <v>74</v>
          </cell>
          <cell r="BN50">
            <v>76</v>
          </cell>
          <cell r="BO50">
            <v>76</v>
          </cell>
          <cell r="BP50">
            <v>76</v>
          </cell>
          <cell r="BQ50">
            <v>77</v>
          </cell>
          <cell r="BR50">
            <v>77</v>
          </cell>
          <cell r="BS50">
            <v>77</v>
          </cell>
          <cell r="BT50">
            <v>77</v>
          </cell>
          <cell r="BU50">
            <v>77</v>
          </cell>
          <cell r="BV50">
            <v>55</v>
          </cell>
          <cell r="BW50">
            <v>81</v>
          </cell>
          <cell r="BX50">
            <v>72</v>
          </cell>
          <cell r="BY50">
            <v>61</v>
          </cell>
          <cell r="BZ50">
            <v>57</v>
          </cell>
        </row>
        <row r="51">
          <cell r="A51" t="str">
            <v>Longstone Primary School</v>
          </cell>
          <cell r="B51">
            <v>50</v>
          </cell>
          <cell r="C51">
            <v>52</v>
          </cell>
          <cell r="D51">
            <v>54</v>
          </cell>
          <cell r="E51">
            <v>45</v>
          </cell>
          <cell r="F51">
            <v>40</v>
          </cell>
          <cell r="G51">
            <v>48</v>
          </cell>
          <cell r="H51">
            <v>28</v>
          </cell>
          <cell r="I51">
            <v>32</v>
          </cell>
          <cell r="J51">
            <v>34</v>
          </cell>
          <cell r="K51">
            <v>31.675615626735787</v>
          </cell>
          <cell r="L51">
            <v>32.128124421403442</v>
          </cell>
          <cell r="M51">
            <v>32.51681787323335</v>
          </cell>
          <cell r="N51">
            <v>32.824291797815221</v>
          </cell>
          <cell r="O51">
            <v>33.062148984755908</v>
          </cell>
          <cell r="P51">
            <v>33.224588039251991</v>
          </cell>
          <cell r="Q51">
            <v>33.317410356106897</v>
          </cell>
          <cell r="R51">
            <v>33.421835462568666</v>
          </cell>
          <cell r="S51">
            <v>33.4276368573721</v>
          </cell>
          <cell r="T51">
            <v>33.416034067765239</v>
          </cell>
          <cell r="U51">
            <v>37</v>
          </cell>
          <cell r="V51">
            <v>40</v>
          </cell>
          <cell r="W51">
            <v>52</v>
          </cell>
          <cell r="X51">
            <v>34</v>
          </cell>
          <cell r="Y51">
            <v>29</v>
          </cell>
          <cell r="Z51">
            <v>38</v>
          </cell>
          <cell r="AA51">
            <v>22</v>
          </cell>
          <cell r="AB51">
            <v>25</v>
          </cell>
          <cell r="AC51">
            <v>27</v>
          </cell>
          <cell r="AD51">
            <v>25</v>
          </cell>
          <cell r="AE51">
            <v>25</v>
          </cell>
          <cell r="AF51">
            <v>26</v>
          </cell>
          <cell r="AG51">
            <v>26</v>
          </cell>
          <cell r="AH51">
            <v>26</v>
          </cell>
          <cell r="AI51">
            <v>26</v>
          </cell>
          <cell r="AJ51">
            <v>26</v>
          </cell>
          <cell r="AK51">
            <v>26</v>
          </cell>
          <cell r="AL51">
            <v>26</v>
          </cell>
          <cell r="AM51">
            <v>26</v>
          </cell>
          <cell r="AN51">
            <v>34</v>
          </cell>
          <cell r="AO51">
            <v>37</v>
          </cell>
          <cell r="AP51">
            <v>51</v>
          </cell>
          <cell r="AQ51">
            <v>33</v>
          </cell>
          <cell r="AR51">
            <v>28</v>
          </cell>
          <cell r="AS51">
            <v>37</v>
          </cell>
          <cell r="AT51">
            <v>21</v>
          </cell>
          <cell r="AU51">
            <v>24</v>
          </cell>
          <cell r="AV51">
            <v>26</v>
          </cell>
          <cell r="AW51">
            <v>24</v>
          </cell>
          <cell r="AX51">
            <v>24</v>
          </cell>
          <cell r="AY51">
            <v>25</v>
          </cell>
          <cell r="AZ51">
            <v>25</v>
          </cell>
          <cell r="BA51">
            <v>25</v>
          </cell>
          <cell r="BB51">
            <v>25</v>
          </cell>
          <cell r="BC51">
            <v>25</v>
          </cell>
          <cell r="BD51">
            <v>25</v>
          </cell>
          <cell r="BE51">
            <v>25</v>
          </cell>
          <cell r="BF51">
            <v>25</v>
          </cell>
          <cell r="BG51">
            <v>29</v>
          </cell>
          <cell r="BH51">
            <v>37</v>
          </cell>
          <cell r="BI51">
            <v>21</v>
          </cell>
          <cell r="BJ51">
            <v>24</v>
          </cell>
          <cell r="BK51">
            <v>26</v>
          </cell>
          <cell r="BL51">
            <v>24</v>
          </cell>
          <cell r="BM51">
            <v>24</v>
          </cell>
          <cell r="BN51">
            <v>25</v>
          </cell>
          <cell r="BO51">
            <v>25</v>
          </cell>
          <cell r="BP51">
            <v>25</v>
          </cell>
          <cell r="BQ51">
            <v>25</v>
          </cell>
          <cell r="BR51">
            <v>25</v>
          </cell>
          <cell r="BS51">
            <v>25</v>
          </cell>
          <cell r="BT51">
            <v>25</v>
          </cell>
          <cell r="BU51">
            <v>25</v>
          </cell>
          <cell r="BV51">
            <v>30</v>
          </cell>
          <cell r="BW51">
            <v>30</v>
          </cell>
          <cell r="BX51">
            <v>46</v>
          </cell>
          <cell r="BY51">
            <v>31</v>
          </cell>
          <cell r="BZ51">
            <v>28</v>
          </cell>
        </row>
        <row r="52">
          <cell r="A52" t="str">
            <v>Lorne Primary School</v>
          </cell>
          <cell r="B52">
            <v>78</v>
          </cell>
          <cell r="C52">
            <v>90</v>
          </cell>
          <cell r="D52">
            <v>101</v>
          </cell>
          <cell r="E52">
            <v>84</v>
          </cell>
          <cell r="F52">
            <v>84</v>
          </cell>
          <cell r="G52">
            <v>95</v>
          </cell>
          <cell r="H52">
            <v>77</v>
          </cell>
          <cell r="I52">
            <v>73</v>
          </cell>
          <cell r="J52">
            <v>65</v>
          </cell>
          <cell r="K52">
            <v>72.44954638029995</v>
          </cell>
          <cell r="L52">
            <v>73.484539900018518</v>
          </cell>
          <cell r="M52">
            <v>74.373572795161394</v>
          </cell>
          <cell r="N52">
            <v>75.076837622662481</v>
          </cell>
          <cell r="O52">
            <v>75.620872677899172</v>
          </cell>
          <cell r="P52">
            <v>75.992408813182763</v>
          </cell>
          <cell r="Q52">
            <v>76.204715176201958</v>
          </cell>
          <cell r="R52">
            <v>76.443559834598545</v>
          </cell>
          <cell r="S52">
            <v>76.456828982287249</v>
          </cell>
          <cell r="T52">
            <v>76.430290686909856</v>
          </cell>
          <cell r="U52">
            <v>39</v>
          </cell>
          <cell r="V52">
            <v>37</v>
          </cell>
          <cell r="W52">
            <v>29</v>
          </cell>
          <cell r="X52">
            <v>38</v>
          </cell>
          <cell r="Y52">
            <v>37</v>
          </cell>
          <cell r="Z52">
            <v>40</v>
          </cell>
          <cell r="AA52">
            <v>32</v>
          </cell>
          <cell r="AB52">
            <v>31</v>
          </cell>
          <cell r="AC52">
            <v>27</v>
          </cell>
          <cell r="AD52">
            <v>30</v>
          </cell>
          <cell r="AE52">
            <v>31</v>
          </cell>
          <cell r="AF52">
            <v>31</v>
          </cell>
          <cell r="AG52">
            <v>31</v>
          </cell>
          <cell r="AH52">
            <v>32</v>
          </cell>
          <cell r="AI52">
            <v>32</v>
          </cell>
          <cell r="AJ52">
            <v>32</v>
          </cell>
          <cell r="AK52">
            <v>32</v>
          </cell>
          <cell r="AL52">
            <v>32</v>
          </cell>
          <cell r="AM52">
            <v>32</v>
          </cell>
          <cell r="AN52">
            <v>30</v>
          </cell>
          <cell r="AO52">
            <v>31</v>
          </cell>
          <cell r="AP52">
            <v>27</v>
          </cell>
          <cell r="AQ52">
            <v>32</v>
          </cell>
          <cell r="AR52">
            <v>33</v>
          </cell>
          <cell r="AS52">
            <v>36</v>
          </cell>
          <cell r="AT52">
            <v>28</v>
          </cell>
          <cell r="AU52">
            <v>28</v>
          </cell>
          <cell r="AV52">
            <v>24</v>
          </cell>
          <cell r="AW52">
            <v>27</v>
          </cell>
          <cell r="AX52">
            <v>28</v>
          </cell>
          <cell r="AY52">
            <v>28</v>
          </cell>
          <cell r="AZ52">
            <v>28</v>
          </cell>
          <cell r="BA52">
            <v>28</v>
          </cell>
          <cell r="BB52">
            <v>28</v>
          </cell>
          <cell r="BC52">
            <v>28</v>
          </cell>
          <cell r="BD52">
            <v>28</v>
          </cell>
          <cell r="BE52">
            <v>28</v>
          </cell>
          <cell r="BF52">
            <v>28</v>
          </cell>
          <cell r="BG52">
            <v>33</v>
          </cell>
          <cell r="BH52">
            <v>36</v>
          </cell>
          <cell r="BI52">
            <v>28</v>
          </cell>
          <cell r="BJ52">
            <v>28</v>
          </cell>
          <cell r="BK52">
            <v>24</v>
          </cell>
          <cell r="BL52">
            <v>27</v>
          </cell>
          <cell r="BM52">
            <v>28</v>
          </cell>
          <cell r="BN52">
            <v>28</v>
          </cell>
          <cell r="BO52">
            <v>28</v>
          </cell>
          <cell r="BP52">
            <v>28</v>
          </cell>
          <cell r="BQ52">
            <v>28</v>
          </cell>
          <cell r="BR52">
            <v>28</v>
          </cell>
          <cell r="BS52">
            <v>28</v>
          </cell>
          <cell r="BT52">
            <v>28</v>
          </cell>
          <cell r="BU52">
            <v>28</v>
          </cell>
          <cell r="BV52">
            <v>20</v>
          </cell>
          <cell r="BW52">
            <v>26</v>
          </cell>
          <cell r="BX52">
            <v>21</v>
          </cell>
          <cell r="BY52">
            <v>22</v>
          </cell>
          <cell r="BZ52">
            <v>26</v>
          </cell>
        </row>
        <row r="53">
          <cell r="A53" t="str">
            <v>Murrayburn Primary School</v>
          </cell>
          <cell r="B53">
            <v>56</v>
          </cell>
          <cell r="C53">
            <v>44</v>
          </cell>
          <cell r="D53">
            <v>52</v>
          </cell>
          <cell r="E53">
            <v>54</v>
          </cell>
          <cell r="F53">
            <v>55</v>
          </cell>
          <cell r="G53">
            <v>64</v>
          </cell>
          <cell r="H53">
            <v>53</v>
          </cell>
          <cell r="I53">
            <v>38</v>
          </cell>
          <cell r="J53">
            <v>57</v>
          </cell>
          <cell r="K53">
            <v>49.872245880392519</v>
          </cell>
          <cell r="L53">
            <v>50.584706535826697</v>
          </cell>
          <cell r="M53">
            <v>51.196691970622723</v>
          </cell>
          <cell r="N53">
            <v>51.680799851879279</v>
          </cell>
          <cell r="O53">
            <v>52.055298401530578</v>
          </cell>
          <cell r="P53">
            <v>52.311053508609511</v>
          </cell>
          <cell r="Q53">
            <v>52.457199284083188</v>
          </cell>
          <cell r="R53">
            <v>52.621613281491072</v>
          </cell>
          <cell r="S53">
            <v>52.630747392458176</v>
          </cell>
          <cell r="T53">
            <v>52.612479170523969</v>
          </cell>
          <cell r="U53">
            <v>60</v>
          </cell>
          <cell r="V53">
            <v>42</v>
          </cell>
          <cell r="W53">
            <v>51</v>
          </cell>
          <cell r="X53">
            <v>48</v>
          </cell>
          <cell r="Y53">
            <v>46</v>
          </cell>
          <cell r="Z53">
            <v>61</v>
          </cell>
          <cell r="AA53">
            <v>50</v>
          </cell>
          <cell r="AB53">
            <v>36</v>
          </cell>
          <cell r="AC53">
            <v>54</v>
          </cell>
          <cell r="AD53">
            <v>47</v>
          </cell>
          <cell r="AE53">
            <v>48</v>
          </cell>
          <cell r="AF53">
            <v>48</v>
          </cell>
          <cell r="AG53">
            <v>49</v>
          </cell>
          <cell r="AH53">
            <v>49</v>
          </cell>
          <cell r="AI53">
            <v>50</v>
          </cell>
          <cell r="AJ53">
            <v>50</v>
          </cell>
          <cell r="AK53">
            <v>50</v>
          </cell>
          <cell r="AL53">
            <v>50</v>
          </cell>
          <cell r="AM53">
            <v>50</v>
          </cell>
          <cell r="AN53">
            <v>56</v>
          </cell>
          <cell r="AO53">
            <v>38</v>
          </cell>
          <cell r="AP53">
            <v>45</v>
          </cell>
          <cell r="AQ53">
            <v>41</v>
          </cell>
          <cell r="AR53">
            <v>45</v>
          </cell>
          <cell r="AS53">
            <v>55</v>
          </cell>
          <cell r="AT53">
            <v>45</v>
          </cell>
          <cell r="AU53">
            <v>33</v>
          </cell>
          <cell r="AV53">
            <v>49</v>
          </cell>
          <cell r="AW53">
            <v>43</v>
          </cell>
          <cell r="AX53">
            <v>43</v>
          </cell>
          <cell r="AY53">
            <v>43</v>
          </cell>
          <cell r="AZ53">
            <v>44</v>
          </cell>
          <cell r="BA53">
            <v>44</v>
          </cell>
          <cell r="BB53">
            <v>45</v>
          </cell>
          <cell r="BC53">
            <v>45</v>
          </cell>
          <cell r="BD53">
            <v>45</v>
          </cell>
          <cell r="BE53">
            <v>45</v>
          </cell>
          <cell r="BF53">
            <v>45</v>
          </cell>
          <cell r="BG53">
            <v>45</v>
          </cell>
          <cell r="BH53">
            <v>55</v>
          </cell>
          <cell r="BI53">
            <v>45</v>
          </cell>
          <cell r="BJ53">
            <v>33</v>
          </cell>
          <cell r="BK53">
            <v>49</v>
          </cell>
          <cell r="BL53">
            <v>43</v>
          </cell>
          <cell r="BM53">
            <v>43</v>
          </cell>
          <cell r="BN53">
            <v>43</v>
          </cell>
          <cell r="BO53">
            <v>44</v>
          </cell>
          <cell r="BP53">
            <v>44</v>
          </cell>
          <cell r="BQ53">
            <v>45</v>
          </cell>
          <cell r="BR53">
            <v>45</v>
          </cell>
          <cell r="BS53">
            <v>45</v>
          </cell>
          <cell r="BT53">
            <v>45</v>
          </cell>
          <cell r="BU53">
            <v>45</v>
          </cell>
          <cell r="BV53">
            <v>48</v>
          </cell>
          <cell r="BW53">
            <v>33</v>
          </cell>
          <cell r="BX53">
            <v>35</v>
          </cell>
          <cell r="BY53">
            <v>37</v>
          </cell>
          <cell r="BZ53">
            <v>39</v>
          </cell>
        </row>
        <row r="54">
          <cell r="A54" t="str">
            <v>Nether Currie Primary School</v>
          </cell>
          <cell r="B54">
            <v>9</v>
          </cell>
          <cell r="C54">
            <v>8</v>
          </cell>
          <cell r="D54">
            <v>9</v>
          </cell>
          <cell r="E54">
            <v>8</v>
          </cell>
          <cell r="F54">
            <v>9</v>
          </cell>
          <cell r="G54">
            <v>11</v>
          </cell>
          <cell r="H54">
            <v>9</v>
          </cell>
          <cell r="I54">
            <v>9</v>
          </cell>
          <cell r="J54">
            <v>13</v>
          </cell>
          <cell r="K54">
            <v>10.446213664136272</v>
          </cell>
          <cell r="L54">
            <v>10.595445287909646</v>
          </cell>
          <cell r="M54">
            <v>10.723631426279084</v>
          </cell>
          <cell r="N54">
            <v>10.825032401407148</v>
          </cell>
          <cell r="O54">
            <v>10.90347466518546</v>
          </cell>
          <cell r="P54">
            <v>10.95704499166821</v>
          </cell>
          <cell r="Q54">
            <v>10.987656606801211</v>
          </cell>
          <cell r="R54">
            <v>11.022094673825837</v>
          </cell>
          <cell r="S54">
            <v>11.02400789977165</v>
          </cell>
          <cell r="T54">
            <v>11.020181447880026</v>
          </cell>
          <cell r="U54">
            <v>19</v>
          </cell>
          <cell r="V54">
            <v>6</v>
          </cell>
          <cell r="W54">
            <v>17</v>
          </cell>
          <cell r="X54">
            <v>11</v>
          </cell>
          <cell r="Y54">
            <v>19</v>
          </cell>
          <cell r="Z54">
            <v>18</v>
          </cell>
          <cell r="AA54">
            <v>15</v>
          </cell>
          <cell r="AB54">
            <v>15</v>
          </cell>
          <cell r="AC54">
            <v>21</v>
          </cell>
          <cell r="AD54">
            <v>17</v>
          </cell>
          <cell r="AE54">
            <v>17</v>
          </cell>
          <cell r="AF54">
            <v>18</v>
          </cell>
          <cell r="AG54">
            <v>18</v>
          </cell>
          <cell r="AH54">
            <v>18</v>
          </cell>
          <cell r="AI54">
            <v>18</v>
          </cell>
          <cell r="AJ54">
            <v>18</v>
          </cell>
          <cell r="AK54">
            <v>18</v>
          </cell>
          <cell r="AL54">
            <v>18</v>
          </cell>
          <cell r="AM54">
            <v>18</v>
          </cell>
          <cell r="AN54">
            <v>19</v>
          </cell>
          <cell r="AO54">
            <v>6</v>
          </cell>
          <cell r="AP54">
            <v>17</v>
          </cell>
          <cell r="AQ54">
            <v>11</v>
          </cell>
          <cell r="AR54">
            <v>19</v>
          </cell>
          <cell r="AS54">
            <v>18</v>
          </cell>
          <cell r="AT54">
            <v>15</v>
          </cell>
          <cell r="AU54">
            <v>15</v>
          </cell>
          <cell r="AV54">
            <v>21</v>
          </cell>
          <cell r="AW54">
            <v>17</v>
          </cell>
          <cell r="AX54">
            <v>17</v>
          </cell>
          <cell r="AY54">
            <v>18</v>
          </cell>
          <cell r="AZ54">
            <v>18</v>
          </cell>
          <cell r="BA54">
            <v>18</v>
          </cell>
          <cell r="BB54">
            <v>18</v>
          </cell>
          <cell r="BC54">
            <v>18</v>
          </cell>
          <cell r="BD54">
            <v>18</v>
          </cell>
          <cell r="BE54">
            <v>18</v>
          </cell>
          <cell r="BF54">
            <v>18</v>
          </cell>
          <cell r="BG54">
            <v>19</v>
          </cell>
          <cell r="BH54">
            <v>18</v>
          </cell>
          <cell r="BI54">
            <v>15</v>
          </cell>
          <cell r="BJ54">
            <v>15</v>
          </cell>
          <cell r="BK54">
            <v>21</v>
          </cell>
          <cell r="BL54">
            <v>17</v>
          </cell>
          <cell r="BM54">
            <v>17</v>
          </cell>
          <cell r="BN54">
            <v>18</v>
          </cell>
          <cell r="BO54">
            <v>18</v>
          </cell>
          <cell r="BP54">
            <v>18</v>
          </cell>
          <cell r="BQ54">
            <v>18</v>
          </cell>
          <cell r="BR54">
            <v>18</v>
          </cell>
          <cell r="BS54">
            <v>18</v>
          </cell>
          <cell r="BT54">
            <v>18</v>
          </cell>
          <cell r="BU54">
            <v>18</v>
          </cell>
          <cell r="BV54">
            <v>18</v>
          </cell>
          <cell r="BW54">
            <v>6</v>
          </cell>
          <cell r="BX54">
            <v>17</v>
          </cell>
          <cell r="BY54">
            <v>11</v>
          </cell>
          <cell r="BZ54">
            <v>18</v>
          </cell>
        </row>
        <row r="55">
          <cell r="A55" t="str">
            <v>Newcraighall Primary School</v>
          </cell>
          <cell r="B55">
            <v>20</v>
          </cell>
          <cell r="C55">
            <v>19</v>
          </cell>
          <cell r="D55">
            <v>14</v>
          </cell>
          <cell r="E55">
            <v>14</v>
          </cell>
          <cell r="F55">
            <v>14</v>
          </cell>
          <cell r="G55">
            <v>9</v>
          </cell>
          <cell r="H55">
            <v>20</v>
          </cell>
          <cell r="I55">
            <v>14</v>
          </cell>
          <cell r="J55">
            <v>21</v>
          </cell>
          <cell r="K55">
            <v>18.533604887983707</v>
          </cell>
          <cell r="L55">
            <v>18.798370672097761</v>
          </cell>
          <cell r="M55">
            <v>19.025797691785474</v>
          </cell>
          <cell r="N55">
            <v>19.205702647657844</v>
          </cell>
          <cell r="O55">
            <v>19.344874405974206</v>
          </cell>
          <cell r="P55">
            <v>19.439918533604892</v>
          </cell>
          <cell r="Q55">
            <v>19.49422946367957</v>
          </cell>
          <cell r="R55">
            <v>19.555329260013583</v>
          </cell>
          <cell r="S55">
            <v>19.55872369314325</v>
          </cell>
          <cell r="T55">
            <v>19.551934826883915</v>
          </cell>
          <cell r="U55">
            <v>19</v>
          </cell>
          <cell r="V55">
            <v>17</v>
          </cell>
          <cell r="W55">
            <v>10</v>
          </cell>
          <cell r="X55">
            <v>20</v>
          </cell>
          <cell r="Y55">
            <v>17</v>
          </cell>
          <cell r="Z55">
            <v>9</v>
          </cell>
          <cell r="AA55">
            <v>21</v>
          </cell>
          <cell r="AB55">
            <v>15</v>
          </cell>
          <cell r="AC55">
            <v>22</v>
          </cell>
          <cell r="AD55">
            <v>19</v>
          </cell>
          <cell r="AE55">
            <v>20</v>
          </cell>
          <cell r="AF55">
            <v>20</v>
          </cell>
          <cell r="AG55">
            <v>20</v>
          </cell>
          <cell r="AH55">
            <v>20</v>
          </cell>
          <cell r="AI55">
            <v>20</v>
          </cell>
          <cell r="AJ55">
            <v>20</v>
          </cell>
          <cell r="AK55">
            <v>20</v>
          </cell>
          <cell r="AL55">
            <v>20</v>
          </cell>
          <cell r="AM55">
            <v>20</v>
          </cell>
          <cell r="AN55">
            <v>15</v>
          </cell>
          <cell r="AO55">
            <v>13</v>
          </cell>
          <cell r="AP55">
            <v>8</v>
          </cell>
          <cell r="AQ55">
            <v>15</v>
          </cell>
          <cell r="AR55">
            <v>14</v>
          </cell>
          <cell r="AS55">
            <v>7</v>
          </cell>
          <cell r="AT55">
            <v>17</v>
          </cell>
          <cell r="AU55">
            <v>12</v>
          </cell>
          <cell r="AV55">
            <v>17</v>
          </cell>
          <cell r="AW55">
            <v>15</v>
          </cell>
          <cell r="AX55">
            <v>16</v>
          </cell>
          <cell r="AY55">
            <v>16</v>
          </cell>
          <cell r="AZ55">
            <v>16</v>
          </cell>
          <cell r="BA55">
            <v>16</v>
          </cell>
          <cell r="BB55">
            <v>16</v>
          </cell>
          <cell r="BC55">
            <v>16</v>
          </cell>
          <cell r="BD55">
            <v>16</v>
          </cell>
          <cell r="BE55">
            <v>16</v>
          </cell>
          <cell r="BF55">
            <v>16</v>
          </cell>
          <cell r="BG55">
            <v>16</v>
          </cell>
          <cell r="BH55">
            <v>11</v>
          </cell>
          <cell r="BI55">
            <v>24</v>
          </cell>
          <cell r="BJ55">
            <v>21</v>
          </cell>
          <cell r="BK55">
            <v>28</v>
          </cell>
          <cell r="BL55">
            <v>31</v>
          </cell>
          <cell r="BM55">
            <v>37</v>
          </cell>
          <cell r="BN55">
            <v>41</v>
          </cell>
          <cell r="BO55">
            <v>46</v>
          </cell>
          <cell r="BP55">
            <v>50</v>
          </cell>
          <cell r="BQ55">
            <v>55</v>
          </cell>
          <cell r="BR55">
            <v>58</v>
          </cell>
          <cell r="BS55">
            <v>61</v>
          </cell>
          <cell r="BT55">
            <v>65</v>
          </cell>
          <cell r="BU55">
            <v>68</v>
          </cell>
          <cell r="BV55">
            <v>13</v>
          </cell>
          <cell r="BW55">
            <v>10</v>
          </cell>
          <cell r="BX55">
            <v>7</v>
          </cell>
          <cell r="BY55">
            <v>15</v>
          </cell>
          <cell r="BZ55">
            <v>11</v>
          </cell>
        </row>
        <row r="56">
          <cell r="A56" t="str">
            <v>Niddrie Mill Primary School</v>
          </cell>
          <cell r="B56">
            <v>112</v>
          </cell>
          <cell r="C56">
            <v>99</v>
          </cell>
          <cell r="D56">
            <v>102</v>
          </cell>
          <cell r="E56">
            <v>104</v>
          </cell>
          <cell r="F56">
            <v>126</v>
          </cell>
          <cell r="G56">
            <v>114</v>
          </cell>
          <cell r="H56">
            <v>103</v>
          </cell>
          <cell r="I56">
            <v>106</v>
          </cell>
          <cell r="J56">
            <v>131</v>
          </cell>
          <cell r="K56">
            <v>114.57137567117201</v>
          </cell>
          <cell r="L56">
            <v>116.2081096093316</v>
          </cell>
          <cell r="M56">
            <v>117.61402209467383</v>
          </cell>
          <cell r="N56">
            <v>118.72616182188484</v>
          </cell>
          <cell r="O56">
            <v>119.58649632784054</v>
          </cell>
          <cell r="P56">
            <v>120.17404184410296</v>
          </cell>
          <cell r="Q56">
            <v>120.50978213911006</v>
          </cell>
          <cell r="R56">
            <v>120.88748997099304</v>
          </cell>
          <cell r="S56">
            <v>120.90847373943099</v>
          </cell>
          <cell r="T56">
            <v>120.8665062025551</v>
          </cell>
          <cell r="U56">
            <v>100</v>
          </cell>
          <cell r="V56">
            <v>85</v>
          </cell>
          <cell r="W56">
            <v>94</v>
          </cell>
          <cell r="X56">
            <v>96</v>
          </cell>
          <cell r="Y56">
            <v>108</v>
          </cell>
          <cell r="Z56">
            <v>102</v>
          </cell>
          <cell r="AA56">
            <v>92</v>
          </cell>
          <cell r="AB56">
            <v>94</v>
          </cell>
          <cell r="AC56">
            <v>117</v>
          </cell>
          <cell r="AD56">
            <v>102</v>
          </cell>
          <cell r="AE56">
            <v>104</v>
          </cell>
          <cell r="AF56">
            <v>105</v>
          </cell>
          <cell r="AG56">
            <v>106</v>
          </cell>
          <cell r="AH56">
            <v>107</v>
          </cell>
          <cell r="AI56">
            <v>107</v>
          </cell>
          <cell r="AJ56">
            <v>107</v>
          </cell>
          <cell r="AK56">
            <v>108</v>
          </cell>
          <cell r="AL56">
            <v>108</v>
          </cell>
          <cell r="AM56">
            <v>108</v>
          </cell>
          <cell r="AN56">
            <v>72</v>
          </cell>
          <cell r="AO56">
            <v>62</v>
          </cell>
          <cell r="AP56">
            <v>68</v>
          </cell>
          <cell r="AQ56">
            <v>63</v>
          </cell>
          <cell r="AR56">
            <v>64</v>
          </cell>
          <cell r="AS56">
            <v>67</v>
          </cell>
          <cell r="AT56">
            <v>60</v>
          </cell>
          <cell r="AU56">
            <v>62</v>
          </cell>
          <cell r="AV56">
            <v>77</v>
          </cell>
          <cell r="AW56">
            <v>67</v>
          </cell>
          <cell r="AX56">
            <v>68</v>
          </cell>
          <cell r="AY56">
            <v>69</v>
          </cell>
          <cell r="AZ56">
            <v>70</v>
          </cell>
          <cell r="BA56">
            <v>70</v>
          </cell>
          <cell r="BB56">
            <v>70</v>
          </cell>
          <cell r="BC56">
            <v>70</v>
          </cell>
          <cell r="BD56">
            <v>71</v>
          </cell>
          <cell r="BE56">
            <v>71</v>
          </cell>
          <cell r="BF56">
            <v>71</v>
          </cell>
          <cell r="BG56">
            <v>66</v>
          </cell>
          <cell r="BH56">
            <v>71</v>
          </cell>
          <cell r="BI56">
            <v>67</v>
          </cell>
          <cell r="BJ56">
            <v>70</v>
          </cell>
          <cell r="BK56">
            <v>86</v>
          </cell>
          <cell r="BL56">
            <v>76</v>
          </cell>
          <cell r="BM56">
            <v>77</v>
          </cell>
          <cell r="BN56">
            <v>78</v>
          </cell>
          <cell r="BO56">
            <v>79</v>
          </cell>
          <cell r="BP56">
            <v>79</v>
          </cell>
          <cell r="BQ56">
            <v>79</v>
          </cell>
          <cell r="BR56">
            <v>79</v>
          </cell>
          <cell r="BS56">
            <v>80</v>
          </cell>
          <cell r="BT56">
            <v>80</v>
          </cell>
          <cell r="BU56">
            <v>80</v>
          </cell>
          <cell r="BV56">
            <v>40</v>
          </cell>
          <cell r="BW56">
            <v>30</v>
          </cell>
          <cell r="BX56">
            <v>42</v>
          </cell>
          <cell r="BY56">
            <v>33</v>
          </cell>
          <cell r="BZ56">
            <v>38</v>
          </cell>
        </row>
        <row r="57">
          <cell r="A57" t="str">
            <v>Oxgangs Primary School</v>
          </cell>
          <cell r="B57">
            <v>91</v>
          </cell>
          <cell r="C57">
            <v>107</v>
          </cell>
          <cell r="D57">
            <v>89</v>
          </cell>
          <cell r="E57">
            <v>104</v>
          </cell>
          <cell r="F57">
            <v>76</v>
          </cell>
          <cell r="G57">
            <v>86</v>
          </cell>
          <cell r="H57">
            <v>85</v>
          </cell>
          <cell r="I57">
            <v>94</v>
          </cell>
          <cell r="J57">
            <v>76</v>
          </cell>
          <cell r="K57">
            <v>85.928531753379005</v>
          </cell>
          <cell r="L57">
            <v>87.156082206998704</v>
          </cell>
          <cell r="M57">
            <v>88.210516571005371</v>
          </cell>
          <cell r="N57">
            <v>89.044621366413622</v>
          </cell>
          <cell r="O57">
            <v>89.689872245880395</v>
          </cell>
          <cell r="P57">
            <v>90.130531383077212</v>
          </cell>
          <cell r="Q57">
            <v>90.382336604332536</v>
          </cell>
          <cell r="R57">
            <v>90.665617478244769</v>
          </cell>
          <cell r="S57">
            <v>90.681355304573231</v>
          </cell>
          <cell r="T57">
            <v>90.649879651916322</v>
          </cell>
          <cell r="U57">
            <v>78</v>
          </cell>
          <cell r="V57">
            <v>79</v>
          </cell>
          <cell r="W57">
            <v>68</v>
          </cell>
          <cell r="X57">
            <v>71</v>
          </cell>
          <cell r="Y57">
            <v>65</v>
          </cell>
          <cell r="Z57">
            <v>67</v>
          </cell>
          <cell r="AA57">
            <v>66</v>
          </cell>
          <cell r="AB57">
            <v>73</v>
          </cell>
          <cell r="AC57">
            <v>59</v>
          </cell>
          <cell r="AD57">
            <v>67</v>
          </cell>
          <cell r="AE57">
            <v>68</v>
          </cell>
          <cell r="AF57">
            <v>69</v>
          </cell>
          <cell r="AG57">
            <v>69</v>
          </cell>
          <cell r="AH57">
            <v>70</v>
          </cell>
          <cell r="AI57">
            <v>70</v>
          </cell>
          <cell r="AJ57">
            <v>70</v>
          </cell>
          <cell r="AK57">
            <v>71</v>
          </cell>
          <cell r="AL57">
            <v>71</v>
          </cell>
          <cell r="AM57">
            <v>71</v>
          </cell>
          <cell r="AN57">
            <v>64</v>
          </cell>
          <cell r="AO57">
            <v>65</v>
          </cell>
          <cell r="AP57">
            <v>59</v>
          </cell>
          <cell r="AQ57">
            <v>60</v>
          </cell>
          <cell r="AR57">
            <v>56</v>
          </cell>
          <cell r="AS57">
            <v>57</v>
          </cell>
          <cell r="AT57">
            <v>57</v>
          </cell>
          <cell r="AU57">
            <v>63</v>
          </cell>
          <cell r="AV57">
            <v>51</v>
          </cell>
          <cell r="AW57">
            <v>57</v>
          </cell>
          <cell r="AX57">
            <v>58</v>
          </cell>
          <cell r="AY57">
            <v>59</v>
          </cell>
          <cell r="AZ57">
            <v>59</v>
          </cell>
          <cell r="BA57">
            <v>60</v>
          </cell>
          <cell r="BB57">
            <v>60</v>
          </cell>
          <cell r="BC57">
            <v>60</v>
          </cell>
          <cell r="BD57">
            <v>61</v>
          </cell>
          <cell r="BE57">
            <v>61</v>
          </cell>
          <cell r="BF57">
            <v>61</v>
          </cell>
          <cell r="BG57">
            <v>56</v>
          </cell>
          <cell r="BH57">
            <v>57</v>
          </cell>
          <cell r="BI57">
            <v>58</v>
          </cell>
          <cell r="BJ57">
            <v>64</v>
          </cell>
          <cell r="BK57">
            <v>52</v>
          </cell>
          <cell r="BL57">
            <v>58</v>
          </cell>
          <cell r="BM57">
            <v>59</v>
          </cell>
          <cell r="BN57">
            <v>60</v>
          </cell>
          <cell r="BO57">
            <v>60</v>
          </cell>
          <cell r="BP57">
            <v>61</v>
          </cell>
          <cell r="BQ57">
            <v>61</v>
          </cell>
          <cell r="BR57">
            <v>61</v>
          </cell>
          <cell r="BS57">
            <v>62</v>
          </cell>
          <cell r="BT57">
            <v>62</v>
          </cell>
          <cell r="BU57">
            <v>62</v>
          </cell>
          <cell r="BV57">
            <v>50</v>
          </cell>
          <cell r="BW57">
            <v>55</v>
          </cell>
          <cell r="BX57">
            <v>53</v>
          </cell>
          <cell r="BY57">
            <v>50</v>
          </cell>
          <cell r="BZ57">
            <v>48</v>
          </cell>
        </row>
        <row r="58">
          <cell r="A58" t="str">
            <v>Parsons Green Primary School</v>
          </cell>
          <cell r="B58">
            <v>62</v>
          </cell>
          <cell r="C58">
            <v>83</v>
          </cell>
          <cell r="D58">
            <v>52</v>
          </cell>
          <cell r="E58">
            <v>64</v>
          </cell>
          <cell r="F58">
            <v>72</v>
          </cell>
          <cell r="G58">
            <v>62</v>
          </cell>
          <cell r="H58">
            <v>38</v>
          </cell>
          <cell r="I58">
            <v>58</v>
          </cell>
          <cell r="J58">
            <v>55</v>
          </cell>
          <cell r="K58">
            <v>50.883169783373454</v>
          </cell>
          <cell r="L58">
            <v>51.61007220885022</v>
          </cell>
          <cell r="M58">
            <v>52.23446275381103</v>
          </cell>
          <cell r="N58">
            <v>52.728383632660623</v>
          </cell>
          <cell r="O58">
            <v>53.110473369129181</v>
          </cell>
          <cell r="P58">
            <v>53.371412701351609</v>
          </cell>
          <cell r="Q58">
            <v>53.520520891192994</v>
          </cell>
          <cell r="R58">
            <v>53.688267604764555</v>
          </cell>
          <cell r="S58">
            <v>53.697586866629642</v>
          </cell>
          <cell r="T58">
            <v>53.678948342899467</v>
          </cell>
          <cell r="U58">
            <v>52</v>
          </cell>
          <cell r="V58">
            <v>61</v>
          </cell>
          <cell r="W58">
            <v>51</v>
          </cell>
          <cell r="X58">
            <v>49</v>
          </cell>
          <cell r="Y58">
            <v>40</v>
          </cell>
          <cell r="Z58">
            <v>48</v>
          </cell>
          <cell r="AA58">
            <v>29</v>
          </cell>
          <cell r="AB58">
            <v>45</v>
          </cell>
          <cell r="AC58">
            <v>43</v>
          </cell>
          <cell r="AD58">
            <v>39</v>
          </cell>
          <cell r="AE58">
            <v>40</v>
          </cell>
          <cell r="AF58">
            <v>40</v>
          </cell>
          <cell r="AG58">
            <v>41</v>
          </cell>
          <cell r="AH58">
            <v>41</v>
          </cell>
          <cell r="AI58">
            <v>41</v>
          </cell>
          <cell r="AJ58">
            <v>41</v>
          </cell>
          <cell r="AK58">
            <v>42</v>
          </cell>
          <cell r="AL58">
            <v>42</v>
          </cell>
          <cell r="AM58">
            <v>42</v>
          </cell>
          <cell r="AN58">
            <v>49</v>
          </cell>
          <cell r="AO58">
            <v>57</v>
          </cell>
          <cell r="AP58">
            <v>47</v>
          </cell>
          <cell r="AQ58">
            <v>47</v>
          </cell>
          <cell r="AR58">
            <v>38</v>
          </cell>
          <cell r="AS58">
            <v>45</v>
          </cell>
          <cell r="AT58">
            <v>27</v>
          </cell>
          <cell r="AU58">
            <v>42</v>
          </cell>
          <cell r="AV58">
            <v>41</v>
          </cell>
          <cell r="AW58">
            <v>37</v>
          </cell>
          <cell r="AX58">
            <v>38</v>
          </cell>
          <cell r="AY58">
            <v>38</v>
          </cell>
          <cell r="AZ58">
            <v>39</v>
          </cell>
          <cell r="BA58">
            <v>39</v>
          </cell>
          <cell r="BB58">
            <v>39</v>
          </cell>
          <cell r="BC58">
            <v>39</v>
          </cell>
          <cell r="BD58">
            <v>40</v>
          </cell>
          <cell r="BE58">
            <v>40</v>
          </cell>
          <cell r="BF58">
            <v>40</v>
          </cell>
          <cell r="BG58">
            <v>38</v>
          </cell>
          <cell r="BH58">
            <v>45</v>
          </cell>
          <cell r="BI58">
            <v>27</v>
          </cell>
          <cell r="BJ58">
            <v>42</v>
          </cell>
          <cell r="BK58">
            <v>41</v>
          </cell>
          <cell r="BL58">
            <v>37</v>
          </cell>
          <cell r="BM58">
            <v>38</v>
          </cell>
          <cell r="BN58">
            <v>38</v>
          </cell>
          <cell r="BO58">
            <v>39</v>
          </cell>
          <cell r="BP58">
            <v>39</v>
          </cell>
          <cell r="BQ58">
            <v>39</v>
          </cell>
          <cell r="BR58">
            <v>39</v>
          </cell>
          <cell r="BS58">
            <v>40</v>
          </cell>
          <cell r="BT58">
            <v>40</v>
          </cell>
          <cell r="BU58">
            <v>40</v>
          </cell>
          <cell r="BV58">
            <v>45</v>
          </cell>
          <cell r="BW58">
            <v>54</v>
          </cell>
          <cell r="BX58">
            <v>40</v>
          </cell>
          <cell r="BY58">
            <v>43</v>
          </cell>
          <cell r="BZ58">
            <v>35</v>
          </cell>
        </row>
        <row r="59">
          <cell r="A59" t="str">
            <v>Pentland Primary School</v>
          </cell>
          <cell r="B59">
            <v>83</v>
          </cell>
          <cell r="C59">
            <v>92</v>
          </cell>
          <cell r="D59">
            <v>78</v>
          </cell>
          <cell r="E59">
            <v>83</v>
          </cell>
          <cell r="F59">
            <v>64</v>
          </cell>
          <cell r="G59">
            <v>77</v>
          </cell>
          <cell r="H59">
            <v>87</v>
          </cell>
          <cell r="I59">
            <v>89</v>
          </cell>
          <cell r="J59">
            <v>74</v>
          </cell>
          <cell r="K59">
            <v>84.243658581744114</v>
          </cell>
          <cell r="L59">
            <v>85.447139418626179</v>
          </cell>
          <cell r="M59">
            <v>86.480898599024869</v>
          </cell>
          <cell r="N59">
            <v>87.298648398444726</v>
          </cell>
          <cell r="O59">
            <v>87.931247299882727</v>
          </cell>
          <cell r="P59">
            <v>88.363266061840392</v>
          </cell>
          <cell r="Q59">
            <v>88.6101339258162</v>
          </cell>
          <cell r="R59">
            <v>88.887860272788984</v>
          </cell>
          <cell r="S59">
            <v>88.903289514287465</v>
          </cell>
          <cell r="T59">
            <v>88.872431031290489</v>
          </cell>
          <cell r="U59">
            <v>85</v>
          </cell>
          <cell r="V59">
            <v>89</v>
          </cell>
          <cell r="W59">
            <v>79</v>
          </cell>
          <cell r="X59">
            <v>82</v>
          </cell>
          <cell r="Y59">
            <v>73</v>
          </cell>
          <cell r="Z59">
            <v>79</v>
          </cell>
          <cell r="AA59">
            <v>89</v>
          </cell>
          <cell r="AB59">
            <v>91</v>
          </cell>
          <cell r="AC59">
            <v>76</v>
          </cell>
          <cell r="AD59">
            <v>86</v>
          </cell>
          <cell r="AE59">
            <v>88</v>
          </cell>
          <cell r="AF59">
            <v>89</v>
          </cell>
          <cell r="AG59">
            <v>90</v>
          </cell>
          <cell r="AH59">
            <v>90</v>
          </cell>
          <cell r="AI59">
            <v>91</v>
          </cell>
          <cell r="AJ59">
            <v>91</v>
          </cell>
          <cell r="AK59">
            <v>91</v>
          </cell>
          <cell r="AL59">
            <v>91</v>
          </cell>
          <cell r="AM59">
            <v>91</v>
          </cell>
          <cell r="AN59">
            <v>75</v>
          </cell>
          <cell r="AO59">
            <v>74</v>
          </cell>
          <cell r="AP59">
            <v>66</v>
          </cell>
          <cell r="AQ59">
            <v>67</v>
          </cell>
          <cell r="AR59">
            <v>65</v>
          </cell>
          <cell r="AS59">
            <v>67</v>
          </cell>
          <cell r="AT59">
            <v>75</v>
          </cell>
          <cell r="AU59">
            <v>77</v>
          </cell>
          <cell r="AV59">
            <v>64</v>
          </cell>
          <cell r="AW59">
            <v>73</v>
          </cell>
          <cell r="AX59">
            <v>75</v>
          </cell>
          <cell r="AY59">
            <v>75</v>
          </cell>
          <cell r="AZ59">
            <v>76</v>
          </cell>
          <cell r="BA59">
            <v>76</v>
          </cell>
          <cell r="BB59">
            <v>77</v>
          </cell>
          <cell r="BC59">
            <v>77</v>
          </cell>
          <cell r="BD59">
            <v>77</v>
          </cell>
          <cell r="BE59">
            <v>77</v>
          </cell>
          <cell r="BF59">
            <v>77</v>
          </cell>
          <cell r="BG59">
            <v>65</v>
          </cell>
          <cell r="BH59">
            <v>67</v>
          </cell>
          <cell r="BI59">
            <v>75</v>
          </cell>
          <cell r="BJ59">
            <v>77</v>
          </cell>
          <cell r="BK59">
            <v>64</v>
          </cell>
          <cell r="BL59">
            <v>73</v>
          </cell>
          <cell r="BM59">
            <v>76</v>
          </cell>
          <cell r="BN59">
            <v>76</v>
          </cell>
          <cell r="BO59">
            <v>77</v>
          </cell>
          <cell r="BP59">
            <v>77</v>
          </cell>
          <cell r="BQ59">
            <v>78</v>
          </cell>
          <cell r="BR59">
            <v>78</v>
          </cell>
          <cell r="BS59">
            <v>78</v>
          </cell>
          <cell r="BT59">
            <v>78</v>
          </cell>
          <cell r="BU59">
            <v>78</v>
          </cell>
          <cell r="BV59">
            <v>64</v>
          </cell>
          <cell r="BW59">
            <v>66</v>
          </cell>
          <cell r="BX59">
            <v>58</v>
          </cell>
          <cell r="BY59">
            <v>63</v>
          </cell>
          <cell r="BZ59">
            <v>59</v>
          </cell>
        </row>
        <row r="60">
          <cell r="A60" t="str">
            <v>Pirniehall Primary School</v>
          </cell>
          <cell r="B60">
            <v>53</v>
          </cell>
          <cell r="C60">
            <v>51</v>
          </cell>
          <cell r="D60">
            <v>84</v>
          </cell>
          <cell r="E60">
            <v>61</v>
          </cell>
          <cell r="F60">
            <v>68</v>
          </cell>
          <cell r="G60">
            <v>58</v>
          </cell>
          <cell r="H60">
            <v>82</v>
          </cell>
          <cell r="I60">
            <v>63</v>
          </cell>
          <cell r="J60">
            <v>80</v>
          </cell>
          <cell r="K60">
            <v>75.819292723569703</v>
          </cell>
          <cell r="L60">
            <v>76.902425476763554</v>
          </cell>
          <cell r="M60">
            <v>77.83280873912237</v>
          </cell>
          <cell r="N60">
            <v>78.568783558600245</v>
          </cell>
          <cell r="O60">
            <v>79.138122569894449</v>
          </cell>
          <cell r="P60">
            <v>79.526939455656347</v>
          </cell>
          <cell r="Q60">
            <v>79.749120533234574</v>
          </cell>
          <cell r="R60">
            <v>79.999074245510073</v>
          </cell>
          <cell r="S60">
            <v>80.012960562858709</v>
          </cell>
          <cell r="T60">
            <v>79.985187928161437</v>
          </cell>
          <cell r="U60">
            <v>36</v>
          </cell>
          <cell r="V60">
            <v>38</v>
          </cell>
          <cell r="W60">
            <v>60</v>
          </cell>
          <cell r="X60">
            <v>47</v>
          </cell>
          <cell r="Y60">
            <v>59</v>
          </cell>
          <cell r="Z60">
            <v>44</v>
          </cell>
          <cell r="AA60">
            <v>62</v>
          </cell>
          <cell r="AB60">
            <v>48</v>
          </cell>
          <cell r="AC60">
            <v>60</v>
          </cell>
          <cell r="AD60">
            <v>57</v>
          </cell>
          <cell r="AE60">
            <v>58</v>
          </cell>
          <cell r="AF60">
            <v>59</v>
          </cell>
          <cell r="AG60">
            <v>59</v>
          </cell>
          <cell r="AH60">
            <v>60</v>
          </cell>
          <cell r="AI60">
            <v>60</v>
          </cell>
          <cell r="AJ60">
            <v>60</v>
          </cell>
          <cell r="AK60">
            <v>60</v>
          </cell>
          <cell r="AL60">
            <v>60</v>
          </cell>
          <cell r="AM60">
            <v>60</v>
          </cell>
          <cell r="AN60">
            <v>28</v>
          </cell>
          <cell r="AO60">
            <v>26</v>
          </cell>
          <cell r="AP60">
            <v>42</v>
          </cell>
          <cell r="AQ60">
            <v>31</v>
          </cell>
          <cell r="AR60">
            <v>48</v>
          </cell>
          <cell r="AS60">
            <v>32</v>
          </cell>
          <cell r="AT60">
            <v>45</v>
          </cell>
          <cell r="AU60">
            <v>35</v>
          </cell>
          <cell r="AV60">
            <v>43</v>
          </cell>
          <cell r="AW60">
            <v>41</v>
          </cell>
          <cell r="AX60">
            <v>42</v>
          </cell>
          <cell r="AY60">
            <v>43</v>
          </cell>
          <cell r="AZ60">
            <v>43</v>
          </cell>
          <cell r="BA60">
            <v>43</v>
          </cell>
          <cell r="BB60">
            <v>43</v>
          </cell>
          <cell r="BC60">
            <v>43</v>
          </cell>
          <cell r="BD60">
            <v>43</v>
          </cell>
          <cell r="BE60">
            <v>43</v>
          </cell>
          <cell r="BF60">
            <v>43</v>
          </cell>
          <cell r="BG60">
            <v>48</v>
          </cell>
          <cell r="BH60">
            <v>32</v>
          </cell>
          <cell r="BI60">
            <v>45</v>
          </cell>
          <cell r="BJ60">
            <v>35</v>
          </cell>
          <cell r="BK60">
            <v>44</v>
          </cell>
          <cell r="BL60">
            <v>43</v>
          </cell>
          <cell r="BM60">
            <v>47</v>
          </cell>
          <cell r="BN60">
            <v>52</v>
          </cell>
          <cell r="BO60">
            <v>55</v>
          </cell>
          <cell r="BP60">
            <v>58</v>
          </cell>
          <cell r="BQ60">
            <v>61</v>
          </cell>
          <cell r="BR60">
            <v>62</v>
          </cell>
          <cell r="BS60">
            <v>63</v>
          </cell>
          <cell r="BT60">
            <v>64</v>
          </cell>
          <cell r="BU60">
            <v>65</v>
          </cell>
          <cell r="BV60">
            <v>16</v>
          </cell>
          <cell r="BW60">
            <v>20</v>
          </cell>
          <cell r="BX60">
            <v>30</v>
          </cell>
          <cell r="BY60">
            <v>23</v>
          </cell>
          <cell r="BZ60">
            <v>34</v>
          </cell>
        </row>
        <row r="61">
          <cell r="A61" t="str">
            <v>Preston Street Primary School</v>
          </cell>
          <cell r="B61">
            <v>83</v>
          </cell>
          <cell r="C61">
            <v>70</v>
          </cell>
          <cell r="D61">
            <v>65</v>
          </cell>
          <cell r="E61">
            <v>63</v>
          </cell>
          <cell r="F61">
            <v>72</v>
          </cell>
          <cell r="G61">
            <v>66</v>
          </cell>
          <cell r="H61">
            <v>63</v>
          </cell>
          <cell r="I61">
            <v>55</v>
          </cell>
          <cell r="J61">
            <v>45</v>
          </cell>
          <cell r="K61">
            <v>54.92686539529717</v>
          </cell>
          <cell r="L61">
            <v>55.711534900944272</v>
          </cell>
          <cell r="M61">
            <v>56.385545886564216</v>
          </cell>
          <cell r="N61">
            <v>56.918718755785967</v>
          </cell>
          <cell r="O61">
            <v>57.331173239523544</v>
          </cell>
          <cell r="P61">
            <v>57.612849472319937</v>
          </cell>
          <cell r="Q61">
            <v>57.773807319632162</v>
          </cell>
          <cell r="R61">
            <v>57.954884897858413</v>
          </cell>
          <cell r="S61">
            <v>57.96494476331543</v>
          </cell>
          <cell r="T61">
            <v>57.944825032401404</v>
          </cell>
          <cell r="U61">
            <v>51</v>
          </cell>
          <cell r="V61">
            <v>47</v>
          </cell>
          <cell r="W61">
            <v>33</v>
          </cell>
          <cell r="X61">
            <v>43</v>
          </cell>
          <cell r="Y61">
            <v>38</v>
          </cell>
          <cell r="Z61">
            <v>40</v>
          </cell>
          <cell r="AA61">
            <v>38</v>
          </cell>
          <cell r="AB61">
            <v>33</v>
          </cell>
          <cell r="AC61">
            <v>27</v>
          </cell>
          <cell r="AD61">
            <v>33</v>
          </cell>
          <cell r="AE61">
            <v>33</v>
          </cell>
          <cell r="AF61">
            <v>34</v>
          </cell>
          <cell r="AG61">
            <v>34</v>
          </cell>
          <cell r="AH61">
            <v>34</v>
          </cell>
          <cell r="AI61">
            <v>35</v>
          </cell>
          <cell r="AJ61">
            <v>35</v>
          </cell>
          <cell r="AK61">
            <v>35</v>
          </cell>
          <cell r="AL61">
            <v>35</v>
          </cell>
          <cell r="AM61">
            <v>35</v>
          </cell>
          <cell r="AN61">
            <v>46</v>
          </cell>
          <cell r="AO61">
            <v>41</v>
          </cell>
          <cell r="AP61">
            <v>30</v>
          </cell>
          <cell r="AQ61">
            <v>35</v>
          </cell>
          <cell r="AR61">
            <v>34</v>
          </cell>
          <cell r="AS61">
            <v>35</v>
          </cell>
          <cell r="AT61">
            <v>33</v>
          </cell>
          <cell r="AU61">
            <v>29</v>
          </cell>
          <cell r="AV61">
            <v>24</v>
          </cell>
          <cell r="AW61">
            <v>29</v>
          </cell>
          <cell r="AX61">
            <v>29</v>
          </cell>
          <cell r="AY61">
            <v>30</v>
          </cell>
          <cell r="AZ61">
            <v>30</v>
          </cell>
          <cell r="BA61">
            <v>30</v>
          </cell>
          <cell r="BB61">
            <v>31</v>
          </cell>
          <cell r="BC61">
            <v>31</v>
          </cell>
          <cell r="BD61">
            <v>31</v>
          </cell>
          <cell r="BE61">
            <v>31</v>
          </cell>
          <cell r="BF61">
            <v>31</v>
          </cell>
          <cell r="BG61">
            <v>34</v>
          </cell>
          <cell r="BH61">
            <v>36</v>
          </cell>
          <cell r="BI61">
            <v>34</v>
          </cell>
          <cell r="BJ61">
            <v>30</v>
          </cell>
          <cell r="BK61">
            <v>25</v>
          </cell>
          <cell r="BL61">
            <v>30</v>
          </cell>
          <cell r="BM61">
            <v>30</v>
          </cell>
          <cell r="BN61">
            <v>31</v>
          </cell>
          <cell r="BO61">
            <v>31</v>
          </cell>
          <cell r="BP61">
            <v>31</v>
          </cell>
          <cell r="BQ61">
            <v>32</v>
          </cell>
          <cell r="BR61">
            <v>32</v>
          </cell>
          <cell r="BS61">
            <v>32</v>
          </cell>
          <cell r="BT61">
            <v>32</v>
          </cell>
          <cell r="BU61">
            <v>32</v>
          </cell>
          <cell r="BV61">
            <v>39</v>
          </cell>
          <cell r="BW61">
            <v>39</v>
          </cell>
          <cell r="BX61">
            <v>26</v>
          </cell>
          <cell r="BY61">
            <v>34</v>
          </cell>
          <cell r="BZ61">
            <v>29</v>
          </cell>
        </row>
        <row r="62">
          <cell r="A62" t="str">
            <v>Prestonfield Primary School</v>
          </cell>
          <cell r="B62">
            <v>29</v>
          </cell>
          <cell r="C62">
            <v>32</v>
          </cell>
          <cell r="D62">
            <v>28</v>
          </cell>
          <cell r="E62">
            <v>34</v>
          </cell>
          <cell r="F62">
            <v>32</v>
          </cell>
          <cell r="G62">
            <v>44</v>
          </cell>
          <cell r="H62">
            <v>37</v>
          </cell>
          <cell r="I62">
            <v>21</v>
          </cell>
          <cell r="J62">
            <v>18</v>
          </cell>
          <cell r="K62">
            <v>25.610072208850212</v>
          </cell>
          <cell r="L62">
            <v>25.975930383262359</v>
          </cell>
          <cell r="M62">
            <v>26.29019317410356</v>
          </cell>
          <cell r="N62">
            <v>26.538789113127198</v>
          </cell>
          <cell r="O62">
            <v>26.731099179164353</v>
          </cell>
          <cell r="P62">
            <v>26.862432882799482</v>
          </cell>
          <cell r="Q62">
            <v>26.937480713448128</v>
          </cell>
          <cell r="R62">
            <v>27.021909522927853</v>
          </cell>
          <cell r="S62">
            <v>27.026600012343394</v>
          </cell>
          <cell r="T62">
            <v>27.017219033512312</v>
          </cell>
          <cell r="U62">
            <v>25</v>
          </cell>
          <cell r="V62">
            <v>21</v>
          </cell>
          <cell r="W62">
            <v>30</v>
          </cell>
          <cell r="X62">
            <v>18</v>
          </cell>
          <cell r="Y62">
            <v>18</v>
          </cell>
          <cell r="Z62">
            <v>32</v>
          </cell>
          <cell r="AA62">
            <v>27</v>
          </cell>
          <cell r="AB62">
            <v>15</v>
          </cell>
          <cell r="AC62">
            <v>13</v>
          </cell>
          <cell r="AD62">
            <v>19</v>
          </cell>
          <cell r="AE62">
            <v>19</v>
          </cell>
          <cell r="AF62">
            <v>19</v>
          </cell>
          <cell r="AG62">
            <v>20</v>
          </cell>
          <cell r="AH62">
            <v>20</v>
          </cell>
          <cell r="AI62">
            <v>20</v>
          </cell>
          <cell r="AJ62">
            <v>20</v>
          </cell>
          <cell r="AK62">
            <v>20</v>
          </cell>
          <cell r="AL62">
            <v>20</v>
          </cell>
          <cell r="AM62">
            <v>20</v>
          </cell>
          <cell r="AN62">
            <v>20</v>
          </cell>
          <cell r="AO62">
            <v>20</v>
          </cell>
          <cell r="AP62">
            <v>25</v>
          </cell>
          <cell r="AQ62">
            <v>17</v>
          </cell>
          <cell r="AR62">
            <v>16</v>
          </cell>
          <cell r="AS62">
            <v>28</v>
          </cell>
          <cell r="AT62">
            <v>24</v>
          </cell>
          <cell r="AU62">
            <v>13</v>
          </cell>
          <cell r="AV62">
            <v>12</v>
          </cell>
          <cell r="AW62">
            <v>17</v>
          </cell>
          <cell r="AX62">
            <v>17</v>
          </cell>
          <cell r="AY62">
            <v>17</v>
          </cell>
          <cell r="AZ62">
            <v>18</v>
          </cell>
          <cell r="BA62">
            <v>18</v>
          </cell>
          <cell r="BB62">
            <v>18</v>
          </cell>
          <cell r="BC62">
            <v>18</v>
          </cell>
          <cell r="BD62">
            <v>18</v>
          </cell>
          <cell r="BE62">
            <v>18</v>
          </cell>
          <cell r="BF62">
            <v>18</v>
          </cell>
          <cell r="BG62">
            <v>16</v>
          </cell>
          <cell r="BH62">
            <v>28</v>
          </cell>
          <cell r="BI62">
            <v>25</v>
          </cell>
          <cell r="BJ62">
            <v>14</v>
          </cell>
          <cell r="BK62">
            <v>13</v>
          </cell>
          <cell r="BL62">
            <v>18</v>
          </cell>
          <cell r="BM62">
            <v>18</v>
          </cell>
          <cell r="BN62">
            <v>18</v>
          </cell>
          <cell r="BO62">
            <v>19</v>
          </cell>
          <cell r="BP62">
            <v>19</v>
          </cell>
          <cell r="BQ62">
            <v>19</v>
          </cell>
          <cell r="BR62">
            <v>19</v>
          </cell>
          <cell r="BS62">
            <v>19</v>
          </cell>
          <cell r="BT62">
            <v>19</v>
          </cell>
          <cell r="BU62">
            <v>19</v>
          </cell>
          <cell r="BV62">
            <v>18</v>
          </cell>
          <cell r="BW62">
            <v>15</v>
          </cell>
          <cell r="BX62">
            <v>23</v>
          </cell>
          <cell r="BY62">
            <v>17</v>
          </cell>
          <cell r="BZ62">
            <v>13</v>
          </cell>
        </row>
        <row r="63">
          <cell r="A63" t="str">
            <v>Queensferry Primary School</v>
          </cell>
          <cell r="B63">
            <v>66</v>
          </cell>
          <cell r="C63">
            <v>64</v>
          </cell>
          <cell r="D63">
            <v>63</v>
          </cell>
          <cell r="E63">
            <v>53</v>
          </cell>
          <cell r="F63">
            <v>60</v>
          </cell>
          <cell r="G63">
            <v>60</v>
          </cell>
          <cell r="H63">
            <v>59</v>
          </cell>
          <cell r="I63">
            <v>61</v>
          </cell>
          <cell r="J63">
            <v>69</v>
          </cell>
          <cell r="K63">
            <v>63.688205887798553</v>
          </cell>
          <cell r="L63">
            <v>64.598037400481388</v>
          </cell>
          <cell r="M63">
            <v>65.379559340862798</v>
          </cell>
          <cell r="N63">
            <v>65.997778189224206</v>
          </cell>
          <cell r="O63">
            <v>66.47602295871134</v>
          </cell>
          <cell r="P63">
            <v>66.802629142751329</v>
          </cell>
          <cell r="Q63">
            <v>66.989261247917042</v>
          </cell>
          <cell r="R63">
            <v>67.199222366228469</v>
          </cell>
          <cell r="S63">
            <v>67.210886872801325</v>
          </cell>
          <cell r="T63">
            <v>67.187557859655612</v>
          </cell>
          <cell r="U63">
            <v>68</v>
          </cell>
          <cell r="V63">
            <v>74</v>
          </cell>
          <cell r="W63">
            <v>68</v>
          </cell>
          <cell r="X63">
            <v>76</v>
          </cell>
          <cell r="Y63">
            <v>89</v>
          </cell>
          <cell r="Z63">
            <v>74</v>
          </cell>
          <cell r="AA63">
            <v>73</v>
          </cell>
          <cell r="AB63">
            <v>75</v>
          </cell>
          <cell r="AC63">
            <v>85</v>
          </cell>
          <cell r="AD63">
            <v>79</v>
          </cell>
          <cell r="AE63">
            <v>80</v>
          </cell>
          <cell r="AF63">
            <v>81</v>
          </cell>
          <cell r="AG63">
            <v>82</v>
          </cell>
          <cell r="AH63">
            <v>82</v>
          </cell>
          <cell r="AI63">
            <v>83</v>
          </cell>
          <cell r="AJ63">
            <v>83</v>
          </cell>
          <cell r="AK63">
            <v>83</v>
          </cell>
          <cell r="AL63">
            <v>83</v>
          </cell>
          <cell r="AM63">
            <v>83</v>
          </cell>
          <cell r="AN63">
            <v>62</v>
          </cell>
          <cell r="AO63">
            <v>67</v>
          </cell>
          <cell r="AP63">
            <v>61</v>
          </cell>
          <cell r="AQ63">
            <v>68</v>
          </cell>
          <cell r="AR63">
            <v>80</v>
          </cell>
          <cell r="AS63">
            <v>66</v>
          </cell>
          <cell r="AT63">
            <v>65</v>
          </cell>
          <cell r="AU63">
            <v>67</v>
          </cell>
          <cell r="AV63">
            <v>76</v>
          </cell>
          <cell r="AW63">
            <v>71</v>
          </cell>
          <cell r="AX63">
            <v>72</v>
          </cell>
          <cell r="AY63">
            <v>73</v>
          </cell>
          <cell r="AZ63">
            <v>74</v>
          </cell>
          <cell r="BA63">
            <v>74</v>
          </cell>
          <cell r="BB63">
            <v>74</v>
          </cell>
          <cell r="BC63">
            <v>74</v>
          </cell>
          <cell r="BD63">
            <v>74</v>
          </cell>
          <cell r="BE63">
            <v>74</v>
          </cell>
          <cell r="BF63">
            <v>74</v>
          </cell>
          <cell r="BG63">
            <v>83</v>
          </cell>
          <cell r="BH63">
            <v>68</v>
          </cell>
          <cell r="BI63">
            <v>67</v>
          </cell>
          <cell r="BJ63">
            <v>72</v>
          </cell>
          <cell r="BK63">
            <v>84</v>
          </cell>
          <cell r="BL63">
            <v>81</v>
          </cell>
          <cell r="BM63">
            <v>84</v>
          </cell>
          <cell r="BN63">
            <v>86</v>
          </cell>
          <cell r="BO63">
            <v>89</v>
          </cell>
          <cell r="BP63">
            <v>90</v>
          </cell>
          <cell r="BQ63">
            <v>90</v>
          </cell>
          <cell r="BR63">
            <v>91</v>
          </cell>
          <cell r="BS63">
            <v>92</v>
          </cell>
          <cell r="BT63">
            <v>93</v>
          </cell>
          <cell r="BU63">
            <v>93</v>
          </cell>
          <cell r="BV63">
            <v>55</v>
          </cell>
          <cell r="BW63">
            <v>54</v>
          </cell>
          <cell r="BX63">
            <v>59</v>
          </cell>
          <cell r="BY63">
            <v>64</v>
          </cell>
          <cell r="BZ63">
            <v>67</v>
          </cell>
        </row>
        <row r="64">
          <cell r="A64" t="str">
            <v>Ratho Primary School</v>
          </cell>
          <cell r="B64">
            <v>24</v>
          </cell>
          <cell r="C64">
            <v>20</v>
          </cell>
          <cell r="D64">
            <v>16</v>
          </cell>
          <cell r="E64">
            <v>28</v>
          </cell>
          <cell r="F64">
            <v>28</v>
          </cell>
          <cell r="G64">
            <v>32</v>
          </cell>
          <cell r="H64">
            <v>29</v>
          </cell>
          <cell r="I64">
            <v>28</v>
          </cell>
          <cell r="J64">
            <v>28</v>
          </cell>
          <cell r="K64">
            <v>28.642843917793002</v>
          </cell>
          <cell r="L64">
            <v>29.0520274023329</v>
          </cell>
          <cell r="M64">
            <v>29.403505523668457</v>
          </cell>
          <cell r="N64">
            <v>29.681540455471211</v>
          </cell>
          <cell r="O64">
            <v>29.896624081960134</v>
          </cell>
          <cell r="P64">
            <v>30.04351046102574</v>
          </cell>
          <cell r="Q64">
            <v>30.127445534777515</v>
          </cell>
          <cell r="R64">
            <v>30.221872492748261</v>
          </cell>
          <cell r="S64">
            <v>30.227118434857747</v>
          </cell>
          <cell r="T64">
            <v>30.216626550638775</v>
          </cell>
          <cell r="U64">
            <v>42</v>
          </cell>
          <cell r="V64">
            <v>25</v>
          </cell>
          <cell r="W64">
            <v>38</v>
          </cell>
          <cell r="X64">
            <v>34</v>
          </cell>
          <cell r="Y64">
            <v>37</v>
          </cell>
          <cell r="Z64">
            <v>51</v>
          </cell>
          <cell r="AA64">
            <v>46</v>
          </cell>
          <cell r="AB64">
            <v>44</v>
          </cell>
          <cell r="AC64">
            <v>44</v>
          </cell>
          <cell r="AD64">
            <v>45</v>
          </cell>
          <cell r="AE64">
            <v>46</v>
          </cell>
          <cell r="AF64">
            <v>47</v>
          </cell>
          <cell r="AG64">
            <v>47</v>
          </cell>
          <cell r="AH64">
            <v>47</v>
          </cell>
          <cell r="AI64">
            <v>48</v>
          </cell>
          <cell r="AJ64">
            <v>48</v>
          </cell>
          <cell r="AK64">
            <v>48</v>
          </cell>
          <cell r="AL64">
            <v>48</v>
          </cell>
          <cell r="AM64">
            <v>48</v>
          </cell>
          <cell r="AN64">
            <v>42</v>
          </cell>
          <cell r="AO64">
            <v>25</v>
          </cell>
          <cell r="AP64">
            <v>38</v>
          </cell>
          <cell r="AQ64">
            <v>34</v>
          </cell>
          <cell r="AR64">
            <v>37</v>
          </cell>
          <cell r="AS64">
            <v>51</v>
          </cell>
          <cell r="AT64">
            <v>46</v>
          </cell>
          <cell r="AU64">
            <v>44</v>
          </cell>
          <cell r="AV64">
            <v>44</v>
          </cell>
          <cell r="AW64">
            <v>45</v>
          </cell>
          <cell r="AX64">
            <v>46</v>
          </cell>
          <cell r="AY64">
            <v>47</v>
          </cell>
          <cell r="AZ64">
            <v>47</v>
          </cell>
          <cell r="BA64">
            <v>47</v>
          </cell>
          <cell r="BB64">
            <v>48</v>
          </cell>
          <cell r="BC64">
            <v>48</v>
          </cell>
          <cell r="BD64">
            <v>48</v>
          </cell>
          <cell r="BE64">
            <v>48</v>
          </cell>
          <cell r="BF64">
            <v>48</v>
          </cell>
          <cell r="BG64">
            <v>38</v>
          </cell>
          <cell r="BH64">
            <v>53</v>
          </cell>
          <cell r="BI64">
            <v>48</v>
          </cell>
          <cell r="BJ64">
            <v>46</v>
          </cell>
          <cell r="BK64">
            <v>46</v>
          </cell>
          <cell r="BL64">
            <v>47</v>
          </cell>
          <cell r="BM64">
            <v>48</v>
          </cell>
          <cell r="BN64">
            <v>49</v>
          </cell>
          <cell r="BO64">
            <v>49</v>
          </cell>
          <cell r="BP64">
            <v>49</v>
          </cell>
          <cell r="BQ64">
            <v>50</v>
          </cell>
          <cell r="BR64">
            <v>50</v>
          </cell>
          <cell r="BS64">
            <v>50</v>
          </cell>
          <cell r="BT64">
            <v>50</v>
          </cell>
          <cell r="BU64">
            <v>50</v>
          </cell>
          <cell r="BV64">
            <v>40</v>
          </cell>
          <cell r="BW64">
            <v>25</v>
          </cell>
          <cell r="BX64">
            <v>37</v>
          </cell>
          <cell r="BY64">
            <v>34</v>
          </cell>
          <cell r="BZ64">
            <v>36</v>
          </cell>
        </row>
        <row r="65">
          <cell r="A65" t="str">
            <v>Roseburn Primary School</v>
          </cell>
          <cell r="B65">
            <v>86</v>
          </cell>
          <cell r="C65">
            <v>79</v>
          </cell>
          <cell r="D65">
            <v>69</v>
          </cell>
          <cell r="E65">
            <v>85</v>
          </cell>
          <cell r="F65">
            <v>74</v>
          </cell>
          <cell r="G65">
            <v>75</v>
          </cell>
          <cell r="H65">
            <v>63</v>
          </cell>
          <cell r="I65">
            <v>81</v>
          </cell>
          <cell r="J65">
            <v>48</v>
          </cell>
          <cell r="K65">
            <v>64.69912979077948</v>
          </cell>
          <cell r="L65">
            <v>65.623403073504903</v>
          </cell>
          <cell r="M65">
            <v>66.417330124051105</v>
          </cell>
          <cell r="N65">
            <v>67.045361970005558</v>
          </cell>
          <cell r="O65">
            <v>67.531197926309943</v>
          </cell>
          <cell r="P65">
            <v>67.862988335493426</v>
          </cell>
          <cell r="Q65">
            <v>68.052582855026841</v>
          </cell>
          <cell r="R65">
            <v>68.265876689501937</v>
          </cell>
          <cell r="S65">
            <v>68.27772634697277</v>
          </cell>
          <cell r="T65">
            <v>68.25402703203109</v>
          </cell>
          <cell r="U65">
            <v>34</v>
          </cell>
          <cell r="V65">
            <v>41</v>
          </cell>
          <cell r="W65">
            <v>34</v>
          </cell>
          <cell r="X65">
            <v>29</v>
          </cell>
          <cell r="Y65">
            <v>34</v>
          </cell>
          <cell r="Z65">
            <v>33</v>
          </cell>
          <cell r="AA65">
            <v>28</v>
          </cell>
          <cell r="AB65">
            <v>36</v>
          </cell>
          <cell r="AC65">
            <v>21</v>
          </cell>
          <cell r="AD65">
            <v>29</v>
          </cell>
          <cell r="AE65">
            <v>29</v>
          </cell>
          <cell r="AF65">
            <v>29</v>
          </cell>
          <cell r="AG65">
            <v>30</v>
          </cell>
          <cell r="AH65">
            <v>30</v>
          </cell>
          <cell r="AI65">
            <v>30</v>
          </cell>
          <cell r="AJ65">
            <v>30</v>
          </cell>
          <cell r="AK65">
            <v>30</v>
          </cell>
          <cell r="AL65">
            <v>30</v>
          </cell>
          <cell r="AM65">
            <v>30</v>
          </cell>
          <cell r="AN65">
            <v>34</v>
          </cell>
          <cell r="AO65">
            <v>39</v>
          </cell>
          <cell r="AP65">
            <v>33</v>
          </cell>
          <cell r="AQ65">
            <v>28</v>
          </cell>
          <cell r="AR65">
            <v>33</v>
          </cell>
          <cell r="AS65">
            <v>32</v>
          </cell>
          <cell r="AT65">
            <v>27</v>
          </cell>
          <cell r="AU65">
            <v>35</v>
          </cell>
          <cell r="AV65">
            <v>20</v>
          </cell>
          <cell r="AW65">
            <v>28</v>
          </cell>
          <cell r="AX65">
            <v>28</v>
          </cell>
          <cell r="AY65">
            <v>28</v>
          </cell>
          <cell r="AZ65">
            <v>29</v>
          </cell>
          <cell r="BA65">
            <v>29</v>
          </cell>
          <cell r="BB65">
            <v>29</v>
          </cell>
          <cell r="BC65">
            <v>29</v>
          </cell>
          <cell r="BD65">
            <v>29</v>
          </cell>
          <cell r="BE65">
            <v>29</v>
          </cell>
          <cell r="BF65">
            <v>29</v>
          </cell>
          <cell r="BG65">
            <v>33</v>
          </cell>
          <cell r="BH65">
            <v>33</v>
          </cell>
          <cell r="BI65">
            <v>28</v>
          </cell>
          <cell r="BJ65">
            <v>37</v>
          </cell>
          <cell r="BK65">
            <v>22</v>
          </cell>
          <cell r="BL65">
            <v>31</v>
          </cell>
          <cell r="BM65">
            <v>31</v>
          </cell>
          <cell r="BN65">
            <v>31</v>
          </cell>
          <cell r="BO65">
            <v>32</v>
          </cell>
          <cell r="BP65">
            <v>32</v>
          </cell>
          <cell r="BQ65">
            <v>32</v>
          </cell>
          <cell r="BR65">
            <v>32</v>
          </cell>
          <cell r="BS65">
            <v>32</v>
          </cell>
          <cell r="BT65">
            <v>32</v>
          </cell>
          <cell r="BU65">
            <v>32</v>
          </cell>
          <cell r="BV65">
            <v>34</v>
          </cell>
          <cell r="BW65">
            <v>36</v>
          </cell>
          <cell r="BX65">
            <v>31</v>
          </cell>
          <cell r="BY65">
            <v>26</v>
          </cell>
          <cell r="BZ65">
            <v>33</v>
          </cell>
        </row>
        <row r="66">
          <cell r="A66" t="str">
            <v>Royal Mile Primary School</v>
          </cell>
          <cell r="B66">
            <v>55</v>
          </cell>
          <cell r="C66">
            <v>60</v>
          </cell>
          <cell r="D66">
            <v>51</v>
          </cell>
          <cell r="E66">
            <v>46</v>
          </cell>
          <cell r="F66">
            <v>54</v>
          </cell>
          <cell r="G66">
            <v>43</v>
          </cell>
          <cell r="H66">
            <v>34</v>
          </cell>
          <cell r="I66">
            <v>40</v>
          </cell>
          <cell r="J66">
            <v>35</v>
          </cell>
          <cell r="K66">
            <v>36.730235141640442</v>
          </cell>
          <cell r="L66">
            <v>37.254952786521017</v>
          </cell>
          <cell r="M66">
            <v>37.705671789174843</v>
          </cell>
          <cell r="N66">
            <v>38.062210701721902</v>
          </cell>
          <cell r="O66">
            <v>38.338023822748873</v>
          </cell>
          <cell r="P66">
            <v>38.526384002962416</v>
          </cell>
          <cell r="Q66">
            <v>38.634018391655871</v>
          </cell>
          <cell r="R66">
            <v>38.755107078936007</v>
          </cell>
          <cell r="S66">
            <v>38.761834228229347</v>
          </cell>
          <cell r="T66">
            <v>38.748379929642667</v>
          </cell>
          <cell r="U66">
            <v>26</v>
          </cell>
          <cell r="V66">
            <v>26</v>
          </cell>
          <cell r="W66">
            <v>25</v>
          </cell>
          <cell r="X66">
            <v>27</v>
          </cell>
          <cell r="Y66">
            <v>31</v>
          </cell>
          <cell r="Z66">
            <v>22</v>
          </cell>
          <cell r="AA66">
            <v>17</v>
          </cell>
          <cell r="AB66">
            <v>20</v>
          </cell>
          <cell r="AC66">
            <v>18</v>
          </cell>
          <cell r="AD66">
            <v>19</v>
          </cell>
          <cell r="AE66">
            <v>19</v>
          </cell>
          <cell r="AF66">
            <v>19</v>
          </cell>
          <cell r="AG66">
            <v>19</v>
          </cell>
          <cell r="AH66">
            <v>20</v>
          </cell>
          <cell r="AI66">
            <v>20</v>
          </cell>
          <cell r="AJ66">
            <v>20</v>
          </cell>
          <cell r="AK66">
            <v>20</v>
          </cell>
          <cell r="AL66">
            <v>20</v>
          </cell>
          <cell r="AM66">
            <v>20</v>
          </cell>
          <cell r="AN66">
            <v>26</v>
          </cell>
          <cell r="AO66">
            <v>24</v>
          </cell>
          <cell r="AP66">
            <v>25</v>
          </cell>
          <cell r="AQ66">
            <v>26</v>
          </cell>
          <cell r="AR66">
            <v>29</v>
          </cell>
          <cell r="AS66">
            <v>21</v>
          </cell>
          <cell r="AT66">
            <v>16</v>
          </cell>
          <cell r="AU66">
            <v>19</v>
          </cell>
          <cell r="AV66">
            <v>17</v>
          </cell>
          <cell r="AW66">
            <v>18</v>
          </cell>
          <cell r="AX66">
            <v>18</v>
          </cell>
          <cell r="AY66">
            <v>18</v>
          </cell>
          <cell r="AZ66">
            <v>18</v>
          </cell>
          <cell r="BA66">
            <v>19</v>
          </cell>
          <cell r="BB66">
            <v>19</v>
          </cell>
          <cell r="BC66">
            <v>19</v>
          </cell>
          <cell r="BD66">
            <v>19</v>
          </cell>
          <cell r="BE66">
            <v>19</v>
          </cell>
          <cell r="BF66">
            <v>19</v>
          </cell>
          <cell r="BG66">
            <v>29</v>
          </cell>
          <cell r="BH66">
            <v>21</v>
          </cell>
          <cell r="BI66">
            <v>16</v>
          </cell>
          <cell r="BJ66">
            <v>20</v>
          </cell>
          <cell r="BK66">
            <v>18</v>
          </cell>
          <cell r="BL66">
            <v>20</v>
          </cell>
          <cell r="BM66">
            <v>21</v>
          </cell>
          <cell r="BN66">
            <v>21</v>
          </cell>
          <cell r="BO66">
            <v>21</v>
          </cell>
          <cell r="BP66">
            <v>22</v>
          </cell>
          <cell r="BQ66">
            <v>22</v>
          </cell>
          <cell r="BR66">
            <v>22</v>
          </cell>
          <cell r="BS66">
            <v>22</v>
          </cell>
          <cell r="BT66">
            <v>22</v>
          </cell>
          <cell r="BU66">
            <v>22</v>
          </cell>
          <cell r="BV66">
            <v>15</v>
          </cell>
          <cell r="BW66">
            <v>20</v>
          </cell>
          <cell r="BX66">
            <v>15</v>
          </cell>
          <cell r="BY66">
            <v>21</v>
          </cell>
          <cell r="BZ66">
            <v>20</v>
          </cell>
        </row>
        <row r="67">
          <cell r="A67" t="str">
            <v>Sciennes Primary School</v>
          </cell>
          <cell r="B67">
            <v>83</v>
          </cell>
          <cell r="C67">
            <v>79</v>
          </cell>
          <cell r="D67">
            <v>77</v>
          </cell>
          <cell r="E67">
            <v>78</v>
          </cell>
          <cell r="F67">
            <v>85</v>
          </cell>
          <cell r="G67">
            <v>90</v>
          </cell>
          <cell r="H67">
            <v>64</v>
          </cell>
          <cell r="I67">
            <v>81</v>
          </cell>
          <cell r="J67">
            <v>69</v>
          </cell>
          <cell r="K67">
            <v>72.112571745972957</v>
          </cell>
          <cell r="L67">
            <v>73.142751342343999</v>
          </cell>
          <cell r="M67">
            <v>74.027649200765282</v>
          </cell>
          <cell r="N67">
            <v>74.727643029068687</v>
          </cell>
          <cell r="O67">
            <v>75.269147688699618</v>
          </cell>
          <cell r="P67">
            <v>75.638955748935373</v>
          </cell>
          <cell r="Q67">
            <v>75.850274640498668</v>
          </cell>
          <cell r="R67">
            <v>76.088008393507366</v>
          </cell>
          <cell r="S67">
            <v>76.101215824230067</v>
          </cell>
          <cell r="T67">
            <v>76.07480096278465</v>
          </cell>
          <cell r="U67">
            <v>80</v>
          </cell>
          <cell r="V67">
            <v>83</v>
          </cell>
          <cell r="W67">
            <v>79</v>
          </cell>
          <cell r="X67">
            <v>97</v>
          </cell>
          <cell r="Y67">
            <v>83</v>
          </cell>
          <cell r="Z67">
            <v>95</v>
          </cell>
          <cell r="AA67">
            <v>67</v>
          </cell>
          <cell r="AB67">
            <v>85</v>
          </cell>
          <cell r="AC67">
            <v>73</v>
          </cell>
          <cell r="AD67">
            <v>76</v>
          </cell>
          <cell r="AE67">
            <v>77</v>
          </cell>
          <cell r="AF67">
            <v>78</v>
          </cell>
          <cell r="AG67">
            <v>79</v>
          </cell>
          <cell r="AH67">
            <v>79</v>
          </cell>
          <cell r="AI67">
            <v>80</v>
          </cell>
          <cell r="AJ67">
            <v>80</v>
          </cell>
          <cell r="AK67">
            <v>80</v>
          </cell>
          <cell r="AL67">
            <v>80</v>
          </cell>
          <cell r="AM67">
            <v>80</v>
          </cell>
          <cell r="AN67">
            <v>76</v>
          </cell>
          <cell r="AO67">
            <v>74</v>
          </cell>
          <cell r="AP67">
            <v>75</v>
          </cell>
          <cell r="AQ67">
            <v>93</v>
          </cell>
          <cell r="AR67">
            <v>79</v>
          </cell>
          <cell r="AS67">
            <v>91</v>
          </cell>
          <cell r="AT67">
            <v>64</v>
          </cell>
          <cell r="AU67">
            <v>81</v>
          </cell>
          <cell r="AV67">
            <v>70</v>
          </cell>
          <cell r="AW67">
            <v>72</v>
          </cell>
          <cell r="AX67">
            <v>73</v>
          </cell>
          <cell r="AY67">
            <v>74</v>
          </cell>
          <cell r="AZ67">
            <v>75</v>
          </cell>
          <cell r="BA67">
            <v>75</v>
          </cell>
          <cell r="BB67">
            <v>76</v>
          </cell>
          <cell r="BC67">
            <v>76</v>
          </cell>
          <cell r="BD67">
            <v>76</v>
          </cell>
          <cell r="BE67">
            <v>76</v>
          </cell>
          <cell r="BF67">
            <v>76</v>
          </cell>
          <cell r="BG67">
            <v>79</v>
          </cell>
          <cell r="BH67">
            <v>91</v>
          </cell>
          <cell r="BI67">
            <v>64</v>
          </cell>
          <cell r="BJ67">
            <v>81</v>
          </cell>
          <cell r="BK67">
            <v>70</v>
          </cell>
          <cell r="BL67">
            <v>72</v>
          </cell>
          <cell r="BM67">
            <v>74</v>
          </cell>
          <cell r="BN67">
            <v>76</v>
          </cell>
          <cell r="BO67">
            <v>77</v>
          </cell>
          <cell r="BP67">
            <v>77</v>
          </cell>
          <cell r="BQ67">
            <v>78</v>
          </cell>
          <cell r="BR67">
            <v>78</v>
          </cell>
          <cell r="BS67">
            <v>78</v>
          </cell>
          <cell r="BT67">
            <v>78</v>
          </cell>
          <cell r="BU67">
            <v>78</v>
          </cell>
          <cell r="BV67">
            <v>73</v>
          </cell>
          <cell r="BW67">
            <v>73</v>
          </cell>
          <cell r="BX67">
            <v>72</v>
          </cell>
          <cell r="BY67">
            <v>93</v>
          </cell>
          <cell r="BZ67">
            <v>77</v>
          </cell>
        </row>
        <row r="68">
          <cell r="A68" t="str">
            <v>Sighthill Primary School</v>
          </cell>
          <cell r="B68">
            <v>77</v>
          </cell>
          <cell r="C68">
            <v>81</v>
          </cell>
          <cell r="D68">
            <v>75</v>
          </cell>
          <cell r="E68">
            <v>85</v>
          </cell>
          <cell r="F68">
            <v>85</v>
          </cell>
          <cell r="G68">
            <v>71</v>
          </cell>
          <cell r="H68">
            <v>78</v>
          </cell>
          <cell r="I68">
            <v>51</v>
          </cell>
          <cell r="J68">
            <v>56</v>
          </cell>
          <cell r="K68">
            <v>62.340307350490647</v>
          </cell>
          <cell r="L68">
            <v>63.230883169783368</v>
          </cell>
          <cell r="M68">
            <v>63.9958649632784</v>
          </cell>
          <cell r="N68">
            <v>64.600999814849104</v>
          </cell>
          <cell r="O68">
            <v>65.069123001913226</v>
          </cell>
          <cell r="P68">
            <v>65.388816885761898</v>
          </cell>
          <cell r="Q68">
            <v>65.571499105103996</v>
          </cell>
          <cell r="R68">
            <v>65.777016601863849</v>
          </cell>
          <cell r="S68">
            <v>65.788434240572727</v>
          </cell>
          <cell r="T68">
            <v>65.765598963154972</v>
          </cell>
          <cell r="U68">
            <v>61</v>
          </cell>
          <cell r="V68">
            <v>67</v>
          </cell>
          <cell r="W68">
            <v>57</v>
          </cell>
          <cell r="X68">
            <v>66</v>
          </cell>
          <cell r="Y68">
            <v>70</v>
          </cell>
          <cell r="Z68">
            <v>57</v>
          </cell>
          <cell r="AA68">
            <v>62</v>
          </cell>
          <cell r="AB68">
            <v>41</v>
          </cell>
          <cell r="AC68">
            <v>45</v>
          </cell>
          <cell r="AD68">
            <v>50</v>
          </cell>
          <cell r="AE68">
            <v>50</v>
          </cell>
          <cell r="AF68">
            <v>51</v>
          </cell>
          <cell r="AG68">
            <v>51</v>
          </cell>
          <cell r="AH68">
            <v>52</v>
          </cell>
          <cell r="AI68">
            <v>52</v>
          </cell>
          <cell r="AJ68">
            <v>52</v>
          </cell>
          <cell r="AK68">
            <v>52</v>
          </cell>
          <cell r="AL68">
            <v>52</v>
          </cell>
          <cell r="AM68">
            <v>52</v>
          </cell>
          <cell r="AN68">
            <v>58</v>
          </cell>
          <cell r="AO68">
            <v>60</v>
          </cell>
          <cell r="AP68">
            <v>53</v>
          </cell>
          <cell r="AQ68">
            <v>60</v>
          </cell>
          <cell r="AR68">
            <v>57</v>
          </cell>
          <cell r="AS68">
            <v>50</v>
          </cell>
          <cell r="AT68">
            <v>55</v>
          </cell>
          <cell r="AU68">
            <v>36</v>
          </cell>
          <cell r="AV68">
            <v>40</v>
          </cell>
          <cell r="AW68">
            <v>44</v>
          </cell>
          <cell r="AX68">
            <v>44</v>
          </cell>
          <cell r="AY68">
            <v>45</v>
          </cell>
          <cell r="AZ68">
            <v>45</v>
          </cell>
          <cell r="BA68">
            <v>46</v>
          </cell>
          <cell r="BB68">
            <v>46</v>
          </cell>
          <cell r="BC68">
            <v>46</v>
          </cell>
          <cell r="BD68">
            <v>46</v>
          </cell>
          <cell r="BE68">
            <v>46</v>
          </cell>
          <cell r="BF68">
            <v>46</v>
          </cell>
          <cell r="BG68">
            <v>57</v>
          </cell>
          <cell r="BH68">
            <v>51</v>
          </cell>
          <cell r="BI68">
            <v>56</v>
          </cell>
          <cell r="BJ68">
            <v>37</v>
          </cell>
          <cell r="BK68">
            <v>41</v>
          </cell>
          <cell r="BL68">
            <v>45</v>
          </cell>
          <cell r="BM68">
            <v>45</v>
          </cell>
          <cell r="BN68">
            <v>46</v>
          </cell>
          <cell r="BO68">
            <v>46</v>
          </cell>
          <cell r="BP68">
            <v>47</v>
          </cell>
          <cell r="BQ68">
            <v>47</v>
          </cell>
          <cell r="BR68">
            <v>47</v>
          </cell>
          <cell r="BS68">
            <v>47</v>
          </cell>
          <cell r="BT68">
            <v>47</v>
          </cell>
          <cell r="BU68">
            <v>47</v>
          </cell>
          <cell r="BV68">
            <v>41</v>
          </cell>
          <cell r="BW68">
            <v>41</v>
          </cell>
          <cell r="BX68">
            <v>32</v>
          </cell>
          <cell r="BY68">
            <v>42</v>
          </cell>
          <cell r="BZ68">
            <v>42</v>
          </cell>
        </row>
        <row r="69">
          <cell r="A69" t="str">
            <v>South Morningside Primary School</v>
          </cell>
          <cell r="B69">
            <v>129</v>
          </cell>
          <cell r="C69">
            <v>105</v>
          </cell>
          <cell r="D69">
            <v>93</v>
          </cell>
          <cell r="E69">
            <v>108</v>
          </cell>
          <cell r="F69">
            <v>98</v>
          </cell>
          <cell r="G69">
            <v>97</v>
          </cell>
          <cell r="H69">
            <v>96</v>
          </cell>
          <cell r="I69">
            <v>116</v>
          </cell>
          <cell r="J69">
            <v>91</v>
          </cell>
          <cell r="K69">
            <v>102.10331420107387</v>
          </cell>
          <cell r="L69">
            <v>103.56193297537493</v>
          </cell>
          <cell r="M69">
            <v>104.81484910201814</v>
          </cell>
          <cell r="N69">
            <v>105.80596185891501</v>
          </cell>
          <cell r="O69">
            <v>106.57267172745787</v>
          </cell>
          <cell r="P69">
            <v>107.09627846695057</v>
          </cell>
          <cell r="Q69">
            <v>107.39548231808924</v>
          </cell>
          <cell r="R69">
            <v>107.73208665062025</v>
          </cell>
          <cell r="S69">
            <v>107.75078689131641</v>
          </cell>
          <cell r="T69">
            <v>107.71338640992407</v>
          </cell>
          <cell r="U69">
            <v>116</v>
          </cell>
          <cell r="V69">
            <v>117</v>
          </cell>
          <cell r="W69">
            <v>105</v>
          </cell>
          <cell r="X69">
            <v>102</v>
          </cell>
          <cell r="Y69">
            <v>117</v>
          </cell>
          <cell r="Z69">
            <v>102</v>
          </cell>
          <cell r="AA69">
            <v>101</v>
          </cell>
          <cell r="AB69">
            <v>123</v>
          </cell>
          <cell r="AC69">
            <v>96</v>
          </cell>
          <cell r="AD69">
            <v>108</v>
          </cell>
          <cell r="AE69">
            <v>109</v>
          </cell>
          <cell r="AF69">
            <v>111</v>
          </cell>
          <cell r="AG69">
            <v>112</v>
          </cell>
          <cell r="AH69">
            <v>113</v>
          </cell>
          <cell r="AI69">
            <v>113</v>
          </cell>
          <cell r="AJ69">
            <v>113</v>
          </cell>
          <cell r="AK69">
            <v>114</v>
          </cell>
          <cell r="AL69">
            <v>114</v>
          </cell>
          <cell r="AM69">
            <v>114</v>
          </cell>
          <cell r="AN69">
            <v>96</v>
          </cell>
          <cell r="AO69">
            <v>95</v>
          </cell>
          <cell r="AP69">
            <v>85</v>
          </cell>
          <cell r="AQ69">
            <v>86</v>
          </cell>
          <cell r="AR69">
            <v>105</v>
          </cell>
          <cell r="AS69">
            <v>87</v>
          </cell>
          <cell r="AT69">
            <v>86</v>
          </cell>
          <cell r="AU69">
            <v>105</v>
          </cell>
          <cell r="AV69">
            <v>82</v>
          </cell>
          <cell r="AW69">
            <v>92</v>
          </cell>
          <cell r="AX69">
            <v>93</v>
          </cell>
          <cell r="AY69">
            <v>94</v>
          </cell>
          <cell r="AZ69">
            <v>95</v>
          </cell>
          <cell r="BA69">
            <v>96</v>
          </cell>
          <cell r="BB69">
            <v>96</v>
          </cell>
          <cell r="BC69">
            <v>96</v>
          </cell>
          <cell r="BD69">
            <v>97</v>
          </cell>
          <cell r="BE69">
            <v>97</v>
          </cell>
          <cell r="BF69">
            <v>97</v>
          </cell>
          <cell r="BG69">
            <v>105</v>
          </cell>
          <cell r="BH69">
            <v>88</v>
          </cell>
          <cell r="BI69">
            <v>88</v>
          </cell>
          <cell r="BJ69">
            <v>108</v>
          </cell>
          <cell r="BK69">
            <v>85</v>
          </cell>
          <cell r="BL69">
            <v>95</v>
          </cell>
          <cell r="BM69">
            <v>96</v>
          </cell>
          <cell r="BN69">
            <v>97</v>
          </cell>
          <cell r="BO69">
            <v>98</v>
          </cell>
          <cell r="BP69">
            <v>99</v>
          </cell>
          <cell r="BQ69">
            <v>99</v>
          </cell>
          <cell r="BR69">
            <v>99</v>
          </cell>
          <cell r="BS69">
            <v>100</v>
          </cell>
          <cell r="BT69">
            <v>100</v>
          </cell>
          <cell r="BU69">
            <v>100</v>
          </cell>
          <cell r="BV69">
            <v>95</v>
          </cell>
          <cell r="BW69">
            <v>91</v>
          </cell>
          <cell r="BX69">
            <v>85</v>
          </cell>
          <cell r="BY69">
            <v>85</v>
          </cell>
          <cell r="BZ69">
            <v>102</v>
          </cell>
        </row>
        <row r="70">
          <cell r="A70" t="str">
            <v>St Catherine's RC Primary School</v>
          </cell>
          <cell r="B70">
            <v>164</v>
          </cell>
          <cell r="C70">
            <v>185</v>
          </cell>
          <cell r="D70">
            <v>159</v>
          </cell>
          <cell r="E70">
            <v>163</v>
          </cell>
          <cell r="F70">
            <v>184</v>
          </cell>
          <cell r="G70">
            <v>175</v>
          </cell>
          <cell r="H70">
            <v>173</v>
          </cell>
          <cell r="I70">
            <v>197</v>
          </cell>
          <cell r="J70">
            <v>169</v>
          </cell>
          <cell r="K70">
            <v>181.62932790224031</v>
          </cell>
          <cell r="L70">
            <v>184.22403258655802</v>
          </cell>
          <cell r="M70">
            <v>186.45281737949762</v>
          </cell>
          <cell r="N70">
            <v>188.21588594704684</v>
          </cell>
          <cell r="O70">
            <v>189.5797691785472</v>
          </cell>
          <cell r="P70">
            <v>190.51120162932793</v>
          </cell>
          <cell r="Q70">
            <v>191.04344874405976</v>
          </cell>
          <cell r="R70">
            <v>191.64222674813308</v>
          </cell>
          <cell r="S70">
            <v>191.67549219280383</v>
          </cell>
          <cell r="T70">
            <v>191.60896130346234</v>
          </cell>
          <cell r="U70">
            <v>137</v>
          </cell>
          <cell r="V70">
            <v>128</v>
          </cell>
          <cell r="W70">
            <v>137</v>
          </cell>
          <cell r="X70">
            <v>150</v>
          </cell>
          <cell r="Y70">
            <v>118</v>
          </cell>
          <cell r="Z70">
            <v>138</v>
          </cell>
          <cell r="AA70">
            <v>137</v>
          </cell>
          <cell r="AB70">
            <v>156</v>
          </cell>
          <cell r="AC70">
            <v>134</v>
          </cell>
          <cell r="AD70">
            <v>144</v>
          </cell>
          <cell r="AE70">
            <v>146</v>
          </cell>
          <cell r="AF70">
            <v>147</v>
          </cell>
          <cell r="AG70">
            <v>149</v>
          </cell>
          <cell r="AH70">
            <v>150</v>
          </cell>
          <cell r="AI70">
            <v>151</v>
          </cell>
          <cell r="AJ70">
            <v>151</v>
          </cell>
          <cell r="AK70">
            <v>151</v>
          </cell>
          <cell r="AL70">
            <v>151</v>
          </cell>
          <cell r="AM70">
            <v>151</v>
          </cell>
          <cell r="AN70">
            <v>26</v>
          </cell>
          <cell r="AO70">
            <v>30</v>
          </cell>
          <cell r="AP70">
            <v>25</v>
          </cell>
          <cell r="AQ70">
            <v>27</v>
          </cell>
          <cell r="AR70">
            <v>29</v>
          </cell>
          <cell r="AS70">
            <v>28</v>
          </cell>
          <cell r="AT70">
            <v>28</v>
          </cell>
          <cell r="AU70">
            <v>32</v>
          </cell>
          <cell r="AV70">
            <v>27</v>
          </cell>
          <cell r="AW70">
            <v>29</v>
          </cell>
          <cell r="AX70">
            <v>30</v>
          </cell>
          <cell r="AY70">
            <v>30</v>
          </cell>
          <cell r="AZ70">
            <v>30</v>
          </cell>
          <cell r="BA70">
            <v>30</v>
          </cell>
          <cell r="BB70">
            <v>31</v>
          </cell>
          <cell r="BC70">
            <v>31</v>
          </cell>
          <cell r="BD70">
            <v>31</v>
          </cell>
          <cell r="BE70">
            <v>31</v>
          </cell>
          <cell r="BF70">
            <v>31</v>
          </cell>
          <cell r="BG70">
            <v>25</v>
          </cell>
          <cell r="BH70">
            <v>30</v>
          </cell>
          <cell r="BI70">
            <v>30</v>
          </cell>
          <cell r="BJ70">
            <v>35</v>
          </cell>
          <cell r="BK70">
            <v>31</v>
          </cell>
          <cell r="BL70">
            <v>34</v>
          </cell>
          <cell r="BM70">
            <v>35</v>
          </cell>
          <cell r="BN70">
            <v>36</v>
          </cell>
          <cell r="BO70">
            <v>37</v>
          </cell>
          <cell r="BP70">
            <v>37</v>
          </cell>
          <cell r="BQ70">
            <v>39</v>
          </cell>
          <cell r="BR70">
            <v>39</v>
          </cell>
          <cell r="BS70">
            <v>39</v>
          </cell>
          <cell r="BT70">
            <v>39</v>
          </cell>
          <cell r="BU70">
            <v>39</v>
          </cell>
          <cell r="BV70">
            <v>26</v>
          </cell>
          <cell r="BW70">
            <v>29</v>
          </cell>
          <cell r="BX70">
            <v>24</v>
          </cell>
          <cell r="BY70">
            <v>26</v>
          </cell>
          <cell r="BZ70">
            <v>25</v>
          </cell>
        </row>
        <row r="71">
          <cell r="A71" t="str">
            <v>St Cuthbert's RC Primary School</v>
          </cell>
          <cell r="B71">
            <v>591</v>
          </cell>
          <cell r="C71">
            <v>633</v>
          </cell>
          <cell r="D71">
            <v>596</v>
          </cell>
          <cell r="E71">
            <v>659</v>
          </cell>
          <cell r="F71">
            <v>575</v>
          </cell>
          <cell r="G71">
            <v>616</v>
          </cell>
          <cell r="H71">
            <v>597</v>
          </cell>
          <cell r="I71">
            <v>546</v>
          </cell>
          <cell r="J71">
            <v>525</v>
          </cell>
          <cell r="K71">
            <v>562.07369005739679</v>
          </cell>
          <cell r="L71">
            <v>570.10331420107389</v>
          </cell>
          <cell r="M71">
            <v>577.0005554526939</v>
          </cell>
          <cell r="N71">
            <v>582.45658211442321</v>
          </cell>
          <cell r="O71">
            <v>586.67728198481757</v>
          </cell>
          <cell r="P71">
            <v>589.55971116459909</v>
          </cell>
          <cell r="Q71">
            <v>591.20681355304566</v>
          </cell>
          <cell r="R71">
            <v>593.0598037400481</v>
          </cell>
          <cell r="S71">
            <v>593.16274763932597</v>
          </cell>
          <cell r="T71">
            <v>592.95685984077011</v>
          </cell>
          <cell r="U71">
            <v>442</v>
          </cell>
          <cell r="V71">
            <v>442</v>
          </cell>
          <cell r="W71">
            <v>499</v>
          </cell>
          <cell r="X71">
            <v>462</v>
          </cell>
          <cell r="Y71">
            <v>458</v>
          </cell>
          <cell r="Z71">
            <v>466</v>
          </cell>
          <cell r="AA71">
            <v>451</v>
          </cell>
          <cell r="AB71">
            <v>413</v>
          </cell>
          <cell r="AC71">
            <v>397</v>
          </cell>
          <cell r="AD71">
            <v>425</v>
          </cell>
          <cell r="AE71">
            <v>431</v>
          </cell>
          <cell r="AF71">
            <v>436</v>
          </cell>
          <cell r="AG71">
            <v>440</v>
          </cell>
          <cell r="AH71">
            <v>444</v>
          </cell>
          <cell r="AI71">
            <v>446</v>
          </cell>
          <cell r="AJ71">
            <v>447</v>
          </cell>
          <cell r="AK71">
            <v>448</v>
          </cell>
          <cell r="AL71">
            <v>449</v>
          </cell>
          <cell r="AM71">
            <v>448</v>
          </cell>
          <cell r="AN71">
            <v>26</v>
          </cell>
          <cell r="AO71">
            <v>28</v>
          </cell>
          <cell r="AP71">
            <v>32</v>
          </cell>
          <cell r="AQ71">
            <v>24</v>
          </cell>
          <cell r="AR71">
            <v>29</v>
          </cell>
          <cell r="AS71">
            <v>28</v>
          </cell>
          <cell r="AT71">
            <v>27</v>
          </cell>
          <cell r="AU71">
            <v>25</v>
          </cell>
          <cell r="AV71">
            <v>24</v>
          </cell>
          <cell r="AW71">
            <v>25</v>
          </cell>
          <cell r="AX71">
            <v>26</v>
          </cell>
          <cell r="AY71">
            <v>26</v>
          </cell>
          <cell r="AZ71">
            <v>26</v>
          </cell>
          <cell r="BA71">
            <v>27</v>
          </cell>
          <cell r="BB71">
            <v>27</v>
          </cell>
          <cell r="BC71">
            <v>27</v>
          </cell>
          <cell r="BD71">
            <v>27</v>
          </cell>
          <cell r="BE71">
            <v>27</v>
          </cell>
          <cell r="BF71">
            <v>27</v>
          </cell>
          <cell r="BG71">
            <v>32</v>
          </cell>
          <cell r="BH71">
            <v>29</v>
          </cell>
          <cell r="BI71">
            <v>28</v>
          </cell>
          <cell r="BJ71">
            <v>27</v>
          </cell>
          <cell r="BK71">
            <v>27</v>
          </cell>
          <cell r="BL71">
            <v>28</v>
          </cell>
          <cell r="BM71">
            <v>30</v>
          </cell>
          <cell r="BN71">
            <v>30</v>
          </cell>
          <cell r="BO71">
            <v>31</v>
          </cell>
          <cell r="BP71">
            <v>32</v>
          </cell>
          <cell r="BQ71">
            <v>32</v>
          </cell>
          <cell r="BR71">
            <v>32</v>
          </cell>
          <cell r="BS71">
            <v>32</v>
          </cell>
          <cell r="BT71">
            <v>32</v>
          </cell>
          <cell r="BU71">
            <v>32</v>
          </cell>
          <cell r="BV71">
            <v>25</v>
          </cell>
          <cell r="BW71">
            <v>23</v>
          </cell>
          <cell r="BX71">
            <v>28</v>
          </cell>
          <cell r="BY71">
            <v>24</v>
          </cell>
          <cell r="BZ71">
            <v>28</v>
          </cell>
        </row>
        <row r="72">
          <cell r="A72" t="str">
            <v>St David's RC Primary School</v>
          </cell>
          <cell r="B72">
            <v>348</v>
          </cell>
          <cell r="C72">
            <v>337</v>
          </cell>
          <cell r="D72">
            <v>400</v>
          </cell>
          <cell r="E72">
            <v>378</v>
          </cell>
          <cell r="F72">
            <v>383</v>
          </cell>
          <cell r="G72">
            <v>358</v>
          </cell>
          <cell r="H72">
            <v>416</v>
          </cell>
          <cell r="I72">
            <v>353</v>
          </cell>
          <cell r="J72">
            <v>394</v>
          </cell>
          <cell r="K72">
            <v>391.90149972227368</v>
          </cell>
          <cell r="L72">
            <v>397.500092575449</v>
          </cell>
          <cell r="M72">
            <v>402.30914028266369</v>
          </cell>
          <cell r="N72">
            <v>406.11331234956486</v>
          </cell>
          <cell r="O72">
            <v>409.05616243905445</v>
          </cell>
          <cell r="P72">
            <v>411.06591371968148</v>
          </cell>
          <cell r="Q72">
            <v>412.21434302289691</v>
          </cell>
          <cell r="R72">
            <v>413.50632598901427</v>
          </cell>
          <cell r="S72">
            <v>413.57810282046523</v>
          </cell>
          <cell r="T72">
            <v>413.43454915756331</v>
          </cell>
          <cell r="U72">
            <v>305</v>
          </cell>
          <cell r="V72">
            <v>313</v>
          </cell>
          <cell r="W72">
            <v>342</v>
          </cell>
          <cell r="X72">
            <v>325</v>
          </cell>
          <cell r="Y72">
            <v>347</v>
          </cell>
          <cell r="Z72">
            <v>317</v>
          </cell>
          <cell r="AA72">
            <v>368</v>
          </cell>
          <cell r="AB72">
            <v>312</v>
          </cell>
          <cell r="AC72">
            <v>349</v>
          </cell>
          <cell r="AD72">
            <v>347</v>
          </cell>
          <cell r="AE72">
            <v>352</v>
          </cell>
          <cell r="AF72">
            <v>356</v>
          </cell>
          <cell r="AG72">
            <v>359</v>
          </cell>
          <cell r="AH72">
            <v>362</v>
          </cell>
          <cell r="AI72">
            <v>364</v>
          </cell>
          <cell r="AJ72">
            <v>365</v>
          </cell>
          <cell r="AK72">
            <v>366</v>
          </cell>
          <cell r="AL72">
            <v>366</v>
          </cell>
          <cell r="AM72">
            <v>366</v>
          </cell>
          <cell r="AN72">
            <v>35</v>
          </cell>
          <cell r="AO72">
            <v>59</v>
          </cell>
          <cell r="AP72">
            <v>51</v>
          </cell>
          <cell r="AQ72">
            <v>55</v>
          </cell>
          <cell r="AR72">
            <v>46</v>
          </cell>
          <cell r="AS72">
            <v>48</v>
          </cell>
          <cell r="AT72">
            <v>55</v>
          </cell>
          <cell r="AU72">
            <v>47</v>
          </cell>
          <cell r="AV72">
            <v>52</v>
          </cell>
          <cell r="AW72">
            <v>52</v>
          </cell>
          <cell r="AX72">
            <v>53</v>
          </cell>
          <cell r="AY72">
            <v>54</v>
          </cell>
          <cell r="AZ72">
            <v>54</v>
          </cell>
          <cell r="BA72">
            <v>54</v>
          </cell>
          <cell r="BB72">
            <v>55</v>
          </cell>
          <cell r="BC72">
            <v>55</v>
          </cell>
          <cell r="BD72">
            <v>55</v>
          </cell>
          <cell r="BE72">
            <v>55</v>
          </cell>
          <cell r="BF72">
            <v>55</v>
          </cell>
          <cell r="BG72">
            <v>51</v>
          </cell>
          <cell r="BH72">
            <v>49</v>
          </cell>
          <cell r="BI72">
            <v>56</v>
          </cell>
          <cell r="BJ72">
            <v>48</v>
          </cell>
          <cell r="BK72">
            <v>54</v>
          </cell>
          <cell r="BL72">
            <v>54</v>
          </cell>
          <cell r="BM72">
            <v>56</v>
          </cell>
          <cell r="BN72">
            <v>58</v>
          </cell>
          <cell r="BO72">
            <v>59</v>
          </cell>
          <cell r="BP72">
            <v>59</v>
          </cell>
          <cell r="BQ72">
            <v>61</v>
          </cell>
          <cell r="BR72">
            <v>62</v>
          </cell>
          <cell r="BS72">
            <v>62</v>
          </cell>
          <cell r="BT72">
            <v>63</v>
          </cell>
          <cell r="BU72">
            <v>63</v>
          </cell>
          <cell r="BV72">
            <v>29</v>
          </cell>
          <cell r="BW72">
            <v>50</v>
          </cell>
          <cell r="BX72">
            <v>47</v>
          </cell>
          <cell r="BY72">
            <v>55</v>
          </cell>
          <cell r="BZ72">
            <v>44</v>
          </cell>
        </row>
        <row r="73">
          <cell r="A73" t="str">
            <v>St Francis' RC Primary School</v>
          </cell>
          <cell r="B73">
            <v>177</v>
          </cell>
          <cell r="C73">
            <v>150</v>
          </cell>
          <cell r="D73">
            <v>153</v>
          </cell>
          <cell r="E73">
            <v>161</v>
          </cell>
          <cell r="F73">
            <v>181</v>
          </cell>
          <cell r="G73">
            <v>160</v>
          </cell>
          <cell r="H73">
            <v>165</v>
          </cell>
          <cell r="I73">
            <v>178</v>
          </cell>
          <cell r="J73">
            <v>186</v>
          </cell>
          <cell r="K73">
            <v>178.25958155897058</v>
          </cell>
          <cell r="L73">
            <v>180.80614700981303</v>
          </cell>
          <cell r="M73">
            <v>182.99358143553667</v>
          </cell>
          <cell r="N73">
            <v>184.72394001110911</v>
          </cell>
          <cell r="O73">
            <v>186.06251928655192</v>
          </cell>
          <cell r="P73">
            <v>186.97667098685434</v>
          </cell>
          <cell r="Q73">
            <v>187.49904338702714</v>
          </cell>
          <cell r="R73">
            <v>188.08671233722154</v>
          </cell>
          <cell r="S73">
            <v>188.11936061223236</v>
          </cell>
          <cell r="T73">
            <v>188.05406406221076</v>
          </cell>
          <cell r="U73">
            <v>167</v>
          </cell>
          <cell r="V73">
            <v>140</v>
          </cell>
          <cell r="W73">
            <v>166</v>
          </cell>
          <cell r="X73">
            <v>158</v>
          </cell>
          <cell r="Y73">
            <v>167</v>
          </cell>
          <cell r="Z73">
            <v>156</v>
          </cell>
          <cell r="AA73">
            <v>161</v>
          </cell>
          <cell r="AB73">
            <v>173</v>
          </cell>
          <cell r="AC73">
            <v>181</v>
          </cell>
          <cell r="AD73">
            <v>173</v>
          </cell>
          <cell r="AE73">
            <v>176</v>
          </cell>
          <cell r="AF73">
            <v>178</v>
          </cell>
          <cell r="AG73">
            <v>180</v>
          </cell>
          <cell r="AH73">
            <v>181</v>
          </cell>
          <cell r="AI73">
            <v>182</v>
          </cell>
          <cell r="AJ73">
            <v>182</v>
          </cell>
          <cell r="AK73">
            <v>183</v>
          </cell>
          <cell r="AL73">
            <v>183</v>
          </cell>
          <cell r="AM73">
            <v>183</v>
          </cell>
          <cell r="AN73">
            <v>37</v>
          </cell>
          <cell r="AO73">
            <v>27</v>
          </cell>
          <cell r="AP73">
            <v>28</v>
          </cell>
          <cell r="AQ73">
            <v>47</v>
          </cell>
          <cell r="AR73">
            <v>54</v>
          </cell>
          <cell r="AS73">
            <v>41</v>
          </cell>
          <cell r="AT73">
            <v>42</v>
          </cell>
          <cell r="AU73">
            <v>46</v>
          </cell>
          <cell r="AV73">
            <v>48</v>
          </cell>
          <cell r="AW73">
            <v>46</v>
          </cell>
          <cell r="AX73">
            <v>46</v>
          </cell>
          <cell r="AY73">
            <v>47</v>
          </cell>
          <cell r="AZ73">
            <v>47</v>
          </cell>
          <cell r="BA73">
            <v>48</v>
          </cell>
          <cell r="BB73">
            <v>48</v>
          </cell>
          <cell r="BC73">
            <v>48</v>
          </cell>
          <cell r="BD73">
            <v>48</v>
          </cell>
          <cell r="BE73">
            <v>48</v>
          </cell>
          <cell r="BF73">
            <v>48</v>
          </cell>
          <cell r="BG73">
            <v>28</v>
          </cell>
          <cell r="BH73">
            <v>43</v>
          </cell>
          <cell r="BI73">
            <v>45</v>
          </cell>
          <cell r="BJ73">
            <v>50</v>
          </cell>
          <cell r="BK73">
            <v>52</v>
          </cell>
          <cell r="BL73">
            <v>51</v>
          </cell>
          <cell r="BM73">
            <v>52</v>
          </cell>
          <cell r="BN73">
            <v>53</v>
          </cell>
          <cell r="BO73">
            <v>53</v>
          </cell>
          <cell r="BP73">
            <v>55</v>
          </cell>
          <cell r="BQ73">
            <v>55</v>
          </cell>
          <cell r="BR73">
            <v>55</v>
          </cell>
          <cell r="BS73">
            <v>55</v>
          </cell>
          <cell r="BT73">
            <v>55</v>
          </cell>
          <cell r="BU73">
            <v>55</v>
          </cell>
          <cell r="BV73">
            <v>33</v>
          </cell>
          <cell r="BW73">
            <v>22</v>
          </cell>
          <cell r="BX73">
            <v>27</v>
          </cell>
          <cell r="BY73">
            <v>43</v>
          </cell>
          <cell r="BZ73">
            <v>46</v>
          </cell>
        </row>
        <row r="74">
          <cell r="A74" t="str">
            <v>St John Vianney RC Primary School</v>
          </cell>
          <cell r="B74">
            <v>260</v>
          </cell>
          <cell r="C74">
            <v>271</v>
          </cell>
          <cell r="D74">
            <v>237</v>
          </cell>
          <cell r="E74">
            <v>289</v>
          </cell>
          <cell r="F74">
            <v>257</v>
          </cell>
          <cell r="G74">
            <v>265</v>
          </cell>
          <cell r="H74">
            <v>265</v>
          </cell>
          <cell r="I74">
            <v>256</v>
          </cell>
          <cell r="J74">
            <v>265</v>
          </cell>
          <cell r="K74">
            <v>264.8620625810035</v>
          </cell>
          <cell r="L74">
            <v>268.6458063321607</v>
          </cell>
          <cell r="M74">
            <v>271.89594519533421</v>
          </cell>
          <cell r="N74">
            <v>274.46695056471026</v>
          </cell>
          <cell r="O74">
            <v>276.45584151083136</v>
          </cell>
          <cell r="P74">
            <v>277.81410849842626</v>
          </cell>
          <cell r="Q74">
            <v>278.59026106276622</v>
          </cell>
          <cell r="R74">
            <v>279.46343269764867</v>
          </cell>
          <cell r="S74">
            <v>279.51194223291992</v>
          </cell>
          <cell r="T74">
            <v>279.41492316237742</v>
          </cell>
          <cell r="U74">
            <v>240</v>
          </cell>
          <cell r="V74">
            <v>243</v>
          </cell>
          <cell r="W74">
            <v>210</v>
          </cell>
          <cell r="X74">
            <v>222</v>
          </cell>
          <cell r="Y74">
            <v>253</v>
          </cell>
          <cell r="Z74">
            <v>236</v>
          </cell>
          <cell r="AA74">
            <v>236</v>
          </cell>
          <cell r="AB74">
            <v>228</v>
          </cell>
          <cell r="AC74">
            <v>236</v>
          </cell>
          <cell r="AD74">
            <v>236</v>
          </cell>
          <cell r="AE74">
            <v>240</v>
          </cell>
          <cell r="AF74">
            <v>242</v>
          </cell>
          <cell r="AG74">
            <v>245</v>
          </cell>
          <cell r="AH74">
            <v>247</v>
          </cell>
          <cell r="AI74">
            <v>248</v>
          </cell>
          <cell r="AJ74">
            <v>248</v>
          </cell>
          <cell r="AK74">
            <v>249</v>
          </cell>
          <cell r="AL74">
            <v>249</v>
          </cell>
          <cell r="AM74">
            <v>249</v>
          </cell>
          <cell r="AN74">
            <v>39</v>
          </cell>
          <cell r="AO74">
            <v>28</v>
          </cell>
          <cell r="AP74">
            <v>28</v>
          </cell>
          <cell r="AQ74">
            <v>31</v>
          </cell>
          <cell r="AR74">
            <v>50</v>
          </cell>
          <cell r="AS74">
            <v>37</v>
          </cell>
          <cell r="AT74">
            <v>37</v>
          </cell>
          <cell r="AU74">
            <v>36</v>
          </cell>
          <cell r="AV74">
            <v>37</v>
          </cell>
          <cell r="AW74">
            <v>37</v>
          </cell>
          <cell r="AX74">
            <v>38</v>
          </cell>
          <cell r="AY74">
            <v>38</v>
          </cell>
          <cell r="AZ74">
            <v>38</v>
          </cell>
          <cell r="BA74">
            <v>39</v>
          </cell>
          <cell r="BB74">
            <v>39</v>
          </cell>
          <cell r="BC74">
            <v>39</v>
          </cell>
          <cell r="BD74">
            <v>39</v>
          </cell>
          <cell r="BE74">
            <v>39</v>
          </cell>
          <cell r="BF74">
            <v>39</v>
          </cell>
          <cell r="BG74">
            <v>28</v>
          </cell>
          <cell r="BH74">
            <v>39</v>
          </cell>
          <cell r="BI74">
            <v>40</v>
          </cell>
          <cell r="BJ74">
            <v>40</v>
          </cell>
          <cell r="BK74">
            <v>43</v>
          </cell>
          <cell r="BL74">
            <v>45</v>
          </cell>
          <cell r="BM74">
            <v>47</v>
          </cell>
          <cell r="BN74">
            <v>49</v>
          </cell>
          <cell r="BO74">
            <v>50</v>
          </cell>
          <cell r="BP74">
            <v>52</v>
          </cell>
          <cell r="BQ74">
            <v>52</v>
          </cell>
          <cell r="BR74">
            <v>53</v>
          </cell>
          <cell r="BS74">
            <v>53</v>
          </cell>
          <cell r="BT74">
            <v>53</v>
          </cell>
          <cell r="BU74">
            <v>53</v>
          </cell>
          <cell r="BV74">
            <v>36</v>
          </cell>
          <cell r="BW74">
            <v>26</v>
          </cell>
          <cell r="BX74">
            <v>24</v>
          </cell>
          <cell r="BY74">
            <v>29</v>
          </cell>
          <cell r="BZ74">
            <v>43</v>
          </cell>
        </row>
        <row r="75">
          <cell r="A75" t="str">
            <v>St John's RC Primary School</v>
          </cell>
          <cell r="B75">
            <v>280</v>
          </cell>
          <cell r="C75">
            <v>295</v>
          </cell>
          <cell r="D75">
            <v>302</v>
          </cell>
          <cell r="E75">
            <v>287</v>
          </cell>
          <cell r="F75">
            <v>294</v>
          </cell>
          <cell r="G75">
            <v>266</v>
          </cell>
          <cell r="H75">
            <v>261</v>
          </cell>
          <cell r="I75">
            <v>290</v>
          </cell>
          <cell r="J75">
            <v>277</v>
          </cell>
          <cell r="K75">
            <v>279.01499722273655</v>
          </cell>
          <cell r="L75">
            <v>283.00092575448991</v>
          </cell>
          <cell r="M75">
            <v>286.42473615997039</v>
          </cell>
          <cell r="N75">
            <v>289.13312349564899</v>
          </cell>
          <cell r="O75">
            <v>291.22829105721166</v>
          </cell>
          <cell r="P75">
            <v>292.65913719681544</v>
          </cell>
          <cell r="Q75">
            <v>293.47676356230329</v>
          </cell>
          <cell r="R75">
            <v>294.39659322347717</v>
          </cell>
          <cell r="S75">
            <v>294.44769487132015</v>
          </cell>
          <cell r="T75">
            <v>294.34549157563418</v>
          </cell>
          <cell r="U75">
            <v>283</v>
          </cell>
          <cell r="V75">
            <v>299</v>
          </cell>
          <cell r="W75">
            <v>276</v>
          </cell>
          <cell r="X75">
            <v>305</v>
          </cell>
          <cell r="Y75">
            <v>282</v>
          </cell>
          <cell r="Z75">
            <v>264</v>
          </cell>
          <cell r="AA75">
            <v>259</v>
          </cell>
          <cell r="AB75">
            <v>288</v>
          </cell>
          <cell r="AC75">
            <v>275</v>
          </cell>
          <cell r="AD75">
            <v>277</v>
          </cell>
          <cell r="AE75">
            <v>281</v>
          </cell>
          <cell r="AF75">
            <v>284</v>
          </cell>
          <cell r="AG75">
            <v>287</v>
          </cell>
          <cell r="AH75">
            <v>289</v>
          </cell>
          <cell r="AI75">
            <v>290</v>
          </cell>
          <cell r="AJ75">
            <v>291</v>
          </cell>
          <cell r="AK75">
            <v>292</v>
          </cell>
          <cell r="AL75">
            <v>292</v>
          </cell>
          <cell r="AM75">
            <v>292</v>
          </cell>
          <cell r="AN75">
            <v>45</v>
          </cell>
          <cell r="AO75">
            <v>51</v>
          </cell>
          <cell r="AP75">
            <v>49</v>
          </cell>
          <cell r="AQ75">
            <v>55</v>
          </cell>
          <cell r="AR75">
            <v>41</v>
          </cell>
          <cell r="AS75">
            <v>44</v>
          </cell>
          <cell r="AT75">
            <v>43</v>
          </cell>
          <cell r="AU75">
            <v>48</v>
          </cell>
          <cell r="AV75">
            <v>46</v>
          </cell>
          <cell r="AW75">
            <v>46</v>
          </cell>
          <cell r="AX75">
            <v>47</v>
          </cell>
          <cell r="AY75">
            <v>48</v>
          </cell>
          <cell r="AZ75">
            <v>48</v>
          </cell>
          <cell r="BA75">
            <v>48</v>
          </cell>
          <cell r="BB75">
            <v>49</v>
          </cell>
          <cell r="BC75">
            <v>49</v>
          </cell>
          <cell r="BD75">
            <v>49</v>
          </cell>
          <cell r="BE75">
            <v>49</v>
          </cell>
          <cell r="BF75">
            <v>49</v>
          </cell>
          <cell r="BG75">
            <v>49</v>
          </cell>
          <cell r="BH75">
            <v>45</v>
          </cell>
          <cell r="BI75">
            <v>44</v>
          </cell>
          <cell r="BJ75">
            <v>50</v>
          </cell>
          <cell r="BK75">
            <v>48</v>
          </cell>
          <cell r="BL75">
            <v>49</v>
          </cell>
          <cell r="BM75">
            <v>50</v>
          </cell>
          <cell r="BN75">
            <v>52</v>
          </cell>
          <cell r="BO75">
            <v>53</v>
          </cell>
          <cell r="BP75">
            <v>54</v>
          </cell>
          <cell r="BQ75">
            <v>56</v>
          </cell>
          <cell r="BR75">
            <v>56</v>
          </cell>
          <cell r="BS75">
            <v>57</v>
          </cell>
          <cell r="BT75">
            <v>57</v>
          </cell>
          <cell r="BU75">
            <v>58</v>
          </cell>
          <cell r="BV75">
            <v>45</v>
          </cell>
          <cell r="BW75">
            <v>51</v>
          </cell>
          <cell r="BX75">
            <v>49</v>
          </cell>
          <cell r="BY75">
            <v>51</v>
          </cell>
          <cell r="BZ75">
            <v>41</v>
          </cell>
        </row>
        <row r="76">
          <cell r="A76" t="str">
            <v>St Joseph's RC Primary School</v>
          </cell>
          <cell r="B76">
            <v>510</v>
          </cell>
          <cell r="C76">
            <v>520</v>
          </cell>
          <cell r="D76">
            <v>475</v>
          </cell>
          <cell r="E76">
            <v>507</v>
          </cell>
          <cell r="F76">
            <v>486</v>
          </cell>
          <cell r="G76">
            <v>460</v>
          </cell>
          <cell r="H76">
            <v>419</v>
          </cell>
          <cell r="I76">
            <v>420</v>
          </cell>
          <cell r="J76">
            <v>435</v>
          </cell>
          <cell r="K76">
            <v>429.30568413256805</v>
          </cell>
          <cell r="L76">
            <v>435.43862247731903</v>
          </cell>
          <cell r="M76">
            <v>440.70665926063077</v>
          </cell>
          <cell r="N76">
            <v>444.87391223847436</v>
          </cell>
          <cell r="O76">
            <v>448.09763624020246</v>
          </cell>
          <cell r="P76">
            <v>450.29920385113871</v>
          </cell>
          <cell r="Q76">
            <v>451.55724248595942</v>
          </cell>
          <cell r="R76">
            <v>452.97253595013274</v>
          </cell>
          <cell r="S76">
            <v>453.05116336480904</v>
          </cell>
          <cell r="T76">
            <v>452.89390853545643</v>
          </cell>
          <cell r="U76">
            <v>459</v>
          </cell>
          <cell r="V76">
            <v>411</v>
          </cell>
          <cell r="W76">
            <v>377</v>
          </cell>
          <cell r="X76">
            <v>440</v>
          </cell>
          <cell r="Y76">
            <v>413</v>
          </cell>
          <cell r="Z76">
            <v>387</v>
          </cell>
          <cell r="AA76">
            <v>352</v>
          </cell>
          <cell r="AB76">
            <v>353</v>
          </cell>
          <cell r="AC76">
            <v>366</v>
          </cell>
          <cell r="AD76">
            <v>361</v>
          </cell>
          <cell r="AE76">
            <v>366</v>
          </cell>
          <cell r="AF76">
            <v>370</v>
          </cell>
          <cell r="AG76">
            <v>374</v>
          </cell>
          <cell r="AH76">
            <v>377</v>
          </cell>
          <cell r="AI76">
            <v>378</v>
          </cell>
          <cell r="AJ76">
            <v>379</v>
          </cell>
          <cell r="AK76">
            <v>381</v>
          </cell>
          <cell r="AL76">
            <v>381</v>
          </cell>
          <cell r="AM76">
            <v>381</v>
          </cell>
          <cell r="AN76">
            <v>36</v>
          </cell>
          <cell r="AO76">
            <v>46</v>
          </cell>
          <cell r="AP76">
            <v>46</v>
          </cell>
          <cell r="AQ76">
            <v>57</v>
          </cell>
          <cell r="AR76">
            <v>48</v>
          </cell>
          <cell r="AS76">
            <v>47</v>
          </cell>
          <cell r="AT76">
            <v>43</v>
          </cell>
          <cell r="AU76">
            <v>43</v>
          </cell>
          <cell r="AV76">
            <v>45</v>
          </cell>
          <cell r="AW76">
            <v>44</v>
          </cell>
          <cell r="AX76">
            <v>45</v>
          </cell>
          <cell r="AY76">
            <v>45</v>
          </cell>
          <cell r="AZ76">
            <v>46</v>
          </cell>
          <cell r="BA76">
            <v>46</v>
          </cell>
          <cell r="BB76">
            <v>46</v>
          </cell>
          <cell r="BC76">
            <v>46</v>
          </cell>
          <cell r="BD76">
            <v>47</v>
          </cell>
          <cell r="BE76">
            <v>47</v>
          </cell>
          <cell r="BF76">
            <v>47</v>
          </cell>
          <cell r="BG76">
            <v>46</v>
          </cell>
          <cell r="BH76">
            <v>48</v>
          </cell>
          <cell r="BI76">
            <v>45</v>
          </cell>
          <cell r="BJ76">
            <v>45</v>
          </cell>
          <cell r="BK76">
            <v>47</v>
          </cell>
          <cell r="BL76">
            <v>46</v>
          </cell>
          <cell r="BM76">
            <v>47</v>
          </cell>
          <cell r="BN76">
            <v>48</v>
          </cell>
          <cell r="BO76">
            <v>49</v>
          </cell>
          <cell r="BP76">
            <v>49</v>
          </cell>
          <cell r="BQ76">
            <v>49</v>
          </cell>
          <cell r="BR76">
            <v>49</v>
          </cell>
          <cell r="BS76">
            <v>50</v>
          </cell>
          <cell r="BT76">
            <v>50</v>
          </cell>
          <cell r="BU76">
            <v>50</v>
          </cell>
          <cell r="BV76">
            <v>35</v>
          </cell>
          <cell r="BW76">
            <v>46</v>
          </cell>
          <cell r="BX76">
            <v>44</v>
          </cell>
          <cell r="BY76">
            <v>54</v>
          </cell>
          <cell r="BZ76">
            <v>47</v>
          </cell>
        </row>
        <row r="77">
          <cell r="A77" t="str">
            <v>St Margaret's RC Primary School</v>
          </cell>
          <cell r="B77">
            <v>166</v>
          </cell>
          <cell r="C77">
            <v>154</v>
          </cell>
          <cell r="D77">
            <v>161</v>
          </cell>
          <cell r="E77">
            <v>166</v>
          </cell>
          <cell r="F77">
            <v>178</v>
          </cell>
          <cell r="G77">
            <v>182</v>
          </cell>
          <cell r="H77">
            <v>191</v>
          </cell>
          <cell r="I77">
            <v>203</v>
          </cell>
          <cell r="J77">
            <v>229</v>
          </cell>
          <cell r="K77">
            <v>209.93519718570633</v>
          </cell>
          <cell r="L77">
            <v>212.93427143121642</v>
          </cell>
          <cell r="M77">
            <v>215.51039930876996</v>
          </cell>
          <cell r="N77">
            <v>217.54823180892424</v>
          </cell>
          <cell r="O77">
            <v>219.12466827130774</v>
          </cell>
          <cell r="P77">
            <v>220.20125902610624</v>
          </cell>
          <cell r="Q77">
            <v>220.81645374313396</v>
          </cell>
          <cell r="R77">
            <v>221.50854779979014</v>
          </cell>
          <cell r="S77">
            <v>221.54699746960438</v>
          </cell>
          <cell r="T77">
            <v>221.47009812997592</v>
          </cell>
          <cell r="U77">
            <v>216</v>
          </cell>
          <cell r="V77">
            <v>179</v>
          </cell>
          <cell r="W77">
            <v>227</v>
          </cell>
          <cell r="X77">
            <v>228</v>
          </cell>
          <cell r="Y77">
            <v>249</v>
          </cell>
          <cell r="Z77">
            <v>242</v>
          </cell>
          <cell r="AA77">
            <v>254</v>
          </cell>
          <cell r="AB77">
            <v>270</v>
          </cell>
          <cell r="AC77">
            <v>304</v>
          </cell>
          <cell r="AD77">
            <v>279</v>
          </cell>
          <cell r="AE77">
            <v>283</v>
          </cell>
          <cell r="AF77">
            <v>286</v>
          </cell>
          <cell r="AG77">
            <v>289</v>
          </cell>
          <cell r="AH77">
            <v>291</v>
          </cell>
          <cell r="AI77">
            <v>293</v>
          </cell>
          <cell r="AJ77">
            <v>294</v>
          </cell>
          <cell r="AK77">
            <v>294</v>
          </cell>
          <cell r="AL77">
            <v>294</v>
          </cell>
          <cell r="AM77">
            <v>294</v>
          </cell>
          <cell r="AN77">
            <v>12</v>
          </cell>
          <cell r="AO77">
            <v>10</v>
          </cell>
          <cell r="AP77">
            <v>15</v>
          </cell>
          <cell r="AQ77">
            <v>16</v>
          </cell>
          <cell r="AR77">
            <v>17</v>
          </cell>
          <cell r="AS77">
            <v>16</v>
          </cell>
          <cell r="AT77">
            <v>17</v>
          </cell>
          <cell r="AU77">
            <v>18</v>
          </cell>
          <cell r="AV77">
            <v>21</v>
          </cell>
          <cell r="AW77">
            <v>19</v>
          </cell>
          <cell r="AX77">
            <v>19</v>
          </cell>
          <cell r="AY77">
            <v>19</v>
          </cell>
          <cell r="AZ77">
            <v>20</v>
          </cell>
          <cell r="BA77">
            <v>20</v>
          </cell>
          <cell r="BB77">
            <v>20</v>
          </cell>
          <cell r="BC77">
            <v>20</v>
          </cell>
          <cell r="BD77">
            <v>20</v>
          </cell>
          <cell r="BE77">
            <v>20</v>
          </cell>
          <cell r="BF77">
            <v>20</v>
          </cell>
          <cell r="BG77">
            <v>15</v>
          </cell>
          <cell r="BH77">
            <v>17</v>
          </cell>
          <cell r="BI77">
            <v>18</v>
          </cell>
          <cell r="BJ77">
            <v>19</v>
          </cell>
          <cell r="BK77">
            <v>23</v>
          </cell>
          <cell r="BL77">
            <v>22</v>
          </cell>
          <cell r="BM77">
            <v>22</v>
          </cell>
          <cell r="BN77">
            <v>23</v>
          </cell>
          <cell r="BO77">
            <v>25</v>
          </cell>
          <cell r="BP77">
            <v>26</v>
          </cell>
          <cell r="BQ77">
            <v>27</v>
          </cell>
          <cell r="BR77">
            <v>28</v>
          </cell>
          <cell r="BS77">
            <v>28</v>
          </cell>
          <cell r="BT77">
            <v>28</v>
          </cell>
          <cell r="BU77">
            <v>29</v>
          </cell>
          <cell r="BV77">
            <v>12</v>
          </cell>
          <cell r="BW77">
            <v>10</v>
          </cell>
          <cell r="BX77">
            <v>15</v>
          </cell>
          <cell r="BY77">
            <v>16</v>
          </cell>
          <cell r="BZ77">
            <v>17</v>
          </cell>
        </row>
        <row r="78">
          <cell r="A78" t="str">
            <v>St Mark's RC Primary School</v>
          </cell>
          <cell r="B78">
            <v>203</v>
          </cell>
          <cell r="C78">
            <v>230</v>
          </cell>
          <cell r="D78">
            <v>245</v>
          </cell>
          <cell r="E78">
            <v>230</v>
          </cell>
          <cell r="F78">
            <v>214</v>
          </cell>
          <cell r="G78">
            <v>205</v>
          </cell>
          <cell r="H78">
            <v>214</v>
          </cell>
          <cell r="I78">
            <v>246</v>
          </cell>
          <cell r="J78">
            <v>186</v>
          </cell>
          <cell r="K78">
            <v>217.68561377522681</v>
          </cell>
          <cell r="L78">
            <v>220.79540825773006</v>
          </cell>
          <cell r="M78">
            <v>223.46664197988028</v>
          </cell>
          <cell r="N78">
            <v>225.57970746158119</v>
          </cell>
          <cell r="O78">
            <v>227.214343022897</v>
          </cell>
          <cell r="P78">
            <v>228.33067950379561</v>
          </cell>
          <cell r="Q78">
            <v>228.96858606430908</v>
          </cell>
          <cell r="R78">
            <v>229.68623094488674</v>
          </cell>
          <cell r="S78">
            <v>229.72610010491883</v>
          </cell>
          <cell r="T78">
            <v>229.64636178485463</v>
          </cell>
          <cell r="U78">
            <v>196</v>
          </cell>
          <cell r="V78">
            <v>225</v>
          </cell>
          <cell r="W78">
            <v>208</v>
          </cell>
          <cell r="X78">
            <v>208</v>
          </cell>
          <cell r="Y78">
            <v>211</v>
          </cell>
          <cell r="Z78">
            <v>192</v>
          </cell>
          <cell r="AA78">
            <v>200</v>
          </cell>
          <cell r="AB78">
            <v>230</v>
          </cell>
          <cell r="AC78">
            <v>174</v>
          </cell>
          <cell r="AD78">
            <v>204</v>
          </cell>
          <cell r="AE78">
            <v>207</v>
          </cell>
          <cell r="AF78">
            <v>209</v>
          </cell>
          <cell r="AG78">
            <v>211</v>
          </cell>
          <cell r="AH78">
            <v>213</v>
          </cell>
          <cell r="AI78">
            <v>214</v>
          </cell>
          <cell r="AJ78">
            <v>214</v>
          </cell>
          <cell r="AK78">
            <v>215</v>
          </cell>
          <cell r="AL78">
            <v>215</v>
          </cell>
          <cell r="AM78">
            <v>215</v>
          </cell>
          <cell r="AN78">
            <v>19</v>
          </cell>
          <cell r="AO78">
            <v>29</v>
          </cell>
          <cell r="AP78">
            <v>22</v>
          </cell>
          <cell r="AQ78">
            <v>23</v>
          </cell>
          <cell r="AR78">
            <v>18</v>
          </cell>
          <cell r="AS78">
            <v>19</v>
          </cell>
          <cell r="AT78">
            <v>20</v>
          </cell>
          <cell r="AU78">
            <v>23</v>
          </cell>
          <cell r="AV78">
            <v>17</v>
          </cell>
          <cell r="AW78">
            <v>21</v>
          </cell>
          <cell r="AX78">
            <v>21</v>
          </cell>
          <cell r="AY78">
            <v>21</v>
          </cell>
          <cell r="AZ78">
            <v>21</v>
          </cell>
          <cell r="BA78">
            <v>21</v>
          </cell>
          <cell r="BB78">
            <v>22</v>
          </cell>
          <cell r="BC78">
            <v>22</v>
          </cell>
          <cell r="BD78">
            <v>22</v>
          </cell>
          <cell r="BE78">
            <v>22</v>
          </cell>
          <cell r="BF78">
            <v>22</v>
          </cell>
          <cell r="BG78">
            <v>22</v>
          </cell>
          <cell r="BH78">
            <v>19</v>
          </cell>
          <cell r="BI78">
            <v>20</v>
          </cell>
          <cell r="BJ78">
            <v>23</v>
          </cell>
          <cell r="BK78">
            <v>17</v>
          </cell>
          <cell r="BL78">
            <v>21</v>
          </cell>
          <cell r="BM78">
            <v>22</v>
          </cell>
          <cell r="BN78">
            <v>22</v>
          </cell>
          <cell r="BO78">
            <v>22</v>
          </cell>
          <cell r="BP78">
            <v>22</v>
          </cell>
          <cell r="BQ78">
            <v>23</v>
          </cell>
          <cell r="BR78">
            <v>23</v>
          </cell>
          <cell r="BS78">
            <v>23</v>
          </cell>
          <cell r="BT78">
            <v>23</v>
          </cell>
          <cell r="BU78">
            <v>23</v>
          </cell>
          <cell r="BV78">
            <v>19</v>
          </cell>
          <cell r="BW78">
            <v>28</v>
          </cell>
          <cell r="BX78">
            <v>21</v>
          </cell>
          <cell r="BY78">
            <v>20</v>
          </cell>
          <cell r="BZ78">
            <v>18</v>
          </cell>
        </row>
        <row r="79">
          <cell r="A79" t="str">
            <v>St Mary's RC Primary School (Edin.)</v>
          </cell>
          <cell r="B79">
            <v>602</v>
          </cell>
          <cell r="C79">
            <v>623</v>
          </cell>
          <cell r="D79">
            <v>588</v>
          </cell>
          <cell r="E79">
            <v>573</v>
          </cell>
          <cell r="F79">
            <v>605</v>
          </cell>
          <cell r="G79">
            <v>549</v>
          </cell>
          <cell r="H79">
            <v>515</v>
          </cell>
          <cell r="I79">
            <v>538</v>
          </cell>
          <cell r="J79">
            <v>483</v>
          </cell>
          <cell r="K79">
            <v>517.59303832623584</v>
          </cell>
          <cell r="L79">
            <v>524.98722458803923</v>
          </cell>
          <cell r="M79">
            <v>531.33864099240884</v>
          </cell>
          <cell r="N79">
            <v>536.36289576004447</v>
          </cell>
          <cell r="O79">
            <v>540.24958341047954</v>
          </cell>
          <cell r="P79">
            <v>542.90390668394741</v>
          </cell>
          <cell r="Q79">
            <v>544.42066284021473</v>
          </cell>
          <cell r="R79">
            <v>546.1270135160155</v>
          </cell>
          <cell r="S79">
            <v>546.22181077578216</v>
          </cell>
          <cell r="T79">
            <v>546.03221625624872</v>
          </cell>
          <cell r="U79">
            <v>269</v>
          </cell>
          <cell r="V79">
            <v>262</v>
          </cell>
          <cell r="W79">
            <v>244</v>
          </cell>
          <cell r="X79">
            <v>261</v>
          </cell>
          <cell r="Y79">
            <v>245</v>
          </cell>
          <cell r="Z79">
            <v>235</v>
          </cell>
          <cell r="AA79">
            <v>221</v>
          </cell>
          <cell r="AB79">
            <v>231</v>
          </cell>
          <cell r="AC79">
            <v>207</v>
          </cell>
          <cell r="AD79">
            <v>222</v>
          </cell>
          <cell r="AE79">
            <v>225</v>
          </cell>
          <cell r="AF79">
            <v>228</v>
          </cell>
          <cell r="AG79">
            <v>230</v>
          </cell>
          <cell r="AH79">
            <v>232</v>
          </cell>
          <cell r="AI79">
            <v>233</v>
          </cell>
          <cell r="AJ79">
            <v>233</v>
          </cell>
          <cell r="AK79">
            <v>234</v>
          </cell>
          <cell r="AL79">
            <v>234</v>
          </cell>
          <cell r="AM79">
            <v>234</v>
          </cell>
          <cell r="AN79">
            <v>46</v>
          </cell>
          <cell r="AO79">
            <v>53</v>
          </cell>
          <cell r="AP79">
            <v>45</v>
          </cell>
          <cell r="AQ79">
            <v>52</v>
          </cell>
          <cell r="AR79">
            <v>40</v>
          </cell>
          <cell r="AS79">
            <v>43</v>
          </cell>
          <cell r="AT79">
            <v>40</v>
          </cell>
          <cell r="AU79">
            <v>42</v>
          </cell>
          <cell r="AV79">
            <v>38</v>
          </cell>
          <cell r="AW79">
            <v>40</v>
          </cell>
          <cell r="AX79">
            <v>41</v>
          </cell>
          <cell r="AY79">
            <v>42</v>
          </cell>
          <cell r="AZ79">
            <v>42</v>
          </cell>
          <cell r="BA79">
            <v>42</v>
          </cell>
          <cell r="BB79">
            <v>42</v>
          </cell>
          <cell r="BC79">
            <v>42</v>
          </cell>
          <cell r="BD79">
            <v>43</v>
          </cell>
          <cell r="BE79">
            <v>43</v>
          </cell>
          <cell r="BF79">
            <v>43</v>
          </cell>
          <cell r="BG79">
            <v>45</v>
          </cell>
          <cell r="BH79">
            <v>44</v>
          </cell>
          <cell r="BI79">
            <v>41</v>
          </cell>
          <cell r="BJ79">
            <v>44</v>
          </cell>
          <cell r="BK79">
            <v>40</v>
          </cell>
          <cell r="BL79">
            <v>42</v>
          </cell>
          <cell r="BM79">
            <v>43</v>
          </cell>
          <cell r="BN79">
            <v>44</v>
          </cell>
          <cell r="BO79">
            <v>45</v>
          </cell>
          <cell r="BP79">
            <v>45</v>
          </cell>
          <cell r="BQ79">
            <v>45</v>
          </cell>
          <cell r="BR79">
            <v>45</v>
          </cell>
          <cell r="BS79">
            <v>46</v>
          </cell>
          <cell r="BT79">
            <v>46</v>
          </cell>
          <cell r="BU79">
            <v>46</v>
          </cell>
          <cell r="BV79">
            <v>45</v>
          </cell>
          <cell r="BW79">
            <v>52</v>
          </cell>
          <cell r="BX79">
            <v>45</v>
          </cell>
          <cell r="BY79">
            <v>52</v>
          </cell>
          <cell r="BZ79">
            <v>38</v>
          </cell>
        </row>
        <row r="80">
          <cell r="A80" t="str">
            <v>St Mary's RC Primary School (Leith)</v>
          </cell>
          <cell r="B80">
            <v>349</v>
          </cell>
          <cell r="C80">
            <v>374</v>
          </cell>
          <cell r="D80">
            <v>376</v>
          </cell>
          <cell r="E80">
            <v>385</v>
          </cell>
          <cell r="F80">
            <v>350</v>
          </cell>
          <cell r="G80">
            <v>366</v>
          </cell>
          <cell r="H80">
            <v>307</v>
          </cell>
          <cell r="I80">
            <v>314</v>
          </cell>
          <cell r="J80">
            <v>320</v>
          </cell>
          <cell r="K80">
            <v>317.0931309016849</v>
          </cell>
          <cell r="L80">
            <v>321.62303277170895</v>
          </cell>
          <cell r="M80">
            <v>325.51410232672964</v>
          </cell>
          <cell r="N80">
            <v>328.59211257174599</v>
          </cell>
          <cell r="O80">
            <v>330.97321483675864</v>
          </cell>
          <cell r="P80">
            <v>332.59933345676728</v>
          </cell>
          <cell r="Q80">
            <v>333.52854409677224</v>
          </cell>
          <cell r="R80">
            <v>334.57390606677779</v>
          </cell>
          <cell r="S80">
            <v>334.63198173177813</v>
          </cell>
          <cell r="T80">
            <v>334.51583040177752</v>
          </cell>
          <cell r="U80">
            <v>228</v>
          </cell>
          <cell r="V80">
            <v>200</v>
          </cell>
          <cell r="W80">
            <v>176</v>
          </cell>
          <cell r="X80">
            <v>191</v>
          </cell>
          <cell r="Y80">
            <v>186</v>
          </cell>
          <cell r="Z80">
            <v>196</v>
          </cell>
          <cell r="AA80">
            <v>165</v>
          </cell>
          <cell r="AB80">
            <v>169</v>
          </cell>
          <cell r="AC80">
            <v>172</v>
          </cell>
          <cell r="AD80">
            <v>170</v>
          </cell>
          <cell r="AE80">
            <v>173</v>
          </cell>
          <cell r="AF80">
            <v>175</v>
          </cell>
          <cell r="AG80">
            <v>176</v>
          </cell>
          <cell r="AH80">
            <v>178</v>
          </cell>
          <cell r="AI80">
            <v>179</v>
          </cell>
          <cell r="AJ80">
            <v>179</v>
          </cell>
          <cell r="AK80">
            <v>180</v>
          </cell>
          <cell r="AL80">
            <v>180</v>
          </cell>
          <cell r="AM80">
            <v>180</v>
          </cell>
          <cell r="AN80">
            <v>55</v>
          </cell>
          <cell r="AO80">
            <v>51</v>
          </cell>
          <cell r="AP80">
            <v>50</v>
          </cell>
          <cell r="AQ80">
            <v>49</v>
          </cell>
          <cell r="AR80">
            <v>43</v>
          </cell>
          <cell r="AS80">
            <v>50</v>
          </cell>
          <cell r="AT80">
            <v>42</v>
          </cell>
          <cell r="AU80">
            <v>43</v>
          </cell>
          <cell r="AV80">
            <v>44</v>
          </cell>
          <cell r="AW80">
            <v>44</v>
          </cell>
          <cell r="AX80">
            <v>45</v>
          </cell>
          <cell r="AY80">
            <v>45</v>
          </cell>
          <cell r="AZ80">
            <v>45</v>
          </cell>
          <cell r="BA80">
            <v>46</v>
          </cell>
          <cell r="BB80">
            <v>46</v>
          </cell>
          <cell r="BC80">
            <v>46</v>
          </cell>
          <cell r="BD80">
            <v>46</v>
          </cell>
          <cell r="BE80">
            <v>46</v>
          </cell>
          <cell r="BF80">
            <v>46</v>
          </cell>
          <cell r="BG80">
            <v>50</v>
          </cell>
          <cell r="BH80">
            <v>51</v>
          </cell>
          <cell r="BI80">
            <v>43</v>
          </cell>
          <cell r="BJ80">
            <v>44</v>
          </cell>
          <cell r="BK80">
            <v>46</v>
          </cell>
          <cell r="BL80">
            <v>46</v>
          </cell>
          <cell r="BM80">
            <v>48</v>
          </cell>
          <cell r="BN80">
            <v>49</v>
          </cell>
          <cell r="BO80">
            <v>49</v>
          </cell>
          <cell r="BP80">
            <v>51</v>
          </cell>
          <cell r="BQ80">
            <v>52</v>
          </cell>
          <cell r="BR80">
            <v>52</v>
          </cell>
          <cell r="BS80">
            <v>53</v>
          </cell>
          <cell r="BT80">
            <v>54</v>
          </cell>
          <cell r="BU80">
            <v>54</v>
          </cell>
          <cell r="BV80">
            <v>48</v>
          </cell>
          <cell r="BW80">
            <v>49</v>
          </cell>
          <cell r="BX80">
            <v>48</v>
          </cell>
          <cell r="BY80">
            <v>47</v>
          </cell>
          <cell r="BZ80">
            <v>42</v>
          </cell>
        </row>
        <row r="81">
          <cell r="A81" t="str">
            <v>St Ninian's RC Primary School</v>
          </cell>
          <cell r="B81">
            <v>275</v>
          </cell>
          <cell r="C81">
            <v>265</v>
          </cell>
          <cell r="D81">
            <v>277</v>
          </cell>
          <cell r="E81">
            <v>296</v>
          </cell>
          <cell r="F81">
            <v>278</v>
          </cell>
          <cell r="G81">
            <v>285</v>
          </cell>
          <cell r="H81">
            <v>250</v>
          </cell>
          <cell r="I81">
            <v>273</v>
          </cell>
          <cell r="J81">
            <v>216</v>
          </cell>
          <cell r="K81">
            <v>249.02425476763563</v>
          </cell>
          <cell r="L81">
            <v>252.581744121459</v>
          </cell>
          <cell r="M81">
            <v>255.63753625871752</v>
          </cell>
          <cell r="N81">
            <v>258.05480466580264</v>
          </cell>
          <cell r="O81">
            <v>259.92476701845339</v>
          </cell>
          <cell r="P81">
            <v>261.20181447880026</v>
          </cell>
          <cell r="Q81">
            <v>261.93155588471274</v>
          </cell>
          <cell r="R81">
            <v>262.75251496636429</v>
          </cell>
          <cell r="S81">
            <v>262.7981238042338</v>
          </cell>
          <cell r="T81">
            <v>262.70690612849472</v>
          </cell>
          <cell r="U81">
            <v>181</v>
          </cell>
          <cell r="V81">
            <v>193</v>
          </cell>
          <cell r="W81">
            <v>175</v>
          </cell>
          <cell r="X81">
            <v>160</v>
          </cell>
          <cell r="Y81">
            <v>163</v>
          </cell>
          <cell r="Z81">
            <v>179</v>
          </cell>
          <cell r="AA81">
            <v>157</v>
          </cell>
          <cell r="AB81">
            <v>172</v>
          </cell>
          <cell r="AC81">
            <v>136</v>
          </cell>
          <cell r="AD81">
            <v>157</v>
          </cell>
          <cell r="AE81">
            <v>159</v>
          </cell>
          <cell r="AF81">
            <v>161</v>
          </cell>
          <cell r="AG81">
            <v>162</v>
          </cell>
          <cell r="AH81">
            <v>163</v>
          </cell>
          <cell r="AI81">
            <v>164</v>
          </cell>
          <cell r="AJ81">
            <v>165</v>
          </cell>
          <cell r="AK81">
            <v>165</v>
          </cell>
          <cell r="AL81">
            <v>165</v>
          </cell>
          <cell r="AM81">
            <v>165</v>
          </cell>
          <cell r="AN81">
            <v>44</v>
          </cell>
          <cell r="AO81">
            <v>51</v>
          </cell>
          <cell r="AP81">
            <v>50</v>
          </cell>
          <cell r="AQ81">
            <v>26</v>
          </cell>
          <cell r="AR81">
            <v>43</v>
          </cell>
          <cell r="AS81">
            <v>42</v>
          </cell>
          <cell r="AT81">
            <v>37</v>
          </cell>
          <cell r="AU81">
            <v>41</v>
          </cell>
          <cell r="AV81">
            <v>32</v>
          </cell>
          <cell r="AW81">
            <v>37</v>
          </cell>
          <cell r="AX81">
            <v>38</v>
          </cell>
          <cell r="AY81">
            <v>38</v>
          </cell>
          <cell r="AZ81">
            <v>38</v>
          </cell>
          <cell r="BA81">
            <v>39</v>
          </cell>
          <cell r="BB81">
            <v>39</v>
          </cell>
          <cell r="BC81">
            <v>39</v>
          </cell>
          <cell r="BD81">
            <v>39</v>
          </cell>
          <cell r="BE81">
            <v>39</v>
          </cell>
          <cell r="BF81">
            <v>39</v>
          </cell>
          <cell r="BG81">
            <v>50</v>
          </cell>
          <cell r="BH81">
            <v>43</v>
          </cell>
          <cell r="BI81">
            <v>38</v>
          </cell>
          <cell r="BJ81">
            <v>42</v>
          </cell>
          <cell r="BK81">
            <v>33</v>
          </cell>
          <cell r="BL81">
            <v>38</v>
          </cell>
          <cell r="BM81">
            <v>39</v>
          </cell>
          <cell r="BN81">
            <v>39</v>
          </cell>
          <cell r="BO81">
            <v>39</v>
          </cell>
          <cell r="BP81">
            <v>40</v>
          </cell>
          <cell r="BQ81">
            <v>40</v>
          </cell>
          <cell r="BR81">
            <v>40</v>
          </cell>
          <cell r="BS81">
            <v>40</v>
          </cell>
          <cell r="BT81">
            <v>40</v>
          </cell>
          <cell r="BU81">
            <v>40</v>
          </cell>
          <cell r="BV81">
            <v>42</v>
          </cell>
          <cell r="BW81">
            <v>50</v>
          </cell>
          <cell r="BX81">
            <v>49</v>
          </cell>
          <cell r="BY81">
            <v>26</v>
          </cell>
          <cell r="BZ81">
            <v>40</v>
          </cell>
        </row>
        <row r="82">
          <cell r="A82" t="str">
            <v>St Peter's RC Primary School</v>
          </cell>
          <cell r="B82">
            <v>623</v>
          </cell>
          <cell r="C82">
            <v>563</v>
          </cell>
          <cell r="D82">
            <v>519</v>
          </cell>
          <cell r="E82">
            <v>544</v>
          </cell>
          <cell r="F82">
            <v>555</v>
          </cell>
          <cell r="G82">
            <v>579</v>
          </cell>
          <cell r="H82">
            <v>546</v>
          </cell>
          <cell r="I82">
            <v>502</v>
          </cell>
          <cell r="J82">
            <v>487</v>
          </cell>
          <cell r="K82">
            <v>517.25606369190893</v>
          </cell>
          <cell r="L82">
            <v>524.64543603036475</v>
          </cell>
          <cell r="M82">
            <v>530.9927173980127</v>
          </cell>
          <cell r="N82">
            <v>536.01370116645069</v>
          </cell>
          <cell r="O82">
            <v>539.89785842128003</v>
          </cell>
          <cell r="P82">
            <v>542.55045361970008</v>
          </cell>
          <cell r="Q82">
            <v>544.06622230451148</v>
          </cell>
          <cell r="R82">
            <v>545.77146207492433</v>
          </cell>
          <cell r="S82">
            <v>545.86619761772499</v>
          </cell>
          <cell r="T82">
            <v>545.67672653212355</v>
          </cell>
          <cell r="U82">
            <v>526</v>
          </cell>
          <cell r="V82">
            <v>519</v>
          </cell>
          <cell r="W82">
            <v>468</v>
          </cell>
          <cell r="X82">
            <v>508</v>
          </cell>
          <cell r="Y82">
            <v>494</v>
          </cell>
          <cell r="Z82">
            <v>520</v>
          </cell>
          <cell r="AA82">
            <v>491</v>
          </cell>
          <cell r="AB82">
            <v>451</v>
          </cell>
          <cell r="AC82">
            <v>438</v>
          </cell>
          <cell r="AD82">
            <v>465</v>
          </cell>
          <cell r="AE82">
            <v>471</v>
          </cell>
          <cell r="AF82">
            <v>477</v>
          </cell>
          <cell r="AG82">
            <v>482</v>
          </cell>
          <cell r="AH82">
            <v>485</v>
          </cell>
          <cell r="AI82">
            <v>487</v>
          </cell>
          <cell r="AJ82">
            <v>489</v>
          </cell>
          <cell r="AK82">
            <v>490</v>
          </cell>
          <cell r="AL82">
            <v>490</v>
          </cell>
          <cell r="AM82">
            <v>490</v>
          </cell>
          <cell r="AN82">
            <v>61</v>
          </cell>
          <cell r="AO82">
            <v>59</v>
          </cell>
          <cell r="AP82">
            <v>48</v>
          </cell>
          <cell r="AQ82">
            <v>56</v>
          </cell>
          <cell r="AR82">
            <v>41</v>
          </cell>
          <cell r="AS82">
            <v>51</v>
          </cell>
          <cell r="AT82">
            <v>48</v>
          </cell>
          <cell r="AU82">
            <v>44</v>
          </cell>
          <cell r="AV82">
            <v>43</v>
          </cell>
          <cell r="AW82">
            <v>46</v>
          </cell>
          <cell r="AX82">
            <v>46</v>
          </cell>
          <cell r="AY82">
            <v>47</v>
          </cell>
          <cell r="AZ82">
            <v>48</v>
          </cell>
          <cell r="BA82">
            <v>48</v>
          </cell>
          <cell r="BB82">
            <v>48</v>
          </cell>
          <cell r="BC82">
            <v>48</v>
          </cell>
          <cell r="BD82">
            <v>48</v>
          </cell>
          <cell r="BE82">
            <v>48</v>
          </cell>
          <cell r="BF82">
            <v>48</v>
          </cell>
          <cell r="BG82">
            <v>48</v>
          </cell>
          <cell r="BH82">
            <v>52</v>
          </cell>
          <cell r="BI82">
            <v>49</v>
          </cell>
          <cell r="BJ82">
            <v>45</v>
          </cell>
          <cell r="BK82">
            <v>44</v>
          </cell>
          <cell r="BL82">
            <v>47</v>
          </cell>
          <cell r="BM82">
            <v>48</v>
          </cell>
          <cell r="BN82">
            <v>49</v>
          </cell>
          <cell r="BO82">
            <v>50</v>
          </cell>
          <cell r="BP82">
            <v>50</v>
          </cell>
          <cell r="BQ82">
            <v>51</v>
          </cell>
          <cell r="BR82">
            <v>51</v>
          </cell>
          <cell r="BS82">
            <v>51</v>
          </cell>
          <cell r="BT82">
            <v>51</v>
          </cell>
          <cell r="BU82">
            <v>51</v>
          </cell>
          <cell r="BV82">
            <v>61</v>
          </cell>
          <cell r="BW82">
            <v>59</v>
          </cell>
          <cell r="BX82">
            <v>48</v>
          </cell>
          <cell r="BY82">
            <v>56</v>
          </cell>
          <cell r="BZ82">
            <v>40</v>
          </cell>
        </row>
        <row r="83">
          <cell r="A83" t="str">
            <v>Stenhouse Primary School</v>
          </cell>
          <cell r="B83">
            <v>83</v>
          </cell>
          <cell r="C83">
            <v>85</v>
          </cell>
          <cell r="D83">
            <v>71</v>
          </cell>
          <cell r="E83">
            <v>97</v>
          </cell>
          <cell r="F83">
            <v>71</v>
          </cell>
          <cell r="G83">
            <v>74</v>
          </cell>
          <cell r="H83">
            <v>69</v>
          </cell>
          <cell r="I83">
            <v>66</v>
          </cell>
          <cell r="J83">
            <v>68</v>
          </cell>
          <cell r="K83">
            <v>68.405850768376226</v>
          </cell>
          <cell r="L83">
            <v>69.383077207924458</v>
          </cell>
          <cell r="M83">
            <v>70.222489662408194</v>
          </cell>
          <cell r="N83">
            <v>70.886502499537116</v>
          </cell>
          <cell r="O83">
            <v>71.400172807504774</v>
          </cell>
          <cell r="P83">
            <v>71.7509720422144</v>
          </cell>
          <cell r="Q83">
            <v>71.951428747762762</v>
          </cell>
          <cell r="R83">
            <v>72.176942541504658</v>
          </cell>
          <cell r="S83">
            <v>72.189471085601426</v>
          </cell>
          <cell r="T83">
            <v>72.164413997407877</v>
          </cell>
          <cell r="U83">
            <v>78</v>
          </cell>
          <cell r="V83">
            <v>50</v>
          </cell>
          <cell r="W83">
            <v>54</v>
          </cell>
          <cell r="X83">
            <v>62</v>
          </cell>
          <cell r="Y83">
            <v>68</v>
          </cell>
          <cell r="Z83">
            <v>58</v>
          </cell>
          <cell r="AA83">
            <v>54</v>
          </cell>
          <cell r="AB83">
            <v>51</v>
          </cell>
          <cell r="AC83">
            <v>53</v>
          </cell>
          <cell r="AD83">
            <v>53</v>
          </cell>
          <cell r="AE83">
            <v>54</v>
          </cell>
          <cell r="AF83">
            <v>55</v>
          </cell>
          <cell r="AG83">
            <v>55</v>
          </cell>
          <cell r="AH83">
            <v>55</v>
          </cell>
          <cell r="AI83">
            <v>56</v>
          </cell>
          <cell r="AJ83">
            <v>56</v>
          </cell>
          <cell r="AK83">
            <v>56</v>
          </cell>
          <cell r="AL83">
            <v>56</v>
          </cell>
          <cell r="AM83">
            <v>56</v>
          </cell>
          <cell r="AN83">
            <v>67</v>
          </cell>
          <cell r="AO83">
            <v>44</v>
          </cell>
          <cell r="AP83">
            <v>46</v>
          </cell>
          <cell r="AQ83">
            <v>53</v>
          </cell>
          <cell r="AR83">
            <v>58</v>
          </cell>
          <cell r="AS83">
            <v>49</v>
          </cell>
          <cell r="AT83">
            <v>46</v>
          </cell>
          <cell r="AU83">
            <v>44</v>
          </cell>
          <cell r="AV83">
            <v>45</v>
          </cell>
          <cell r="AW83">
            <v>45</v>
          </cell>
          <cell r="AX83">
            <v>46</v>
          </cell>
          <cell r="AY83">
            <v>47</v>
          </cell>
          <cell r="AZ83">
            <v>47</v>
          </cell>
          <cell r="BA83">
            <v>47</v>
          </cell>
          <cell r="BB83">
            <v>48</v>
          </cell>
          <cell r="BC83">
            <v>48</v>
          </cell>
          <cell r="BD83">
            <v>48</v>
          </cell>
          <cell r="BE83">
            <v>48</v>
          </cell>
          <cell r="BF83">
            <v>48</v>
          </cell>
          <cell r="BG83">
            <v>58</v>
          </cell>
          <cell r="BH83">
            <v>50</v>
          </cell>
          <cell r="BI83">
            <v>48</v>
          </cell>
          <cell r="BJ83">
            <v>47</v>
          </cell>
          <cell r="BK83">
            <v>48</v>
          </cell>
          <cell r="BL83">
            <v>48</v>
          </cell>
          <cell r="BM83">
            <v>49</v>
          </cell>
          <cell r="BN83">
            <v>50</v>
          </cell>
          <cell r="BO83">
            <v>50</v>
          </cell>
          <cell r="BP83">
            <v>50</v>
          </cell>
          <cell r="BQ83">
            <v>51</v>
          </cell>
          <cell r="BR83">
            <v>51</v>
          </cell>
          <cell r="BS83">
            <v>51</v>
          </cell>
          <cell r="BT83">
            <v>51</v>
          </cell>
          <cell r="BU83">
            <v>51</v>
          </cell>
          <cell r="BV83">
            <v>41</v>
          </cell>
          <cell r="BW83">
            <v>32</v>
          </cell>
          <cell r="BX83">
            <v>33</v>
          </cell>
          <cell r="BY83">
            <v>42</v>
          </cell>
          <cell r="BZ83">
            <v>45</v>
          </cell>
        </row>
        <row r="84">
          <cell r="A84" t="str">
            <v>Stockbridge Primary School</v>
          </cell>
          <cell r="B84">
            <v>77</v>
          </cell>
          <cell r="C84">
            <v>91</v>
          </cell>
          <cell r="D84">
            <v>87</v>
          </cell>
          <cell r="E84">
            <v>82</v>
          </cell>
          <cell r="F84">
            <v>103</v>
          </cell>
          <cell r="G84">
            <v>92</v>
          </cell>
          <cell r="H84">
            <v>72</v>
          </cell>
          <cell r="I84">
            <v>83</v>
          </cell>
          <cell r="J84">
            <v>62</v>
          </cell>
          <cell r="K84">
            <v>73.123495648953892</v>
          </cell>
          <cell r="L84">
            <v>74.168117015367514</v>
          </cell>
          <cell r="M84">
            <v>75.065419983953575</v>
          </cell>
          <cell r="N84">
            <v>75.775226809850011</v>
          </cell>
          <cell r="O84">
            <v>76.324322656298193</v>
          </cell>
          <cell r="P84">
            <v>76.699314941677443</v>
          </cell>
          <cell r="Q84">
            <v>76.913596247608439</v>
          </cell>
          <cell r="R84">
            <v>77.15466271678082</v>
          </cell>
          <cell r="S84">
            <v>77.168055298401512</v>
          </cell>
          <cell r="T84">
            <v>77.141270135160141</v>
          </cell>
          <cell r="U84">
            <v>33</v>
          </cell>
          <cell r="V84">
            <v>41</v>
          </cell>
          <cell r="W84">
            <v>37</v>
          </cell>
          <cell r="X84">
            <v>44</v>
          </cell>
          <cell r="Y84">
            <v>36</v>
          </cell>
          <cell r="Z84">
            <v>40</v>
          </cell>
          <cell r="AA84">
            <v>32</v>
          </cell>
          <cell r="AB84">
            <v>36</v>
          </cell>
          <cell r="AC84">
            <v>27</v>
          </cell>
          <cell r="AD84">
            <v>32</v>
          </cell>
          <cell r="AE84">
            <v>32</v>
          </cell>
          <cell r="AF84">
            <v>33</v>
          </cell>
          <cell r="AG84">
            <v>33</v>
          </cell>
          <cell r="AH84">
            <v>33</v>
          </cell>
          <cell r="AI84">
            <v>34</v>
          </cell>
          <cell r="AJ84">
            <v>34</v>
          </cell>
          <cell r="AK84">
            <v>34</v>
          </cell>
          <cell r="AL84">
            <v>34</v>
          </cell>
          <cell r="AM84">
            <v>34</v>
          </cell>
          <cell r="AN84">
            <v>33</v>
          </cell>
          <cell r="AO84">
            <v>40</v>
          </cell>
          <cell r="AP84">
            <v>32</v>
          </cell>
          <cell r="AQ84">
            <v>42</v>
          </cell>
          <cell r="AR84">
            <v>33</v>
          </cell>
          <cell r="AS84">
            <v>36</v>
          </cell>
          <cell r="AT84">
            <v>29</v>
          </cell>
          <cell r="AU84">
            <v>33</v>
          </cell>
          <cell r="AV84">
            <v>25</v>
          </cell>
          <cell r="AW84">
            <v>29</v>
          </cell>
          <cell r="AX84">
            <v>29</v>
          </cell>
          <cell r="AY84">
            <v>30</v>
          </cell>
          <cell r="AZ84">
            <v>30</v>
          </cell>
          <cell r="BA84">
            <v>30</v>
          </cell>
          <cell r="BB84">
            <v>31</v>
          </cell>
          <cell r="BC84">
            <v>31</v>
          </cell>
          <cell r="BD84">
            <v>31</v>
          </cell>
          <cell r="BE84">
            <v>31</v>
          </cell>
          <cell r="BF84">
            <v>31</v>
          </cell>
          <cell r="BG84">
            <v>33</v>
          </cell>
          <cell r="BH84">
            <v>36</v>
          </cell>
          <cell r="BI84">
            <v>29</v>
          </cell>
          <cell r="BJ84">
            <v>34</v>
          </cell>
          <cell r="BK84">
            <v>26</v>
          </cell>
          <cell r="BL84">
            <v>30</v>
          </cell>
          <cell r="BM84">
            <v>30</v>
          </cell>
          <cell r="BN84">
            <v>31</v>
          </cell>
          <cell r="BO84">
            <v>31</v>
          </cell>
          <cell r="BP84">
            <v>31</v>
          </cell>
          <cell r="BQ84">
            <v>32</v>
          </cell>
          <cell r="BR84">
            <v>32</v>
          </cell>
          <cell r="BS84">
            <v>32</v>
          </cell>
          <cell r="BT84">
            <v>32</v>
          </cell>
          <cell r="BU84">
            <v>32</v>
          </cell>
          <cell r="BV84">
            <v>33</v>
          </cell>
          <cell r="BW84">
            <v>40</v>
          </cell>
          <cell r="BX84">
            <v>31</v>
          </cell>
          <cell r="BY84">
            <v>41</v>
          </cell>
          <cell r="BZ84">
            <v>32</v>
          </cell>
        </row>
        <row r="85">
          <cell r="A85" t="str">
            <v>The Royal High Primary School</v>
          </cell>
          <cell r="B85">
            <v>39</v>
          </cell>
          <cell r="C85">
            <v>49</v>
          </cell>
          <cell r="D85">
            <v>37</v>
          </cell>
          <cell r="E85">
            <v>40</v>
          </cell>
          <cell r="F85">
            <v>38</v>
          </cell>
          <cell r="G85">
            <v>49</v>
          </cell>
          <cell r="H85">
            <v>34</v>
          </cell>
          <cell r="I85">
            <v>53</v>
          </cell>
          <cell r="J85">
            <v>49</v>
          </cell>
          <cell r="K85">
            <v>45.828550268468803</v>
          </cell>
          <cell r="L85">
            <v>46.483243843732645</v>
          </cell>
          <cell r="M85">
            <v>47.04560883786953</v>
          </cell>
          <cell r="N85">
            <v>47.490464728753935</v>
          </cell>
          <cell r="O85">
            <v>47.834598531136209</v>
          </cell>
          <cell r="P85">
            <v>48.069616737641176</v>
          </cell>
          <cell r="Q85">
            <v>48.203912855644013</v>
          </cell>
          <cell r="R85">
            <v>48.354995988397206</v>
          </cell>
          <cell r="S85">
            <v>48.363389495772381</v>
          </cell>
          <cell r="T85">
            <v>48.346602481022025</v>
          </cell>
          <cell r="U85">
            <v>36</v>
          </cell>
          <cell r="V85">
            <v>41</v>
          </cell>
          <cell r="W85">
            <v>40</v>
          </cell>
          <cell r="X85">
            <v>45</v>
          </cell>
          <cell r="Y85">
            <v>33</v>
          </cell>
          <cell r="Z85">
            <v>47</v>
          </cell>
          <cell r="AA85">
            <v>33</v>
          </cell>
          <cell r="AB85">
            <v>51</v>
          </cell>
          <cell r="AC85">
            <v>47</v>
          </cell>
          <cell r="AD85">
            <v>44</v>
          </cell>
          <cell r="AE85">
            <v>45</v>
          </cell>
          <cell r="AF85">
            <v>45</v>
          </cell>
          <cell r="AG85">
            <v>46</v>
          </cell>
          <cell r="AH85">
            <v>46</v>
          </cell>
          <cell r="AI85">
            <v>46</v>
          </cell>
          <cell r="AJ85">
            <v>47</v>
          </cell>
          <cell r="AK85">
            <v>47</v>
          </cell>
          <cell r="AL85">
            <v>47</v>
          </cell>
          <cell r="AM85">
            <v>47</v>
          </cell>
          <cell r="AN85">
            <v>31</v>
          </cell>
          <cell r="AO85">
            <v>36</v>
          </cell>
          <cell r="AP85">
            <v>33</v>
          </cell>
          <cell r="AQ85">
            <v>40</v>
          </cell>
          <cell r="AR85">
            <v>31</v>
          </cell>
          <cell r="AS85">
            <v>42</v>
          </cell>
          <cell r="AT85">
            <v>29</v>
          </cell>
          <cell r="AU85">
            <v>45</v>
          </cell>
          <cell r="AV85">
            <v>42</v>
          </cell>
          <cell r="AW85">
            <v>39</v>
          </cell>
          <cell r="AX85">
            <v>40</v>
          </cell>
          <cell r="AY85">
            <v>40</v>
          </cell>
          <cell r="AZ85">
            <v>41</v>
          </cell>
          <cell r="BA85">
            <v>41</v>
          </cell>
          <cell r="BB85">
            <v>41</v>
          </cell>
          <cell r="BC85">
            <v>42</v>
          </cell>
          <cell r="BD85">
            <v>42</v>
          </cell>
          <cell r="BE85">
            <v>42</v>
          </cell>
          <cell r="BF85">
            <v>42</v>
          </cell>
          <cell r="BG85">
            <v>33</v>
          </cell>
          <cell r="BH85">
            <v>45</v>
          </cell>
          <cell r="BI85">
            <v>32</v>
          </cell>
          <cell r="BJ85">
            <v>48</v>
          </cell>
          <cell r="BK85">
            <v>46</v>
          </cell>
          <cell r="BL85">
            <v>44</v>
          </cell>
          <cell r="BM85">
            <v>47</v>
          </cell>
          <cell r="BN85">
            <v>48</v>
          </cell>
          <cell r="BO85">
            <v>50</v>
          </cell>
          <cell r="BP85">
            <v>50</v>
          </cell>
          <cell r="BQ85">
            <v>50</v>
          </cell>
          <cell r="BR85">
            <v>51</v>
          </cell>
          <cell r="BS85">
            <v>51</v>
          </cell>
          <cell r="BT85">
            <v>51</v>
          </cell>
          <cell r="BU85">
            <v>51</v>
          </cell>
          <cell r="BV85">
            <v>23</v>
          </cell>
          <cell r="BW85">
            <v>33</v>
          </cell>
          <cell r="BX85">
            <v>23</v>
          </cell>
          <cell r="BY85">
            <v>36</v>
          </cell>
          <cell r="BZ85">
            <v>28</v>
          </cell>
        </row>
        <row r="86">
          <cell r="A86" t="str">
            <v>Tollcross Primary School</v>
          </cell>
          <cell r="B86">
            <v>43</v>
          </cell>
          <cell r="C86">
            <v>49</v>
          </cell>
          <cell r="D86">
            <v>41</v>
          </cell>
          <cell r="E86">
            <v>53</v>
          </cell>
          <cell r="F86">
            <v>50</v>
          </cell>
          <cell r="G86">
            <v>57</v>
          </cell>
          <cell r="H86">
            <v>68</v>
          </cell>
          <cell r="I86">
            <v>41</v>
          </cell>
          <cell r="J86">
            <v>37</v>
          </cell>
          <cell r="K86">
            <v>49.198296611738563</v>
          </cell>
          <cell r="L86">
            <v>49.901129420477687</v>
          </cell>
          <cell r="M86">
            <v>50.504844781830521</v>
          </cell>
          <cell r="N86">
            <v>50.98241066469172</v>
          </cell>
          <cell r="O86">
            <v>51.351848423131514</v>
          </cell>
          <cell r="P86">
            <v>51.604147380114789</v>
          </cell>
          <cell r="Q86">
            <v>51.748318212676658</v>
          </cell>
          <cell r="R86">
            <v>51.910510399308762</v>
          </cell>
          <cell r="S86">
            <v>51.919521076343877</v>
          </cell>
          <cell r="T86">
            <v>51.901499722273641</v>
          </cell>
          <cell r="U86">
            <v>25</v>
          </cell>
          <cell r="V86">
            <v>20</v>
          </cell>
          <cell r="W86">
            <v>27</v>
          </cell>
          <cell r="X86">
            <v>28</v>
          </cell>
          <cell r="Y86">
            <v>32</v>
          </cell>
          <cell r="Z86">
            <v>32</v>
          </cell>
          <cell r="AA86">
            <v>38</v>
          </cell>
          <cell r="AB86">
            <v>23</v>
          </cell>
          <cell r="AC86">
            <v>21</v>
          </cell>
          <cell r="AD86">
            <v>28</v>
          </cell>
          <cell r="AE86">
            <v>28</v>
          </cell>
          <cell r="AF86">
            <v>28</v>
          </cell>
          <cell r="AG86">
            <v>29</v>
          </cell>
          <cell r="AH86">
            <v>29</v>
          </cell>
          <cell r="AI86">
            <v>29</v>
          </cell>
          <cell r="AJ86">
            <v>29</v>
          </cell>
          <cell r="AK86">
            <v>29</v>
          </cell>
          <cell r="AL86">
            <v>29</v>
          </cell>
          <cell r="AM86">
            <v>29</v>
          </cell>
          <cell r="AN86">
            <v>24</v>
          </cell>
          <cell r="AO86">
            <v>20</v>
          </cell>
          <cell r="AP86">
            <v>26</v>
          </cell>
          <cell r="AQ86">
            <v>25</v>
          </cell>
          <cell r="AR86">
            <v>30</v>
          </cell>
          <cell r="AS86">
            <v>30</v>
          </cell>
          <cell r="AT86">
            <v>35</v>
          </cell>
          <cell r="AU86">
            <v>21</v>
          </cell>
          <cell r="AV86">
            <v>20</v>
          </cell>
          <cell r="AW86">
            <v>26</v>
          </cell>
          <cell r="AX86">
            <v>26</v>
          </cell>
          <cell r="AY86">
            <v>26</v>
          </cell>
          <cell r="AZ86">
            <v>27</v>
          </cell>
          <cell r="BA86">
            <v>27</v>
          </cell>
          <cell r="BB86">
            <v>27</v>
          </cell>
          <cell r="BC86">
            <v>27</v>
          </cell>
          <cell r="BD86">
            <v>27</v>
          </cell>
          <cell r="BE86">
            <v>27</v>
          </cell>
          <cell r="BF86">
            <v>27</v>
          </cell>
          <cell r="BG86">
            <v>32</v>
          </cell>
          <cell r="BH86">
            <v>30</v>
          </cell>
          <cell r="BI86">
            <v>36</v>
          </cell>
          <cell r="BJ86">
            <v>22</v>
          </cell>
          <cell r="BK86">
            <v>21</v>
          </cell>
          <cell r="BL86">
            <v>27</v>
          </cell>
          <cell r="BM86">
            <v>28</v>
          </cell>
          <cell r="BN86">
            <v>28</v>
          </cell>
          <cell r="BO86">
            <v>29</v>
          </cell>
          <cell r="BP86">
            <v>29</v>
          </cell>
          <cell r="BQ86">
            <v>29</v>
          </cell>
          <cell r="BR86">
            <v>29</v>
          </cell>
          <cell r="BS86">
            <v>29</v>
          </cell>
          <cell r="BT86">
            <v>29</v>
          </cell>
          <cell r="BU86">
            <v>29</v>
          </cell>
          <cell r="BV86">
            <v>21</v>
          </cell>
          <cell r="BW86">
            <v>18</v>
          </cell>
          <cell r="BX86">
            <v>21</v>
          </cell>
          <cell r="BY86">
            <v>22</v>
          </cell>
          <cell r="BZ86">
            <v>25</v>
          </cell>
        </row>
        <row r="87">
          <cell r="A87" t="str">
            <v>Towerbank Primary School</v>
          </cell>
          <cell r="B87">
            <v>104</v>
          </cell>
          <cell r="C87">
            <v>91</v>
          </cell>
          <cell r="D87">
            <v>114</v>
          </cell>
          <cell r="E87">
            <v>76</v>
          </cell>
          <cell r="F87">
            <v>101</v>
          </cell>
          <cell r="G87">
            <v>81</v>
          </cell>
          <cell r="H87">
            <v>60</v>
          </cell>
          <cell r="I87">
            <v>59</v>
          </cell>
          <cell r="J87">
            <v>63</v>
          </cell>
          <cell r="K87">
            <v>61.32938344750972</v>
          </cell>
          <cell r="L87">
            <v>62.20551749675986</v>
          </cell>
          <cell r="M87">
            <v>62.958094180090107</v>
          </cell>
          <cell r="N87">
            <v>63.553416034067766</v>
          </cell>
          <cell r="O87">
            <v>64.013948034314637</v>
          </cell>
          <cell r="P87">
            <v>64.328457693019814</v>
          </cell>
          <cell r="Q87">
            <v>64.508177497994197</v>
          </cell>
          <cell r="R87">
            <v>64.710362278590381</v>
          </cell>
          <cell r="S87">
            <v>64.721594766401282</v>
          </cell>
          <cell r="T87">
            <v>64.69912979077948</v>
          </cell>
          <cell r="U87">
            <v>112</v>
          </cell>
          <cell r="V87">
            <v>101</v>
          </cell>
          <cell r="W87">
            <v>72</v>
          </cell>
          <cell r="X87">
            <v>66</v>
          </cell>
          <cell r="Y87">
            <v>93</v>
          </cell>
          <cell r="Z87">
            <v>75</v>
          </cell>
          <cell r="AA87">
            <v>55</v>
          </cell>
          <cell r="AB87">
            <v>54</v>
          </cell>
          <cell r="AC87">
            <v>58</v>
          </cell>
          <cell r="AD87">
            <v>57</v>
          </cell>
          <cell r="AE87">
            <v>57</v>
          </cell>
          <cell r="AF87">
            <v>58</v>
          </cell>
          <cell r="AG87">
            <v>59</v>
          </cell>
          <cell r="AH87">
            <v>59</v>
          </cell>
          <cell r="AI87">
            <v>59</v>
          </cell>
          <cell r="AJ87">
            <v>59</v>
          </cell>
          <cell r="AK87">
            <v>60</v>
          </cell>
          <cell r="AL87">
            <v>60</v>
          </cell>
          <cell r="AM87">
            <v>60</v>
          </cell>
          <cell r="AN87">
            <v>103</v>
          </cell>
          <cell r="AO87">
            <v>94</v>
          </cell>
          <cell r="AP87">
            <v>70</v>
          </cell>
          <cell r="AQ87">
            <v>64</v>
          </cell>
          <cell r="AR87">
            <v>91</v>
          </cell>
          <cell r="AS87">
            <v>73</v>
          </cell>
          <cell r="AT87">
            <v>54</v>
          </cell>
          <cell r="AU87">
            <v>53</v>
          </cell>
          <cell r="AV87">
            <v>56</v>
          </cell>
          <cell r="AW87">
            <v>55</v>
          </cell>
          <cell r="AX87">
            <v>55</v>
          </cell>
          <cell r="AY87">
            <v>56</v>
          </cell>
          <cell r="AZ87">
            <v>57</v>
          </cell>
          <cell r="BA87">
            <v>57</v>
          </cell>
          <cell r="BB87">
            <v>57</v>
          </cell>
          <cell r="BC87">
            <v>57</v>
          </cell>
          <cell r="BD87">
            <v>58</v>
          </cell>
          <cell r="BE87">
            <v>58</v>
          </cell>
          <cell r="BF87">
            <v>58</v>
          </cell>
          <cell r="BG87">
            <v>92</v>
          </cell>
          <cell r="BH87">
            <v>73</v>
          </cell>
          <cell r="BI87">
            <v>54</v>
          </cell>
          <cell r="BJ87">
            <v>53</v>
          </cell>
          <cell r="BK87">
            <v>56</v>
          </cell>
          <cell r="BL87">
            <v>55</v>
          </cell>
          <cell r="BM87">
            <v>55</v>
          </cell>
          <cell r="BN87">
            <v>56</v>
          </cell>
          <cell r="BO87">
            <v>57</v>
          </cell>
          <cell r="BP87">
            <v>58</v>
          </cell>
          <cell r="BQ87">
            <v>58</v>
          </cell>
          <cell r="BR87">
            <v>58</v>
          </cell>
          <cell r="BS87">
            <v>59</v>
          </cell>
          <cell r="BT87">
            <v>59</v>
          </cell>
          <cell r="BU87">
            <v>59</v>
          </cell>
          <cell r="BV87">
            <v>100</v>
          </cell>
          <cell r="BW87">
            <v>94</v>
          </cell>
          <cell r="BX87">
            <v>69</v>
          </cell>
          <cell r="BY87">
            <v>63</v>
          </cell>
          <cell r="BZ87">
            <v>90</v>
          </cell>
        </row>
        <row r="88">
          <cell r="A88" t="str">
            <v>Trinity Primary School</v>
          </cell>
          <cell r="B88">
            <v>155</v>
          </cell>
          <cell r="C88">
            <v>158</v>
          </cell>
          <cell r="D88">
            <v>146</v>
          </cell>
          <cell r="E88">
            <v>143</v>
          </cell>
          <cell r="F88">
            <v>156</v>
          </cell>
          <cell r="G88">
            <v>136</v>
          </cell>
          <cell r="H88">
            <v>147</v>
          </cell>
          <cell r="I88">
            <v>120</v>
          </cell>
          <cell r="J88">
            <v>134</v>
          </cell>
          <cell r="K88">
            <v>135.12682836511758</v>
          </cell>
          <cell r="L88">
            <v>137.05721162747639</v>
          </cell>
          <cell r="M88">
            <v>138.71536135283588</v>
          </cell>
          <cell r="N88">
            <v>140.02703203110534</v>
          </cell>
          <cell r="O88">
            <v>141.04172066901191</v>
          </cell>
          <cell r="P88">
            <v>141.73467876319199</v>
          </cell>
          <cell r="Q88">
            <v>142.1306548170092</v>
          </cell>
          <cell r="R88">
            <v>142.57612787755355</v>
          </cell>
          <cell r="S88">
            <v>142.60087638091713</v>
          </cell>
          <cell r="T88">
            <v>142.55137937418999</v>
          </cell>
          <cell r="U88">
            <v>89</v>
          </cell>
          <cell r="V88">
            <v>81</v>
          </cell>
          <cell r="W88">
            <v>101</v>
          </cell>
          <cell r="X88">
            <v>98</v>
          </cell>
          <cell r="Y88">
            <v>112</v>
          </cell>
          <cell r="Z88">
            <v>87</v>
          </cell>
          <cell r="AA88">
            <v>94</v>
          </cell>
          <cell r="AB88">
            <v>76</v>
          </cell>
          <cell r="AC88">
            <v>85</v>
          </cell>
          <cell r="AD88">
            <v>86</v>
          </cell>
          <cell r="AE88">
            <v>87</v>
          </cell>
          <cell r="AF88">
            <v>88</v>
          </cell>
          <cell r="AG88">
            <v>89</v>
          </cell>
          <cell r="AH88">
            <v>90</v>
          </cell>
          <cell r="AI88">
            <v>90</v>
          </cell>
          <cell r="AJ88">
            <v>90</v>
          </cell>
          <cell r="AK88">
            <v>91</v>
          </cell>
          <cell r="AL88">
            <v>91</v>
          </cell>
          <cell r="AM88">
            <v>91</v>
          </cell>
          <cell r="AN88">
            <v>75</v>
          </cell>
          <cell r="AO88">
            <v>77</v>
          </cell>
          <cell r="AP88">
            <v>85</v>
          </cell>
          <cell r="AQ88">
            <v>79</v>
          </cell>
          <cell r="AR88">
            <v>98</v>
          </cell>
          <cell r="AS88">
            <v>73</v>
          </cell>
          <cell r="AT88">
            <v>79</v>
          </cell>
          <cell r="AU88">
            <v>64</v>
          </cell>
          <cell r="AV88">
            <v>71</v>
          </cell>
          <cell r="AW88">
            <v>72</v>
          </cell>
          <cell r="AX88">
            <v>73</v>
          </cell>
          <cell r="AY88">
            <v>74</v>
          </cell>
          <cell r="AZ88">
            <v>75</v>
          </cell>
          <cell r="BA88">
            <v>76</v>
          </cell>
          <cell r="BB88">
            <v>76</v>
          </cell>
          <cell r="BC88">
            <v>76</v>
          </cell>
          <cell r="BD88">
            <v>77</v>
          </cell>
          <cell r="BE88">
            <v>77</v>
          </cell>
          <cell r="BF88">
            <v>77</v>
          </cell>
          <cell r="BG88">
            <v>99</v>
          </cell>
          <cell r="BH88">
            <v>74</v>
          </cell>
          <cell r="BI88">
            <v>80</v>
          </cell>
          <cell r="BJ88">
            <v>67</v>
          </cell>
          <cell r="BK88">
            <v>75</v>
          </cell>
          <cell r="BL88">
            <v>78</v>
          </cell>
          <cell r="BM88">
            <v>81</v>
          </cell>
          <cell r="BN88">
            <v>84</v>
          </cell>
          <cell r="BO88">
            <v>87</v>
          </cell>
          <cell r="BP88">
            <v>90</v>
          </cell>
          <cell r="BQ88">
            <v>92</v>
          </cell>
          <cell r="BR88">
            <v>94</v>
          </cell>
          <cell r="BS88">
            <v>97</v>
          </cell>
          <cell r="BT88">
            <v>99</v>
          </cell>
          <cell r="BU88">
            <v>101</v>
          </cell>
          <cell r="BV88">
            <v>64</v>
          </cell>
          <cell r="BW88">
            <v>64</v>
          </cell>
          <cell r="BX88">
            <v>80</v>
          </cell>
          <cell r="BY88">
            <v>78</v>
          </cell>
          <cell r="BZ88">
            <v>87</v>
          </cell>
        </row>
        <row r="89">
          <cell r="A89" t="str">
            <v>Victoria Primary School</v>
          </cell>
          <cell r="B89">
            <v>68</v>
          </cell>
          <cell r="C89">
            <v>77</v>
          </cell>
          <cell r="D89">
            <v>74</v>
          </cell>
          <cell r="E89">
            <v>84</v>
          </cell>
          <cell r="F89">
            <v>70</v>
          </cell>
          <cell r="G89">
            <v>75</v>
          </cell>
          <cell r="H89">
            <v>66</v>
          </cell>
          <cell r="I89">
            <v>62</v>
          </cell>
          <cell r="J89">
            <v>72</v>
          </cell>
          <cell r="K89">
            <v>67.394926865395306</v>
          </cell>
          <cell r="L89">
            <v>68.357711534900957</v>
          </cell>
          <cell r="M89">
            <v>69.184718879219915</v>
          </cell>
          <cell r="N89">
            <v>69.838918718755806</v>
          </cell>
          <cell r="O89">
            <v>70.344997839906213</v>
          </cell>
          <cell r="P89">
            <v>70.690612849472345</v>
          </cell>
          <cell r="Q89">
            <v>70.888107140652991</v>
          </cell>
          <cell r="R89">
            <v>71.110288218231219</v>
          </cell>
          <cell r="S89">
            <v>71.122631611430009</v>
          </cell>
          <cell r="T89">
            <v>71.097944825032428</v>
          </cell>
          <cell r="U89">
            <v>48</v>
          </cell>
          <cell r="V89">
            <v>34</v>
          </cell>
          <cell r="W89">
            <v>42</v>
          </cell>
          <cell r="X89">
            <v>52</v>
          </cell>
          <cell r="Y89">
            <v>40</v>
          </cell>
          <cell r="Z89">
            <v>44</v>
          </cell>
          <cell r="AA89">
            <v>38</v>
          </cell>
          <cell r="AB89">
            <v>36</v>
          </cell>
          <cell r="AC89">
            <v>42</v>
          </cell>
          <cell r="AD89">
            <v>39</v>
          </cell>
          <cell r="AE89">
            <v>40</v>
          </cell>
          <cell r="AF89">
            <v>40</v>
          </cell>
          <cell r="AG89">
            <v>41</v>
          </cell>
          <cell r="AH89">
            <v>41</v>
          </cell>
          <cell r="AI89">
            <v>41</v>
          </cell>
          <cell r="AJ89">
            <v>41</v>
          </cell>
          <cell r="AK89">
            <v>41</v>
          </cell>
          <cell r="AL89">
            <v>41</v>
          </cell>
          <cell r="AM89">
            <v>41</v>
          </cell>
          <cell r="AN89">
            <v>44</v>
          </cell>
          <cell r="AO89">
            <v>28</v>
          </cell>
          <cell r="AP89">
            <v>36</v>
          </cell>
          <cell r="AQ89">
            <v>42</v>
          </cell>
          <cell r="AR89">
            <v>33</v>
          </cell>
          <cell r="AS89">
            <v>37</v>
          </cell>
          <cell r="AT89">
            <v>32</v>
          </cell>
          <cell r="AU89">
            <v>30</v>
          </cell>
          <cell r="AV89">
            <v>35</v>
          </cell>
          <cell r="AW89">
            <v>32</v>
          </cell>
          <cell r="AX89">
            <v>33</v>
          </cell>
          <cell r="AY89">
            <v>33</v>
          </cell>
          <cell r="AZ89">
            <v>34</v>
          </cell>
          <cell r="BA89">
            <v>34</v>
          </cell>
          <cell r="BB89">
            <v>34</v>
          </cell>
          <cell r="BC89">
            <v>34</v>
          </cell>
          <cell r="BD89">
            <v>34</v>
          </cell>
          <cell r="BE89">
            <v>34</v>
          </cell>
          <cell r="BF89">
            <v>34</v>
          </cell>
          <cell r="BG89">
            <v>34</v>
          </cell>
          <cell r="BH89">
            <v>38</v>
          </cell>
          <cell r="BI89">
            <v>34</v>
          </cell>
          <cell r="BJ89">
            <v>32</v>
          </cell>
          <cell r="BK89">
            <v>37</v>
          </cell>
          <cell r="BL89">
            <v>34</v>
          </cell>
          <cell r="BM89">
            <v>36</v>
          </cell>
          <cell r="BN89">
            <v>38</v>
          </cell>
          <cell r="BO89">
            <v>40</v>
          </cell>
          <cell r="BP89">
            <v>42</v>
          </cell>
          <cell r="BQ89">
            <v>43</v>
          </cell>
          <cell r="BR89">
            <v>45</v>
          </cell>
          <cell r="BS89">
            <v>46</v>
          </cell>
          <cell r="BT89">
            <v>47</v>
          </cell>
          <cell r="BU89">
            <v>49</v>
          </cell>
          <cell r="BV89">
            <v>38</v>
          </cell>
          <cell r="BW89">
            <v>24</v>
          </cell>
          <cell r="BX89">
            <v>33</v>
          </cell>
          <cell r="BY89">
            <v>35</v>
          </cell>
          <cell r="BZ89">
            <v>29</v>
          </cell>
        </row>
        <row r="90">
          <cell r="A90" t="str">
            <v>Wardie Primary School</v>
          </cell>
          <cell r="B90">
            <v>97</v>
          </cell>
          <cell r="C90">
            <v>101</v>
          </cell>
          <cell r="D90">
            <v>113</v>
          </cell>
          <cell r="E90">
            <v>75</v>
          </cell>
          <cell r="F90">
            <v>75</v>
          </cell>
          <cell r="G90">
            <v>95</v>
          </cell>
          <cell r="H90">
            <v>88</v>
          </cell>
          <cell r="I90">
            <v>67</v>
          </cell>
          <cell r="J90">
            <v>70</v>
          </cell>
          <cell r="K90">
            <v>75.819292723569703</v>
          </cell>
          <cell r="L90">
            <v>76.902425476763554</v>
          </cell>
          <cell r="M90">
            <v>77.83280873912237</v>
          </cell>
          <cell r="N90">
            <v>78.568783558600245</v>
          </cell>
          <cell r="O90">
            <v>79.138122569894449</v>
          </cell>
          <cell r="P90">
            <v>79.526939455656347</v>
          </cell>
          <cell r="Q90">
            <v>79.749120533234574</v>
          </cell>
          <cell r="R90">
            <v>79.999074245510073</v>
          </cell>
          <cell r="S90">
            <v>80.012960562858709</v>
          </cell>
          <cell r="T90">
            <v>79.985187928161437</v>
          </cell>
          <cell r="U90">
            <v>71</v>
          </cell>
          <cell r="V90">
            <v>87</v>
          </cell>
          <cell r="W90">
            <v>92</v>
          </cell>
          <cell r="X90">
            <v>75</v>
          </cell>
          <cell r="Y90">
            <v>62</v>
          </cell>
          <cell r="Z90">
            <v>80</v>
          </cell>
          <cell r="AA90">
            <v>75</v>
          </cell>
          <cell r="AB90">
            <v>57</v>
          </cell>
          <cell r="AC90">
            <v>59</v>
          </cell>
          <cell r="AD90">
            <v>64</v>
          </cell>
          <cell r="AE90">
            <v>65</v>
          </cell>
          <cell r="AF90">
            <v>66</v>
          </cell>
          <cell r="AG90">
            <v>67</v>
          </cell>
          <cell r="AH90">
            <v>67</v>
          </cell>
          <cell r="AI90">
            <v>67</v>
          </cell>
          <cell r="AJ90">
            <v>68</v>
          </cell>
          <cell r="AK90">
            <v>68</v>
          </cell>
          <cell r="AL90">
            <v>68</v>
          </cell>
          <cell r="AM90">
            <v>68</v>
          </cell>
          <cell r="AN90">
            <v>69</v>
          </cell>
          <cell r="AO90">
            <v>79</v>
          </cell>
          <cell r="AP90">
            <v>84</v>
          </cell>
          <cell r="AQ90">
            <v>68</v>
          </cell>
          <cell r="AR90">
            <v>58</v>
          </cell>
          <cell r="AS90">
            <v>73</v>
          </cell>
          <cell r="AT90">
            <v>69</v>
          </cell>
          <cell r="AU90">
            <v>52</v>
          </cell>
          <cell r="AV90">
            <v>54</v>
          </cell>
          <cell r="AW90">
            <v>59</v>
          </cell>
          <cell r="AX90">
            <v>60</v>
          </cell>
          <cell r="AY90">
            <v>61</v>
          </cell>
          <cell r="AZ90">
            <v>62</v>
          </cell>
          <cell r="BA90">
            <v>62</v>
          </cell>
          <cell r="BB90">
            <v>62</v>
          </cell>
          <cell r="BC90">
            <v>62</v>
          </cell>
          <cell r="BD90">
            <v>62</v>
          </cell>
          <cell r="BE90">
            <v>62</v>
          </cell>
          <cell r="BF90">
            <v>62</v>
          </cell>
          <cell r="BG90">
            <v>58</v>
          </cell>
          <cell r="BH90">
            <v>74</v>
          </cell>
          <cell r="BI90">
            <v>70</v>
          </cell>
          <cell r="BJ90">
            <v>53</v>
          </cell>
          <cell r="BK90">
            <v>55</v>
          </cell>
          <cell r="BL90">
            <v>60</v>
          </cell>
          <cell r="BM90">
            <v>61</v>
          </cell>
          <cell r="BN90">
            <v>62</v>
          </cell>
          <cell r="BO90">
            <v>63</v>
          </cell>
          <cell r="BP90">
            <v>63</v>
          </cell>
          <cell r="BQ90">
            <v>63</v>
          </cell>
          <cell r="BR90">
            <v>63</v>
          </cell>
          <cell r="BS90">
            <v>63</v>
          </cell>
          <cell r="BT90">
            <v>63</v>
          </cell>
          <cell r="BU90">
            <v>63</v>
          </cell>
          <cell r="BV90">
            <v>65</v>
          </cell>
          <cell r="BW90">
            <v>79</v>
          </cell>
          <cell r="BX90">
            <v>83</v>
          </cell>
          <cell r="BY90">
            <v>65</v>
          </cell>
          <cell r="BZ90">
            <v>57</v>
          </cell>
        </row>
      </sheetData>
      <sheetData sheetId="98"/>
      <sheetData sheetId="99"/>
      <sheetData sheetId="100"/>
      <sheetData sheetId="101"/>
      <sheetData sheetId="10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HODOLOGY"/>
      <sheetName val="Projection_Summary"/>
      <sheetName val="Graphs"/>
      <sheetName val="Abbeyhill"/>
      <sheetName val="Balgreen"/>
      <sheetName val="Blackhall"/>
      <sheetName val="Bonaly"/>
      <sheetName val="Broomhouse"/>
      <sheetName val="Broughton"/>
      <sheetName val="Brunstane"/>
      <sheetName val="Bruntsfield"/>
      <sheetName val="Buckstone"/>
      <sheetName val="Bun Sgoil Taobh na Pairce"/>
      <sheetName val="Canal View"/>
      <sheetName val="Carrick Knowe"/>
      <sheetName val="Castleview"/>
      <sheetName val="Clermiston"/>
      <sheetName val="Clovenstone"/>
      <sheetName val="Colinton"/>
      <sheetName val="Corstorphine"/>
      <sheetName val="Craigentinny"/>
      <sheetName val="Craiglockhart"/>
      <sheetName val="Craigour Park"/>
      <sheetName val="Craigroyston"/>
      <sheetName val="Cramond"/>
      <sheetName val="Currie"/>
      <sheetName val="Dalmeny"/>
      <sheetName val="Dalry"/>
      <sheetName val="Davidsons Mains"/>
      <sheetName val="Dean Park"/>
      <sheetName val="Duddingston"/>
      <sheetName val="East Craigs"/>
      <sheetName val="Echline"/>
      <sheetName val="Ferryhill"/>
      <sheetName val="Flora Stevenson"/>
      <sheetName val="Forthview"/>
      <sheetName val="Fox Covert ND"/>
      <sheetName val="Fox Covert RC"/>
      <sheetName val="Gilmerton"/>
      <sheetName val="Gracemount"/>
      <sheetName val="Granton"/>
      <sheetName val="Gylemuir"/>
      <sheetName val="Hermitage Park"/>
      <sheetName val="Hillwood"/>
      <sheetName val="Holy Cross RC"/>
      <sheetName val="James Gillespies"/>
      <sheetName val="Juniper Green"/>
      <sheetName val="Kirkliston"/>
      <sheetName val="Leith"/>
      <sheetName val="Leith Walk"/>
      <sheetName val="Liberton"/>
      <sheetName val="Longstone"/>
      <sheetName val="Lorne"/>
      <sheetName val="Murrayburn"/>
      <sheetName val="Nether Currie"/>
      <sheetName val="Newcraighall"/>
      <sheetName val="Niddrie Mill"/>
      <sheetName val="Oxgangs"/>
      <sheetName val="Parsons Green"/>
      <sheetName val="Pentland"/>
      <sheetName val="Pirniehall"/>
      <sheetName val="Preston Street"/>
      <sheetName val="Prestonfield"/>
      <sheetName val="Queensferry"/>
      <sheetName val="Ratho"/>
      <sheetName val="Roseburn"/>
      <sheetName val="Royal Mile"/>
      <sheetName val="Sciennes"/>
      <sheetName val="Sighthill"/>
      <sheetName val="South Morningside"/>
      <sheetName val="St Catherines RC"/>
      <sheetName val="St Cuthberts RC"/>
      <sheetName val="St Davids RC"/>
      <sheetName val="St Francis RC"/>
      <sheetName val="St John Vianney"/>
      <sheetName val="St Johns RC"/>
      <sheetName val="St Josephs RC"/>
      <sheetName val="St Margarets RC"/>
      <sheetName val="St Marks RC"/>
      <sheetName val="St Marys Edin"/>
      <sheetName val="St Marys Leith"/>
      <sheetName val="St Ninians RC"/>
      <sheetName val="St Peters RC"/>
      <sheetName val="Stenhouse"/>
      <sheetName val="Stockbridge"/>
      <sheetName val="The Royal High"/>
      <sheetName val="Tollcross"/>
      <sheetName val="Towerbank"/>
      <sheetName val="Trinity"/>
      <sheetName val="Victoria"/>
      <sheetName val="Wardie"/>
      <sheetName val="Capacity"/>
      <sheetName val="Catchment Births"/>
      <sheetName val="Housing Generation"/>
      <sheetName val="Cumulative pupils per year"/>
      <sheetName val="P1 Registration 2016"/>
      <sheetName val="Birth Estimate and NRS Data"/>
      <sheetName val="Catchment Projections"/>
      <sheetName val="Rolls"/>
      <sheetName val="All P1 In Catchment"/>
      <sheetName val="P1 Retained"/>
      <sheetName val="Adhoc Projections"/>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ow r="3">
          <cell r="AS3">
            <v>2019</v>
          </cell>
          <cell r="AT3">
            <v>2020</v>
          </cell>
          <cell r="AU3">
            <v>2021</v>
          </cell>
          <cell r="AV3">
            <v>2022</v>
          </cell>
          <cell r="AW3">
            <v>2023</v>
          </cell>
          <cell r="AX3">
            <v>2024</v>
          </cell>
          <cell r="AY3">
            <v>2025</v>
          </cell>
          <cell r="AZ3">
            <v>2026</v>
          </cell>
          <cell r="BA3">
            <v>2027</v>
          </cell>
          <cell r="BB3">
            <v>2028</v>
          </cell>
          <cell r="BC3">
            <v>2029</v>
          </cell>
          <cell r="BD3">
            <v>2030</v>
          </cell>
          <cell r="BE3">
            <v>2031</v>
          </cell>
          <cell r="BF3">
            <v>2032</v>
          </cell>
        </row>
      </sheetData>
      <sheetData sheetId="98"/>
      <sheetData sheetId="99"/>
      <sheetData sheetId="100"/>
      <sheetData sheetId="101"/>
      <sheetData sheetId="10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
  <sheetViews>
    <sheetView topLeftCell="A19" workbookViewId="0">
      <selection activeCell="Q9" sqref="Q9"/>
    </sheetView>
  </sheetViews>
  <sheetFormatPr defaultRowHeight="15" x14ac:dyDescent="0.25"/>
  <sheetData/>
  <pageMargins left="0.70866141732283472" right="0.70866141732283472" top="0.74803149606299213" bottom="0.74803149606299213" header="0.31496062992125984" footer="0.31496062992125984"/>
  <pageSetup paperSize="9" scale="63"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AA84"/>
  <sheetViews>
    <sheetView workbookViewId="0">
      <selection activeCell="O15" sqref="O15"/>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99</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900</v>
      </c>
    </row>
    <row r="7" spans="1:24" x14ac:dyDescent="0.25">
      <c r="A7" s="21" t="s">
        <v>191</v>
      </c>
      <c r="B7" s="21"/>
      <c r="C7" s="100">
        <f>VLOOKUP(A1,'Projection Summary'!A5:C50,2,FALSE)</f>
        <v>180</v>
      </c>
    </row>
    <row r="9" spans="1:24" ht="15.75" x14ac:dyDescent="0.25">
      <c r="A9" s="129" t="s">
        <v>222</v>
      </c>
      <c r="R9" s="129" t="s">
        <v>198</v>
      </c>
      <c r="T9" s="173"/>
    </row>
    <row r="10" spans="1:24" x14ac:dyDescent="0.25">
      <c r="A10" s="21"/>
    </row>
    <row r="11" spans="1:24" x14ac:dyDescent="0.25">
      <c r="A11" s="21" t="s">
        <v>247</v>
      </c>
      <c r="K11" s="406" t="s">
        <v>137</v>
      </c>
      <c r="L11" s="407"/>
      <c r="M11" s="412" t="s">
        <v>139</v>
      </c>
      <c r="N11" s="49"/>
      <c r="O11" s="394" t="s">
        <v>136</v>
      </c>
      <c r="R11" s="21" t="s">
        <v>248</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134</v>
      </c>
      <c r="C13" s="19">
        <f>VLOOKUP($A$1,'Primary Catchment Analysis'!$A$3:$BE$25, 38, FALSE)</f>
        <v>125</v>
      </c>
      <c r="D13" s="27">
        <f>VLOOKUP($A$1,'Primary Catchment Analysis'!$A$3:$BE$25, 39, FALSE)</f>
        <v>134</v>
      </c>
      <c r="E13" s="27">
        <f>VLOOKUP($A$1,'Primary Catchment Analysis'!$A$3:$BE$25, 40, FALSE)</f>
        <v>136</v>
      </c>
      <c r="F13" s="27">
        <f>VLOOKUP($A$1,'Primary Catchment Analysis'!$A$3:$BE$25, 41, FALSE)</f>
        <v>98</v>
      </c>
      <c r="G13" s="126">
        <f>VLOOKUP($A$1,'Primary Catchment Analysis'!$A$3:$BE$25, 42, FALSE)</f>
        <v>101</v>
      </c>
      <c r="H13" s="28">
        <f>VLOOKUP($A$1,'Primary Catchment Analysis'!$A$3:$BE$25, 43, FALSE)</f>
        <v>121</v>
      </c>
      <c r="I13" s="28">
        <f>VLOOKUP($A$1,'S1 Catchment Analysis'!A3:I25, 7, FALSE)</f>
        <v>111</v>
      </c>
      <c r="J13" s="23"/>
      <c r="K13" s="410"/>
      <c r="L13" s="411"/>
      <c r="M13" s="399"/>
      <c r="N13" s="50"/>
      <c r="O13" s="399"/>
      <c r="P13" s="50"/>
      <c r="Q13" s="25">
        <f>A13</f>
        <v>2013</v>
      </c>
      <c r="R13" s="69">
        <f>VLOOKUP($A$1,'Secondary Rolls'!$A$3:$BE$25, 37, FALSE)</f>
        <v>131</v>
      </c>
      <c r="S13" s="53">
        <f>VLOOKUP($A$1,'Secondary Rolls'!$A$3:$BE$25, 38, FALSE)</f>
        <v>116</v>
      </c>
      <c r="T13" s="53">
        <f>VLOOKUP($A$1,'Secondary Rolls'!$A$3:$BE$25, 39, FALSE)</f>
        <v>136</v>
      </c>
      <c r="U13" s="122">
        <f>VLOOKUP($A$1,'Secondary Rolls'!$A$3:$BE$25, 40, FALSE)</f>
        <v>134</v>
      </c>
      <c r="V13" s="63">
        <f>VLOOKUP($A$1,'Secondary Rolls'!$A$3:$BE$25, 41, FALSE)</f>
        <v>154</v>
      </c>
      <c r="W13" s="53">
        <f>VLOOKUP($A$1,'Secondary Rolls'!$A$3:$BE$25, 42, FALSE)</f>
        <v>104</v>
      </c>
      <c r="X13" s="62">
        <f t="shared" ref="X13:X17" si="0">SUM(R13:W13)</f>
        <v>775</v>
      </c>
    </row>
    <row r="14" spans="1:24" ht="15.75" thickBot="1" x14ac:dyDescent="0.3">
      <c r="A14" s="25">
        <f>VLOOKUP($A$12,'S1 Catchment Analysis'!A2:I2, 6, FALSE)</f>
        <v>2014</v>
      </c>
      <c r="B14" s="45">
        <f>VLOOKUP($A$1,'Primary Catchment Analysis'!$A$3:$BE$25, 30, FALSE)</f>
        <v>126</v>
      </c>
      <c r="C14" s="44">
        <f>VLOOKUP($A$1,'Primary Catchment Analysis'!$A$3:$BE$25, 31, FALSE)</f>
        <v>132</v>
      </c>
      <c r="D14" s="19">
        <f>VLOOKUP($A$1,'Primary Catchment Analysis'!$A$3:$BE$25, 32, FALSE)</f>
        <v>124</v>
      </c>
      <c r="E14" s="27">
        <f>VLOOKUP($A$1,'Primary Catchment Analysis'!$A$3:$BE$25, 33, FALSE)</f>
        <v>132</v>
      </c>
      <c r="F14" s="27">
        <f>VLOOKUP($A$1,'Primary Catchment Analysis'!$A$3:$BE$25, 34, FALSE)</f>
        <v>132</v>
      </c>
      <c r="G14" s="126">
        <f>VLOOKUP($A$1,'Primary Catchment Analysis'!$A$3:$BE$25, 35, FALSE)</f>
        <v>100</v>
      </c>
      <c r="H14" s="28">
        <f>VLOOKUP($A$1,'Primary Catchment Analysis'!$A$3:$BE$25, 36, FALSE)</f>
        <v>101</v>
      </c>
      <c r="I14" s="27">
        <f>VLOOKUP($A$1,'S1 Catchment Analysis'!A3:I25, 6, FALSE)</f>
        <v>121</v>
      </c>
      <c r="J14" s="23"/>
      <c r="K14" s="400">
        <f>VLOOKUP($A$1,'S1 Catchment Retained'!A2:I25, 6, FALSE)</f>
        <v>112</v>
      </c>
      <c r="L14" s="401"/>
      <c r="M14" s="110">
        <f t="shared" ref="M14:M18" si="1">(K14/I14)</f>
        <v>0.92561983471074383</v>
      </c>
      <c r="N14" s="50"/>
      <c r="O14" s="111">
        <f t="shared" ref="O14:O18" si="2">R14-K14</f>
        <v>26</v>
      </c>
      <c r="P14" s="50"/>
      <c r="Q14" s="25">
        <f t="shared" ref="Q14:Q18" si="3">A14</f>
        <v>2014</v>
      </c>
      <c r="R14" s="67">
        <f>VLOOKUP($A$1,'Secondary Rolls'!$A$3:$BE$25, 30, FALSE)</f>
        <v>138</v>
      </c>
      <c r="S14" s="69">
        <f>VLOOKUP($A$1,'Secondary Rolls'!$A$3:$BE$25, 31, FALSE)</f>
        <v>129</v>
      </c>
      <c r="T14" s="61">
        <f>VLOOKUP($A$1,'Secondary Rolls'!$A$3:$BE$25, 32, FALSE)</f>
        <v>112</v>
      </c>
      <c r="U14" s="61">
        <f>VLOOKUP($A$1,'Secondary Rolls'!$A$3:$BE$25, 33, FALSE)</f>
        <v>135</v>
      </c>
      <c r="V14" s="64">
        <f>VLOOKUP($A$1,'Secondary Rolls'!$A$3:$BE$25, 34, FALSE)</f>
        <v>132</v>
      </c>
      <c r="W14" s="116">
        <f>VLOOKUP($A$1,'Secondary Rolls'!$A$3:$BE$25, 35, FALSE)</f>
        <v>116</v>
      </c>
      <c r="X14" s="62">
        <f t="shared" si="0"/>
        <v>762</v>
      </c>
    </row>
    <row r="15" spans="1:24" ht="15.75" thickBot="1" x14ac:dyDescent="0.3">
      <c r="A15" s="25">
        <f>VLOOKUP($A$12,'S1 Catchment Analysis'!A2:I2, 5, FALSE)</f>
        <v>2015</v>
      </c>
      <c r="B15" s="19">
        <f>VLOOKUP($A$1,'Primary Catchment Analysis'!$A$3:$BE$25, 23, FALSE)</f>
        <v>135</v>
      </c>
      <c r="C15" s="45">
        <f>VLOOKUP($A$1,'Primary Catchment Analysis'!$A$3:$BE$25, 24, FALSE)</f>
        <v>125</v>
      </c>
      <c r="D15" s="44">
        <f>VLOOKUP($A$1,'Primary Catchment Analysis'!$A$3:$BE$25, 25, FALSE)</f>
        <v>133</v>
      </c>
      <c r="E15" s="19">
        <f>VLOOKUP($A$1,'Primary Catchment Analysis'!$A$3:$BE$25, 26, FALSE)</f>
        <v>130</v>
      </c>
      <c r="F15" s="27">
        <f>VLOOKUP($A$1,'Primary Catchment Analysis'!$A$3:$BE$25, 27, FALSE)</f>
        <v>129</v>
      </c>
      <c r="G15" s="126">
        <f>VLOOKUP($A$1,'Primary Catchment Analysis'!$A$3:$BE$25, 28, FALSE)</f>
        <v>131</v>
      </c>
      <c r="H15" s="30">
        <f>VLOOKUP($A$1,'Primary Catchment Analysis'!$A$3:$BE$25, 29, FALSE)</f>
        <v>101</v>
      </c>
      <c r="I15" s="29">
        <f>VLOOKUP($A$1,'S1 Catchment Analysis'!A3:I25, 5, FALSE)</f>
        <v>92</v>
      </c>
      <c r="J15" s="23"/>
      <c r="K15" s="400">
        <f>VLOOKUP($A$1,'S1 Catchment Retained'!A2:I25, 5, FALSE)</f>
        <v>88</v>
      </c>
      <c r="L15" s="401"/>
      <c r="M15" s="110">
        <f t="shared" si="1"/>
        <v>0.95652173913043481</v>
      </c>
      <c r="N15" s="50"/>
      <c r="O15" s="111">
        <f t="shared" si="2"/>
        <v>27</v>
      </c>
      <c r="P15" s="50"/>
      <c r="Q15" s="25">
        <f t="shared" si="3"/>
        <v>2015</v>
      </c>
      <c r="R15" s="68">
        <f>VLOOKUP($A$1,'Secondary Rolls'!$A$3:$BE$25, 23, FALSE)</f>
        <v>115</v>
      </c>
      <c r="S15" s="67">
        <f>VLOOKUP($A$1,'Secondary Rolls'!$A$3:$BE$25, 24, FALSE)</f>
        <v>139</v>
      </c>
      <c r="T15" s="71">
        <f>VLOOKUP($A$1,'Secondary Rolls'!$A$3:$BE$25, 25, FALSE)</f>
        <v>128</v>
      </c>
      <c r="U15" s="61">
        <f>VLOOKUP($A$1,'Secondary Rolls'!$A$3:$BE$25, 26, FALSE)</f>
        <v>110</v>
      </c>
      <c r="V15" s="123">
        <f>VLOOKUP($A$1,'Secondary Rolls'!$A$3:$BE$25, 27, FALSE)</f>
        <v>124</v>
      </c>
      <c r="W15" s="64">
        <f>VLOOKUP($A$1,'Secondary Rolls'!$A$3:$BE$25, 28, FALSE)</f>
        <v>106</v>
      </c>
      <c r="X15" s="62">
        <f t="shared" si="0"/>
        <v>722</v>
      </c>
    </row>
    <row r="16" spans="1:24" ht="15.75" thickBot="1" x14ac:dyDescent="0.3">
      <c r="A16" s="25">
        <f>VLOOKUP($A$12,'S1 Catchment Analysis'!A2:I2, 4, FALSE)</f>
        <v>2016</v>
      </c>
      <c r="B16" s="44">
        <f>VLOOKUP($A$1,'Primary Catchment Analysis'!$A$3:$BE$25, 16, FALSE)</f>
        <v>128</v>
      </c>
      <c r="C16" s="19">
        <f>VLOOKUP($A$1,'Primary Catchment Analysis'!$A$3:$BE$25, 17, FALSE)</f>
        <v>139</v>
      </c>
      <c r="D16" s="45">
        <f>VLOOKUP($A$1,'Primary Catchment Analysis'!$A$3:$BE$25, 18, FALSE)</f>
        <v>128</v>
      </c>
      <c r="E16" s="44">
        <f>VLOOKUP($A$1,'Primary Catchment Analysis'!$A$3:$BE$25, 19, FALSE)</f>
        <v>129</v>
      </c>
      <c r="F16" s="19">
        <f>VLOOKUP($A$1,'Primary Catchment Analysis'!$A$3:$BE$25, 20, FALSE)</f>
        <v>131</v>
      </c>
      <c r="G16" s="126">
        <f>VLOOKUP($A$1,'Primary Catchment Analysis'!$A$3:$BE$25, 21, FALSE)</f>
        <v>128</v>
      </c>
      <c r="H16" s="112">
        <f>VLOOKUP($A$1,'Primary Catchment Analysis'!$A$3:$BE$25, 22, FALSE)</f>
        <v>127</v>
      </c>
      <c r="I16" s="30">
        <f>VLOOKUP($A$1,'S1 Catchment Analysis'!A3:I25, 4, FALSE)</f>
        <v>99</v>
      </c>
      <c r="J16" s="23"/>
      <c r="K16" s="400">
        <f>VLOOKUP($A$1,'S1 Catchment Retained'!A2:I25, 4, FALSE)</f>
        <v>87</v>
      </c>
      <c r="L16" s="401"/>
      <c r="M16" s="56">
        <f t="shared" si="1"/>
        <v>0.87878787878787878</v>
      </c>
      <c r="N16" s="50"/>
      <c r="O16" s="103">
        <f t="shared" si="2"/>
        <v>27</v>
      </c>
      <c r="P16" s="50"/>
      <c r="Q16" s="25">
        <f t="shared" si="3"/>
        <v>2016</v>
      </c>
      <c r="R16" s="69">
        <f>VLOOKUP($A$1,'Secondary Rolls'!$A$3:$BE$25, 16, FALSE)</f>
        <v>114</v>
      </c>
      <c r="S16" s="68">
        <f>VLOOKUP($A$1,'Secondary Rolls'!$A$3:$BE$25, 17, FALSE)</f>
        <v>116</v>
      </c>
      <c r="T16" s="70">
        <f>VLOOKUP($A$1,'Secondary Rolls'!$A$3:$BE$25, 18, FALSE)</f>
        <v>141</v>
      </c>
      <c r="U16" s="71">
        <f>VLOOKUP($A$1,'Secondary Rolls'!$A$3:$BE$25, 19, FALSE)</f>
        <v>126</v>
      </c>
      <c r="V16" s="66">
        <f>VLOOKUP($A$1,'Secondary Rolls'!$A$3:$BE$25, 20, FALSE)</f>
        <v>98</v>
      </c>
      <c r="W16" s="65">
        <f>VLOOKUP($A$1,'Secondary Rolls'!$A$3:$BE$25, 21, FALSE)</f>
        <v>96</v>
      </c>
      <c r="X16" s="62">
        <f t="shared" si="0"/>
        <v>691</v>
      </c>
    </row>
    <row r="17" spans="1:27" ht="15.75" thickBot="1" x14ac:dyDescent="0.3">
      <c r="A17" s="258">
        <f>VLOOKUP($A$12,'S1 Catchment Analysis'!A2:I2, 3, FALSE)</f>
        <v>2017</v>
      </c>
      <c r="B17" s="259">
        <f>VLOOKUP($A$1,'Primary Catchment Analysis'!$A$3:$BE$25, 9, FALSE)</f>
        <v>135</v>
      </c>
      <c r="C17" s="260">
        <f>VLOOKUP($A$1,'Primary Catchment Analysis'!$A$3:$BE$25, 10, FALSE)</f>
        <v>127</v>
      </c>
      <c r="D17" s="261">
        <f>VLOOKUP($A$1,'Primary Catchment Analysis'!$A$3:$BE$25, 11, FALSE)</f>
        <v>137</v>
      </c>
      <c r="E17" s="259">
        <f>VLOOKUP($A$1,'Primary Catchment Analysis'!$A$3:$BE$25, 12, FALSE)</f>
        <v>129</v>
      </c>
      <c r="F17" s="260">
        <f>VLOOKUP($A$1,'Primary Catchment Analysis'!$A$3:$BE$25, 13, FALSE)</f>
        <v>132</v>
      </c>
      <c r="G17" s="262">
        <f>VLOOKUP($A$1,'Primary Catchment Analysis'!$A$3:$BE$25, 14, FALSE)</f>
        <v>125</v>
      </c>
      <c r="H17" s="113">
        <f>VLOOKUP($A$1,'Primary Catchment Analysis'!$A$3:$BE$25, 15, FALSE)</f>
        <v>119</v>
      </c>
      <c r="I17" s="31">
        <f>VLOOKUP($A$1,'S1 Catchment Analysis'!A3:I25, 3, FALSE)</f>
        <v>123</v>
      </c>
      <c r="J17" s="23"/>
      <c r="K17" s="402">
        <f>VLOOKUP($A$1,'S1 Catchment Retained'!A2:I25, 3, FALSE)</f>
        <v>115</v>
      </c>
      <c r="L17" s="403"/>
      <c r="M17" s="57">
        <f t="shared" si="1"/>
        <v>0.93495934959349591</v>
      </c>
      <c r="N17" s="50"/>
      <c r="O17" s="104">
        <f t="shared" si="2"/>
        <v>30</v>
      </c>
      <c r="P17" s="50"/>
      <c r="Q17" s="25">
        <f t="shared" si="3"/>
        <v>2017</v>
      </c>
      <c r="R17" s="264">
        <f>VLOOKUP($A$1,'Secondary Rolls'!$A$3:$BE$25, 9, FALSE)</f>
        <v>145</v>
      </c>
      <c r="S17" s="265">
        <f>VLOOKUP($A$1,'Secondary Rolls'!$A$3:$BE$25, 10, FALSE)</f>
        <v>111</v>
      </c>
      <c r="T17" s="266">
        <f>VLOOKUP($A$1,'Secondary Rolls'!$A$3:$BE$25, 11, FALSE)</f>
        <v>116</v>
      </c>
      <c r="U17" s="270">
        <f>VLOOKUP($A$1,'Secondary Rolls'!$A$3:$BE$25, 12, FALSE)</f>
        <v>141</v>
      </c>
      <c r="V17" s="271">
        <f>VLOOKUP($A$1,'Secondary Rolls'!$A$3:$BE$25, 13, FALSE)</f>
        <v>111</v>
      </c>
      <c r="W17" s="272">
        <f>VLOOKUP($A$1,'Secondary Rolls'!$A$3:$BE$25, 14, FALSE)</f>
        <v>83</v>
      </c>
      <c r="X17" s="116">
        <f t="shared" si="0"/>
        <v>707</v>
      </c>
    </row>
    <row r="18" spans="1:27" ht="15.75" thickBot="1" x14ac:dyDescent="0.3">
      <c r="A18" s="25">
        <f>VLOOKUP($A$12,'S1 Catchment Analysis'!A2:I2, 2, FALSE)</f>
        <v>2018</v>
      </c>
      <c r="B18" s="19">
        <f>VLOOKUP($A$1,'Primary Catchment Analysis'!$A$3:$BE$25, 2, FALSE)</f>
        <v>145</v>
      </c>
      <c r="C18" s="45">
        <f>VLOOKUP($A$1,'Primary Catchment Analysis'!$A$3:$BE$25, 3, FALSE)</f>
        <v>138</v>
      </c>
      <c r="D18" s="44">
        <f>VLOOKUP($A$1,'Primary Catchment Analysis'!$A$3:$BE$25, 4, FALSE)</f>
        <v>127</v>
      </c>
      <c r="E18" s="19">
        <f>VLOOKUP($A$1,'Primary Catchment Analysis'!$A$3:$BE$25, 5, FALSE)</f>
        <v>149</v>
      </c>
      <c r="F18" s="45">
        <f>VLOOKUP($A$1,'Primary Catchment Analysis'!$A$3:$BE$25, 6, FALSE)</f>
        <v>136</v>
      </c>
      <c r="G18" s="273">
        <f>VLOOKUP($A$1,'Primary Catchment Analysis'!$A$3:$BE$25, 7, FALSE)</f>
        <v>136</v>
      </c>
      <c r="H18" s="274">
        <f>VLOOKUP($A$1,'Primary Catchment Analysis'!$A$3:$BE$25, 8, FALSE)</f>
        <v>125</v>
      </c>
      <c r="I18" s="32">
        <f>VLOOKUP($A$1,'S1 Catchment Analysis'!A3:I25, 2, FALSE)</f>
        <v>109</v>
      </c>
      <c r="J18" s="23"/>
      <c r="K18" s="392">
        <f>VLOOKUP($A$1,'S1 Catchment Retained'!A2:I25, 2, FALSE)</f>
        <v>100</v>
      </c>
      <c r="L18" s="393"/>
      <c r="M18" s="58">
        <f t="shared" si="1"/>
        <v>0.91743119266055051</v>
      </c>
      <c r="N18" s="50"/>
      <c r="O18" s="105">
        <f t="shared" si="2"/>
        <v>32</v>
      </c>
      <c r="P18" s="50"/>
      <c r="Q18" s="25">
        <f t="shared" si="3"/>
        <v>2018</v>
      </c>
      <c r="R18" s="68">
        <f>VLOOKUP($A$1,'Secondary Rolls'!$A$3:$BE$25, 2, FALSE)</f>
        <v>132</v>
      </c>
      <c r="S18" s="67">
        <f>VLOOKUP($A$1,'Secondary Rolls'!$A$3:$BE$25, 3, FALSE)</f>
        <v>143</v>
      </c>
      <c r="T18" s="69">
        <f>VLOOKUP($A$1,'Secondary Rolls'!$A$3:$BE$25, 4, FALSE)</f>
        <v>111</v>
      </c>
      <c r="U18" s="68">
        <f>VLOOKUP($A$1,'Secondary Rolls'!$A$3:$BE$25, 5, FALSE)</f>
        <v>116</v>
      </c>
      <c r="V18" s="67">
        <f>VLOOKUP($A$1,'Secondary Rolls'!$A$3:$BE$25, 6, FALSE)</f>
        <v>121</v>
      </c>
      <c r="W18" s="69">
        <f>VLOOKUP($A$1,'Secondary Rolls'!$A$3:$BE$25, 7, FALSE)</f>
        <v>91</v>
      </c>
      <c r="X18" s="53">
        <f t="shared" ref="X18" si="4">SUM(R18:W18)</f>
        <v>714</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-1.4679783950617286E-2</v>
      </c>
      <c r="D20" s="40">
        <f t="shared" ref="D20:I20" si="5">AVERAGE(((C15-D16)/C15),((C16-D17)/C16),((C17-D18)/C17))</f>
        <v>-3.2038369304556356E-3</v>
      </c>
      <c r="E20" s="40">
        <f t="shared" si="5"/>
        <v>-2.1776184301995866E-2</v>
      </c>
      <c r="F20" s="40">
        <f t="shared" si="5"/>
        <v>-2.8403895845756311E-2</v>
      </c>
      <c r="G20" s="40">
        <f t="shared" si="5"/>
        <v>7.7501447996743576E-3</v>
      </c>
      <c r="H20" s="40">
        <f t="shared" si="5"/>
        <v>3.3615617048346057E-2</v>
      </c>
      <c r="I20" s="40">
        <f t="shared" si="5"/>
        <v>4.5110552211841314E-2</v>
      </c>
      <c r="K20" s="389">
        <f>AVERAGE(M16:M18)</f>
        <v>0.91039280701397507</v>
      </c>
      <c r="L20" s="390"/>
      <c r="M20" s="391"/>
      <c r="O20" s="51">
        <f>ROUNDUP((AVERAGE(O16:O18)),0)</f>
        <v>30</v>
      </c>
      <c r="T20" s="388"/>
      <c r="U20" s="388"/>
      <c r="V20" s="40">
        <f>AVERAGE(((U15-V16)/U15),((U16-V17)/U16),((U17-V18)/U17))</f>
        <v>0.12332749992324461</v>
      </c>
      <c r="W20" s="40">
        <f>AVERAGE(((V15-W16)/V15),((V16-W17)/V16),((V17-W18)/V17))</f>
        <v>0.18634928542762644</v>
      </c>
    </row>
    <row r="21" spans="1:27" x14ac:dyDescent="0.25">
      <c r="A21" s="21"/>
      <c r="K21" s="59"/>
      <c r="L21" s="59"/>
    </row>
    <row r="22" spans="1:27" x14ac:dyDescent="0.25">
      <c r="A22" s="21" t="s">
        <v>249</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Projections'!C25+'P1 Catchment Projections'!C26+'P1 Catchment Projections'!C27</f>
        <v>180</v>
      </c>
      <c r="C24" s="34">
        <f>ROUNDUP((B18-(B18*$C$20)),0)</f>
        <v>148</v>
      </c>
      <c r="D24" s="42">
        <f>ROUNDUP((C18-(C18*$D$20)),0)</f>
        <v>139</v>
      </c>
      <c r="E24" s="43">
        <f>ROUNDUP((D18-(D18*$E$20)),0)</f>
        <v>130</v>
      </c>
      <c r="F24" s="41">
        <f>ROUNDUP((E18-(E18*$F$20)),0)</f>
        <v>154</v>
      </c>
      <c r="G24" s="42">
        <f>ROUNDUP((F18-(F18*$G$20)),0)</f>
        <v>135</v>
      </c>
      <c r="H24" s="43">
        <f>ROUNDUP((G18-(G18*$H$20)),0)</f>
        <v>132</v>
      </c>
      <c r="I24" s="99">
        <f>ROUNDUP((H18-(H18*$I$20)),0)</f>
        <v>120</v>
      </c>
      <c r="J24" s="23"/>
      <c r="K24" s="59"/>
      <c r="L24" s="59"/>
      <c r="Z24" s="109"/>
      <c r="AA24" s="109"/>
    </row>
    <row r="25" spans="1:27" x14ac:dyDescent="0.25">
      <c r="A25" s="25">
        <f>A24+1</f>
        <v>2020</v>
      </c>
      <c r="B25" s="37">
        <f>'P1 Catchment Projections'!D25+'P1 Catchment Projections'!D26+'P1 Catchment Projections'!D27</f>
        <v>163</v>
      </c>
      <c r="C25" s="34">
        <f t="shared" ref="C25:C37" si="6">ROUNDUP((B24-(B24*$C$20)),0)</f>
        <v>183</v>
      </c>
      <c r="D25" s="34">
        <f t="shared" ref="D25:D37" si="7">ROUNDUP((C24-(C24*$D$20)),0)</f>
        <v>149</v>
      </c>
      <c r="E25" s="42">
        <f t="shared" ref="E25:E37" si="8">ROUNDUP((D24-(D24*$E$20)),0)</f>
        <v>143</v>
      </c>
      <c r="F25" s="43">
        <f t="shared" ref="F25:F37" si="9">ROUNDUP((E24-(E24*$F$20)),0)</f>
        <v>134</v>
      </c>
      <c r="G25" s="41">
        <f t="shared" ref="G25:G37" si="10">ROUNDUP((F24-(F24*$G$20)),0)</f>
        <v>153</v>
      </c>
      <c r="H25" s="42">
        <f t="shared" ref="H25:H37" si="11">ROUNDUP((G24-(G24*$H$20)),0)</f>
        <v>131</v>
      </c>
      <c r="I25" s="99">
        <f t="shared" ref="I25:I37" si="12">ROUNDUP((H24-(H24*$I$20)),0)</f>
        <v>127</v>
      </c>
      <c r="J25" s="23"/>
      <c r="K25" s="59"/>
      <c r="L25" s="59"/>
      <c r="Z25" s="109"/>
      <c r="AA25" s="109"/>
    </row>
    <row r="26" spans="1:27" x14ac:dyDescent="0.25">
      <c r="A26" s="25">
        <f>A25+1</f>
        <v>2021</v>
      </c>
      <c r="B26" s="37">
        <f>'P1 Catchment Projections'!E25+'P1 Catchment Projections'!E26+'P1 Catchment Projections'!E27</f>
        <v>146</v>
      </c>
      <c r="C26" s="34">
        <f t="shared" si="6"/>
        <v>166</v>
      </c>
      <c r="D26" s="34">
        <f t="shared" si="7"/>
        <v>184</v>
      </c>
      <c r="E26" s="34">
        <f t="shared" si="8"/>
        <v>153</v>
      </c>
      <c r="F26" s="42">
        <f t="shared" si="9"/>
        <v>148</v>
      </c>
      <c r="G26" s="43">
        <f t="shared" si="10"/>
        <v>133</v>
      </c>
      <c r="H26" s="41">
        <f t="shared" si="11"/>
        <v>148</v>
      </c>
      <c r="I26" s="99">
        <f t="shared" si="12"/>
        <v>126</v>
      </c>
      <c r="J26" s="23"/>
      <c r="K26" s="59"/>
      <c r="L26" s="59"/>
      <c r="Z26" s="109"/>
      <c r="AA26" s="109"/>
    </row>
    <row r="27" spans="1:27" x14ac:dyDescent="0.25">
      <c r="A27" s="25">
        <f>A26+1</f>
        <v>2022</v>
      </c>
      <c r="B27" s="37">
        <f>'P1 Catchment Projections'!F25+'P1 Catchment Projections'!F26+'P1 Catchment Projections'!F27</f>
        <v>169</v>
      </c>
      <c r="C27" s="34">
        <f t="shared" si="6"/>
        <v>149</v>
      </c>
      <c r="D27" s="34">
        <f t="shared" si="7"/>
        <v>167</v>
      </c>
      <c r="E27" s="34">
        <f t="shared" si="8"/>
        <v>189</v>
      </c>
      <c r="F27" s="34">
        <f t="shared" si="9"/>
        <v>158</v>
      </c>
      <c r="G27" s="42">
        <f t="shared" si="10"/>
        <v>147</v>
      </c>
      <c r="H27" s="43">
        <f t="shared" si="11"/>
        <v>129</v>
      </c>
      <c r="I27" s="99">
        <f t="shared" si="12"/>
        <v>142</v>
      </c>
      <c r="J27" s="23"/>
      <c r="K27" s="59"/>
      <c r="L27" s="59"/>
      <c r="Z27" s="109"/>
      <c r="AA27" s="109"/>
    </row>
    <row r="28" spans="1:27" x14ac:dyDescent="0.25">
      <c r="A28" s="25">
        <f t="shared" ref="A28:A37" si="13">A27+1</f>
        <v>2023</v>
      </c>
      <c r="B28" s="37">
        <f>'P1 Catchment Projections'!G25+'P1 Catchment Projections'!G26+'P1 Catchment Projections'!G27</f>
        <v>161</v>
      </c>
      <c r="C28" s="34">
        <f t="shared" si="6"/>
        <v>172</v>
      </c>
      <c r="D28" s="34">
        <f t="shared" si="7"/>
        <v>150</v>
      </c>
      <c r="E28" s="34">
        <f t="shared" si="8"/>
        <v>171</v>
      </c>
      <c r="F28" s="34">
        <f t="shared" si="9"/>
        <v>195</v>
      </c>
      <c r="G28" s="34">
        <f t="shared" si="10"/>
        <v>157</v>
      </c>
      <c r="H28" s="42">
        <f t="shared" si="11"/>
        <v>143</v>
      </c>
      <c r="I28" s="99">
        <f t="shared" si="12"/>
        <v>124</v>
      </c>
      <c r="J28" s="23"/>
      <c r="K28" s="59"/>
      <c r="L28" s="59"/>
      <c r="Z28" s="109"/>
      <c r="AA28" s="109"/>
    </row>
    <row r="29" spans="1:27" x14ac:dyDescent="0.25">
      <c r="A29" s="25">
        <f t="shared" si="13"/>
        <v>2024</v>
      </c>
      <c r="B29" s="37">
        <f>'P1 Catchment Projections'!H25+'P1 Catchment Projections'!H26+'P1 Catchment Projections'!H27</f>
        <v>162</v>
      </c>
      <c r="C29" s="34">
        <f t="shared" si="6"/>
        <v>164</v>
      </c>
      <c r="D29" s="34">
        <f t="shared" si="7"/>
        <v>173</v>
      </c>
      <c r="E29" s="34">
        <f t="shared" si="8"/>
        <v>154</v>
      </c>
      <c r="F29" s="34">
        <f t="shared" si="9"/>
        <v>176</v>
      </c>
      <c r="G29" s="34">
        <f t="shared" si="10"/>
        <v>194</v>
      </c>
      <c r="H29" s="34">
        <f t="shared" si="11"/>
        <v>152</v>
      </c>
      <c r="I29" s="99">
        <f t="shared" si="12"/>
        <v>137</v>
      </c>
      <c r="K29" s="59"/>
      <c r="L29" s="59"/>
      <c r="Z29" s="109"/>
      <c r="AA29" s="109"/>
    </row>
    <row r="30" spans="1:27" x14ac:dyDescent="0.25">
      <c r="A30" s="25">
        <f t="shared" si="13"/>
        <v>2025</v>
      </c>
      <c r="B30" s="37">
        <f>'P1 Catchment Projections'!I25+'P1 Catchment Projections'!I26+'P1 Catchment Projections'!I27</f>
        <v>165</v>
      </c>
      <c r="C30" s="34">
        <f t="shared" si="6"/>
        <v>165</v>
      </c>
      <c r="D30" s="34">
        <f t="shared" si="7"/>
        <v>165</v>
      </c>
      <c r="E30" s="34">
        <f t="shared" si="8"/>
        <v>177</v>
      </c>
      <c r="F30" s="34">
        <f t="shared" si="9"/>
        <v>159</v>
      </c>
      <c r="G30" s="34">
        <f t="shared" si="10"/>
        <v>175</v>
      </c>
      <c r="H30" s="34">
        <f t="shared" si="11"/>
        <v>188</v>
      </c>
      <c r="I30" s="99">
        <f t="shared" si="12"/>
        <v>146</v>
      </c>
      <c r="K30" s="59"/>
      <c r="L30" s="59"/>
      <c r="Z30" s="109"/>
      <c r="AA30" s="109"/>
    </row>
    <row r="31" spans="1:27" x14ac:dyDescent="0.25">
      <c r="A31" s="25">
        <f t="shared" si="13"/>
        <v>2026</v>
      </c>
      <c r="B31" s="37">
        <f>'P1 Catchment Projections'!J25+'P1 Catchment Projections'!J26+'P1 Catchment Projections'!J27</f>
        <v>167</v>
      </c>
      <c r="C31" s="34">
        <f t="shared" si="6"/>
        <v>168</v>
      </c>
      <c r="D31" s="34">
        <f t="shared" si="7"/>
        <v>166</v>
      </c>
      <c r="E31" s="34">
        <f t="shared" si="8"/>
        <v>169</v>
      </c>
      <c r="F31" s="34">
        <f t="shared" si="9"/>
        <v>183</v>
      </c>
      <c r="G31" s="34">
        <f t="shared" si="10"/>
        <v>158</v>
      </c>
      <c r="H31" s="34">
        <f t="shared" si="11"/>
        <v>170</v>
      </c>
      <c r="I31" s="99">
        <f t="shared" si="12"/>
        <v>180</v>
      </c>
      <c r="K31" s="59"/>
      <c r="L31" s="59"/>
      <c r="Z31" s="109"/>
      <c r="AA31" s="109"/>
    </row>
    <row r="32" spans="1:27" x14ac:dyDescent="0.25">
      <c r="A32" s="25">
        <f t="shared" si="13"/>
        <v>2027</v>
      </c>
      <c r="B32" s="37">
        <f>'P1 Catchment Projections'!K25+'P1 Catchment Projections'!K26+'P1 Catchment Projections'!K27</f>
        <v>168</v>
      </c>
      <c r="C32" s="34">
        <f t="shared" si="6"/>
        <v>170</v>
      </c>
      <c r="D32" s="34">
        <f t="shared" si="7"/>
        <v>169</v>
      </c>
      <c r="E32" s="34">
        <f t="shared" si="8"/>
        <v>170</v>
      </c>
      <c r="F32" s="34">
        <f t="shared" si="9"/>
        <v>174</v>
      </c>
      <c r="G32" s="34">
        <f t="shared" si="10"/>
        <v>182</v>
      </c>
      <c r="H32" s="34">
        <f t="shared" si="11"/>
        <v>153</v>
      </c>
      <c r="I32" s="99">
        <f t="shared" si="12"/>
        <v>163</v>
      </c>
      <c r="K32" s="59"/>
      <c r="L32" s="59"/>
      <c r="Z32" s="109"/>
      <c r="AA32" s="109"/>
    </row>
    <row r="33" spans="1:27" x14ac:dyDescent="0.25">
      <c r="A33" s="25">
        <f t="shared" si="13"/>
        <v>2028</v>
      </c>
      <c r="B33" s="37">
        <f>'P1 Catchment Projections'!L25+'P1 Catchment Projections'!L26+'P1 Catchment Projections'!L27</f>
        <v>168</v>
      </c>
      <c r="C33" s="34">
        <f t="shared" si="6"/>
        <v>171</v>
      </c>
      <c r="D33" s="34">
        <f t="shared" si="7"/>
        <v>171</v>
      </c>
      <c r="E33" s="34">
        <f t="shared" si="8"/>
        <v>173</v>
      </c>
      <c r="F33" s="34">
        <f t="shared" si="9"/>
        <v>175</v>
      </c>
      <c r="G33" s="34">
        <f t="shared" si="10"/>
        <v>173</v>
      </c>
      <c r="H33" s="34">
        <f t="shared" si="11"/>
        <v>176</v>
      </c>
      <c r="I33" s="99">
        <f t="shared" si="12"/>
        <v>147</v>
      </c>
      <c r="K33" s="59"/>
      <c r="L33" s="59"/>
    </row>
    <row r="34" spans="1:27" x14ac:dyDescent="0.25">
      <c r="A34" s="25">
        <f t="shared" si="13"/>
        <v>2029</v>
      </c>
      <c r="B34" s="37">
        <f>'P1 Catchment Projections'!M25+'P1 Catchment Projections'!M26+'P1 Catchment Projections'!M27</f>
        <v>169</v>
      </c>
      <c r="C34" s="34">
        <f t="shared" si="6"/>
        <v>171</v>
      </c>
      <c r="D34" s="34">
        <f t="shared" si="7"/>
        <v>172</v>
      </c>
      <c r="E34" s="34">
        <f t="shared" si="8"/>
        <v>175</v>
      </c>
      <c r="F34" s="34">
        <f t="shared" si="9"/>
        <v>178</v>
      </c>
      <c r="G34" s="34">
        <f t="shared" si="10"/>
        <v>174</v>
      </c>
      <c r="H34" s="34">
        <f t="shared" si="11"/>
        <v>168</v>
      </c>
      <c r="I34" s="99">
        <f t="shared" si="12"/>
        <v>169</v>
      </c>
      <c r="K34" s="59"/>
      <c r="L34" s="59"/>
      <c r="Z34" s="109"/>
      <c r="AA34" s="109"/>
    </row>
    <row r="35" spans="1:27" x14ac:dyDescent="0.25">
      <c r="A35" s="25">
        <f t="shared" si="13"/>
        <v>2030</v>
      </c>
      <c r="B35" s="37">
        <f>'P1 Catchment Projections'!N25+'P1 Catchment Projections'!N26+'P1 Catchment Projections'!N27</f>
        <v>170</v>
      </c>
      <c r="C35" s="34">
        <f t="shared" si="6"/>
        <v>172</v>
      </c>
      <c r="D35" s="34">
        <f t="shared" si="7"/>
        <v>172</v>
      </c>
      <c r="E35" s="34">
        <f t="shared" si="8"/>
        <v>176</v>
      </c>
      <c r="F35" s="34">
        <f t="shared" si="9"/>
        <v>180</v>
      </c>
      <c r="G35" s="34">
        <f t="shared" si="10"/>
        <v>177</v>
      </c>
      <c r="H35" s="34">
        <f t="shared" si="11"/>
        <v>169</v>
      </c>
      <c r="I35" s="99">
        <f t="shared" si="12"/>
        <v>161</v>
      </c>
      <c r="K35" s="59"/>
      <c r="L35" s="59"/>
      <c r="Z35" s="109"/>
      <c r="AA35" s="109"/>
    </row>
    <row r="36" spans="1:27" x14ac:dyDescent="0.25">
      <c r="A36" s="25">
        <f t="shared" si="13"/>
        <v>2031</v>
      </c>
      <c r="B36" s="37">
        <f>'P1 Catchment Projections'!O25+'P1 Catchment Projections'!O26+'P1 Catchment Projections'!O27</f>
        <v>170</v>
      </c>
      <c r="C36" s="34">
        <f t="shared" si="6"/>
        <v>173</v>
      </c>
      <c r="D36" s="34">
        <f t="shared" si="7"/>
        <v>173</v>
      </c>
      <c r="E36" s="34">
        <f t="shared" si="8"/>
        <v>176</v>
      </c>
      <c r="F36" s="34">
        <f t="shared" si="9"/>
        <v>181</v>
      </c>
      <c r="G36" s="34">
        <f t="shared" si="10"/>
        <v>179</v>
      </c>
      <c r="H36" s="34">
        <f t="shared" si="11"/>
        <v>172</v>
      </c>
      <c r="I36" s="99">
        <f t="shared" si="12"/>
        <v>162</v>
      </c>
      <c r="K36" s="59"/>
      <c r="L36" s="59"/>
      <c r="Z36" s="109"/>
      <c r="AA36" s="109"/>
    </row>
    <row r="37" spans="1:27" x14ac:dyDescent="0.25">
      <c r="A37" s="25">
        <f t="shared" si="13"/>
        <v>2032</v>
      </c>
      <c r="B37" s="37">
        <f>'P1 Catchment Projections'!P25+'P1 Catchment Projections'!P26+'P1 Catchment Projections'!P27</f>
        <v>170</v>
      </c>
      <c r="C37" s="34">
        <f t="shared" si="6"/>
        <v>173</v>
      </c>
      <c r="D37" s="34">
        <f t="shared" si="7"/>
        <v>174</v>
      </c>
      <c r="E37" s="34">
        <f t="shared" si="8"/>
        <v>177</v>
      </c>
      <c r="F37" s="34">
        <f t="shared" si="9"/>
        <v>181</v>
      </c>
      <c r="G37" s="34">
        <f t="shared" si="10"/>
        <v>180</v>
      </c>
      <c r="H37" s="34">
        <f t="shared" si="11"/>
        <v>173</v>
      </c>
      <c r="I37" s="99">
        <f t="shared" si="12"/>
        <v>165</v>
      </c>
      <c r="K37" s="59"/>
      <c r="L37" s="59"/>
      <c r="Z37" s="109"/>
      <c r="AA37" s="109"/>
    </row>
    <row r="38" spans="1:27" x14ac:dyDescent="0.25">
      <c r="K38" s="59"/>
      <c r="L38" s="59"/>
    </row>
    <row r="39" spans="1:27" x14ac:dyDescent="0.25">
      <c r="A39" s="21" t="s">
        <v>249</v>
      </c>
      <c r="K39" s="394" t="s">
        <v>190</v>
      </c>
      <c r="L39" s="55"/>
      <c r="M39" s="394" t="s">
        <v>203</v>
      </c>
      <c r="N39" s="106"/>
      <c r="O39" s="395" t="s">
        <v>204</v>
      </c>
      <c r="R39" s="21" t="s">
        <v>250</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183</v>
      </c>
      <c r="C41" s="34">
        <f>C24+VLOOKUP($A$1,'Pri Housing Generation'!$A$96:$DQ$118, 11, FALSE)</f>
        <v>151</v>
      </c>
      <c r="D41" s="42">
        <f>D24+VLOOKUP($A$1,'Pri Housing Generation'!$A$96:$DQ$118, 12, FALSE)</f>
        <v>141</v>
      </c>
      <c r="E41" s="43">
        <f>E24+VLOOKUP($A$1,'Pri Housing Generation'!$A$96:$DQ$118, 13, FALSE)</f>
        <v>132</v>
      </c>
      <c r="F41" s="41">
        <f>F24+VLOOKUP($A$1,'Pri Housing Generation'!$A$96:$DQ$118, 14, FALSE)</f>
        <v>156</v>
      </c>
      <c r="G41" s="42">
        <f>G24+VLOOKUP($A$1,'Pri Housing Generation'!$A$96:$DQ$118, 15, FALSE)</f>
        <v>137</v>
      </c>
      <c r="H41" s="43">
        <f>H24+VLOOKUP($A$1,'Pri Housing Generation'!$A$96:$DQ$118, 16, FALSE)</f>
        <v>134</v>
      </c>
      <c r="I41" s="99">
        <f>ROUNDUP((H18-(H18*$I$20)),0)</f>
        <v>120</v>
      </c>
      <c r="K41" s="35">
        <f>'Sec Housing Generation'!I9</f>
        <v>2</v>
      </c>
      <c r="L41" s="83"/>
      <c r="M41" s="107">
        <f t="shared" ref="M41:M54" si="14">$K$20</f>
        <v>0.91039280701397507</v>
      </c>
      <c r="O41" s="35">
        <f t="shared" ref="O41:O54" si="15">ROUNDUP(((I41+K41)*M41),0)</f>
        <v>112</v>
      </c>
      <c r="Q41" s="25">
        <f>A41</f>
        <v>2019</v>
      </c>
      <c r="R41" s="20">
        <f t="shared" ref="R41:R54" si="16">IF(O41&lt;$C$7,(IF((O41+$O$20)&gt;$C$7,$C$7,(O41+$O$20))),(IF((O41+$O$20)&lt;(CEILING((O41),20)),(O41+$O$20),(CEILING((O41),20)))))</f>
        <v>142</v>
      </c>
      <c r="S41" s="53">
        <f>R18</f>
        <v>132</v>
      </c>
      <c r="T41" s="67">
        <f>S18</f>
        <v>143</v>
      </c>
      <c r="U41" s="69">
        <f>T18</f>
        <v>111</v>
      </c>
      <c r="V41" s="41">
        <f>ROUNDUP((U18-(U18*$V$20)),0)</f>
        <v>102</v>
      </c>
      <c r="W41" s="42">
        <f>ROUNDUP((V18-(V18*$W$20)),0)</f>
        <v>99</v>
      </c>
      <c r="X41" s="101">
        <f t="shared" ref="X41:X54" si="17">SUM(R41:W41)</f>
        <v>729</v>
      </c>
    </row>
    <row r="42" spans="1:27" x14ac:dyDescent="0.25">
      <c r="A42" s="25">
        <f t="shared" ref="A42:A54" si="18">A25</f>
        <v>2020</v>
      </c>
      <c r="B42" s="37">
        <f>B25+VLOOKUP($A$1,'Pri Housing Generation'!$A$96:$DQ$118, 18, FALSE)</f>
        <v>167</v>
      </c>
      <c r="C42" s="34">
        <f>C25+VLOOKUP($A$1,'Pri Housing Generation'!$A$96:$DQ$118, 19, FALSE)</f>
        <v>187</v>
      </c>
      <c r="D42" s="34">
        <f>D25+VLOOKUP($A$1,'Pri Housing Generation'!$A$96:$DQ$118, 20, FALSE)</f>
        <v>153</v>
      </c>
      <c r="E42" s="42">
        <f>E25+VLOOKUP($A$1,'Pri Housing Generation'!$A$96:$DQ$118, 21, FALSE)</f>
        <v>147</v>
      </c>
      <c r="F42" s="43">
        <f>F25+VLOOKUP($A$1,'Pri Housing Generation'!$A$96:$DQ$118, 22, FALSE)</f>
        <v>138</v>
      </c>
      <c r="G42" s="41">
        <f>G25+VLOOKUP($A$1,'Pri Housing Generation'!$A$96:$DQ$118, 23, FALSE)</f>
        <v>157</v>
      </c>
      <c r="H42" s="42">
        <f>H25+VLOOKUP($A$1,'Pri Housing Generation'!$A$96:$DQ$118, 24, FALSE)</f>
        <v>134</v>
      </c>
      <c r="I42" s="99">
        <f t="shared" ref="I42:I54" si="19">ROUNDUP((H41-(H41*$I$20)),0)</f>
        <v>128</v>
      </c>
      <c r="K42" s="35">
        <f>'Sec Housing Generation'!P9</f>
        <v>3</v>
      </c>
      <c r="L42" s="83"/>
      <c r="M42" s="107">
        <f t="shared" si="14"/>
        <v>0.91039280701397507</v>
      </c>
      <c r="O42" s="35">
        <f t="shared" si="15"/>
        <v>120</v>
      </c>
      <c r="Q42" s="25">
        <f t="shared" ref="Q42:Q54" si="20">A42</f>
        <v>2020</v>
      </c>
      <c r="R42" s="20">
        <f t="shared" si="16"/>
        <v>150</v>
      </c>
      <c r="S42" s="53">
        <f t="shared" ref="S42:U54" si="21">R41</f>
        <v>142</v>
      </c>
      <c r="T42" s="53">
        <f t="shared" si="21"/>
        <v>132</v>
      </c>
      <c r="U42" s="67">
        <f t="shared" si="21"/>
        <v>143</v>
      </c>
      <c r="V42" s="43">
        <f t="shared" ref="V42:V54" si="22">ROUNDUP((U41-(U41*$V$20)),0)</f>
        <v>98</v>
      </c>
      <c r="W42" s="41">
        <f t="shared" ref="W42:W54" si="23">ROUNDUP((V41-(V41*$W$20)),0)</f>
        <v>83</v>
      </c>
      <c r="X42" s="101">
        <f t="shared" si="17"/>
        <v>748</v>
      </c>
    </row>
    <row r="43" spans="1:27" x14ac:dyDescent="0.25">
      <c r="A43" s="25">
        <f t="shared" si="18"/>
        <v>2021</v>
      </c>
      <c r="B43" s="37">
        <f>B26+VLOOKUP($A$1,'Pri Housing Generation'!$A$96:$DQ$118, 26, FALSE)</f>
        <v>152</v>
      </c>
      <c r="C43" s="34">
        <f>C26+VLOOKUP($A$1,'Pri Housing Generation'!$A$96:$DQ$118, 27, FALSE)</f>
        <v>172</v>
      </c>
      <c r="D43" s="34">
        <f>D26+VLOOKUP($A$1,'Pri Housing Generation'!$A$96:$DQ$118, 28, FALSE)</f>
        <v>189</v>
      </c>
      <c r="E43" s="34">
        <f>E26+VLOOKUP($A$1,'Pri Housing Generation'!$A$96:$DQ$118, 29, FALSE)</f>
        <v>158</v>
      </c>
      <c r="F43" s="42">
        <f>F26+VLOOKUP($A$1,'Pri Housing Generation'!$A$96:$DQ$118, 30, FALSE)</f>
        <v>153</v>
      </c>
      <c r="G43" s="43">
        <f>G26+VLOOKUP($A$1,'Pri Housing Generation'!$A$96:$DQ$118, 31, FALSE)</f>
        <v>138</v>
      </c>
      <c r="H43" s="41">
        <f>H26+VLOOKUP($A$1,'Pri Housing Generation'!$A$96:$DQ$118, 32, FALSE)</f>
        <v>153</v>
      </c>
      <c r="I43" s="99">
        <f t="shared" si="19"/>
        <v>128</v>
      </c>
      <c r="K43" s="35">
        <f>'Sec Housing Generation'!W9</f>
        <v>4</v>
      </c>
      <c r="L43" s="83"/>
      <c r="M43" s="107">
        <f t="shared" si="14"/>
        <v>0.91039280701397507</v>
      </c>
      <c r="O43" s="35">
        <f t="shared" si="15"/>
        <v>121</v>
      </c>
      <c r="Q43" s="25">
        <f t="shared" si="20"/>
        <v>2021</v>
      </c>
      <c r="R43" s="20">
        <f t="shared" si="16"/>
        <v>151</v>
      </c>
      <c r="S43" s="53">
        <f t="shared" si="21"/>
        <v>150</v>
      </c>
      <c r="T43" s="53">
        <f t="shared" si="21"/>
        <v>142</v>
      </c>
      <c r="U43" s="53">
        <f t="shared" si="21"/>
        <v>132</v>
      </c>
      <c r="V43" s="42">
        <f t="shared" si="22"/>
        <v>126</v>
      </c>
      <c r="W43" s="43">
        <f t="shared" si="23"/>
        <v>80</v>
      </c>
      <c r="X43" s="101">
        <f t="shared" si="17"/>
        <v>781</v>
      </c>
    </row>
    <row r="44" spans="1:27" x14ac:dyDescent="0.25">
      <c r="A44" s="25">
        <f t="shared" si="18"/>
        <v>2022</v>
      </c>
      <c r="B44" s="37">
        <f>B27+VLOOKUP($A$1,'Pri Housing Generation'!$A$96:$DQ$118, 34, FALSE)</f>
        <v>177</v>
      </c>
      <c r="C44" s="34">
        <f>C27+VLOOKUP($A$1,'Pri Housing Generation'!$A$96:$DQ$118, 35, FALSE)</f>
        <v>156</v>
      </c>
      <c r="D44" s="34">
        <f>D27+VLOOKUP($A$1,'Pri Housing Generation'!$A$96:$DQ$118, 36, FALSE)</f>
        <v>174</v>
      </c>
      <c r="E44" s="34">
        <f>E27+VLOOKUP($A$1,'Pri Housing Generation'!$A$96:$DQ$118, 37, FALSE)</f>
        <v>196</v>
      </c>
      <c r="F44" s="34">
        <f>F27+VLOOKUP($A$1,'Pri Housing Generation'!$A$96:$DQ$118, 38, FALSE)</f>
        <v>165</v>
      </c>
      <c r="G44" s="42">
        <f>G27+VLOOKUP($A$1,'Pri Housing Generation'!$A$96:$DQ$118, 39, FALSE)</f>
        <v>153</v>
      </c>
      <c r="H44" s="43">
        <f>H27+VLOOKUP($A$1,'Pri Housing Generation'!$A$96:$DQ$118, 40, FALSE)</f>
        <v>135</v>
      </c>
      <c r="I44" s="99">
        <f t="shared" si="19"/>
        <v>147</v>
      </c>
      <c r="K44" s="35">
        <f>'Sec Housing Generation'!AD9</f>
        <v>5</v>
      </c>
      <c r="L44" s="83"/>
      <c r="M44" s="107">
        <f t="shared" si="14"/>
        <v>0.91039280701397507</v>
      </c>
      <c r="O44" s="35">
        <f t="shared" si="15"/>
        <v>139</v>
      </c>
      <c r="Q44" s="25">
        <f t="shared" si="20"/>
        <v>2022</v>
      </c>
      <c r="R44" s="20">
        <f t="shared" si="16"/>
        <v>169</v>
      </c>
      <c r="S44" s="53">
        <f t="shared" si="21"/>
        <v>151</v>
      </c>
      <c r="T44" s="53">
        <f t="shared" si="21"/>
        <v>150</v>
      </c>
      <c r="U44" s="53">
        <f t="shared" si="21"/>
        <v>142</v>
      </c>
      <c r="V44" s="34">
        <f t="shared" si="22"/>
        <v>116</v>
      </c>
      <c r="W44" s="42">
        <f t="shared" si="23"/>
        <v>103</v>
      </c>
      <c r="X44" s="101">
        <f t="shared" si="17"/>
        <v>831</v>
      </c>
    </row>
    <row r="45" spans="1:27" x14ac:dyDescent="0.25">
      <c r="A45" s="25">
        <f t="shared" si="18"/>
        <v>2023</v>
      </c>
      <c r="B45" s="37">
        <f>B28+VLOOKUP($A$1,'Pri Housing Generation'!$A$96:$DQ$118, 42, FALSE)</f>
        <v>171</v>
      </c>
      <c r="C45" s="34">
        <f>C28+VLOOKUP($A$1,'Pri Housing Generation'!$A$96:$DQ$118, 43, FALSE)</f>
        <v>182</v>
      </c>
      <c r="D45" s="34">
        <f>D28+VLOOKUP($A$1,'Pri Housing Generation'!$A$96:$DQ$118, 44, FALSE)</f>
        <v>159</v>
      </c>
      <c r="E45" s="34">
        <f>E28+VLOOKUP($A$1,'Pri Housing Generation'!$A$96:$DQ$118, 45, FALSE)</f>
        <v>180</v>
      </c>
      <c r="F45" s="34">
        <f>F28+VLOOKUP($A$1,'Pri Housing Generation'!$A$96:$DQ$118, 46, FALSE)</f>
        <v>204</v>
      </c>
      <c r="G45" s="34">
        <f>G28+VLOOKUP($A$1,'Pri Housing Generation'!$A$96:$DQ$118, 47, FALSE)</f>
        <v>166</v>
      </c>
      <c r="H45" s="42">
        <f>H28+VLOOKUP($A$1,'Pri Housing Generation'!$A$96:$DQ$118, 48, FALSE)</f>
        <v>152</v>
      </c>
      <c r="I45" s="99">
        <f t="shared" si="19"/>
        <v>129</v>
      </c>
      <c r="J45" s="181"/>
      <c r="K45" s="35">
        <f>'Sec Housing Generation'!AK9</f>
        <v>7</v>
      </c>
      <c r="L45" s="83"/>
      <c r="M45" s="107">
        <f t="shared" si="14"/>
        <v>0.91039280701397507</v>
      </c>
      <c r="O45" s="35">
        <f t="shared" si="15"/>
        <v>124</v>
      </c>
      <c r="Q45" s="25">
        <f t="shared" si="20"/>
        <v>2023</v>
      </c>
      <c r="R45" s="20">
        <f t="shared" si="16"/>
        <v>154</v>
      </c>
      <c r="S45" s="53">
        <f t="shared" si="21"/>
        <v>169</v>
      </c>
      <c r="T45" s="53">
        <f t="shared" si="21"/>
        <v>151</v>
      </c>
      <c r="U45" s="53">
        <f t="shared" si="21"/>
        <v>150</v>
      </c>
      <c r="V45" s="34">
        <f t="shared" si="22"/>
        <v>125</v>
      </c>
      <c r="W45" s="34">
        <f t="shared" si="23"/>
        <v>95</v>
      </c>
      <c r="X45" s="101">
        <f t="shared" si="17"/>
        <v>844</v>
      </c>
    </row>
    <row r="46" spans="1:27" x14ac:dyDescent="0.25">
      <c r="A46" s="25">
        <f t="shared" si="18"/>
        <v>2024</v>
      </c>
      <c r="B46" s="37">
        <f>B29+VLOOKUP($A$1,'Pri Housing Generation'!$A$96:$DQ$118, 50, FALSE)</f>
        <v>173</v>
      </c>
      <c r="C46" s="34">
        <f>C29+VLOOKUP($A$1,'Pri Housing Generation'!$A$96:$DQ$118, 51, FALSE)</f>
        <v>175</v>
      </c>
      <c r="D46" s="34">
        <f>D29+VLOOKUP($A$1,'Pri Housing Generation'!$A$96:$DQ$118, 52, FALSE)</f>
        <v>184</v>
      </c>
      <c r="E46" s="34">
        <f>E29+VLOOKUP($A$1,'Pri Housing Generation'!$A$96:$DQ$118, 53, FALSE)</f>
        <v>165</v>
      </c>
      <c r="F46" s="34">
        <f>F29+VLOOKUP($A$1,'Pri Housing Generation'!$A$96:$DQ$118, 54, FALSE)</f>
        <v>187</v>
      </c>
      <c r="G46" s="34">
        <f>G29+VLOOKUP($A$1,'Pri Housing Generation'!$A$96:$DQ$118, 55, FALSE)</f>
        <v>205</v>
      </c>
      <c r="H46" s="34">
        <f>H29+VLOOKUP($A$1,'Pri Housing Generation'!$A$96:$DQ$118, 56, FALSE)</f>
        <v>162</v>
      </c>
      <c r="I46" s="99">
        <f t="shared" si="19"/>
        <v>146</v>
      </c>
      <c r="J46" s="181"/>
      <c r="K46" s="35">
        <f>'Sec Housing Generation'!AR9</f>
        <v>8</v>
      </c>
      <c r="L46" s="83"/>
      <c r="M46" s="107">
        <f>K20</f>
        <v>0.91039280701397507</v>
      </c>
      <c r="O46" s="35">
        <f t="shared" si="15"/>
        <v>141</v>
      </c>
      <c r="Q46" s="25">
        <f t="shared" si="20"/>
        <v>2024</v>
      </c>
      <c r="R46" s="20">
        <f t="shared" si="16"/>
        <v>171</v>
      </c>
      <c r="S46" s="53">
        <f t="shared" si="21"/>
        <v>154</v>
      </c>
      <c r="T46" s="53">
        <f t="shared" si="21"/>
        <v>169</v>
      </c>
      <c r="U46" s="53">
        <f t="shared" si="21"/>
        <v>151</v>
      </c>
      <c r="V46" s="34">
        <f t="shared" si="22"/>
        <v>132</v>
      </c>
      <c r="W46" s="34">
        <f t="shared" si="23"/>
        <v>102</v>
      </c>
      <c r="X46" s="101">
        <f t="shared" si="17"/>
        <v>879</v>
      </c>
    </row>
    <row r="47" spans="1:27" x14ac:dyDescent="0.25">
      <c r="A47" s="25">
        <f t="shared" si="18"/>
        <v>2025</v>
      </c>
      <c r="B47" s="37">
        <f>B30+VLOOKUP($A$1,'Pri Housing Generation'!$A$96:$DQ$118, 58, FALSE)</f>
        <v>178</v>
      </c>
      <c r="C47" s="34">
        <f>C30+VLOOKUP($A$1,'Pri Housing Generation'!$A$96:$DQ$118, 59, FALSE)</f>
        <v>178</v>
      </c>
      <c r="D47" s="34">
        <f>D30+VLOOKUP($A$1,'Pri Housing Generation'!$A$96:$DQ$118, 60, FALSE)</f>
        <v>178</v>
      </c>
      <c r="E47" s="34">
        <f>E30+VLOOKUP($A$1,'Pri Housing Generation'!$A$96:$DQ$118, 61, FALSE)</f>
        <v>189</v>
      </c>
      <c r="F47" s="34">
        <f>F30+VLOOKUP($A$1,'Pri Housing Generation'!$A$96:$DQ$118, 62, FALSE)</f>
        <v>171</v>
      </c>
      <c r="G47" s="34">
        <f>G30+VLOOKUP($A$1,'Pri Housing Generation'!$A$96:$DQ$118, 63, FALSE)</f>
        <v>187</v>
      </c>
      <c r="H47" s="34">
        <f>H30+VLOOKUP($A$1,'Pri Housing Generation'!$A$96:$DQ$118, 64, FALSE)</f>
        <v>200</v>
      </c>
      <c r="I47" s="99">
        <f t="shared" si="19"/>
        <v>155</v>
      </c>
      <c r="J47" s="181"/>
      <c r="K47" s="235"/>
      <c r="L47" s="83"/>
      <c r="M47" s="107">
        <f t="shared" si="14"/>
        <v>0.91039280701397507</v>
      </c>
      <c r="O47" s="35">
        <f t="shared" si="15"/>
        <v>142</v>
      </c>
      <c r="Q47" s="25">
        <f t="shared" si="20"/>
        <v>2025</v>
      </c>
      <c r="R47" s="20">
        <f t="shared" si="16"/>
        <v>172</v>
      </c>
      <c r="S47" s="53">
        <f t="shared" si="21"/>
        <v>171</v>
      </c>
      <c r="T47" s="53">
        <f t="shared" si="21"/>
        <v>154</v>
      </c>
      <c r="U47" s="53">
        <f t="shared" si="21"/>
        <v>169</v>
      </c>
      <c r="V47" s="34">
        <f t="shared" si="22"/>
        <v>133</v>
      </c>
      <c r="W47" s="34">
        <f t="shared" si="23"/>
        <v>108</v>
      </c>
      <c r="X47" s="101">
        <f t="shared" si="17"/>
        <v>907</v>
      </c>
    </row>
    <row r="48" spans="1:27" x14ac:dyDescent="0.25">
      <c r="A48" s="25">
        <f t="shared" si="18"/>
        <v>2026</v>
      </c>
      <c r="B48" s="37">
        <f>B31+VLOOKUP($A$1,'Pri Housing Generation'!$A$96:$DQ$118, 66, FALSE)</f>
        <v>180</v>
      </c>
      <c r="C48" s="34">
        <f>C31+VLOOKUP($A$1,'Pri Housing Generation'!$A$96:$DQ$118, 67, FALSE)</f>
        <v>181</v>
      </c>
      <c r="D48" s="34">
        <f>D31+VLOOKUP($A$1,'Pri Housing Generation'!$A$96:$DQ$118, 68, FALSE)</f>
        <v>179</v>
      </c>
      <c r="E48" s="34">
        <f>E31+VLOOKUP($A$1,'Pri Housing Generation'!$A$96:$DQ$118, 69, FALSE)</f>
        <v>182</v>
      </c>
      <c r="F48" s="34">
        <f>F31+VLOOKUP($A$1,'Pri Housing Generation'!$A$96:$DQ$118, 70, FALSE)</f>
        <v>196</v>
      </c>
      <c r="G48" s="34">
        <f>G31+VLOOKUP($A$1,'Pri Housing Generation'!$A$96:$DQ$118, 71, FALSE)</f>
        <v>171</v>
      </c>
      <c r="H48" s="34">
        <f>H31+VLOOKUP($A$1,'Pri Housing Generation'!$A$96:$DQ$118, 72, FALSE)</f>
        <v>182</v>
      </c>
      <c r="I48" s="99">
        <f t="shared" si="19"/>
        <v>191</v>
      </c>
      <c r="J48" s="181"/>
      <c r="K48" s="83"/>
      <c r="L48" s="83"/>
      <c r="M48" s="107">
        <f t="shared" si="14"/>
        <v>0.91039280701397507</v>
      </c>
      <c r="O48" s="35">
        <f t="shared" si="15"/>
        <v>174</v>
      </c>
      <c r="Q48" s="25">
        <f t="shared" si="20"/>
        <v>2026</v>
      </c>
      <c r="R48" s="20">
        <f t="shared" si="16"/>
        <v>180</v>
      </c>
      <c r="S48" s="53">
        <f t="shared" si="21"/>
        <v>172</v>
      </c>
      <c r="T48" s="53">
        <f t="shared" si="21"/>
        <v>171</v>
      </c>
      <c r="U48" s="53">
        <f t="shared" si="21"/>
        <v>154</v>
      </c>
      <c r="V48" s="34">
        <f t="shared" si="22"/>
        <v>149</v>
      </c>
      <c r="W48" s="34">
        <f t="shared" si="23"/>
        <v>109</v>
      </c>
      <c r="X48" s="101">
        <f t="shared" si="17"/>
        <v>935</v>
      </c>
    </row>
    <row r="49" spans="1:24" x14ac:dyDescent="0.25">
      <c r="A49" s="25">
        <f t="shared" si="18"/>
        <v>2027</v>
      </c>
      <c r="B49" s="37">
        <f>B32+VLOOKUP($A$1,'Pri Housing Generation'!$A$96:$DQ$118, 74, FALSE)</f>
        <v>181</v>
      </c>
      <c r="C49" s="34">
        <f>C32+VLOOKUP($A$1,'Pri Housing Generation'!$A$96:$DQ$118, 75, FALSE)</f>
        <v>183</v>
      </c>
      <c r="D49" s="34">
        <f>D32+VLOOKUP($A$1,'Pri Housing Generation'!$A$96:$DQ$118, 76, FALSE)</f>
        <v>182</v>
      </c>
      <c r="E49" s="34">
        <f>E32+VLOOKUP($A$1,'Pri Housing Generation'!$A$96:$DQ$118, 77, FALSE)</f>
        <v>183</v>
      </c>
      <c r="F49" s="34">
        <f>F32+VLOOKUP($A$1,'Pri Housing Generation'!$A$96:$DQ$118, 78, FALSE)</f>
        <v>187</v>
      </c>
      <c r="G49" s="34">
        <f>G32+VLOOKUP($A$1,'Pri Housing Generation'!$A$96:$DQ$118, 79, FALSE)</f>
        <v>195</v>
      </c>
      <c r="H49" s="34">
        <f>H32+VLOOKUP($A$1,'Pri Housing Generation'!$A$96:$DQ$118, 80, FALSE)</f>
        <v>165</v>
      </c>
      <c r="I49" s="99">
        <f t="shared" si="19"/>
        <v>174</v>
      </c>
      <c r="J49" s="181"/>
      <c r="K49" s="83"/>
      <c r="L49" s="83"/>
      <c r="M49" s="107">
        <f t="shared" si="14"/>
        <v>0.91039280701397507</v>
      </c>
      <c r="O49" s="35">
        <f t="shared" si="15"/>
        <v>159</v>
      </c>
      <c r="Q49" s="25">
        <f t="shared" si="20"/>
        <v>2027</v>
      </c>
      <c r="R49" s="20">
        <f t="shared" si="16"/>
        <v>180</v>
      </c>
      <c r="S49" s="53">
        <f t="shared" si="21"/>
        <v>180</v>
      </c>
      <c r="T49" s="53">
        <f t="shared" si="21"/>
        <v>172</v>
      </c>
      <c r="U49" s="53">
        <f t="shared" si="21"/>
        <v>171</v>
      </c>
      <c r="V49" s="34">
        <f t="shared" si="22"/>
        <v>136</v>
      </c>
      <c r="W49" s="34">
        <f t="shared" si="23"/>
        <v>122</v>
      </c>
      <c r="X49" s="101">
        <f t="shared" si="17"/>
        <v>961</v>
      </c>
    </row>
    <row r="50" spans="1:24" x14ac:dyDescent="0.25">
      <c r="A50" s="25">
        <f t="shared" si="18"/>
        <v>2028</v>
      </c>
      <c r="B50" s="37">
        <f>B33+VLOOKUP($A$1,'Pri Housing Generation'!$A$96:$DQ$118, 82, FALSE)</f>
        <v>181</v>
      </c>
      <c r="C50" s="34">
        <f>C33+VLOOKUP($A$1,'Pri Housing Generation'!$A$96:$DQ$118, 83, FALSE)</f>
        <v>184</v>
      </c>
      <c r="D50" s="34">
        <f>D33+VLOOKUP($A$1,'Pri Housing Generation'!$A$96:$DQ$118, 84, FALSE)</f>
        <v>184</v>
      </c>
      <c r="E50" s="34">
        <f>E33+VLOOKUP($A$1,'Pri Housing Generation'!$A$96:$DQ$118, 85, FALSE)</f>
        <v>186</v>
      </c>
      <c r="F50" s="34">
        <f>F33+VLOOKUP($A$1,'Pri Housing Generation'!$A$96:$DQ$118, 86, FALSE)</f>
        <v>188</v>
      </c>
      <c r="G50" s="34">
        <f>G33+VLOOKUP($A$1,'Pri Housing Generation'!$A$96:$DQ$118, 87, FALSE)</f>
        <v>186</v>
      </c>
      <c r="H50" s="34">
        <f>H33+VLOOKUP($A$1,'Pri Housing Generation'!$A$96:$DQ$118, 88, FALSE)</f>
        <v>188</v>
      </c>
      <c r="I50" s="99">
        <f t="shared" si="19"/>
        <v>158</v>
      </c>
      <c r="J50" s="181"/>
      <c r="K50" s="83"/>
      <c r="L50" s="83"/>
      <c r="M50" s="107">
        <f t="shared" si="14"/>
        <v>0.91039280701397507</v>
      </c>
      <c r="O50" s="35">
        <f t="shared" si="15"/>
        <v>144</v>
      </c>
      <c r="Q50" s="25">
        <f t="shared" si="20"/>
        <v>2028</v>
      </c>
      <c r="R50" s="20">
        <f t="shared" si="16"/>
        <v>174</v>
      </c>
      <c r="S50" s="53">
        <f t="shared" si="21"/>
        <v>180</v>
      </c>
      <c r="T50" s="53">
        <f t="shared" si="21"/>
        <v>180</v>
      </c>
      <c r="U50" s="53">
        <f t="shared" si="21"/>
        <v>172</v>
      </c>
      <c r="V50" s="34">
        <f t="shared" si="22"/>
        <v>150</v>
      </c>
      <c r="W50" s="34">
        <f t="shared" si="23"/>
        <v>111</v>
      </c>
      <c r="X50" s="101">
        <f t="shared" si="17"/>
        <v>967</v>
      </c>
    </row>
    <row r="51" spans="1:24" x14ac:dyDescent="0.25">
      <c r="A51" s="25">
        <f t="shared" si="18"/>
        <v>2029</v>
      </c>
      <c r="B51" s="37">
        <f>B34+VLOOKUP($A$1,'Pri Housing Generation'!$A$96:$DQ$118, 90, FALSE)</f>
        <v>182</v>
      </c>
      <c r="C51" s="34">
        <f>C34+VLOOKUP($A$1,'Pri Housing Generation'!$A$96:$DQ$118, 91, FALSE)</f>
        <v>184</v>
      </c>
      <c r="D51" s="34">
        <f>D34+VLOOKUP($A$1,'Pri Housing Generation'!$A$96:$DQ$118, 92, FALSE)</f>
        <v>185</v>
      </c>
      <c r="E51" s="34">
        <f>E34+VLOOKUP($A$1,'Pri Housing Generation'!$A$96:$DQ$118, 93, FALSE)</f>
        <v>188</v>
      </c>
      <c r="F51" s="34">
        <f>F34+VLOOKUP($A$1,'Pri Housing Generation'!$A$96:$DQ$118, 94, FALSE)</f>
        <v>191</v>
      </c>
      <c r="G51" s="34">
        <f>G34+VLOOKUP($A$1,'Pri Housing Generation'!$A$96:$DQ$118, 95, FALSE)</f>
        <v>187</v>
      </c>
      <c r="H51" s="34">
        <f>H34+VLOOKUP($A$1,'Pri Housing Generation'!$A$96:$DQ$118, 96, FALSE)</f>
        <v>180</v>
      </c>
      <c r="I51" s="99">
        <f t="shared" si="19"/>
        <v>180</v>
      </c>
      <c r="J51" s="181"/>
      <c r="K51" s="83"/>
      <c r="L51" s="83"/>
      <c r="M51" s="107">
        <f t="shared" si="14"/>
        <v>0.91039280701397507</v>
      </c>
      <c r="O51" s="35">
        <f t="shared" si="15"/>
        <v>164</v>
      </c>
      <c r="Q51" s="25">
        <f t="shared" si="20"/>
        <v>2029</v>
      </c>
      <c r="R51" s="20">
        <f t="shared" si="16"/>
        <v>180</v>
      </c>
      <c r="S51" s="53">
        <f t="shared" si="21"/>
        <v>174</v>
      </c>
      <c r="T51" s="53">
        <f t="shared" si="21"/>
        <v>180</v>
      </c>
      <c r="U51" s="53">
        <f t="shared" si="21"/>
        <v>180</v>
      </c>
      <c r="V51" s="34">
        <f t="shared" si="22"/>
        <v>151</v>
      </c>
      <c r="W51" s="34">
        <f t="shared" si="23"/>
        <v>123</v>
      </c>
      <c r="X51" s="101">
        <f t="shared" si="17"/>
        <v>988</v>
      </c>
    </row>
    <row r="52" spans="1:24" x14ac:dyDescent="0.25">
      <c r="A52" s="25">
        <f t="shared" si="18"/>
        <v>2030</v>
      </c>
      <c r="B52" s="37">
        <f>B35+VLOOKUP($A$1,'Pri Housing Generation'!$A$96:$DQ$118, 98, FALSE)</f>
        <v>183</v>
      </c>
      <c r="C52" s="34">
        <f>C35+VLOOKUP($A$1,'Pri Housing Generation'!$A$96:$DQ$118, 99, FALSE)</f>
        <v>185</v>
      </c>
      <c r="D52" s="34">
        <f>D35+VLOOKUP($A$1,'Pri Housing Generation'!$A$96:$DQ$118, 100, FALSE)</f>
        <v>185</v>
      </c>
      <c r="E52" s="34">
        <f>E35+VLOOKUP($A$1,'Pri Housing Generation'!$A$96:$DQ$118, 101, FALSE)</f>
        <v>189</v>
      </c>
      <c r="F52" s="34">
        <f>F35+VLOOKUP($A$1,'Pri Housing Generation'!$A$96:$DQ$118, 102, FALSE)</f>
        <v>193</v>
      </c>
      <c r="G52" s="34">
        <f>G35+VLOOKUP($A$1,'Pri Housing Generation'!$A$96:$DQ$118, 103, FALSE)</f>
        <v>190</v>
      </c>
      <c r="H52" s="34">
        <f>H35+VLOOKUP($A$1,'Pri Housing Generation'!$A$96:$DQ$118, 104, FALSE)</f>
        <v>181</v>
      </c>
      <c r="I52" s="99">
        <f t="shared" si="19"/>
        <v>172</v>
      </c>
      <c r="J52" s="54"/>
      <c r="K52" s="83"/>
      <c r="L52" s="83"/>
      <c r="M52" s="107">
        <f t="shared" si="14"/>
        <v>0.91039280701397507</v>
      </c>
      <c r="O52" s="35">
        <f t="shared" si="15"/>
        <v>157</v>
      </c>
      <c r="Q52" s="25">
        <f t="shared" si="20"/>
        <v>2030</v>
      </c>
      <c r="R52" s="20">
        <f t="shared" si="16"/>
        <v>180</v>
      </c>
      <c r="S52" s="53">
        <f t="shared" si="21"/>
        <v>180</v>
      </c>
      <c r="T52" s="53">
        <f t="shared" si="21"/>
        <v>174</v>
      </c>
      <c r="U52" s="53">
        <f t="shared" si="21"/>
        <v>180</v>
      </c>
      <c r="V52" s="34">
        <f t="shared" si="22"/>
        <v>158</v>
      </c>
      <c r="W52" s="34">
        <f t="shared" si="23"/>
        <v>123</v>
      </c>
      <c r="X52" s="101">
        <f t="shared" si="17"/>
        <v>995</v>
      </c>
    </row>
    <row r="53" spans="1:24" x14ac:dyDescent="0.25">
      <c r="A53" s="25">
        <f t="shared" si="18"/>
        <v>2031</v>
      </c>
      <c r="B53" s="37">
        <f>B36+VLOOKUP($A$1,'Pri Housing Generation'!$A$96:$DQ$118, 106, FALSE)</f>
        <v>183</v>
      </c>
      <c r="C53" s="34">
        <f>C36+VLOOKUP($A$1,'Pri Housing Generation'!$A$96:$DQ$118, 107, FALSE)</f>
        <v>186</v>
      </c>
      <c r="D53" s="34">
        <f>D36+VLOOKUP($A$1,'Pri Housing Generation'!$A$96:$DQ$118, 108, FALSE)</f>
        <v>186</v>
      </c>
      <c r="E53" s="34">
        <f>E36+VLOOKUP($A$1,'Pri Housing Generation'!$A$96:$DQ$118, 109, FALSE)</f>
        <v>189</v>
      </c>
      <c r="F53" s="34">
        <f>F36+VLOOKUP($A$1,'Pri Housing Generation'!$A$96:$DQ$118, 110, FALSE)</f>
        <v>194</v>
      </c>
      <c r="G53" s="34">
        <f>G36+VLOOKUP($A$1,'Pri Housing Generation'!$A$96:$DQ$118, 111, FALSE)</f>
        <v>192</v>
      </c>
      <c r="H53" s="34">
        <f>H36+VLOOKUP($A$1,'Pri Housing Generation'!$A$96:$DQ$118, 112, FALSE)</f>
        <v>184</v>
      </c>
      <c r="I53" s="99">
        <f t="shared" si="19"/>
        <v>173</v>
      </c>
      <c r="J53" s="54"/>
      <c r="K53" s="83"/>
      <c r="L53" s="83"/>
      <c r="M53" s="107">
        <f t="shared" si="14"/>
        <v>0.91039280701397507</v>
      </c>
      <c r="O53" s="35">
        <f t="shared" si="15"/>
        <v>158</v>
      </c>
      <c r="Q53" s="25">
        <f t="shared" si="20"/>
        <v>2031</v>
      </c>
      <c r="R53" s="20">
        <f t="shared" si="16"/>
        <v>180</v>
      </c>
      <c r="S53" s="53">
        <f t="shared" si="21"/>
        <v>180</v>
      </c>
      <c r="T53" s="53">
        <f t="shared" si="21"/>
        <v>180</v>
      </c>
      <c r="U53" s="53">
        <f t="shared" si="21"/>
        <v>174</v>
      </c>
      <c r="V53" s="34">
        <f t="shared" si="22"/>
        <v>158</v>
      </c>
      <c r="W53" s="34">
        <f t="shared" si="23"/>
        <v>129</v>
      </c>
      <c r="X53" s="101">
        <f t="shared" si="17"/>
        <v>1001</v>
      </c>
    </row>
    <row r="54" spans="1:24" x14ac:dyDescent="0.25">
      <c r="A54" s="25">
        <f t="shared" si="18"/>
        <v>2032</v>
      </c>
      <c r="B54" s="37">
        <f>B37+VLOOKUP($A$1,'Pri Housing Generation'!$A$96:$DQ$118, 114, FALSE)</f>
        <v>183</v>
      </c>
      <c r="C54" s="34">
        <f>C37+VLOOKUP($A$1,'Pri Housing Generation'!$A$96:$DQ$118, 115, FALSE)</f>
        <v>186</v>
      </c>
      <c r="D54" s="34">
        <f>D37+VLOOKUP($A$1,'Pri Housing Generation'!$A$96:$DQ$118, 116, FALSE)</f>
        <v>187</v>
      </c>
      <c r="E54" s="34">
        <f>E37+VLOOKUP($A$1,'Pri Housing Generation'!$A$96:$DQ$118, 117, FALSE)</f>
        <v>190</v>
      </c>
      <c r="F54" s="34">
        <f>F37+VLOOKUP($A$1,'Pri Housing Generation'!$A$96:$DQ$118, 118, FALSE)</f>
        <v>194</v>
      </c>
      <c r="G54" s="34">
        <f>G37+VLOOKUP($A$1,'Pri Housing Generation'!$A$96:$DQ$118, 119, FALSE)</f>
        <v>193</v>
      </c>
      <c r="H54" s="34">
        <f>H37+VLOOKUP($A$1,'Pri Housing Generation'!$A$96:$DQ$118, 120, FALSE)</f>
        <v>185</v>
      </c>
      <c r="I54" s="99">
        <f t="shared" si="19"/>
        <v>176</v>
      </c>
      <c r="K54" s="83"/>
      <c r="L54" s="83"/>
      <c r="M54" s="107">
        <f t="shared" si="14"/>
        <v>0.91039280701397507</v>
      </c>
      <c r="O54" s="35">
        <f t="shared" si="15"/>
        <v>161</v>
      </c>
      <c r="Q54" s="25">
        <f t="shared" si="20"/>
        <v>2032</v>
      </c>
      <c r="R54" s="20">
        <f t="shared" si="16"/>
        <v>180</v>
      </c>
      <c r="S54" s="53">
        <f t="shared" si="21"/>
        <v>180</v>
      </c>
      <c r="T54" s="53">
        <f t="shared" si="21"/>
        <v>180</v>
      </c>
      <c r="U54" s="53">
        <f t="shared" si="21"/>
        <v>180</v>
      </c>
      <c r="V54" s="34">
        <f t="shared" si="22"/>
        <v>153</v>
      </c>
      <c r="W54" s="34">
        <f t="shared" si="23"/>
        <v>129</v>
      </c>
      <c r="X54" s="101">
        <f t="shared" si="17"/>
        <v>1002</v>
      </c>
    </row>
    <row r="56" spans="1:24" ht="15.75" x14ac:dyDescent="0.25">
      <c r="A56" s="129" t="s">
        <v>223</v>
      </c>
      <c r="F56" s="131"/>
      <c r="G56" s="131"/>
      <c r="H56" s="131"/>
      <c r="I56" s="131"/>
      <c r="J56" s="131"/>
    </row>
    <row r="57" spans="1:24" x14ac:dyDescent="0.25">
      <c r="F57" s="131"/>
      <c r="G57" s="131"/>
      <c r="H57" s="181"/>
      <c r="I57" s="131"/>
      <c r="J57" s="131"/>
    </row>
    <row r="58" spans="1:24" x14ac:dyDescent="0.25">
      <c r="A58" s="21" t="s">
        <v>224</v>
      </c>
      <c r="F58" s="132"/>
      <c r="G58" s="131"/>
      <c r="H58" s="181"/>
      <c r="I58" s="131"/>
      <c r="J58" s="131"/>
    </row>
    <row r="59" spans="1:24" x14ac:dyDescent="0.25">
      <c r="A59" s="21"/>
      <c r="F59" s="132"/>
      <c r="G59" s="131"/>
      <c r="H59" s="181"/>
      <c r="I59" s="131"/>
      <c r="J59" s="131"/>
    </row>
    <row r="60" spans="1:24" ht="33" customHeight="1" x14ac:dyDescent="0.25">
      <c r="A60" s="136"/>
      <c r="B60" s="138" t="s">
        <v>225</v>
      </c>
      <c r="C60" s="413" t="s">
        <v>226</v>
      </c>
      <c r="D60" s="414"/>
      <c r="F60" s="132"/>
      <c r="G60" s="130"/>
      <c r="H60" s="181"/>
      <c r="I60" s="130"/>
      <c r="J60" s="130"/>
    </row>
    <row r="61" spans="1:24" x14ac:dyDescent="0.25">
      <c r="A61" s="25">
        <v>2011</v>
      </c>
      <c r="B61" s="128">
        <v>3</v>
      </c>
      <c r="C61" s="415">
        <f t="shared" ref="C61:C66" si="24">1-(I13/(I13+B61))</f>
        <v>2.6315789473684181E-2</v>
      </c>
      <c r="D61" s="388"/>
      <c r="F61" s="133"/>
      <c r="G61" s="54"/>
      <c r="H61" s="181"/>
      <c r="I61" s="54"/>
      <c r="J61" s="54"/>
    </row>
    <row r="62" spans="1:24" x14ac:dyDescent="0.25">
      <c r="A62" s="25">
        <v>2012</v>
      </c>
      <c r="B62" s="128">
        <v>0</v>
      </c>
      <c r="C62" s="415">
        <f t="shared" si="24"/>
        <v>0</v>
      </c>
      <c r="D62" s="388"/>
      <c r="F62" s="133"/>
      <c r="G62" s="54"/>
      <c r="H62" s="181"/>
      <c r="I62" s="54"/>
      <c r="J62" s="54"/>
      <c r="K62" s="181"/>
      <c r="N62" s="109"/>
      <c r="S62" s="82"/>
    </row>
    <row r="63" spans="1:24" x14ac:dyDescent="0.25">
      <c r="A63" s="25">
        <v>2013</v>
      </c>
      <c r="B63" s="128">
        <v>0</v>
      </c>
      <c r="C63" s="415">
        <f t="shared" si="24"/>
        <v>0</v>
      </c>
      <c r="D63" s="388"/>
      <c r="F63" s="133"/>
      <c r="G63" s="54"/>
      <c r="H63" s="181"/>
      <c r="I63" s="54"/>
      <c r="J63" s="54"/>
      <c r="K63" s="181"/>
      <c r="N63" s="109"/>
      <c r="S63" s="82"/>
    </row>
    <row r="64" spans="1:24" x14ac:dyDescent="0.25">
      <c r="A64" s="25">
        <v>2014</v>
      </c>
      <c r="B64" s="128">
        <v>1</v>
      </c>
      <c r="C64" s="415">
        <f t="shared" si="24"/>
        <v>1.0000000000000009E-2</v>
      </c>
      <c r="D64" s="388"/>
      <c r="F64" s="133"/>
      <c r="G64" s="54"/>
      <c r="H64" s="181"/>
      <c r="I64" s="54"/>
      <c r="J64" s="54"/>
      <c r="K64" s="181"/>
      <c r="N64" s="109"/>
      <c r="S64" s="82"/>
    </row>
    <row r="65" spans="1:19" x14ac:dyDescent="0.25">
      <c r="A65" s="25">
        <v>2015</v>
      </c>
      <c r="B65" s="128">
        <v>1</v>
      </c>
      <c r="C65" s="415">
        <f t="shared" si="24"/>
        <v>8.0645161290322509E-3</v>
      </c>
      <c r="D65" s="388"/>
      <c r="F65" s="133"/>
      <c r="G65" s="54"/>
      <c r="H65" s="181"/>
      <c r="I65" s="54"/>
      <c r="J65" s="54"/>
      <c r="K65" s="181"/>
      <c r="N65" s="109"/>
      <c r="S65" s="82"/>
    </row>
    <row r="66" spans="1:19" x14ac:dyDescent="0.25">
      <c r="A66" s="25">
        <v>2016</v>
      </c>
      <c r="B66" s="128"/>
      <c r="C66" s="415">
        <f t="shared" si="24"/>
        <v>0</v>
      </c>
      <c r="D66" s="388"/>
      <c r="F66" s="133"/>
      <c r="G66" s="54"/>
      <c r="H66" s="181"/>
      <c r="I66" s="54"/>
      <c r="J66" s="54"/>
      <c r="K66" s="181"/>
      <c r="N66" s="109"/>
      <c r="S66" s="82"/>
    </row>
    <row r="67" spans="1:19" x14ac:dyDescent="0.25">
      <c r="A67" s="21"/>
      <c r="F67" s="48"/>
      <c r="H67" s="181"/>
      <c r="K67" s="181"/>
      <c r="N67" s="109"/>
      <c r="S67" s="82"/>
    </row>
    <row r="68" spans="1:19" x14ac:dyDescent="0.25">
      <c r="A68" s="21" t="s">
        <v>213</v>
      </c>
      <c r="F68" s="48"/>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C62:D62"/>
    <mergeCell ref="C63:D63"/>
    <mergeCell ref="C64:D64"/>
    <mergeCell ref="C65:D65"/>
    <mergeCell ref="K39:K40"/>
    <mergeCell ref="M39:M40"/>
    <mergeCell ref="O39:O40"/>
    <mergeCell ref="C60:D60"/>
    <mergeCell ref="C61:D61"/>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72">
    <cfRule type="cellIs" dxfId="35" priority="21" operator="greaterThan">
      <formula>$C$7</formula>
    </cfRule>
  </conditionalFormatting>
  <conditionalFormatting sqref="X41:X72">
    <cfRule type="cellIs" dxfId="34" priority="20"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A84"/>
  <sheetViews>
    <sheetView topLeftCell="A10" workbookViewId="0">
      <selection activeCell="P32" sqref="P32"/>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 customWidth="1"/>
    <col min="16" max="17" width="8" customWidth="1"/>
    <col min="18" max="24" width="9.140625" style="39"/>
  </cols>
  <sheetData>
    <row r="1" spans="1:24" ht="18.75" x14ac:dyDescent="0.3">
      <c r="A1" s="102" t="s">
        <v>96</v>
      </c>
    </row>
    <row r="2" spans="1:24" x14ac:dyDescent="0.25">
      <c r="A2" t="s">
        <v>400</v>
      </c>
    </row>
    <row r="4" spans="1:24" x14ac:dyDescent="0.25">
      <c r="A4" s="21" t="s">
        <v>192</v>
      </c>
    </row>
    <row r="5" spans="1:24" x14ac:dyDescent="0.25">
      <c r="A5" s="21"/>
    </row>
    <row r="6" spans="1:24" x14ac:dyDescent="0.25">
      <c r="A6" s="21" t="s">
        <v>193</v>
      </c>
      <c r="C6" s="100">
        <f>VLOOKUP(A1,'Projection Summary'!A5:C50,3,FALSE)</f>
        <v>600</v>
      </c>
    </row>
    <row r="7" spans="1:24" x14ac:dyDescent="0.25">
      <c r="A7" s="21" t="s">
        <v>191</v>
      </c>
      <c r="B7" s="21"/>
      <c r="C7" s="100">
        <f>VLOOKUP(A1,'Projection Summary'!A5:C50,2,FALSE)</f>
        <v>120</v>
      </c>
    </row>
    <row r="9" spans="1:24" ht="15.75" x14ac:dyDescent="0.25">
      <c r="A9" s="129" t="s">
        <v>197</v>
      </c>
      <c r="R9" s="129" t="s">
        <v>198</v>
      </c>
      <c r="T9" s="173"/>
    </row>
    <row r="10" spans="1:24" x14ac:dyDescent="0.25">
      <c r="A10" s="21"/>
    </row>
    <row r="11" spans="1:24" x14ac:dyDescent="0.25">
      <c r="A11" s="21" t="s">
        <v>199</v>
      </c>
      <c r="K11" s="406" t="s">
        <v>137</v>
      </c>
      <c r="L11" s="407"/>
      <c r="M11" s="412" t="s">
        <v>139</v>
      </c>
      <c r="N11" s="49"/>
      <c r="O11" s="394" t="s">
        <v>136</v>
      </c>
      <c r="R11" s="21" t="s">
        <v>201</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160</v>
      </c>
      <c r="C13" s="19">
        <f>VLOOKUP($A$1,'Primary Catchment Analysis'!$A$3:$BE$25, 38, FALSE)</f>
        <v>108</v>
      </c>
      <c r="D13" s="27">
        <f>VLOOKUP($A$1,'Primary Catchment Analysis'!$A$3:$BE$25, 39, FALSE)</f>
        <v>106</v>
      </c>
      <c r="E13" s="27">
        <f>VLOOKUP($A$1,'Primary Catchment Analysis'!$A$3:$BE$25, 40, FALSE)</f>
        <v>95</v>
      </c>
      <c r="F13" s="27">
        <f>VLOOKUP($A$1,'Primary Catchment Analysis'!$A$3:$BE$25, 41, FALSE)</f>
        <v>96</v>
      </c>
      <c r="G13" s="33">
        <f>VLOOKUP($A$1,'Primary Catchment Analysis'!$A$3:$BE$25, 42, FALSE)</f>
        <v>59</v>
      </c>
      <c r="H13" s="28">
        <f>VLOOKUP($A$1,'Primary Catchment Analysis'!$A$3:$BE$25, 43, FALSE)</f>
        <v>88</v>
      </c>
      <c r="I13" s="28">
        <f>VLOOKUP($A$1,'S1 Catchment Analysis'!A3:I25, 7, FALSE)</f>
        <v>64</v>
      </c>
      <c r="J13" s="23"/>
      <c r="K13" s="410"/>
      <c r="L13" s="411"/>
      <c r="M13" s="399"/>
      <c r="N13" s="50"/>
      <c r="O13" s="399"/>
      <c r="P13" s="50"/>
      <c r="Q13" s="25">
        <f>A13</f>
        <v>2013</v>
      </c>
      <c r="R13" s="69">
        <f>VLOOKUP($A$1,'Secondary Rolls'!$A$3:$BE$25, 37, FALSE)</f>
        <v>62</v>
      </c>
      <c r="S13" s="53">
        <f>VLOOKUP($A$1,'Secondary Rolls'!$A$3:$BE$25, 38, FALSE)</f>
        <v>76</v>
      </c>
      <c r="T13" s="53">
        <f>VLOOKUP($A$1,'Secondary Rolls'!$A$3:$BE$25, 39, FALSE)</f>
        <v>76</v>
      </c>
      <c r="U13" s="61">
        <f>VLOOKUP($A$1,'Secondary Rolls'!$A$3:$BE$25, 40, FALSE)</f>
        <v>77</v>
      </c>
      <c r="V13" s="63">
        <f>VLOOKUP($A$1,'Secondary Rolls'!$A$3:$BE$25, 41, FALSE)</f>
        <v>73</v>
      </c>
      <c r="W13" s="53">
        <f>VLOOKUP($A$1,'Secondary Rolls'!$A$3:$BE$25, 42, FALSE)</f>
        <v>49</v>
      </c>
      <c r="X13" s="62">
        <f t="shared" ref="X13:X17" si="0">SUM(R13:W13)</f>
        <v>413</v>
      </c>
    </row>
    <row r="14" spans="1:24" ht="15.75" thickBot="1" x14ac:dyDescent="0.3">
      <c r="A14" s="25">
        <f>VLOOKUP($A$12,'S1 Catchment Analysis'!A2:I2, 6, FALSE)</f>
        <v>2014</v>
      </c>
      <c r="B14" s="45">
        <f>VLOOKUP($A$1,'Primary Catchment Analysis'!$A$3:$BE$25, 30, FALSE)</f>
        <v>147</v>
      </c>
      <c r="C14" s="44">
        <f>VLOOKUP($A$1,'Primary Catchment Analysis'!$A$3:$BE$25, 31, FALSE)</f>
        <v>134</v>
      </c>
      <c r="D14" s="19">
        <f>VLOOKUP($A$1,'Primary Catchment Analysis'!$A$3:$BE$25, 32, FALSE)</f>
        <v>91</v>
      </c>
      <c r="E14" s="27">
        <f>VLOOKUP($A$1,'Primary Catchment Analysis'!$A$3:$BE$25, 33, FALSE)</f>
        <v>101</v>
      </c>
      <c r="F14" s="27">
        <f>VLOOKUP($A$1,'Primary Catchment Analysis'!$A$3:$BE$25, 34, FALSE)</f>
        <v>81</v>
      </c>
      <c r="G14" s="33">
        <f>VLOOKUP($A$1,'Primary Catchment Analysis'!$A$3:$BE$25, 35, FALSE)</f>
        <v>83</v>
      </c>
      <c r="H14" s="28">
        <f>VLOOKUP($A$1,'Primary Catchment Analysis'!$A$3:$BE$25, 36, FALSE)</f>
        <v>55</v>
      </c>
      <c r="I14" s="27">
        <f>VLOOKUP($A$1,'S1 Catchment Analysis'!A3:I25, 6, FALSE)</f>
        <v>73</v>
      </c>
      <c r="J14" s="23"/>
      <c r="K14" s="400">
        <f>VLOOKUP($A$1,'S1 Catchment Retained'!A2:I25, 6, FALSE)</f>
        <v>28</v>
      </c>
      <c r="L14" s="401"/>
      <c r="M14" s="110">
        <f t="shared" ref="M14:M18" si="1">(K14/I14)</f>
        <v>0.38356164383561642</v>
      </c>
      <c r="N14" s="50"/>
      <c r="O14" s="111">
        <f t="shared" ref="O14:O18" si="2">R14-K14</f>
        <v>23</v>
      </c>
      <c r="P14" s="50"/>
      <c r="Q14" s="25">
        <f t="shared" ref="Q14:Q18" si="3">A14</f>
        <v>2014</v>
      </c>
      <c r="R14" s="67">
        <f>VLOOKUP($A$1,'Secondary Rolls'!$A$3:$BE$25, 30, FALSE)</f>
        <v>51</v>
      </c>
      <c r="S14" s="69">
        <f>VLOOKUP($A$1,'Secondary Rolls'!$A$3:$BE$25, 31, FALSE)</f>
        <v>64</v>
      </c>
      <c r="T14" s="53">
        <f>VLOOKUP($A$1,'Secondary Rolls'!$A$3:$BE$25, 32, FALSE)</f>
        <v>77</v>
      </c>
      <c r="U14" s="61">
        <f>VLOOKUP($A$1,'Secondary Rolls'!$A$3:$BE$25, 33, FALSE)</f>
        <v>77</v>
      </c>
      <c r="V14" s="64">
        <f>VLOOKUP($A$1,'Secondary Rolls'!$A$3:$BE$25, 34, FALSE)</f>
        <v>67</v>
      </c>
      <c r="W14" s="116">
        <f>VLOOKUP($A$1,'Secondary Rolls'!$A$3:$BE$25, 35, FALSE)</f>
        <v>51</v>
      </c>
      <c r="X14" s="62">
        <f t="shared" si="0"/>
        <v>387</v>
      </c>
    </row>
    <row r="15" spans="1:24" ht="15.75" thickBot="1" x14ac:dyDescent="0.3">
      <c r="A15" s="25">
        <f>VLOOKUP($A$12,'S1 Catchment Analysis'!A2:I2, 5, FALSE)</f>
        <v>2015</v>
      </c>
      <c r="B15" s="19">
        <f>VLOOKUP($A$1,'Primary Catchment Analysis'!$A$3:$BE$25, 23, FALSE)</f>
        <v>129</v>
      </c>
      <c r="C15" s="45">
        <f>VLOOKUP($A$1,'Primary Catchment Analysis'!$A$3:$BE$25, 24, FALSE)</f>
        <v>134</v>
      </c>
      <c r="D15" s="44">
        <f>VLOOKUP($A$1,'Primary Catchment Analysis'!$A$3:$BE$25, 25, FALSE)</f>
        <v>129</v>
      </c>
      <c r="E15" s="19">
        <f>VLOOKUP($A$1,'Primary Catchment Analysis'!$A$3:$BE$25, 26, FALSE)</f>
        <v>92</v>
      </c>
      <c r="F15" s="27">
        <f>VLOOKUP($A$1,'Primary Catchment Analysis'!$A$3:$BE$25, 27, FALSE)</f>
        <v>93</v>
      </c>
      <c r="G15" s="33">
        <f>VLOOKUP($A$1,'Primary Catchment Analysis'!$A$3:$BE$25, 28, FALSE)</f>
        <v>75</v>
      </c>
      <c r="H15" s="30">
        <f>VLOOKUP($A$1,'Primary Catchment Analysis'!$A$3:$BE$25, 29, FALSE)</f>
        <v>81</v>
      </c>
      <c r="I15" s="29">
        <f>VLOOKUP($A$1,'S1 Catchment Analysis'!A3:I25, 5, FALSE)</f>
        <v>48</v>
      </c>
      <c r="J15" s="23"/>
      <c r="K15" s="400">
        <f>VLOOKUP($A$1,'S1 Catchment Retained'!A2:I25, 5, FALSE)</f>
        <v>17</v>
      </c>
      <c r="L15" s="401"/>
      <c r="M15" s="110">
        <f t="shared" si="1"/>
        <v>0.35416666666666669</v>
      </c>
      <c r="N15" s="50"/>
      <c r="O15" s="111">
        <f t="shared" si="2"/>
        <v>28</v>
      </c>
      <c r="P15" s="50"/>
      <c r="Q15" s="25">
        <f t="shared" si="3"/>
        <v>2015</v>
      </c>
      <c r="R15" s="68">
        <f>VLOOKUP($A$1,'Secondary Rolls'!$A$3:$BE$25, 23, FALSE)</f>
        <v>45</v>
      </c>
      <c r="S15" s="67">
        <f>VLOOKUP($A$1,'Secondary Rolls'!$A$3:$BE$25, 24, FALSE)</f>
        <v>56</v>
      </c>
      <c r="T15" s="69">
        <f>VLOOKUP($A$1,'Secondary Rolls'!$A$3:$BE$25, 25, FALSE)</f>
        <v>69</v>
      </c>
      <c r="U15" s="61">
        <f>VLOOKUP($A$1,'Secondary Rolls'!$A$3:$BE$25, 26, FALSE)</f>
        <v>77</v>
      </c>
      <c r="V15" s="114">
        <f>VLOOKUP($A$1,'Secondary Rolls'!$A$3:$BE$25, 27, FALSE)</f>
        <v>68</v>
      </c>
      <c r="W15" s="64">
        <f>VLOOKUP($A$1,'Secondary Rolls'!$A$3:$BE$25, 28, FALSE)</f>
        <v>37</v>
      </c>
      <c r="X15" s="62">
        <f t="shared" si="0"/>
        <v>352</v>
      </c>
    </row>
    <row r="16" spans="1:24" ht="15.75" thickBot="1" x14ac:dyDescent="0.3">
      <c r="A16" s="25">
        <f>VLOOKUP($A$12,'S1 Catchment Analysis'!A2:I2, 4, FALSE)</f>
        <v>2016</v>
      </c>
      <c r="B16" s="44">
        <f>VLOOKUP($A$1,'Primary Catchment Analysis'!$A$3:$BE$25, 16, FALSE)</f>
        <v>117</v>
      </c>
      <c r="C16" s="19">
        <f>VLOOKUP($A$1,'Primary Catchment Analysis'!$A$3:$BE$25, 17, FALSE)</f>
        <v>126</v>
      </c>
      <c r="D16" s="45">
        <f>VLOOKUP($A$1,'Primary Catchment Analysis'!$A$3:$BE$25, 18, FALSE)</f>
        <v>130</v>
      </c>
      <c r="E16" s="44">
        <f>VLOOKUP($A$1,'Primary Catchment Analysis'!$A$3:$BE$25, 19, FALSE)</f>
        <v>100</v>
      </c>
      <c r="F16" s="19">
        <f>VLOOKUP($A$1,'Primary Catchment Analysis'!$A$3:$BE$25, 20, FALSE)</f>
        <v>92</v>
      </c>
      <c r="G16" s="33">
        <f>VLOOKUP($A$1,'Primary Catchment Analysis'!$A$3:$BE$25, 21, FALSE)</f>
        <v>91</v>
      </c>
      <c r="H16" s="112">
        <f>VLOOKUP($A$1,'Primary Catchment Analysis'!$A$3:$BE$25, 22, FALSE)</f>
        <v>68</v>
      </c>
      <c r="I16" s="30">
        <f>VLOOKUP($A$1,'S1 Catchment Analysis'!A3:I25, 4, FALSE)</f>
        <v>72</v>
      </c>
      <c r="J16" s="23"/>
      <c r="K16" s="400">
        <f>VLOOKUP($A$1,'S1 Catchment Retained'!A2:I25, 4, FALSE)</f>
        <v>28</v>
      </c>
      <c r="L16" s="401"/>
      <c r="M16" s="56">
        <f t="shared" si="1"/>
        <v>0.3888888888888889</v>
      </c>
      <c r="N16" s="50"/>
      <c r="O16" s="103">
        <f t="shared" si="2"/>
        <v>19</v>
      </c>
      <c r="P16" s="50"/>
      <c r="Q16" s="25">
        <f t="shared" si="3"/>
        <v>2016</v>
      </c>
      <c r="R16" s="69">
        <f>VLOOKUP($A$1,'Secondary Rolls'!$A$3:$BE$25, 16, FALSE)</f>
        <v>47</v>
      </c>
      <c r="S16" s="68">
        <f>VLOOKUP($A$1,'Secondary Rolls'!$A$3:$BE$25, 17, FALSE)</f>
        <v>48</v>
      </c>
      <c r="T16" s="67">
        <f>VLOOKUP($A$1,'Secondary Rolls'!$A$3:$BE$25, 18, FALSE)</f>
        <v>58</v>
      </c>
      <c r="U16" s="71">
        <f>VLOOKUP($A$1,'Secondary Rolls'!$A$3:$BE$25, 19, FALSE)</f>
        <v>72</v>
      </c>
      <c r="V16" s="115">
        <f>VLOOKUP($A$1,'Secondary Rolls'!$A$3:$BE$25, 20, FALSE)</f>
        <v>69</v>
      </c>
      <c r="W16" s="65">
        <f>VLOOKUP($A$1,'Secondary Rolls'!$A$3:$BE$25, 21, FALSE)</f>
        <v>47</v>
      </c>
      <c r="X16" s="62">
        <f t="shared" si="0"/>
        <v>341</v>
      </c>
    </row>
    <row r="17" spans="1:24" ht="15.75" thickBot="1" x14ac:dyDescent="0.3">
      <c r="A17" s="258">
        <f>VLOOKUP($A$12,'S1 Catchment Analysis'!A2:I2, 3, FALSE)</f>
        <v>2017</v>
      </c>
      <c r="B17" s="259">
        <f>VLOOKUP($A$1,'Primary Catchment Analysis'!$A$3:$BE$25, 9, FALSE)</f>
        <v>130</v>
      </c>
      <c r="C17" s="260">
        <f>VLOOKUP($A$1,'Primary Catchment Analysis'!$A$3:$BE$25, 10, FALSE)</f>
        <v>102</v>
      </c>
      <c r="D17" s="261">
        <f>VLOOKUP($A$1,'Primary Catchment Analysis'!$A$3:$BE$25, 11, FALSE)</f>
        <v>116</v>
      </c>
      <c r="E17" s="259">
        <f>VLOOKUP($A$1,'Primary Catchment Analysis'!$A$3:$BE$25, 12, FALSE)</f>
        <v>125</v>
      </c>
      <c r="F17" s="260">
        <f>VLOOKUP($A$1,'Primary Catchment Analysis'!$A$3:$BE$25, 13, FALSE)</f>
        <v>108</v>
      </c>
      <c r="G17" s="262">
        <f>VLOOKUP($A$1,'Primary Catchment Analysis'!$A$3:$BE$25, 14, FALSE)</f>
        <v>88</v>
      </c>
      <c r="H17" s="113">
        <f>VLOOKUP($A$1,'Primary Catchment Analysis'!$A$3:$BE$25, 15, FALSE)</f>
        <v>79</v>
      </c>
      <c r="I17" s="31">
        <f>VLOOKUP($A$1,'S1 Catchment Analysis'!A3:I25, 3, FALSE)</f>
        <v>59</v>
      </c>
      <c r="J17" s="23"/>
      <c r="K17" s="402">
        <f>VLOOKUP($A$1,'S1 Catchment Retained'!A2:I25, 3, FALSE)</f>
        <v>31</v>
      </c>
      <c r="L17" s="403"/>
      <c r="M17" s="57">
        <f t="shared" si="1"/>
        <v>0.52542372881355937</v>
      </c>
      <c r="N17" s="50"/>
      <c r="O17" s="104">
        <f t="shared" si="2"/>
        <v>19</v>
      </c>
      <c r="P17" s="50"/>
      <c r="Q17" s="25">
        <f t="shared" si="3"/>
        <v>2017</v>
      </c>
      <c r="R17" s="264">
        <f>VLOOKUP($A$1,'Secondary Rolls'!$A$3:$BE$25, 9, FALSE)</f>
        <v>50</v>
      </c>
      <c r="S17" s="265">
        <f>VLOOKUP($A$1,'Secondary Rolls'!$A$3:$BE$25, 10, FALSE)</f>
        <v>52</v>
      </c>
      <c r="T17" s="266">
        <f>VLOOKUP($A$1,'Secondary Rolls'!$A$3:$BE$25, 11, FALSE)</f>
        <v>59</v>
      </c>
      <c r="U17" s="267">
        <f>VLOOKUP($A$1,'Secondary Rolls'!$A$3:$BE$25, 12, FALSE)</f>
        <v>60</v>
      </c>
      <c r="V17" s="268">
        <f>VLOOKUP($A$1,'Secondary Rolls'!$A$3:$BE$25, 13, FALSE)</f>
        <v>65</v>
      </c>
      <c r="W17" s="269">
        <f>VLOOKUP($A$1,'Secondary Rolls'!$A$3:$BE$25, 14, FALSE)</f>
        <v>47</v>
      </c>
      <c r="X17" s="116">
        <f t="shared" si="0"/>
        <v>333</v>
      </c>
    </row>
    <row r="18" spans="1:24" ht="15.75" thickBot="1" x14ac:dyDescent="0.3">
      <c r="A18" s="25">
        <f>VLOOKUP($A$12,'S1 Catchment Analysis'!A2:I2, 2, FALSE)</f>
        <v>2018</v>
      </c>
      <c r="B18" s="19">
        <f>VLOOKUP($A$1,'Primary Catchment Analysis'!$A$3:$BE$25, 2, FALSE)</f>
        <v>113</v>
      </c>
      <c r="C18" s="45">
        <f>VLOOKUP($A$1,'Primary Catchment Analysis'!$A$3:$BE$25, 3, FALSE)</f>
        <v>112</v>
      </c>
      <c r="D18" s="44">
        <f>VLOOKUP($A$1,'Primary Catchment Analysis'!$A$3:$BE$25, 4, FALSE)</f>
        <v>96</v>
      </c>
      <c r="E18" s="19">
        <f>VLOOKUP($A$1,'Primary Catchment Analysis'!$A$3:$BE$25, 5, FALSE)</f>
        <v>106</v>
      </c>
      <c r="F18" s="45">
        <f>VLOOKUP($A$1,'Primary Catchment Analysis'!$A$3:$BE$25, 6, FALSE)</f>
        <v>117</v>
      </c>
      <c r="G18" s="273">
        <f>VLOOKUP($A$1,'Primary Catchment Analysis'!$A$3:$BE$25, 7, FALSE)</f>
        <v>98</v>
      </c>
      <c r="H18" s="274">
        <f>VLOOKUP($A$1,'Primary Catchment Analysis'!$A$3:$BE$25, 8, FALSE)</f>
        <v>78</v>
      </c>
      <c r="I18" s="32">
        <f>VLOOKUP($A$1,'S1 Catchment Analysis'!A3:I25, 2, FALSE)</f>
        <v>74</v>
      </c>
      <c r="J18" s="23"/>
      <c r="K18" s="392">
        <f>VLOOKUP($A$1,'S1 Catchment Retained'!A2:I25, 2, FALSE)</f>
        <v>50</v>
      </c>
      <c r="L18" s="393"/>
      <c r="M18" s="58">
        <f t="shared" si="1"/>
        <v>0.67567567567567566</v>
      </c>
      <c r="N18" s="50"/>
      <c r="O18" s="105">
        <f t="shared" si="2"/>
        <v>31</v>
      </c>
      <c r="P18" s="50"/>
      <c r="Q18" s="25">
        <f t="shared" si="3"/>
        <v>2018</v>
      </c>
      <c r="R18" s="68">
        <f>VLOOKUP($A$1,'Secondary Rolls'!$A$3:$BE$25, 2, FALSE)</f>
        <v>81</v>
      </c>
      <c r="S18" s="67">
        <f>VLOOKUP($A$1,'Secondary Rolls'!$A$3:$BE$25, 3, FALSE)</f>
        <v>55</v>
      </c>
      <c r="T18" s="69">
        <f>VLOOKUP($A$1,'Secondary Rolls'!$A$3:$BE$25, 4, FALSE)</f>
        <v>58</v>
      </c>
      <c r="U18" s="68">
        <f>VLOOKUP($A$1,'Secondary Rolls'!$A$3:$BE$25, 5, FALSE)</f>
        <v>58</v>
      </c>
      <c r="V18" s="67">
        <f>VLOOKUP($A$1,'Secondary Rolls'!$A$3:$BE$25, 6, FALSE)</f>
        <v>55</v>
      </c>
      <c r="W18" s="69">
        <f>VLOOKUP($A$1,'Secondary Rolls'!$A$3:$BE$25, 7, FALSE)</f>
        <v>49</v>
      </c>
      <c r="X18" s="53">
        <f t="shared" ref="X18" si="4">SUM(R18:W18)</f>
        <v>356</v>
      </c>
    </row>
    <row r="19" spans="1:24"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0" t="s">
        <v>211</v>
      </c>
      <c r="P19" s="60"/>
      <c r="Q19" s="131"/>
      <c r="T19" s="386" t="s">
        <v>212</v>
      </c>
      <c r="U19" s="387"/>
      <c r="V19" s="118" t="s">
        <v>140</v>
      </c>
      <c r="W19" s="119" t="s">
        <v>141</v>
      </c>
    </row>
    <row r="20" spans="1:24" x14ac:dyDescent="0.25">
      <c r="A20" s="388"/>
      <c r="B20" s="388"/>
      <c r="C20" s="40">
        <f>AVERAGE(((B15-C16)/B15),((B16-C17)/B16),((B17-C18)/B17))</f>
        <v>9.6640826873385002E-2</v>
      </c>
      <c r="D20" s="40">
        <f t="shared" ref="D20:I20" si="5">AVERAGE(((C15-D16)/C15),((C16-D17)/C16),((C17-D18)/C17))</f>
        <v>5.6013118348500257E-2</v>
      </c>
      <c r="E20" s="40">
        <f t="shared" si="5"/>
        <v>0.11649154552121675</v>
      </c>
      <c r="F20" s="40">
        <f t="shared" si="5"/>
        <v>-5.3333333333333332E-3</v>
      </c>
      <c r="G20" s="40">
        <f t="shared" si="5"/>
        <v>5.2525409935414609E-2</v>
      </c>
      <c r="H20" s="40">
        <f t="shared" si="5"/>
        <v>0.11294594294594296</v>
      </c>
      <c r="I20" s="40">
        <f t="shared" si="5"/>
        <v>0.10225173050936269</v>
      </c>
      <c r="K20" s="389">
        <f>AVERAGE(M16:M18)</f>
        <v>0.52999609779270795</v>
      </c>
      <c r="L20" s="390"/>
      <c r="M20" s="391"/>
      <c r="O20" s="51">
        <f>ROUNDUP((AVERAGE(O16:O18)),0)</f>
        <v>23</v>
      </c>
      <c r="T20" s="388"/>
      <c r="U20" s="388"/>
      <c r="V20" s="40">
        <f>AVERAGE(((U15-V16)/U15),((U16-V17)/U16),((U17-V18)/U17))</f>
        <v>9.4817219817219814E-2</v>
      </c>
      <c r="W20" s="40">
        <f>AVERAGE(((V15-W16)/V15),((V16-W17)/V16),((V17-W18)/V17))</f>
        <v>0.29127265175858524</v>
      </c>
    </row>
    <row r="21" spans="1:24" x14ac:dyDescent="0.25">
      <c r="A21" s="21"/>
      <c r="K21" s="59"/>
      <c r="L21" s="59"/>
    </row>
    <row r="22" spans="1:24" x14ac:dyDescent="0.25">
      <c r="A22" s="21" t="s">
        <v>200</v>
      </c>
      <c r="K22" s="59"/>
      <c r="L22" s="59"/>
    </row>
    <row r="23" spans="1:24" x14ac:dyDescent="0.25">
      <c r="A23" s="22" t="s">
        <v>114</v>
      </c>
      <c r="B23" s="24" t="s">
        <v>1</v>
      </c>
      <c r="C23" s="24" t="s">
        <v>115</v>
      </c>
      <c r="D23" s="24" t="s">
        <v>116</v>
      </c>
      <c r="E23" s="24" t="s">
        <v>117</v>
      </c>
      <c r="F23" s="24" t="s">
        <v>118</v>
      </c>
      <c r="G23" s="24" t="s">
        <v>119</v>
      </c>
      <c r="H23" s="24" t="s">
        <v>120</v>
      </c>
      <c r="I23" s="26" t="s">
        <v>121</v>
      </c>
      <c r="K23" s="59"/>
      <c r="L23" s="59"/>
    </row>
    <row r="24" spans="1:24" x14ac:dyDescent="0.25">
      <c r="A24" s="25">
        <f>A18+1</f>
        <v>2019</v>
      </c>
      <c r="B24" s="37">
        <f>'P1 Catchment Projections'!C28+'P1 Catchment Projections'!C29+'P1 Catchment Projections'!C30</f>
        <v>121</v>
      </c>
      <c r="C24" s="34">
        <f>ROUNDUP((B18-(B18*$C$20)),0)</f>
        <v>103</v>
      </c>
      <c r="D24" s="42">
        <f>ROUNDUP((C18-(C18*$D$20)),0)</f>
        <v>106</v>
      </c>
      <c r="E24" s="43">
        <f>ROUNDUP((D18-(D18*$E$20)),0)</f>
        <v>85</v>
      </c>
      <c r="F24" s="41">
        <f>ROUNDUP((E18-(E18*$F$20)),0)</f>
        <v>107</v>
      </c>
      <c r="G24" s="42">
        <f>ROUNDUP((F18-(F18*$G$20)),0)</f>
        <v>111</v>
      </c>
      <c r="H24" s="43">
        <f>ROUNDUP((G18-(G18*$H$20)),0)</f>
        <v>87</v>
      </c>
      <c r="I24" s="99">
        <f>ROUNDUP((H18-(H18*$I$20)),0)</f>
        <v>71</v>
      </c>
      <c r="J24" s="23"/>
      <c r="K24" s="59"/>
      <c r="L24" s="59"/>
    </row>
    <row r="25" spans="1:24" x14ac:dyDescent="0.25">
      <c r="A25" s="25">
        <f>A24+1</f>
        <v>2020</v>
      </c>
      <c r="B25" s="37">
        <f>'P1 Catchment Projections'!D28+'P1 Catchment Projections'!D29+'P1 Catchment Projections'!D30</f>
        <v>117</v>
      </c>
      <c r="C25" s="34">
        <f t="shared" ref="C25:C37" si="6">ROUNDUP((B24-(B24*$C$20)),0)</f>
        <v>110</v>
      </c>
      <c r="D25" s="34">
        <f t="shared" ref="D25:D37" si="7">ROUNDUP((C24-(C24*$D$20)),0)</f>
        <v>98</v>
      </c>
      <c r="E25" s="42">
        <f t="shared" ref="E25:E37" si="8">ROUNDUP((D24-(D24*$E$20)),0)</f>
        <v>94</v>
      </c>
      <c r="F25" s="43">
        <f t="shared" ref="F25:F37" si="9">ROUNDUP((E24-(E24*$F$20)),0)</f>
        <v>86</v>
      </c>
      <c r="G25" s="41">
        <f t="shared" ref="G25:G37" si="10">ROUNDUP((F24-(F24*$G$20)),0)</f>
        <v>102</v>
      </c>
      <c r="H25" s="42">
        <f t="shared" ref="H25:H37" si="11">ROUNDUP((G24-(G24*$H$20)),0)</f>
        <v>99</v>
      </c>
      <c r="I25" s="99">
        <f t="shared" ref="I25:I37" si="12">ROUNDUP((H24-(H24*$I$20)),0)</f>
        <v>79</v>
      </c>
      <c r="J25" s="23"/>
      <c r="K25" s="59"/>
      <c r="L25" s="59"/>
    </row>
    <row r="26" spans="1:24" x14ac:dyDescent="0.25">
      <c r="A26" s="25">
        <f>A25+1</f>
        <v>2021</v>
      </c>
      <c r="B26" s="37">
        <f>'P1 Catchment Projections'!E28+'P1 Catchment Projections'!E29+'P1 Catchment Projections'!E30</f>
        <v>117</v>
      </c>
      <c r="C26" s="34">
        <f t="shared" si="6"/>
        <v>106</v>
      </c>
      <c r="D26" s="34">
        <f t="shared" si="7"/>
        <v>104</v>
      </c>
      <c r="E26" s="34">
        <f t="shared" si="8"/>
        <v>87</v>
      </c>
      <c r="F26" s="42">
        <f t="shared" si="9"/>
        <v>95</v>
      </c>
      <c r="G26" s="43">
        <f t="shared" si="10"/>
        <v>82</v>
      </c>
      <c r="H26" s="41">
        <f t="shared" si="11"/>
        <v>91</v>
      </c>
      <c r="I26" s="99">
        <f t="shared" si="12"/>
        <v>89</v>
      </c>
      <c r="J26" s="23"/>
      <c r="K26" s="59"/>
      <c r="L26" s="59"/>
    </row>
    <row r="27" spans="1:24" x14ac:dyDescent="0.25">
      <c r="A27" s="25">
        <f>A26+1</f>
        <v>2022</v>
      </c>
      <c r="B27" s="37">
        <f>'P1 Catchment Projections'!F28+'P1 Catchment Projections'!F29+'P1 Catchment Projections'!F30</f>
        <v>111</v>
      </c>
      <c r="C27" s="34">
        <f t="shared" si="6"/>
        <v>106</v>
      </c>
      <c r="D27" s="34">
        <f t="shared" si="7"/>
        <v>101</v>
      </c>
      <c r="E27" s="34">
        <f t="shared" si="8"/>
        <v>92</v>
      </c>
      <c r="F27" s="34">
        <f t="shared" si="9"/>
        <v>88</v>
      </c>
      <c r="G27" s="42">
        <f t="shared" si="10"/>
        <v>91</v>
      </c>
      <c r="H27" s="43">
        <f t="shared" si="11"/>
        <v>73</v>
      </c>
      <c r="I27" s="99">
        <f t="shared" si="12"/>
        <v>82</v>
      </c>
      <c r="J27" s="23"/>
      <c r="K27" s="59"/>
      <c r="L27" s="59"/>
    </row>
    <row r="28" spans="1:24" x14ac:dyDescent="0.25">
      <c r="A28" s="25">
        <f t="shared" ref="A28:A37" si="13">A27+1</f>
        <v>2023</v>
      </c>
      <c r="B28" s="37">
        <f>'P1 Catchment Projections'!G28+'P1 Catchment Projections'!G29+'P1 Catchment Projections'!G30</f>
        <v>116</v>
      </c>
      <c r="C28" s="34">
        <f t="shared" si="6"/>
        <v>101</v>
      </c>
      <c r="D28" s="34">
        <f t="shared" si="7"/>
        <v>101</v>
      </c>
      <c r="E28" s="34">
        <f t="shared" si="8"/>
        <v>90</v>
      </c>
      <c r="F28" s="34">
        <f t="shared" si="9"/>
        <v>93</v>
      </c>
      <c r="G28" s="34">
        <f t="shared" si="10"/>
        <v>84</v>
      </c>
      <c r="H28" s="42">
        <f t="shared" si="11"/>
        <v>81</v>
      </c>
      <c r="I28" s="99">
        <f t="shared" si="12"/>
        <v>66</v>
      </c>
      <c r="J28" s="23"/>
      <c r="K28" s="59"/>
      <c r="L28" s="59"/>
    </row>
    <row r="29" spans="1:24" x14ac:dyDescent="0.25">
      <c r="A29" s="25">
        <f t="shared" si="13"/>
        <v>2024</v>
      </c>
      <c r="B29" s="37">
        <f>'P1 Catchment Projections'!H28+'P1 Catchment Projections'!H29+'P1 Catchment Projections'!H30</f>
        <v>118</v>
      </c>
      <c r="C29" s="34">
        <f t="shared" si="6"/>
        <v>105</v>
      </c>
      <c r="D29" s="34">
        <f t="shared" si="7"/>
        <v>96</v>
      </c>
      <c r="E29" s="34">
        <f t="shared" si="8"/>
        <v>90</v>
      </c>
      <c r="F29" s="34">
        <f t="shared" si="9"/>
        <v>91</v>
      </c>
      <c r="G29" s="34">
        <f t="shared" si="10"/>
        <v>89</v>
      </c>
      <c r="H29" s="34">
        <f t="shared" si="11"/>
        <v>75</v>
      </c>
      <c r="I29" s="99">
        <f t="shared" si="12"/>
        <v>73</v>
      </c>
      <c r="K29" s="59"/>
      <c r="L29" s="59"/>
    </row>
    <row r="30" spans="1:24" x14ac:dyDescent="0.25">
      <c r="A30" s="25">
        <f t="shared" si="13"/>
        <v>2025</v>
      </c>
      <c r="B30" s="37">
        <f>'P1 Catchment Projections'!I28+'P1 Catchment Projections'!I29+'P1 Catchment Projections'!I30</f>
        <v>120</v>
      </c>
      <c r="C30" s="34">
        <f t="shared" si="6"/>
        <v>107</v>
      </c>
      <c r="D30" s="34">
        <f t="shared" si="7"/>
        <v>100</v>
      </c>
      <c r="E30" s="34">
        <f t="shared" si="8"/>
        <v>85</v>
      </c>
      <c r="F30" s="34">
        <f t="shared" si="9"/>
        <v>91</v>
      </c>
      <c r="G30" s="34">
        <f t="shared" si="10"/>
        <v>87</v>
      </c>
      <c r="H30" s="34">
        <f t="shared" si="11"/>
        <v>79</v>
      </c>
      <c r="I30" s="99">
        <f t="shared" si="12"/>
        <v>68</v>
      </c>
      <c r="K30" s="59"/>
      <c r="L30" s="59"/>
    </row>
    <row r="31" spans="1:24" x14ac:dyDescent="0.25">
      <c r="A31" s="25">
        <f t="shared" si="13"/>
        <v>2026</v>
      </c>
      <c r="B31" s="37">
        <f>'P1 Catchment Projections'!J28+'P1 Catchment Projections'!J29+'P1 Catchment Projections'!J30</f>
        <v>121</v>
      </c>
      <c r="C31" s="34">
        <f t="shared" si="6"/>
        <v>109</v>
      </c>
      <c r="D31" s="34">
        <f t="shared" si="7"/>
        <v>102</v>
      </c>
      <c r="E31" s="34">
        <f t="shared" si="8"/>
        <v>89</v>
      </c>
      <c r="F31" s="34">
        <f t="shared" si="9"/>
        <v>86</v>
      </c>
      <c r="G31" s="34">
        <f t="shared" si="10"/>
        <v>87</v>
      </c>
      <c r="H31" s="34">
        <f t="shared" si="11"/>
        <v>78</v>
      </c>
      <c r="I31" s="99">
        <f t="shared" si="12"/>
        <v>71</v>
      </c>
      <c r="K31" s="59"/>
      <c r="L31" s="59"/>
    </row>
    <row r="32" spans="1:24" x14ac:dyDescent="0.25">
      <c r="A32" s="25">
        <f t="shared" si="13"/>
        <v>2027</v>
      </c>
      <c r="B32" s="37">
        <f>'P1 Catchment Projections'!K28+'P1 Catchment Projections'!K29+'P1 Catchment Projections'!K30</f>
        <v>122</v>
      </c>
      <c r="C32" s="34">
        <f t="shared" si="6"/>
        <v>110</v>
      </c>
      <c r="D32" s="34">
        <f t="shared" si="7"/>
        <v>103</v>
      </c>
      <c r="E32" s="34">
        <f t="shared" si="8"/>
        <v>91</v>
      </c>
      <c r="F32" s="34">
        <f t="shared" si="9"/>
        <v>90</v>
      </c>
      <c r="G32" s="34">
        <f t="shared" si="10"/>
        <v>82</v>
      </c>
      <c r="H32" s="34">
        <f t="shared" si="11"/>
        <v>78</v>
      </c>
      <c r="I32" s="99">
        <f t="shared" si="12"/>
        <v>71</v>
      </c>
      <c r="K32" s="59"/>
      <c r="L32" s="59"/>
    </row>
    <row r="33" spans="1:27" x14ac:dyDescent="0.25">
      <c r="A33" s="25">
        <f t="shared" si="13"/>
        <v>2028</v>
      </c>
      <c r="B33" s="37">
        <f>'P1 Catchment Projections'!L28+'P1 Catchment Projections'!L29+'P1 Catchment Projections'!L30</f>
        <v>122</v>
      </c>
      <c r="C33" s="34">
        <f t="shared" si="6"/>
        <v>111</v>
      </c>
      <c r="D33" s="34">
        <f t="shared" si="7"/>
        <v>104</v>
      </c>
      <c r="E33" s="34">
        <f t="shared" si="8"/>
        <v>92</v>
      </c>
      <c r="F33" s="34">
        <f t="shared" si="9"/>
        <v>92</v>
      </c>
      <c r="G33" s="34">
        <f t="shared" si="10"/>
        <v>86</v>
      </c>
      <c r="H33" s="34">
        <f t="shared" si="11"/>
        <v>73</v>
      </c>
      <c r="I33" s="99">
        <f t="shared" si="12"/>
        <v>71</v>
      </c>
      <c r="K33" s="59"/>
      <c r="L33" s="59"/>
    </row>
    <row r="34" spans="1:27" x14ac:dyDescent="0.25">
      <c r="A34" s="25">
        <f t="shared" si="13"/>
        <v>2029</v>
      </c>
      <c r="B34" s="37">
        <f>'P1 Catchment Projections'!M28+'P1 Catchment Projections'!M29+'P1 Catchment Projections'!M30</f>
        <v>122</v>
      </c>
      <c r="C34" s="34">
        <f t="shared" si="6"/>
        <v>111</v>
      </c>
      <c r="D34" s="34">
        <f t="shared" si="7"/>
        <v>105</v>
      </c>
      <c r="E34" s="34">
        <f t="shared" si="8"/>
        <v>92</v>
      </c>
      <c r="F34" s="34">
        <f t="shared" si="9"/>
        <v>93</v>
      </c>
      <c r="G34" s="34">
        <f t="shared" si="10"/>
        <v>88</v>
      </c>
      <c r="H34" s="34">
        <f t="shared" si="11"/>
        <v>77</v>
      </c>
      <c r="I34" s="99">
        <f t="shared" si="12"/>
        <v>66</v>
      </c>
      <c r="K34" s="59"/>
      <c r="L34" s="59"/>
      <c r="Z34" s="109"/>
      <c r="AA34" s="109"/>
    </row>
    <row r="35" spans="1:27" x14ac:dyDescent="0.25">
      <c r="A35" s="25">
        <f t="shared" si="13"/>
        <v>2030</v>
      </c>
      <c r="B35" s="37">
        <f>'P1 Catchment Projections'!N28+'P1 Catchment Projections'!N29+'P1 Catchment Projections'!N30</f>
        <v>123</v>
      </c>
      <c r="C35" s="34">
        <f t="shared" si="6"/>
        <v>111</v>
      </c>
      <c r="D35" s="34">
        <f t="shared" si="7"/>
        <v>105</v>
      </c>
      <c r="E35" s="34">
        <f t="shared" si="8"/>
        <v>93</v>
      </c>
      <c r="F35" s="34">
        <f t="shared" si="9"/>
        <v>93</v>
      </c>
      <c r="G35" s="34">
        <f t="shared" si="10"/>
        <v>89</v>
      </c>
      <c r="H35" s="34">
        <f t="shared" si="11"/>
        <v>79</v>
      </c>
      <c r="I35" s="99">
        <f t="shared" si="12"/>
        <v>70</v>
      </c>
      <c r="K35" s="59"/>
      <c r="L35" s="59"/>
      <c r="Z35" s="109"/>
      <c r="AA35" s="109"/>
    </row>
    <row r="36" spans="1:27" x14ac:dyDescent="0.25">
      <c r="A36" s="25">
        <f t="shared" si="13"/>
        <v>2031</v>
      </c>
      <c r="B36" s="37">
        <f>'P1 Catchment Projections'!O28+'P1 Catchment Projections'!O29+'P1 Catchment Projections'!O30</f>
        <v>123</v>
      </c>
      <c r="C36" s="34">
        <f t="shared" si="6"/>
        <v>112</v>
      </c>
      <c r="D36" s="34">
        <f t="shared" si="7"/>
        <v>105</v>
      </c>
      <c r="E36" s="34">
        <f t="shared" si="8"/>
        <v>93</v>
      </c>
      <c r="F36" s="34">
        <f t="shared" si="9"/>
        <v>94</v>
      </c>
      <c r="G36" s="34">
        <f t="shared" si="10"/>
        <v>89</v>
      </c>
      <c r="H36" s="34">
        <f t="shared" si="11"/>
        <v>79</v>
      </c>
      <c r="I36" s="99">
        <f t="shared" si="12"/>
        <v>71</v>
      </c>
      <c r="K36" s="59"/>
      <c r="L36" s="59"/>
      <c r="Z36" s="109"/>
      <c r="AA36" s="109"/>
    </row>
    <row r="37" spans="1:27" x14ac:dyDescent="0.25">
      <c r="A37" s="25">
        <f t="shared" si="13"/>
        <v>2032</v>
      </c>
      <c r="B37" s="37">
        <f>'P1 Catchment Projections'!P28+'P1 Catchment Projections'!P29+'P1 Catchment Projections'!P30</f>
        <v>123</v>
      </c>
      <c r="C37" s="34">
        <f t="shared" si="6"/>
        <v>112</v>
      </c>
      <c r="D37" s="34">
        <f t="shared" si="7"/>
        <v>106</v>
      </c>
      <c r="E37" s="34">
        <f t="shared" si="8"/>
        <v>93</v>
      </c>
      <c r="F37" s="34">
        <f t="shared" si="9"/>
        <v>94</v>
      </c>
      <c r="G37" s="34">
        <f t="shared" si="10"/>
        <v>90</v>
      </c>
      <c r="H37" s="34">
        <f t="shared" si="11"/>
        <v>79</v>
      </c>
      <c r="I37" s="99">
        <f t="shared" si="12"/>
        <v>71</v>
      </c>
      <c r="K37" s="59"/>
      <c r="L37" s="59"/>
      <c r="Z37" s="109"/>
      <c r="AA37" s="109"/>
    </row>
    <row r="38" spans="1:27" x14ac:dyDescent="0.25">
      <c r="K38" s="59"/>
      <c r="L38" s="59"/>
    </row>
    <row r="39" spans="1:27" x14ac:dyDescent="0.25">
      <c r="A39" s="21" t="s">
        <v>200</v>
      </c>
      <c r="K39" s="394" t="s">
        <v>190</v>
      </c>
      <c r="L39" s="55"/>
      <c r="M39" s="394" t="s">
        <v>203</v>
      </c>
      <c r="N39" s="106"/>
      <c r="O39" s="395" t="s">
        <v>204</v>
      </c>
      <c r="R39" s="21" t="s">
        <v>202</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126</v>
      </c>
      <c r="C41" s="34">
        <f>C24+VLOOKUP($A$1,'Pri Housing Generation'!$A$96:$DQ$118, 11, FALSE)</f>
        <v>108</v>
      </c>
      <c r="D41" s="42">
        <f>D24+VLOOKUP($A$1,'Pri Housing Generation'!$A$96:$DQ$118, 12, FALSE)</f>
        <v>110</v>
      </c>
      <c r="E41" s="43">
        <f>E24+VLOOKUP($A$1,'Pri Housing Generation'!$A$96:$DQ$118, 13, FALSE)</f>
        <v>88</v>
      </c>
      <c r="F41" s="41">
        <f>F24+VLOOKUP($A$1,'Pri Housing Generation'!$A$96:$DQ$118, 14, FALSE)</f>
        <v>110</v>
      </c>
      <c r="G41" s="42">
        <f>G24+VLOOKUP($A$1,'Pri Housing Generation'!$A$96:$DQ$118, 15, FALSE)</f>
        <v>114</v>
      </c>
      <c r="H41" s="43">
        <f>H24+VLOOKUP($A$1,'Pri Housing Generation'!$A$96:$DQ$118, 16, FALSE)</f>
        <v>89</v>
      </c>
      <c r="I41" s="99">
        <f>ROUNDUP((H18-(H18*$I$20)),0)</f>
        <v>71</v>
      </c>
      <c r="K41" s="35">
        <f>'Sec Housing Generation'!I10</f>
        <v>2</v>
      </c>
      <c r="L41" s="83"/>
      <c r="M41" s="107">
        <v>0.69099999999999995</v>
      </c>
      <c r="O41" s="35">
        <f t="shared" ref="O41:O54" si="14">ROUNDUP(((I41+K41)*M41),0)</f>
        <v>51</v>
      </c>
      <c r="Q41" s="25">
        <f>A41</f>
        <v>2019</v>
      </c>
      <c r="R41" s="20">
        <f t="shared" ref="R41:R54" si="15">IF(O41&lt;$C$7,(IF((O41+$O$20)&gt;$C$7,$C$7,(O41+$O$20))),(IF((O41+$O$20)&lt;(CEILING((O41),20)),(O41+$O$20),(CEILING((O41),20)))))</f>
        <v>74</v>
      </c>
      <c r="S41" s="53">
        <f>R18</f>
        <v>81</v>
      </c>
      <c r="T41" s="67">
        <f>S18</f>
        <v>55</v>
      </c>
      <c r="U41" s="69">
        <f>T18</f>
        <v>58</v>
      </c>
      <c r="V41" s="41">
        <f>ROUNDUP((U18-(U18*$V$20)),0)</f>
        <v>53</v>
      </c>
      <c r="W41" s="42">
        <f>ROUNDUP((V18-(V18*$W$20)),0)</f>
        <v>39</v>
      </c>
      <c r="X41" s="101">
        <f t="shared" ref="X41:X54" si="16">SUM(R41:W41)</f>
        <v>360</v>
      </c>
    </row>
    <row r="42" spans="1:27" x14ac:dyDescent="0.25">
      <c r="A42" s="25">
        <f t="shared" ref="A42:A54" si="17">A25</f>
        <v>2020</v>
      </c>
      <c r="B42" s="37">
        <f>B25+VLOOKUP($A$1,'Pri Housing Generation'!$A$96:$DQ$118, 18, FALSE)</f>
        <v>124</v>
      </c>
      <c r="C42" s="34">
        <f>C25+VLOOKUP($A$1,'Pri Housing Generation'!$A$96:$DQ$118, 19, FALSE)</f>
        <v>117</v>
      </c>
      <c r="D42" s="34">
        <f>D25+VLOOKUP($A$1,'Pri Housing Generation'!$A$96:$DQ$118, 20, FALSE)</f>
        <v>105</v>
      </c>
      <c r="E42" s="42">
        <f>E25+VLOOKUP($A$1,'Pri Housing Generation'!$A$96:$DQ$118, 21, FALSE)</f>
        <v>100</v>
      </c>
      <c r="F42" s="43">
        <f>F25+VLOOKUP($A$1,'Pri Housing Generation'!$A$96:$DQ$118, 22, FALSE)</f>
        <v>92</v>
      </c>
      <c r="G42" s="41">
        <f>G25+VLOOKUP($A$1,'Pri Housing Generation'!$A$96:$DQ$118, 23, FALSE)</f>
        <v>107</v>
      </c>
      <c r="H42" s="42">
        <f>H25+VLOOKUP($A$1,'Pri Housing Generation'!$A$96:$DQ$118, 24, FALSE)</f>
        <v>103</v>
      </c>
      <c r="I42" s="99">
        <f t="shared" ref="I42:I54" si="18">ROUNDUP((H41-(H41*$I$20)),0)</f>
        <v>80</v>
      </c>
      <c r="K42" s="35">
        <f>'Sec Housing Generation'!P10</f>
        <v>4</v>
      </c>
      <c r="L42" s="83"/>
      <c r="M42" s="107">
        <v>0.69099999999999995</v>
      </c>
      <c r="O42" s="35">
        <f t="shared" si="14"/>
        <v>59</v>
      </c>
      <c r="Q42" s="25">
        <f t="shared" ref="Q42:Q54" si="19">A42</f>
        <v>2020</v>
      </c>
      <c r="R42" s="20">
        <f t="shared" si="15"/>
        <v>82</v>
      </c>
      <c r="S42" s="53">
        <f t="shared" ref="S42:U42" si="20">R41</f>
        <v>74</v>
      </c>
      <c r="T42" s="53">
        <f t="shared" si="20"/>
        <v>81</v>
      </c>
      <c r="U42" s="67">
        <f t="shared" si="20"/>
        <v>55</v>
      </c>
      <c r="V42" s="43">
        <f t="shared" ref="V42:V54" si="21">ROUNDUP((U41-(U41*$V$20)),0)</f>
        <v>53</v>
      </c>
      <c r="W42" s="41">
        <f t="shared" ref="W42:W54" si="22">ROUNDUP((V41-(V41*$W$20)),0)</f>
        <v>38</v>
      </c>
      <c r="X42" s="101">
        <f t="shared" si="16"/>
        <v>383</v>
      </c>
    </row>
    <row r="43" spans="1:27" x14ac:dyDescent="0.25">
      <c r="A43" s="25">
        <f t="shared" si="17"/>
        <v>2021</v>
      </c>
      <c r="B43" s="37">
        <f>B26+VLOOKUP($A$1,'Pri Housing Generation'!$A$96:$DQ$118, 26, FALSE)</f>
        <v>127</v>
      </c>
      <c r="C43" s="34">
        <f>C26+VLOOKUP($A$1,'Pri Housing Generation'!$A$96:$DQ$118, 27, FALSE)</f>
        <v>116</v>
      </c>
      <c r="D43" s="34">
        <f>D26+VLOOKUP($A$1,'Pri Housing Generation'!$A$96:$DQ$118, 28, FALSE)</f>
        <v>114</v>
      </c>
      <c r="E43" s="34">
        <f>E26+VLOOKUP($A$1,'Pri Housing Generation'!$A$96:$DQ$118, 29, FALSE)</f>
        <v>96</v>
      </c>
      <c r="F43" s="42">
        <f>F26+VLOOKUP($A$1,'Pri Housing Generation'!$A$96:$DQ$118, 30, FALSE)</f>
        <v>104</v>
      </c>
      <c r="G43" s="43">
        <f>G26+VLOOKUP($A$1,'Pri Housing Generation'!$A$96:$DQ$118, 31, FALSE)</f>
        <v>91</v>
      </c>
      <c r="H43" s="41">
        <f>H26+VLOOKUP($A$1,'Pri Housing Generation'!$A$96:$DQ$118, 32, FALSE)</f>
        <v>100</v>
      </c>
      <c r="I43" s="99">
        <f t="shared" si="18"/>
        <v>93</v>
      </c>
      <c r="K43" s="35">
        <f>'Sec Housing Generation'!W10</f>
        <v>5</v>
      </c>
      <c r="L43" s="83"/>
      <c r="M43" s="107">
        <v>0.69099999999999995</v>
      </c>
      <c r="O43" s="35">
        <f t="shared" si="14"/>
        <v>68</v>
      </c>
      <c r="Q43" s="25">
        <f t="shared" si="19"/>
        <v>2021</v>
      </c>
      <c r="R43" s="20">
        <f t="shared" si="15"/>
        <v>91</v>
      </c>
      <c r="S43" s="53">
        <f t="shared" ref="S43:U54" si="23">R42</f>
        <v>82</v>
      </c>
      <c r="T43" s="53">
        <f t="shared" si="23"/>
        <v>74</v>
      </c>
      <c r="U43" s="53">
        <f t="shared" si="23"/>
        <v>81</v>
      </c>
      <c r="V43" s="42">
        <f t="shared" si="21"/>
        <v>50</v>
      </c>
      <c r="W43" s="43">
        <f t="shared" si="22"/>
        <v>38</v>
      </c>
      <c r="X43" s="101">
        <f t="shared" si="16"/>
        <v>416</v>
      </c>
    </row>
    <row r="44" spans="1:27" x14ac:dyDescent="0.25">
      <c r="A44" s="25">
        <f t="shared" si="17"/>
        <v>2022</v>
      </c>
      <c r="B44" s="37">
        <f>B27+VLOOKUP($A$1,'Pri Housing Generation'!$A$96:$DQ$118, 34, FALSE)</f>
        <v>125</v>
      </c>
      <c r="C44" s="34">
        <f>C27+VLOOKUP($A$1,'Pri Housing Generation'!$A$96:$DQ$118, 35, FALSE)</f>
        <v>118</v>
      </c>
      <c r="D44" s="34">
        <f>D27+VLOOKUP($A$1,'Pri Housing Generation'!$A$96:$DQ$118, 36, FALSE)</f>
        <v>113</v>
      </c>
      <c r="E44" s="34">
        <f>E27+VLOOKUP($A$1,'Pri Housing Generation'!$A$96:$DQ$118, 37, FALSE)</f>
        <v>103</v>
      </c>
      <c r="F44" s="34">
        <f>F27+VLOOKUP($A$1,'Pri Housing Generation'!$A$96:$DQ$118, 38, FALSE)</f>
        <v>99</v>
      </c>
      <c r="G44" s="42">
        <f>G27+VLOOKUP($A$1,'Pri Housing Generation'!$A$96:$DQ$118, 39, FALSE)</f>
        <v>102</v>
      </c>
      <c r="H44" s="43">
        <f>H27+VLOOKUP($A$1,'Pri Housing Generation'!$A$96:$DQ$118, 40, FALSE)</f>
        <v>84</v>
      </c>
      <c r="I44" s="99">
        <f t="shared" si="18"/>
        <v>90</v>
      </c>
      <c r="K44" s="35">
        <f>'Sec Housing Generation'!AD10</f>
        <v>7</v>
      </c>
      <c r="L44" s="83"/>
      <c r="M44" s="107">
        <v>0.69099999999999995</v>
      </c>
      <c r="O44" s="35">
        <f t="shared" si="14"/>
        <v>68</v>
      </c>
      <c r="Q44" s="25">
        <f t="shared" si="19"/>
        <v>2022</v>
      </c>
      <c r="R44" s="20">
        <f t="shared" si="15"/>
        <v>91</v>
      </c>
      <c r="S44" s="53">
        <f t="shared" si="23"/>
        <v>91</v>
      </c>
      <c r="T44" s="53">
        <f t="shared" si="23"/>
        <v>82</v>
      </c>
      <c r="U44" s="53">
        <f t="shared" si="23"/>
        <v>74</v>
      </c>
      <c r="V44" s="34">
        <f t="shared" si="21"/>
        <v>74</v>
      </c>
      <c r="W44" s="42">
        <f t="shared" si="22"/>
        <v>36</v>
      </c>
      <c r="X44" s="101">
        <f t="shared" si="16"/>
        <v>448</v>
      </c>
    </row>
    <row r="45" spans="1:27" x14ac:dyDescent="0.25">
      <c r="A45" s="25">
        <f t="shared" si="17"/>
        <v>2023</v>
      </c>
      <c r="B45" s="37">
        <f>B28+VLOOKUP($A$1,'Pri Housing Generation'!$A$96:$DQ$118, 42, FALSE)</f>
        <v>131</v>
      </c>
      <c r="C45" s="34">
        <f>C28+VLOOKUP($A$1,'Pri Housing Generation'!$A$96:$DQ$118, 43, FALSE)</f>
        <v>114</v>
      </c>
      <c r="D45" s="34">
        <f>D28+VLOOKUP($A$1,'Pri Housing Generation'!$A$96:$DQ$118, 44, FALSE)</f>
        <v>114</v>
      </c>
      <c r="E45" s="34">
        <f>E28+VLOOKUP($A$1,'Pri Housing Generation'!$A$96:$DQ$118, 45, FALSE)</f>
        <v>102</v>
      </c>
      <c r="F45" s="34">
        <f>F28+VLOOKUP($A$1,'Pri Housing Generation'!$A$96:$DQ$118, 46, FALSE)</f>
        <v>105</v>
      </c>
      <c r="G45" s="34">
        <f>G28+VLOOKUP($A$1,'Pri Housing Generation'!$A$96:$DQ$118, 47, FALSE)</f>
        <v>96</v>
      </c>
      <c r="H45" s="42">
        <f>H28+VLOOKUP($A$1,'Pri Housing Generation'!$A$96:$DQ$118, 48, FALSE)</f>
        <v>93</v>
      </c>
      <c r="I45" s="99">
        <f t="shared" si="18"/>
        <v>76</v>
      </c>
      <c r="J45" s="181"/>
      <c r="K45" s="35">
        <f>'Sec Housing Generation'!AK10</f>
        <v>7</v>
      </c>
      <c r="L45" s="83"/>
      <c r="M45" s="107">
        <v>0.69099999999999995</v>
      </c>
      <c r="O45" s="35">
        <f t="shared" si="14"/>
        <v>58</v>
      </c>
      <c r="Q45" s="25">
        <f t="shared" si="19"/>
        <v>2023</v>
      </c>
      <c r="R45" s="20">
        <f t="shared" si="15"/>
        <v>81</v>
      </c>
      <c r="S45" s="53">
        <f t="shared" si="23"/>
        <v>91</v>
      </c>
      <c r="T45" s="53">
        <f t="shared" si="23"/>
        <v>91</v>
      </c>
      <c r="U45" s="53">
        <f t="shared" si="23"/>
        <v>82</v>
      </c>
      <c r="V45" s="34">
        <f t="shared" si="21"/>
        <v>67</v>
      </c>
      <c r="W45" s="34">
        <f t="shared" si="22"/>
        <v>53</v>
      </c>
      <c r="X45" s="101">
        <f t="shared" si="16"/>
        <v>465</v>
      </c>
    </row>
    <row r="46" spans="1:27" x14ac:dyDescent="0.25">
      <c r="A46" s="25">
        <f t="shared" si="17"/>
        <v>2024</v>
      </c>
      <c r="B46" s="37">
        <f>B29+VLOOKUP($A$1,'Pri Housing Generation'!$A$96:$DQ$118, 50, FALSE)</f>
        <v>134</v>
      </c>
      <c r="C46" s="34">
        <f>C29+VLOOKUP($A$1,'Pri Housing Generation'!$A$96:$DQ$118, 51, FALSE)</f>
        <v>119</v>
      </c>
      <c r="D46" s="34">
        <f>D29+VLOOKUP($A$1,'Pri Housing Generation'!$A$96:$DQ$118, 52, FALSE)</f>
        <v>110</v>
      </c>
      <c r="E46" s="34">
        <f>E29+VLOOKUP($A$1,'Pri Housing Generation'!$A$96:$DQ$118, 53, FALSE)</f>
        <v>104</v>
      </c>
      <c r="F46" s="34">
        <f>F29+VLOOKUP($A$1,'Pri Housing Generation'!$A$96:$DQ$118, 54, FALSE)</f>
        <v>104</v>
      </c>
      <c r="G46" s="34">
        <f>G29+VLOOKUP($A$1,'Pri Housing Generation'!$A$96:$DQ$118, 55, FALSE)</f>
        <v>102</v>
      </c>
      <c r="H46" s="34">
        <f>H29+VLOOKUP($A$1,'Pri Housing Generation'!$A$96:$DQ$118, 56, FALSE)</f>
        <v>88</v>
      </c>
      <c r="I46" s="99">
        <f t="shared" si="18"/>
        <v>84</v>
      </c>
      <c r="J46" s="181"/>
      <c r="K46" s="35">
        <f>'Sec Housing Generation'!AR10</f>
        <v>8</v>
      </c>
      <c r="L46" s="83"/>
      <c r="M46" s="107">
        <v>0.69099999999999995</v>
      </c>
      <c r="O46" s="35">
        <f t="shared" si="14"/>
        <v>64</v>
      </c>
      <c r="Q46" s="25">
        <f t="shared" si="19"/>
        <v>2024</v>
      </c>
      <c r="R46" s="20">
        <f t="shared" si="15"/>
        <v>87</v>
      </c>
      <c r="S46" s="53">
        <f t="shared" si="23"/>
        <v>81</v>
      </c>
      <c r="T46" s="53">
        <f t="shared" si="23"/>
        <v>91</v>
      </c>
      <c r="U46" s="53">
        <f t="shared" si="23"/>
        <v>91</v>
      </c>
      <c r="V46" s="34">
        <f t="shared" si="21"/>
        <v>75</v>
      </c>
      <c r="W46" s="34">
        <f t="shared" si="22"/>
        <v>48</v>
      </c>
      <c r="X46" s="101">
        <f t="shared" si="16"/>
        <v>473</v>
      </c>
    </row>
    <row r="47" spans="1:27" x14ac:dyDescent="0.25">
      <c r="A47" s="25">
        <f t="shared" si="17"/>
        <v>2025</v>
      </c>
      <c r="B47" s="37">
        <f>B30+VLOOKUP($A$1,'Pri Housing Generation'!$A$96:$DQ$118, 58, FALSE)</f>
        <v>136</v>
      </c>
      <c r="C47" s="34">
        <f>C30+VLOOKUP($A$1,'Pri Housing Generation'!$A$96:$DQ$118, 59, FALSE)</f>
        <v>122</v>
      </c>
      <c r="D47" s="34">
        <f>D30+VLOOKUP($A$1,'Pri Housing Generation'!$A$96:$DQ$118, 60, FALSE)</f>
        <v>115</v>
      </c>
      <c r="E47" s="34">
        <f>E30+VLOOKUP($A$1,'Pri Housing Generation'!$A$96:$DQ$118, 61, FALSE)</f>
        <v>100</v>
      </c>
      <c r="F47" s="34">
        <f>F30+VLOOKUP($A$1,'Pri Housing Generation'!$A$96:$DQ$118, 62, FALSE)</f>
        <v>106</v>
      </c>
      <c r="G47" s="34">
        <f>G30+VLOOKUP($A$1,'Pri Housing Generation'!$A$96:$DQ$118, 63, FALSE)</f>
        <v>101</v>
      </c>
      <c r="H47" s="34">
        <f>H30+VLOOKUP($A$1,'Pri Housing Generation'!$A$96:$DQ$118, 64, FALSE)</f>
        <v>92</v>
      </c>
      <c r="I47" s="99">
        <f t="shared" si="18"/>
        <v>80</v>
      </c>
      <c r="J47" s="181"/>
      <c r="K47" s="235"/>
      <c r="L47" s="83"/>
      <c r="M47" s="107">
        <v>0.69099999999999995</v>
      </c>
      <c r="O47" s="35">
        <f t="shared" si="14"/>
        <v>56</v>
      </c>
      <c r="Q47" s="25">
        <f t="shared" si="19"/>
        <v>2025</v>
      </c>
      <c r="R47" s="20">
        <f t="shared" si="15"/>
        <v>79</v>
      </c>
      <c r="S47" s="53">
        <f t="shared" si="23"/>
        <v>87</v>
      </c>
      <c r="T47" s="53">
        <f t="shared" si="23"/>
        <v>81</v>
      </c>
      <c r="U47" s="53">
        <f t="shared" si="23"/>
        <v>91</v>
      </c>
      <c r="V47" s="34">
        <f t="shared" si="21"/>
        <v>83</v>
      </c>
      <c r="W47" s="34">
        <f t="shared" si="22"/>
        <v>54</v>
      </c>
      <c r="X47" s="101">
        <f t="shared" si="16"/>
        <v>475</v>
      </c>
    </row>
    <row r="48" spans="1:27" x14ac:dyDescent="0.25">
      <c r="A48" s="25">
        <f t="shared" si="17"/>
        <v>2026</v>
      </c>
      <c r="B48" s="37">
        <f>B31+VLOOKUP($A$1,'Pri Housing Generation'!$A$96:$DQ$118, 66, FALSE)</f>
        <v>137</v>
      </c>
      <c r="C48" s="34">
        <f>C31+VLOOKUP($A$1,'Pri Housing Generation'!$A$96:$DQ$118, 67, FALSE)</f>
        <v>124</v>
      </c>
      <c r="D48" s="34">
        <f>D31+VLOOKUP($A$1,'Pri Housing Generation'!$A$96:$DQ$118, 68, FALSE)</f>
        <v>117</v>
      </c>
      <c r="E48" s="34">
        <f>E31+VLOOKUP($A$1,'Pri Housing Generation'!$A$96:$DQ$118, 69, FALSE)</f>
        <v>104</v>
      </c>
      <c r="F48" s="34">
        <f>F31+VLOOKUP($A$1,'Pri Housing Generation'!$A$96:$DQ$118, 70, FALSE)</f>
        <v>101</v>
      </c>
      <c r="G48" s="34">
        <f>G31+VLOOKUP($A$1,'Pri Housing Generation'!$A$96:$DQ$118, 71, FALSE)</f>
        <v>102</v>
      </c>
      <c r="H48" s="34">
        <f>H31+VLOOKUP($A$1,'Pri Housing Generation'!$A$96:$DQ$118, 72, FALSE)</f>
        <v>92</v>
      </c>
      <c r="I48" s="99">
        <f t="shared" si="18"/>
        <v>83</v>
      </c>
      <c r="J48" s="181"/>
      <c r="K48" s="83"/>
      <c r="L48" s="83"/>
      <c r="M48" s="107">
        <v>0.69099999999999995</v>
      </c>
      <c r="O48" s="35">
        <f t="shared" si="14"/>
        <v>58</v>
      </c>
      <c r="Q48" s="25">
        <f t="shared" si="19"/>
        <v>2026</v>
      </c>
      <c r="R48" s="20">
        <f t="shared" si="15"/>
        <v>81</v>
      </c>
      <c r="S48" s="53">
        <f t="shared" si="23"/>
        <v>79</v>
      </c>
      <c r="T48" s="53">
        <f t="shared" si="23"/>
        <v>87</v>
      </c>
      <c r="U48" s="53">
        <f t="shared" si="23"/>
        <v>81</v>
      </c>
      <c r="V48" s="34">
        <f t="shared" si="21"/>
        <v>83</v>
      </c>
      <c r="W48" s="34">
        <f t="shared" si="22"/>
        <v>59</v>
      </c>
      <c r="X48" s="101">
        <f t="shared" si="16"/>
        <v>470</v>
      </c>
    </row>
    <row r="49" spans="1:24" x14ac:dyDescent="0.25">
      <c r="A49" s="25">
        <f t="shared" si="17"/>
        <v>2027</v>
      </c>
      <c r="B49" s="37">
        <f>B32+VLOOKUP($A$1,'Pri Housing Generation'!$A$96:$DQ$118, 74, FALSE)</f>
        <v>139</v>
      </c>
      <c r="C49" s="34">
        <f>C32+VLOOKUP($A$1,'Pri Housing Generation'!$A$96:$DQ$118, 75, FALSE)</f>
        <v>126</v>
      </c>
      <c r="D49" s="34">
        <f>D32+VLOOKUP($A$1,'Pri Housing Generation'!$A$96:$DQ$118, 76, FALSE)</f>
        <v>118</v>
      </c>
      <c r="E49" s="34">
        <f>E32+VLOOKUP($A$1,'Pri Housing Generation'!$A$96:$DQ$118, 77, FALSE)</f>
        <v>106</v>
      </c>
      <c r="F49" s="34">
        <f>F32+VLOOKUP($A$1,'Pri Housing Generation'!$A$96:$DQ$118, 78, FALSE)</f>
        <v>105</v>
      </c>
      <c r="G49" s="34">
        <f>G32+VLOOKUP($A$1,'Pri Housing Generation'!$A$96:$DQ$118, 79, FALSE)</f>
        <v>97</v>
      </c>
      <c r="H49" s="34">
        <f>H32+VLOOKUP($A$1,'Pri Housing Generation'!$A$96:$DQ$118, 80, FALSE)</f>
        <v>92</v>
      </c>
      <c r="I49" s="99">
        <f t="shared" si="18"/>
        <v>83</v>
      </c>
      <c r="J49" s="181"/>
      <c r="K49" s="83"/>
      <c r="L49" s="83"/>
      <c r="M49" s="107">
        <v>0.69099999999999995</v>
      </c>
      <c r="O49" s="35">
        <f t="shared" si="14"/>
        <v>58</v>
      </c>
      <c r="Q49" s="25">
        <f t="shared" si="19"/>
        <v>2027</v>
      </c>
      <c r="R49" s="20">
        <f t="shared" si="15"/>
        <v>81</v>
      </c>
      <c r="S49" s="53">
        <f t="shared" si="23"/>
        <v>81</v>
      </c>
      <c r="T49" s="53">
        <f t="shared" si="23"/>
        <v>79</v>
      </c>
      <c r="U49" s="53">
        <f t="shared" si="23"/>
        <v>87</v>
      </c>
      <c r="V49" s="34">
        <f t="shared" si="21"/>
        <v>74</v>
      </c>
      <c r="W49" s="34">
        <f t="shared" si="22"/>
        <v>59</v>
      </c>
      <c r="X49" s="101">
        <f t="shared" si="16"/>
        <v>461</v>
      </c>
    </row>
    <row r="50" spans="1:24" x14ac:dyDescent="0.25">
      <c r="A50" s="25">
        <f t="shared" si="17"/>
        <v>2028</v>
      </c>
      <c r="B50" s="37">
        <f>B33+VLOOKUP($A$1,'Pri Housing Generation'!$A$96:$DQ$118, 82, FALSE)</f>
        <v>139</v>
      </c>
      <c r="C50" s="34">
        <f>C33+VLOOKUP($A$1,'Pri Housing Generation'!$A$96:$DQ$118, 83, FALSE)</f>
        <v>127</v>
      </c>
      <c r="D50" s="34">
        <f>D33+VLOOKUP($A$1,'Pri Housing Generation'!$A$96:$DQ$118, 84, FALSE)</f>
        <v>119</v>
      </c>
      <c r="E50" s="34">
        <f>E33+VLOOKUP($A$1,'Pri Housing Generation'!$A$96:$DQ$118, 85, FALSE)</f>
        <v>107</v>
      </c>
      <c r="F50" s="34">
        <f>F33+VLOOKUP($A$1,'Pri Housing Generation'!$A$96:$DQ$118, 86, FALSE)</f>
        <v>107</v>
      </c>
      <c r="G50" s="34">
        <f>G33+VLOOKUP($A$1,'Pri Housing Generation'!$A$96:$DQ$118, 87, FALSE)</f>
        <v>101</v>
      </c>
      <c r="H50" s="34">
        <f>H33+VLOOKUP($A$1,'Pri Housing Generation'!$A$96:$DQ$118, 88, FALSE)</f>
        <v>87</v>
      </c>
      <c r="I50" s="99">
        <f t="shared" si="18"/>
        <v>83</v>
      </c>
      <c r="J50" s="181"/>
      <c r="K50" s="83"/>
      <c r="L50" s="83"/>
      <c r="M50" s="107">
        <v>0.69099999999999995</v>
      </c>
      <c r="O50" s="35">
        <f t="shared" si="14"/>
        <v>58</v>
      </c>
      <c r="Q50" s="25">
        <f t="shared" si="19"/>
        <v>2028</v>
      </c>
      <c r="R50" s="20">
        <f t="shared" si="15"/>
        <v>81</v>
      </c>
      <c r="S50" s="53">
        <f t="shared" si="23"/>
        <v>81</v>
      </c>
      <c r="T50" s="53">
        <f t="shared" si="23"/>
        <v>81</v>
      </c>
      <c r="U50" s="53">
        <f t="shared" si="23"/>
        <v>79</v>
      </c>
      <c r="V50" s="34">
        <f t="shared" si="21"/>
        <v>79</v>
      </c>
      <c r="W50" s="34">
        <f t="shared" si="22"/>
        <v>53</v>
      </c>
      <c r="X50" s="101">
        <f t="shared" si="16"/>
        <v>454</v>
      </c>
    </row>
    <row r="51" spans="1:24" x14ac:dyDescent="0.25">
      <c r="A51" s="25">
        <f t="shared" si="17"/>
        <v>2029</v>
      </c>
      <c r="B51" s="37">
        <f>B34+VLOOKUP($A$1,'Pri Housing Generation'!$A$96:$DQ$118, 90, FALSE)</f>
        <v>139</v>
      </c>
      <c r="C51" s="34">
        <f>C34+VLOOKUP($A$1,'Pri Housing Generation'!$A$96:$DQ$118, 91, FALSE)</f>
        <v>127</v>
      </c>
      <c r="D51" s="34">
        <f>D34+VLOOKUP($A$1,'Pri Housing Generation'!$A$96:$DQ$118, 92, FALSE)</f>
        <v>120</v>
      </c>
      <c r="E51" s="34">
        <f>E34+VLOOKUP($A$1,'Pri Housing Generation'!$A$96:$DQ$118, 93, FALSE)</f>
        <v>107</v>
      </c>
      <c r="F51" s="34">
        <f>F34+VLOOKUP($A$1,'Pri Housing Generation'!$A$96:$DQ$118, 94, FALSE)</f>
        <v>108</v>
      </c>
      <c r="G51" s="34">
        <f>G34+VLOOKUP($A$1,'Pri Housing Generation'!$A$96:$DQ$118, 95, FALSE)</f>
        <v>103</v>
      </c>
      <c r="H51" s="34">
        <f>H34+VLOOKUP($A$1,'Pri Housing Generation'!$A$96:$DQ$118, 96, FALSE)</f>
        <v>91</v>
      </c>
      <c r="I51" s="99">
        <f t="shared" si="18"/>
        <v>79</v>
      </c>
      <c r="J51" s="181"/>
      <c r="K51" s="83"/>
      <c r="L51" s="83"/>
      <c r="M51" s="107">
        <v>0.69099999999999995</v>
      </c>
      <c r="O51" s="35">
        <f t="shared" si="14"/>
        <v>55</v>
      </c>
      <c r="Q51" s="25">
        <f t="shared" si="19"/>
        <v>2029</v>
      </c>
      <c r="R51" s="20">
        <f t="shared" si="15"/>
        <v>78</v>
      </c>
      <c r="S51" s="53">
        <f t="shared" si="23"/>
        <v>81</v>
      </c>
      <c r="T51" s="53">
        <f t="shared" si="23"/>
        <v>81</v>
      </c>
      <c r="U51" s="53">
        <f t="shared" si="23"/>
        <v>81</v>
      </c>
      <c r="V51" s="34">
        <f t="shared" si="21"/>
        <v>72</v>
      </c>
      <c r="W51" s="34">
        <f t="shared" si="22"/>
        <v>56</v>
      </c>
      <c r="X51" s="101">
        <f t="shared" si="16"/>
        <v>449</v>
      </c>
    </row>
    <row r="52" spans="1:24" x14ac:dyDescent="0.25">
      <c r="A52" s="25">
        <f t="shared" si="17"/>
        <v>2030</v>
      </c>
      <c r="B52" s="37">
        <f>B35+VLOOKUP($A$1,'Pri Housing Generation'!$A$96:$DQ$118, 98, FALSE)</f>
        <v>140</v>
      </c>
      <c r="C52" s="34">
        <f>C35+VLOOKUP($A$1,'Pri Housing Generation'!$A$96:$DQ$118, 99, FALSE)</f>
        <v>127</v>
      </c>
      <c r="D52" s="34">
        <f>D35+VLOOKUP($A$1,'Pri Housing Generation'!$A$96:$DQ$118, 100, FALSE)</f>
        <v>120</v>
      </c>
      <c r="E52" s="34">
        <f>E35+VLOOKUP($A$1,'Pri Housing Generation'!$A$96:$DQ$118, 101, FALSE)</f>
        <v>108</v>
      </c>
      <c r="F52" s="34">
        <f>F35+VLOOKUP($A$1,'Pri Housing Generation'!$A$96:$DQ$118, 102, FALSE)</f>
        <v>108</v>
      </c>
      <c r="G52" s="34">
        <f>G35+VLOOKUP($A$1,'Pri Housing Generation'!$A$96:$DQ$118, 103, FALSE)</f>
        <v>104</v>
      </c>
      <c r="H52" s="34">
        <f>H35+VLOOKUP($A$1,'Pri Housing Generation'!$A$96:$DQ$118, 104, FALSE)</f>
        <v>93</v>
      </c>
      <c r="I52" s="99">
        <f t="shared" si="18"/>
        <v>82</v>
      </c>
      <c r="J52" s="54"/>
      <c r="K52" s="83"/>
      <c r="L52" s="83"/>
      <c r="M52" s="107">
        <v>0.69099999999999995</v>
      </c>
      <c r="O52" s="35">
        <f t="shared" si="14"/>
        <v>57</v>
      </c>
      <c r="Q52" s="25">
        <f t="shared" si="19"/>
        <v>2030</v>
      </c>
      <c r="R52" s="20">
        <f t="shared" si="15"/>
        <v>80</v>
      </c>
      <c r="S52" s="53">
        <f t="shared" si="23"/>
        <v>78</v>
      </c>
      <c r="T52" s="53">
        <f t="shared" si="23"/>
        <v>81</v>
      </c>
      <c r="U52" s="53">
        <f t="shared" si="23"/>
        <v>81</v>
      </c>
      <c r="V52" s="34">
        <f t="shared" si="21"/>
        <v>74</v>
      </c>
      <c r="W52" s="34">
        <f t="shared" si="22"/>
        <v>52</v>
      </c>
      <c r="X52" s="101">
        <f t="shared" si="16"/>
        <v>446</v>
      </c>
    </row>
    <row r="53" spans="1:24" x14ac:dyDescent="0.25">
      <c r="A53" s="25">
        <f t="shared" si="17"/>
        <v>2031</v>
      </c>
      <c r="B53" s="37">
        <f>B36+VLOOKUP($A$1,'Pri Housing Generation'!$A$96:$DQ$118, 106, FALSE)</f>
        <v>140</v>
      </c>
      <c r="C53" s="34">
        <f>C36+VLOOKUP($A$1,'Pri Housing Generation'!$A$96:$DQ$118, 107, FALSE)</f>
        <v>128</v>
      </c>
      <c r="D53" s="34">
        <f>D36+VLOOKUP($A$1,'Pri Housing Generation'!$A$96:$DQ$118, 108, FALSE)</f>
        <v>120</v>
      </c>
      <c r="E53" s="34">
        <f>E36+VLOOKUP($A$1,'Pri Housing Generation'!$A$96:$DQ$118, 109, FALSE)</f>
        <v>108</v>
      </c>
      <c r="F53" s="34">
        <f>F36+VLOOKUP($A$1,'Pri Housing Generation'!$A$96:$DQ$118, 110, FALSE)</f>
        <v>109</v>
      </c>
      <c r="G53" s="34">
        <f>G36+VLOOKUP($A$1,'Pri Housing Generation'!$A$96:$DQ$118, 111, FALSE)</f>
        <v>104</v>
      </c>
      <c r="H53" s="34">
        <f>H36+VLOOKUP($A$1,'Pri Housing Generation'!$A$96:$DQ$118, 112, FALSE)</f>
        <v>93</v>
      </c>
      <c r="I53" s="99">
        <f t="shared" si="18"/>
        <v>84</v>
      </c>
      <c r="J53" s="54"/>
      <c r="K53" s="83"/>
      <c r="L53" s="83"/>
      <c r="M53" s="107">
        <v>0.69099999999999995</v>
      </c>
      <c r="O53" s="35">
        <f t="shared" si="14"/>
        <v>59</v>
      </c>
      <c r="Q53" s="25">
        <f t="shared" si="19"/>
        <v>2031</v>
      </c>
      <c r="R53" s="20">
        <f t="shared" si="15"/>
        <v>82</v>
      </c>
      <c r="S53" s="53">
        <f t="shared" si="23"/>
        <v>80</v>
      </c>
      <c r="T53" s="53">
        <f t="shared" si="23"/>
        <v>78</v>
      </c>
      <c r="U53" s="53">
        <f t="shared" si="23"/>
        <v>81</v>
      </c>
      <c r="V53" s="34">
        <f t="shared" si="21"/>
        <v>74</v>
      </c>
      <c r="W53" s="34">
        <f t="shared" si="22"/>
        <v>53</v>
      </c>
      <c r="X53" s="101">
        <f t="shared" si="16"/>
        <v>448</v>
      </c>
    </row>
    <row r="54" spans="1:24" x14ac:dyDescent="0.25">
      <c r="A54" s="25">
        <f t="shared" si="17"/>
        <v>2032</v>
      </c>
      <c r="B54" s="37">
        <f>B37+VLOOKUP($A$1,'Pri Housing Generation'!$A$96:$DQ$118, 114, FALSE)</f>
        <v>140</v>
      </c>
      <c r="C54" s="34">
        <f>C37+VLOOKUP($A$1,'Pri Housing Generation'!$A$96:$DQ$118, 115, FALSE)</f>
        <v>128</v>
      </c>
      <c r="D54" s="34">
        <f>D37+VLOOKUP($A$1,'Pri Housing Generation'!$A$96:$DQ$118, 116, FALSE)</f>
        <v>121</v>
      </c>
      <c r="E54" s="34">
        <f>E37+VLOOKUP($A$1,'Pri Housing Generation'!$A$96:$DQ$118, 117, FALSE)</f>
        <v>108</v>
      </c>
      <c r="F54" s="34">
        <f>F37+VLOOKUP($A$1,'Pri Housing Generation'!$A$96:$DQ$118, 118, FALSE)</f>
        <v>109</v>
      </c>
      <c r="G54" s="34">
        <f>G37+VLOOKUP($A$1,'Pri Housing Generation'!$A$96:$DQ$118, 119, FALSE)</f>
        <v>105</v>
      </c>
      <c r="H54" s="34">
        <f>H37+VLOOKUP($A$1,'Pri Housing Generation'!$A$96:$DQ$118, 120, FALSE)</f>
        <v>93</v>
      </c>
      <c r="I54" s="99">
        <f t="shared" si="18"/>
        <v>84</v>
      </c>
      <c r="K54" s="83"/>
      <c r="L54" s="83"/>
      <c r="M54" s="107">
        <v>0.69099999999999995</v>
      </c>
      <c r="O54" s="35">
        <f t="shared" si="14"/>
        <v>59</v>
      </c>
      <c r="Q54" s="25">
        <f t="shared" si="19"/>
        <v>2032</v>
      </c>
      <c r="R54" s="20">
        <f t="shared" si="15"/>
        <v>82</v>
      </c>
      <c r="S54" s="53">
        <f t="shared" si="23"/>
        <v>82</v>
      </c>
      <c r="T54" s="53">
        <f t="shared" si="23"/>
        <v>80</v>
      </c>
      <c r="U54" s="53">
        <f t="shared" si="23"/>
        <v>78</v>
      </c>
      <c r="V54" s="34">
        <f t="shared" si="21"/>
        <v>74</v>
      </c>
      <c r="W54" s="34">
        <f t="shared" si="22"/>
        <v>53</v>
      </c>
      <c r="X54" s="101">
        <f t="shared" si="16"/>
        <v>449</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7" t="s">
        <v>225</v>
      </c>
      <c r="C60" s="413" t="s">
        <v>226</v>
      </c>
      <c r="D60" s="414"/>
      <c r="F60" s="132"/>
      <c r="G60" s="181"/>
      <c r="H60" s="130"/>
      <c r="I60" s="130"/>
      <c r="J60" s="130"/>
    </row>
    <row r="61" spans="1:24" x14ac:dyDescent="0.25">
      <c r="A61" s="25">
        <v>2011</v>
      </c>
      <c r="B61" s="128">
        <v>29</v>
      </c>
      <c r="C61" s="415">
        <f t="shared" ref="C61:C66" si="24">1-(I13/(I13+B61))</f>
        <v>0.31182795698924726</v>
      </c>
      <c r="D61" s="388"/>
      <c r="F61" s="133"/>
      <c r="G61" s="181"/>
      <c r="H61" s="54"/>
      <c r="I61" s="54"/>
      <c r="J61" s="54"/>
    </row>
    <row r="62" spans="1:24" x14ac:dyDescent="0.25">
      <c r="A62" s="25">
        <v>2012</v>
      </c>
      <c r="B62" s="128">
        <v>19</v>
      </c>
      <c r="C62" s="415">
        <f t="shared" si="24"/>
        <v>0.20652173913043481</v>
      </c>
      <c r="D62" s="388"/>
      <c r="F62" s="133"/>
      <c r="G62" s="181"/>
      <c r="H62" s="54"/>
      <c r="I62" s="54"/>
      <c r="J62" s="54"/>
      <c r="K62" s="181"/>
      <c r="N62" s="109"/>
      <c r="S62" s="82"/>
    </row>
    <row r="63" spans="1:24" x14ac:dyDescent="0.25">
      <c r="A63" s="25">
        <v>2013</v>
      </c>
      <c r="B63" s="128">
        <v>36</v>
      </c>
      <c r="C63" s="415">
        <f t="shared" si="24"/>
        <v>0.4285714285714286</v>
      </c>
      <c r="D63" s="388"/>
      <c r="F63" s="133"/>
      <c r="G63" s="181"/>
      <c r="H63" s="54"/>
      <c r="I63" s="54"/>
      <c r="J63" s="54"/>
      <c r="K63" s="181"/>
      <c r="N63" s="109"/>
      <c r="S63" s="82"/>
    </row>
    <row r="64" spans="1:24" x14ac:dyDescent="0.25">
      <c r="A64" s="25">
        <v>2014</v>
      </c>
      <c r="B64" s="128">
        <v>32</v>
      </c>
      <c r="C64" s="415">
        <f t="shared" si="24"/>
        <v>0.30769230769230771</v>
      </c>
      <c r="D64" s="388"/>
      <c r="F64" s="133"/>
      <c r="G64" s="181"/>
      <c r="H64" s="54"/>
      <c r="I64" s="54"/>
      <c r="J64" s="54"/>
      <c r="K64" s="181"/>
      <c r="N64" s="109"/>
      <c r="S64" s="82"/>
    </row>
    <row r="65" spans="1:19" x14ac:dyDescent="0.25">
      <c r="A65" s="25">
        <v>2015</v>
      </c>
      <c r="B65" s="128">
        <v>35</v>
      </c>
      <c r="C65" s="415">
        <f t="shared" si="24"/>
        <v>0.37234042553191493</v>
      </c>
      <c r="D65" s="388"/>
      <c r="F65" s="133"/>
      <c r="G65" s="181"/>
      <c r="H65" s="54"/>
      <c r="I65" s="54"/>
      <c r="J65" s="54"/>
      <c r="K65" s="181"/>
      <c r="N65" s="109"/>
      <c r="S65" s="82"/>
    </row>
    <row r="66" spans="1:19" x14ac:dyDescent="0.25">
      <c r="A66" s="25">
        <v>2016</v>
      </c>
      <c r="B66" s="128">
        <v>0</v>
      </c>
      <c r="C66" s="415">
        <f t="shared" si="24"/>
        <v>0</v>
      </c>
      <c r="D66" s="388"/>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A69" t="s">
        <v>331</v>
      </c>
      <c r="K69" s="54"/>
      <c r="N69" s="109"/>
      <c r="S69" s="82"/>
    </row>
    <row r="70" spans="1:19" x14ac:dyDescent="0.25">
      <c r="A70" t="s">
        <v>370</v>
      </c>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T19:U20"/>
    <mergeCell ref="K20:M20"/>
    <mergeCell ref="K14:L14"/>
    <mergeCell ref="K15:L15"/>
    <mergeCell ref="K39:K40"/>
    <mergeCell ref="M39:M40"/>
    <mergeCell ref="O39:O40"/>
    <mergeCell ref="C64:D64"/>
    <mergeCell ref="C65:D65"/>
    <mergeCell ref="C60:D60"/>
    <mergeCell ref="C61:D61"/>
    <mergeCell ref="C62:D62"/>
    <mergeCell ref="C63:D63"/>
    <mergeCell ref="K11:L13"/>
    <mergeCell ref="M11:M13"/>
    <mergeCell ref="O11:O13"/>
    <mergeCell ref="K18:L18"/>
    <mergeCell ref="A19:B20"/>
    <mergeCell ref="K19:M19"/>
    <mergeCell ref="K16:L16"/>
    <mergeCell ref="K17:L17"/>
  </mergeCells>
  <conditionalFormatting sqref="R41:R72">
    <cfRule type="cellIs" dxfId="33" priority="24" operator="greaterThan">
      <formula>$C$7</formula>
    </cfRule>
  </conditionalFormatting>
  <conditionalFormatting sqref="X41:X72">
    <cfRule type="cellIs" dxfId="32" priority="23"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A84"/>
  <sheetViews>
    <sheetView workbookViewId="0">
      <selection activeCell="K14" sqref="K14:L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314</v>
      </c>
    </row>
    <row r="2" spans="1:24" x14ac:dyDescent="0.25">
      <c r="A2" t="s">
        <v>400</v>
      </c>
    </row>
    <row r="4" spans="1:24" x14ac:dyDescent="0.25">
      <c r="A4" s="21" t="s">
        <v>192</v>
      </c>
    </row>
    <row r="5" spans="1:24" x14ac:dyDescent="0.25">
      <c r="A5" s="21"/>
    </row>
    <row r="6" spans="1:24" x14ac:dyDescent="0.25">
      <c r="A6" s="21" t="s">
        <v>193</v>
      </c>
      <c r="C6" s="100">
        <f>VLOOKUP(A1,'Projection Summary'!A5:C50,3,FALSE)</f>
        <v>1150</v>
      </c>
    </row>
    <row r="7" spans="1:24" x14ac:dyDescent="0.25">
      <c r="A7" s="21" t="s">
        <v>191</v>
      </c>
      <c r="B7" s="21"/>
      <c r="C7" s="100">
        <f>VLOOKUP(A1,'Projection Summary'!A5:C50,2,FALSE)</f>
        <v>220</v>
      </c>
    </row>
    <row r="9" spans="1:24" ht="15.75" x14ac:dyDescent="0.25">
      <c r="A9" s="129" t="s">
        <v>197</v>
      </c>
      <c r="R9" s="129" t="s">
        <v>198</v>
      </c>
      <c r="T9" s="173"/>
    </row>
    <row r="10" spans="1:24" x14ac:dyDescent="0.25">
      <c r="A10" s="21"/>
    </row>
    <row r="11" spans="1:24" x14ac:dyDescent="0.25">
      <c r="A11" s="21" t="s">
        <v>127</v>
      </c>
      <c r="K11" s="406" t="s">
        <v>137</v>
      </c>
      <c r="L11" s="407"/>
      <c r="M11" s="412" t="s">
        <v>139</v>
      </c>
      <c r="N11" s="49"/>
      <c r="O11" s="394" t="s">
        <v>136</v>
      </c>
      <c r="R11" s="21" t="s">
        <v>195</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242</v>
      </c>
      <c r="C13" s="19">
        <f>VLOOKUP($A$1,'Primary Catchment Analysis'!$A$3:$BE$25, 38, FALSE)</f>
        <v>277</v>
      </c>
      <c r="D13" s="27">
        <f>VLOOKUP($A$1,'Primary Catchment Analysis'!$A$3:$BE$25, 39, FALSE)</f>
        <v>285</v>
      </c>
      <c r="E13" s="27">
        <f>VLOOKUP($A$1,'Primary Catchment Analysis'!$A$3:$BE$25, 40, FALSE)</f>
        <v>222</v>
      </c>
      <c r="F13" s="27">
        <f>VLOOKUP($A$1,'Primary Catchment Analysis'!$A$3:$BE$25, 41, FALSE)</f>
        <v>193</v>
      </c>
      <c r="G13" s="33">
        <f>VLOOKUP($A$1,'Primary Catchment Analysis'!$A$3:$BE$25, 42, FALSE)</f>
        <v>216</v>
      </c>
      <c r="H13" s="28">
        <f>VLOOKUP($A$1,'Primary Catchment Analysis'!$A$3:$BE$25, 43, FALSE)</f>
        <v>196</v>
      </c>
      <c r="I13" s="28">
        <f>VLOOKUP($A$1,'S1 Catchment Analysis'!A3:I25, 7, FALSE)</f>
        <v>195</v>
      </c>
      <c r="J13" s="23"/>
      <c r="K13" s="410"/>
      <c r="L13" s="411"/>
      <c r="M13" s="399"/>
      <c r="N13" s="50"/>
      <c r="O13" s="399"/>
      <c r="P13" s="50"/>
      <c r="Q13" s="25">
        <f>A13</f>
        <v>2013</v>
      </c>
      <c r="R13" s="69">
        <f>VLOOKUP($A$1,'Secondary Rolls'!$A$3:$BE$25, 37, FALSE)</f>
        <v>198</v>
      </c>
      <c r="S13" s="53">
        <f>VLOOKUP($A$1,'Secondary Rolls'!$A$3:$BE$25, 38, FALSE)</f>
        <v>201</v>
      </c>
      <c r="T13" s="53">
        <f>VLOOKUP($A$1,'Secondary Rolls'!$A$3:$BE$25, 39, FALSE)</f>
        <v>196</v>
      </c>
      <c r="U13" s="122">
        <f>VLOOKUP($A$1,'Secondary Rolls'!$A$3:$BE$25, 40, FALSE)</f>
        <v>189</v>
      </c>
      <c r="V13" s="63">
        <f>VLOOKUP($A$1,'Secondary Rolls'!$A$3:$BE$25, 41, FALSE)</f>
        <v>173</v>
      </c>
      <c r="W13" s="53">
        <f>VLOOKUP($A$1,'Secondary Rolls'!$A$3:$BE$25, 42, FALSE)</f>
        <v>170</v>
      </c>
      <c r="X13" s="62">
        <f t="shared" ref="X13:X17" si="0">SUM(R13:W13)</f>
        <v>1127</v>
      </c>
    </row>
    <row r="14" spans="1:24" ht="15.75" thickBot="1" x14ac:dyDescent="0.3">
      <c r="A14" s="25">
        <f>VLOOKUP($A$12,'S1 Catchment Analysis'!A2:I2, 6, FALSE)</f>
        <v>2014</v>
      </c>
      <c r="B14" s="45">
        <f>VLOOKUP($A$1,'Primary Catchment Analysis'!$A$3:$BE$25, 30, FALSE)</f>
        <v>247</v>
      </c>
      <c r="C14" s="44">
        <f>VLOOKUP($A$1,'Primary Catchment Analysis'!$A$3:$BE$25, 31, FALSE)</f>
        <v>238</v>
      </c>
      <c r="D14" s="19">
        <f>VLOOKUP($A$1,'Primary Catchment Analysis'!$A$3:$BE$25, 32, FALSE)</f>
        <v>283</v>
      </c>
      <c r="E14" s="27">
        <f>VLOOKUP($A$1,'Primary Catchment Analysis'!$A$3:$BE$25, 33, FALSE)</f>
        <v>263</v>
      </c>
      <c r="F14" s="27">
        <f>VLOOKUP($A$1,'Primary Catchment Analysis'!$A$3:$BE$25, 34, FALSE)</f>
        <v>212</v>
      </c>
      <c r="G14" s="33">
        <f>VLOOKUP($A$1,'Primary Catchment Analysis'!$A$3:$BE$25, 35, FALSE)</f>
        <v>193</v>
      </c>
      <c r="H14" s="28">
        <f>VLOOKUP($A$1,'Primary Catchment Analysis'!$A$3:$BE$25, 36, FALSE)</f>
        <v>193</v>
      </c>
      <c r="I14" s="27">
        <f>VLOOKUP($A$1,'S1 Catchment Analysis'!A3:I25, 6, FALSE)</f>
        <v>186</v>
      </c>
      <c r="J14" s="23"/>
      <c r="K14" s="400">
        <f>VLOOKUP($A$1,'S1 Catchment Retained'!A2:I25, 6, FALSE)</f>
        <v>164</v>
      </c>
      <c r="L14" s="401"/>
      <c r="M14" s="110">
        <f t="shared" ref="M14:M18" si="1">(K14/I14)</f>
        <v>0.88172043010752688</v>
      </c>
      <c r="N14" s="50"/>
      <c r="O14" s="111">
        <f t="shared" ref="O14:O18" si="2">R14-K14</f>
        <v>29</v>
      </c>
      <c r="P14" s="50"/>
      <c r="Q14" s="25">
        <f t="shared" ref="Q14:Q18" si="3">A14</f>
        <v>2014</v>
      </c>
      <c r="R14" s="67">
        <f>VLOOKUP($A$1,'Secondary Rolls'!$A$3:$BE$25, 30, FALSE)</f>
        <v>193</v>
      </c>
      <c r="S14" s="69">
        <f>VLOOKUP($A$1,'Secondary Rolls'!$A$3:$BE$25, 31, FALSE)</f>
        <v>198</v>
      </c>
      <c r="T14" s="61">
        <f>VLOOKUP($A$1,'Secondary Rolls'!$A$3:$BE$25, 32, FALSE)</f>
        <v>197</v>
      </c>
      <c r="U14" s="61">
        <f>VLOOKUP($A$1,'Secondary Rolls'!$A$3:$BE$25, 33, FALSE)</f>
        <v>201</v>
      </c>
      <c r="V14" s="64">
        <f>VLOOKUP($A$1,'Secondary Rolls'!$A$3:$BE$25, 34, FALSE)</f>
        <v>167</v>
      </c>
      <c r="W14" s="116">
        <f>VLOOKUP($A$1,'Secondary Rolls'!$A$3:$BE$25, 35, FALSE)</f>
        <v>134</v>
      </c>
      <c r="X14" s="62">
        <f t="shared" si="0"/>
        <v>1090</v>
      </c>
    </row>
    <row r="15" spans="1:24" ht="15.75" thickBot="1" x14ac:dyDescent="0.3">
      <c r="A15" s="25">
        <f>VLOOKUP($A$12,'S1 Catchment Analysis'!A2:I2, 5, FALSE)</f>
        <v>2015</v>
      </c>
      <c r="B15" s="19">
        <f>VLOOKUP($A$1,'Primary Catchment Analysis'!$A$3:$BE$25, 23, FALSE)</f>
        <v>260</v>
      </c>
      <c r="C15" s="45">
        <f>VLOOKUP($A$1,'Primary Catchment Analysis'!$A$3:$BE$25, 24, FALSE)</f>
        <v>254</v>
      </c>
      <c r="D15" s="44">
        <f>VLOOKUP($A$1,'Primary Catchment Analysis'!$A$3:$BE$25, 25, FALSE)</f>
        <v>234</v>
      </c>
      <c r="E15" s="19">
        <f>VLOOKUP($A$1,'Primary Catchment Analysis'!$A$3:$BE$25, 26, FALSE)</f>
        <v>279</v>
      </c>
      <c r="F15" s="27">
        <f>VLOOKUP($A$1,'Primary Catchment Analysis'!$A$3:$BE$25, 27, FALSE)</f>
        <v>264</v>
      </c>
      <c r="G15" s="33">
        <f>VLOOKUP($A$1,'Primary Catchment Analysis'!$A$3:$BE$25, 28, FALSE)</f>
        <v>200</v>
      </c>
      <c r="H15" s="30">
        <f>VLOOKUP($A$1,'Primary Catchment Analysis'!$A$3:$BE$25, 29, FALSE)</f>
        <v>171</v>
      </c>
      <c r="I15" s="29">
        <f>VLOOKUP($A$1,'S1 Catchment Analysis'!A3:I25, 5, FALSE)</f>
        <v>177</v>
      </c>
      <c r="J15" s="23"/>
      <c r="K15" s="400">
        <f>VLOOKUP($A$1,'S1 Catchment Retained'!A2:I25, 5, FALSE)</f>
        <v>168</v>
      </c>
      <c r="L15" s="401"/>
      <c r="M15" s="110">
        <f t="shared" si="1"/>
        <v>0.94915254237288138</v>
      </c>
      <c r="N15" s="50"/>
      <c r="O15" s="111">
        <f t="shared" si="2"/>
        <v>32</v>
      </c>
      <c r="P15" s="50"/>
      <c r="Q15" s="25">
        <f t="shared" si="3"/>
        <v>2015</v>
      </c>
      <c r="R15" s="68">
        <f>VLOOKUP($A$1,'Secondary Rolls'!$A$3:$BE$25, 23, FALSE)</f>
        <v>200</v>
      </c>
      <c r="S15" s="67">
        <f>VLOOKUP($A$1,'Secondary Rolls'!$A$3:$BE$25, 24, FALSE)</f>
        <v>188</v>
      </c>
      <c r="T15" s="71">
        <f>VLOOKUP($A$1,'Secondary Rolls'!$A$3:$BE$25, 25, FALSE)</f>
        <v>193</v>
      </c>
      <c r="U15" s="61">
        <f>VLOOKUP($A$1,'Secondary Rolls'!$A$3:$BE$25, 26, FALSE)</f>
        <v>196</v>
      </c>
      <c r="V15" s="123">
        <f>VLOOKUP($A$1,'Secondary Rolls'!$A$3:$BE$25, 27, FALSE)</f>
        <v>181</v>
      </c>
      <c r="W15" s="64">
        <f>VLOOKUP($A$1,'Secondary Rolls'!$A$3:$BE$25, 28, FALSE)</f>
        <v>127</v>
      </c>
      <c r="X15" s="62">
        <f t="shared" si="0"/>
        <v>1085</v>
      </c>
    </row>
    <row r="16" spans="1:24" ht="15.75" thickBot="1" x14ac:dyDescent="0.3">
      <c r="A16" s="25">
        <f>VLOOKUP($A$12,'S1 Catchment Analysis'!A2:I2, 4, FALSE)</f>
        <v>2016</v>
      </c>
      <c r="B16" s="44">
        <f>VLOOKUP($A$1,'Primary Catchment Analysis'!$A$3:$BE$25, 16, FALSE)</f>
        <v>267</v>
      </c>
      <c r="C16" s="19">
        <f>VLOOKUP($A$1,'Primary Catchment Analysis'!$A$3:$BE$25, 17, FALSE)</f>
        <v>263</v>
      </c>
      <c r="D16" s="45">
        <f>VLOOKUP($A$1,'Primary Catchment Analysis'!$A$3:$BE$25, 18, FALSE)</f>
        <v>250</v>
      </c>
      <c r="E16" s="44">
        <f>VLOOKUP($A$1,'Primary Catchment Analysis'!$A$3:$BE$25, 19, FALSE)</f>
        <v>229</v>
      </c>
      <c r="F16" s="19">
        <f>VLOOKUP($A$1,'Primary Catchment Analysis'!$A$3:$BE$25, 20, FALSE)</f>
        <v>274</v>
      </c>
      <c r="G16" s="33">
        <f>VLOOKUP($A$1,'Primary Catchment Analysis'!$A$3:$BE$25, 21, FALSE)</f>
        <v>253</v>
      </c>
      <c r="H16" s="112">
        <f>VLOOKUP($A$1,'Primary Catchment Analysis'!$A$3:$BE$25, 22, FALSE)</f>
        <v>189</v>
      </c>
      <c r="I16" s="30">
        <f>VLOOKUP($A$1,'S1 Catchment Analysis'!A3:I25, 4, FALSE)</f>
        <v>176</v>
      </c>
      <c r="J16" s="23"/>
      <c r="K16" s="400">
        <f>VLOOKUP($A$1,'S1 Catchment Retained'!A2:I25, 4, FALSE)</f>
        <v>159</v>
      </c>
      <c r="L16" s="401"/>
      <c r="M16" s="56">
        <f t="shared" si="1"/>
        <v>0.90340909090909094</v>
      </c>
      <c r="N16" s="50"/>
      <c r="O16" s="103">
        <f t="shared" si="2"/>
        <v>50</v>
      </c>
      <c r="P16" s="50"/>
      <c r="Q16" s="25">
        <f t="shared" si="3"/>
        <v>2016</v>
      </c>
      <c r="R16" s="69">
        <f>VLOOKUP($A$1,'Secondary Rolls'!$A$3:$BE$25, 16, FALSE)</f>
        <v>209</v>
      </c>
      <c r="S16" s="68">
        <f>VLOOKUP($A$1,'Secondary Rolls'!$A$3:$BE$25, 17, FALSE)</f>
        <v>200</v>
      </c>
      <c r="T16" s="70">
        <f>VLOOKUP($A$1,'Secondary Rolls'!$A$3:$BE$25, 18, FALSE)</f>
        <v>191</v>
      </c>
      <c r="U16" s="71">
        <f>VLOOKUP($A$1,'Secondary Rolls'!$A$3:$BE$25, 19, FALSE)</f>
        <v>203</v>
      </c>
      <c r="V16" s="66">
        <f>VLOOKUP($A$1,'Secondary Rolls'!$A$3:$BE$25, 20, FALSE)</f>
        <v>185</v>
      </c>
      <c r="W16" s="65">
        <f>VLOOKUP($A$1,'Secondary Rolls'!$A$3:$BE$25, 21, FALSE)</f>
        <v>142</v>
      </c>
      <c r="X16" s="62">
        <f t="shared" si="0"/>
        <v>1130</v>
      </c>
    </row>
    <row r="17" spans="1:27" ht="15.75" thickBot="1" x14ac:dyDescent="0.3">
      <c r="A17" s="258">
        <f>VLOOKUP($A$12,'S1 Catchment Analysis'!A2:I2, 3, FALSE)</f>
        <v>2017</v>
      </c>
      <c r="B17" s="259">
        <f>VLOOKUP($A$1,'Primary Catchment Analysis'!$A$3:$BE$25, 9, FALSE)</f>
        <v>245</v>
      </c>
      <c r="C17" s="260">
        <f>VLOOKUP($A$1,'Primary Catchment Analysis'!$A$3:$BE$25, 10, FALSE)</f>
        <v>251</v>
      </c>
      <c r="D17" s="261">
        <f>VLOOKUP($A$1,'Primary Catchment Analysis'!$A$3:$BE$25, 11, FALSE)</f>
        <v>253</v>
      </c>
      <c r="E17" s="259">
        <f>VLOOKUP($A$1,'Primary Catchment Analysis'!$A$3:$BE$25, 12, FALSE)</f>
        <v>240</v>
      </c>
      <c r="F17" s="260">
        <f>VLOOKUP($A$1,'Primary Catchment Analysis'!$A$3:$BE$25, 13, FALSE)</f>
        <v>220</v>
      </c>
      <c r="G17" s="262">
        <f>VLOOKUP($A$1,'Primary Catchment Analysis'!$A$3:$BE$25, 14, FALSE)</f>
        <v>270</v>
      </c>
      <c r="H17" s="113">
        <f>VLOOKUP($A$1,'Primary Catchment Analysis'!$A$3:$BE$25, 15, FALSE)</f>
        <v>225</v>
      </c>
      <c r="I17" s="31">
        <f>VLOOKUP($A$1,'S1 Catchment Analysis'!A3:I25, 3, FALSE)</f>
        <v>171</v>
      </c>
      <c r="J17" s="23"/>
      <c r="K17" s="402">
        <f>VLOOKUP($A$1,'S1 Catchment Retained'!A2:I25, 3, FALSE)</f>
        <v>163</v>
      </c>
      <c r="L17" s="403"/>
      <c r="M17" s="57">
        <f t="shared" si="1"/>
        <v>0.95321637426900585</v>
      </c>
      <c r="N17" s="50"/>
      <c r="O17" s="104">
        <f t="shared" si="2"/>
        <v>50</v>
      </c>
      <c r="P17" s="50"/>
      <c r="Q17" s="25">
        <f t="shared" si="3"/>
        <v>2017</v>
      </c>
      <c r="R17" s="264">
        <f>VLOOKUP($A$1,'Secondary Rolls'!$A$3:$BE$25, 9, FALSE)</f>
        <v>213</v>
      </c>
      <c r="S17" s="265">
        <f>VLOOKUP($A$1,'Secondary Rolls'!$A$3:$BE$25, 10, FALSE)</f>
        <v>212</v>
      </c>
      <c r="T17" s="266">
        <f>VLOOKUP($A$1,'Secondary Rolls'!$A$3:$BE$25, 11, FALSE)</f>
        <v>202</v>
      </c>
      <c r="U17" s="270">
        <f>VLOOKUP($A$1,'Secondary Rolls'!$A$3:$BE$25, 12, FALSE)</f>
        <v>194</v>
      </c>
      <c r="V17" s="271">
        <f>VLOOKUP($A$1,'Secondary Rolls'!$A$3:$BE$25, 13, FALSE)</f>
        <v>194</v>
      </c>
      <c r="W17" s="272">
        <f>VLOOKUP($A$1,'Secondary Rolls'!$A$3:$BE$25, 14, FALSE)</f>
        <v>137</v>
      </c>
      <c r="X17" s="116">
        <f t="shared" si="0"/>
        <v>1152</v>
      </c>
    </row>
    <row r="18" spans="1:27" ht="15.75" thickBot="1" x14ac:dyDescent="0.3">
      <c r="A18" s="25">
        <f>VLOOKUP($A$12,'S1 Catchment Analysis'!A2:I2, 2, FALSE)</f>
        <v>2018</v>
      </c>
      <c r="B18" s="19">
        <f>VLOOKUP($A$1,'Primary Catchment Analysis'!$A$3:$BE$25, 2, FALSE)</f>
        <v>250</v>
      </c>
      <c r="C18" s="45">
        <f>VLOOKUP($A$1,'Primary Catchment Analysis'!$A$3:$BE$25, 3, FALSE)</f>
        <v>250</v>
      </c>
      <c r="D18" s="44">
        <f>VLOOKUP($A$1,'Primary Catchment Analysis'!$A$3:$BE$25, 4, FALSE)</f>
        <v>244</v>
      </c>
      <c r="E18" s="19">
        <f>VLOOKUP($A$1,'Primary Catchment Analysis'!$A$3:$BE$25, 5, FALSE)</f>
        <v>247</v>
      </c>
      <c r="F18" s="45">
        <f>VLOOKUP($A$1,'Primary Catchment Analysis'!$A$3:$BE$25, 6, FALSE)</f>
        <v>227</v>
      </c>
      <c r="G18" s="273">
        <f>VLOOKUP($A$1,'Primary Catchment Analysis'!$A$3:$BE$25, 7, FALSE)</f>
        <v>212</v>
      </c>
      <c r="H18" s="274">
        <f>VLOOKUP($A$1,'Primary Catchment Analysis'!$A$3:$BE$25, 8, FALSE)</f>
        <v>260</v>
      </c>
      <c r="I18" s="32">
        <f>VLOOKUP($A$1,'S1 Catchment Analysis'!A3:I25, 2, FALSE)</f>
        <v>206</v>
      </c>
      <c r="J18" s="23"/>
      <c r="K18" s="392">
        <f>VLOOKUP($A$1,'S1 Catchment Retained'!A2:I25, 2, FALSE)</f>
        <v>199</v>
      </c>
      <c r="L18" s="393"/>
      <c r="M18" s="58">
        <f t="shared" si="1"/>
        <v>0.96601941747572817</v>
      </c>
      <c r="N18" s="50"/>
      <c r="O18" s="105">
        <f t="shared" si="2"/>
        <v>18</v>
      </c>
      <c r="P18" s="50"/>
      <c r="Q18" s="25">
        <f t="shared" si="3"/>
        <v>2018</v>
      </c>
      <c r="R18" s="68">
        <f>VLOOKUP($A$1,'Secondary Rolls'!$A$3:$BE$25, 2, FALSE)</f>
        <v>217</v>
      </c>
      <c r="S18" s="67">
        <f>VLOOKUP($A$1,'Secondary Rolls'!$A$3:$BE$25, 3, FALSE)</f>
        <v>216</v>
      </c>
      <c r="T18" s="69">
        <f>VLOOKUP($A$1,'Secondary Rolls'!$A$3:$BE$25, 4, FALSE)</f>
        <v>211</v>
      </c>
      <c r="U18" s="68">
        <f>VLOOKUP($A$1,'Secondary Rolls'!$A$3:$BE$25, 5, FALSE)</f>
        <v>211</v>
      </c>
      <c r="V18" s="67">
        <f>VLOOKUP($A$1,'Secondary Rolls'!$A$3:$BE$25, 6, FALSE)</f>
        <v>179</v>
      </c>
      <c r="W18" s="69">
        <f>VLOOKUP($A$1,'Secondary Rolls'!$A$3:$BE$25, 7, FALSE)</f>
        <v>155</v>
      </c>
      <c r="X18" s="53">
        <f t="shared" ref="X18" si="4">SUM(R18:W18)</f>
        <v>1189</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0" t="s">
        <v>211</v>
      </c>
      <c r="P19" s="117"/>
      <c r="Q19" s="131"/>
      <c r="R19" s="131"/>
      <c r="T19" s="386" t="s">
        <v>212</v>
      </c>
      <c r="U19" s="387"/>
      <c r="V19" s="118" t="s">
        <v>140</v>
      </c>
      <c r="W19" s="119" t="s">
        <v>141</v>
      </c>
    </row>
    <row r="20" spans="1:27" x14ac:dyDescent="0.25">
      <c r="A20" s="388"/>
      <c r="B20" s="388"/>
      <c r="C20" s="40">
        <f>AVERAGE(((B15-C16)/B15),((B16-C17)/B16),((B17-C18)/B17))</f>
        <v>9.326156276397048E-3</v>
      </c>
      <c r="D20" s="40">
        <f t="shared" ref="D20:I20" si="5">AVERAGE(((C15-D16)/C15),((C16-D17)/C16),((C17-D18)/C17))</f>
        <v>2.7219763799805119E-2</v>
      </c>
      <c r="E20" s="40">
        <f t="shared" si="5"/>
        <v>2.8360978795761407E-2</v>
      </c>
      <c r="F20" s="40">
        <f t="shared" si="5"/>
        <v>3.7129707887913269E-2</v>
      </c>
      <c r="G20" s="40">
        <f t="shared" si="5"/>
        <v>3.0876281058762809E-2</v>
      </c>
      <c r="H20" s="40">
        <f t="shared" si="5"/>
        <v>6.7569657931976765E-2</v>
      </c>
      <c r="I20" s="40">
        <f t="shared" si="5"/>
        <v>5.0147591200222774E-2</v>
      </c>
      <c r="K20" s="389">
        <f>AVERAGE(M16:M18)</f>
        <v>0.94088162755127502</v>
      </c>
      <c r="L20" s="390"/>
      <c r="M20" s="391"/>
      <c r="O20" s="51">
        <f>ROUNDUP((AVERAGE(O16:O18)),0)</f>
        <v>40</v>
      </c>
      <c r="T20" s="388"/>
      <c r="U20" s="388"/>
      <c r="V20" s="40">
        <f>AVERAGE(((U15-V16)/U15),((U16-V17)/U16),((U17-V18)/U17))</f>
        <v>5.9259003992638649E-2</v>
      </c>
      <c r="W20" s="40">
        <f>AVERAGE(((V15-W16)/V15),((V16-W17)/V16),((V17-W18)/V17))</f>
        <v>0.2253200001847265</v>
      </c>
    </row>
    <row r="21" spans="1:27" x14ac:dyDescent="0.25">
      <c r="A21" s="21"/>
      <c r="K21" s="59"/>
      <c r="L21" s="59"/>
    </row>
    <row r="22" spans="1:27" x14ac:dyDescent="0.25">
      <c r="A22" s="21" t="s">
        <v>194</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Projections'!C31+'P1 Catchment Projections'!C32+'P1 Catchment Projections'!C33+'P1 Catchment Projections'!C34+'P1 Catchment Projections'!C35</f>
        <v>237</v>
      </c>
      <c r="C24" s="34">
        <f>ROUNDUP((B18-(B18*$C$20)),0)</f>
        <v>248</v>
      </c>
      <c r="D24" s="42">
        <f>ROUNDUP((C18-(C18*$D$20)),0)</f>
        <v>244</v>
      </c>
      <c r="E24" s="43">
        <f>ROUNDUP((D18-(D18*$E$20)),0)</f>
        <v>238</v>
      </c>
      <c r="F24" s="41">
        <f>ROUNDUP((E18-(E18*$F$20)),0)</f>
        <v>238</v>
      </c>
      <c r="G24" s="42">
        <f>ROUNDUP((F18-(F18*$G$20)),0)</f>
        <v>220</v>
      </c>
      <c r="H24" s="43">
        <f>ROUNDUP((G18-(G18*$H$20)),0)</f>
        <v>198</v>
      </c>
      <c r="I24" s="99">
        <f>ROUNDUP((H18-(H18*$I$20)),0)</f>
        <v>247</v>
      </c>
      <c r="J24" s="23"/>
      <c r="K24" s="59"/>
      <c r="L24" s="59"/>
      <c r="Z24" s="109"/>
      <c r="AA24" s="109"/>
    </row>
    <row r="25" spans="1:27" x14ac:dyDescent="0.25">
      <c r="A25" s="25">
        <f>A24+1</f>
        <v>2020</v>
      </c>
      <c r="B25" s="37">
        <f>'P1 Catchment Projections'!D31+'P1 Catchment Projections'!D32+'P1 Catchment Projections'!D33+'P1 Catchment Projections'!D34+'P1 Catchment Projections'!D35</f>
        <v>232</v>
      </c>
      <c r="C25" s="34">
        <f t="shared" ref="C25:C37" si="6">ROUNDUP((B24-(B24*$C$20)),0)</f>
        <v>235</v>
      </c>
      <c r="D25" s="34">
        <f t="shared" ref="D25:D37" si="7">ROUNDUP((C24-(C24*$D$20)),0)</f>
        <v>242</v>
      </c>
      <c r="E25" s="42">
        <f t="shared" ref="E25:E37" si="8">ROUNDUP((D24-(D24*$E$20)),0)</f>
        <v>238</v>
      </c>
      <c r="F25" s="43">
        <f t="shared" ref="F25:F37" si="9">ROUNDUP((E24-(E24*$F$20)),0)</f>
        <v>230</v>
      </c>
      <c r="G25" s="41">
        <f t="shared" ref="G25:G37" si="10">ROUNDUP((F24-(F24*$G$20)),0)</f>
        <v>231</v>
      </c>
      <c r="H25" s="42">
        <f t="shared" ref="H25:H37" si="11">ROUNDUP((G24-(G24*$H$20)),0)</f>
        <v>206</v>
      </c>
      <c r="I25" s="99">
        <f t="shared" ref="I25:I37" si="12">ROUNDUP((H24-(H24*$I$20)),0)</f>
        <v>189</v>
      </c>
      <c r="J25" s="23"/>
      <c r="K25" s="59"/>
      <c r="L25" s="59"/>
      <c r="Z25" s="109"/>
      <c r="AA25" s="109"/>
    </row>
    <row r="26" spans="1:27" x14ac:dyDescent="0.25">
      <c r="A26" s="25">
        <f>A25+1</f>
        <v>2021</v>
      </c>
      <c r="B26" s="37">
        <f>'P1 Catchment Projections'!E31+'P1 Catchment Projections'!E32+'P1 Catchment Projections'!E33+'P1 Catchment Projections'!E34+'P1 Catchment Projections'!E35</f>
        <v>261</v>
      </c>
      <c r="C26" s="34">
        <f t="shared" si="6"/>
        <v>230</v>
      </c>
      <c r="D26" s="34">
        <f t="shared" si="7"/>
        <v>229</v>
      </c>
      <c r="E26" s="34">
        <f t="shared" si="8"/>
        <v>236</v>
      </c>
      <c r="F26" s="42">
        <f t="shared" si="9"/>
        <v>230</v>
      </c>
      <c r="G26" s="43">
        <f t="shared" si="10"/>
        <v>223</v>
      </c>
      <c r="H26" s="41">
        <f t="shared" si="11"/>
        <v>216</v>
      </c>
      <c r="I26" s="99">
        <f t="shared" si="12"/>
        <v>196</v>
      </c>
      <c r="J26" s="23"/>
      <c r="K26" s="59"/>
      <c r="L26" s="59"/>
      <c r="Z26" s="109"/>
      <c r="AA26" s="109"/>
    </row>
    <row r="27" spans="1:27" x14ac:dyDescent="0.25">
      <c r="A27" s="25">
        <f>A26+1</f>
        <v>2022</v>
      </c>
      <c r="B27" s="37">
        <f>'P1 Catchment Projections'!F31+'P1 Catchment Projections'!F32+'P1 Catchment Projections'!F33+'P1 Catchment Projections'!F34+'P1 Catchment Projections'!F35</f>
        <v>208</v>
      </c>
      <c r="C27" s="34">
        <f t="shared" si="6"/>
        <v>259</v>
      </c>
      <c r="D27" s="34">
        <f t="shared" si="7"/>
        <v>224</v>
      </c>
      <c r="E27" s="34">
        <f t="shared" si="8"/>
        <v>223</v>
      </c>
      <c r="F27" s="34">
        <f t="shared" si="9"/>
        <v>228</v>
      </c>
      <c r="G27" s="42">
        <f t="shared" si="10"/>
        <v>223</v>
      </c>
      <c r="H27" s="43">
        <f t="shared" si="11"/>
        <v>208</v>
      </c>
      <c r="I27" s="99">
        <f t="shared" si="12"/>
        <v>206</v>
      </c>
      <c r="J27" s="23"/>
      <c r="K27" s="59"/>
      <c r="L27" s="59"/>
      <c r="Z27" s="109"/>
      <c r="AA27" s="109"/>
    </row>
    <row r="28" spans="1:27" x14ac:dyDescent="0.25">
      <c r="A28" s="25">
        <f t="shared" ref="A28:A37" si="13">A27+1</f>
        <v>2023</v>
      </c>
      <c r="B28" s="37">
        <f>'P1 Catchment Projections'!G31+'P1 Catchment Projections'!G32+'P1 Catchment Projections'!G33+'P1 Catchment Projections'!G34+'P1 Catchment Projections'!G35</f>
        <v>236</v>
      </c>
      <c r="C28" s="34">
        <f t="shared" si="6"/>
        <v>207</v>
      </c>
      <c r="D28" s="34">
        <f t="shared" si="7"/>
        <v>252</v>
      </c>
      <c r="E28" s="34">
        <f t="shared" si="8"/>
        <v>218</v>
      </c>
      <c r="F28" s="34">
        <f t="shared" si="9"/>
        <v>215</v>
      </c>
      <c r="G28" s="34">
        <f t="shared" si="10"/>
        <v>221</v>
      </c>
      <c r="H28" s="42">
        <f t="shared" si="11"/>
        <v>208</v>
      </c>
      <c r="I28" s="99">
        <f t="shared" si="12"/>
        <v>198</v>
      </c>
      <c r="J28" s="23"/>
      <c r="K28" s="59"/>
      <c r="L28" s="59"/>
      <c r="Z28" s="109"/>
      <c r="AA28" s="109"/>
    </row>
    <row r="29" spans="1:27" x14ac:dyDescent="0.25">
      <c r="A29" s="25">
        <f t="shared" si="13"/>
        <v>2024</v>
      </c>
      <c r="B29" s="37">
        <f>'P1 Catchment Projections'!H31+'P1 Catchment Projections'!H32+'P1 Catchment Projections'!H33+'P1 Catchment Projections'!H34+'P1 Catchment Projections'!H35</f>
        <v>240</v>
      </c>
      <c r="C29" s="34">
        <f t="shared" si="6"/>
        <v>234</v>
      </c>
      <c r="D29" s="34">
        <f t="shared" si="7"/>
        <v>202</v>
      </c>
      <c r="E29" s="34">
        <f t="shared" si="8"/>
        <v>245</v>
      </c>
      <c r="F29" s="34">
        <f t="shared" si="9"/>
        <v>210</v>
      </c>
      <c r="G29" s="34">
        <f t="shared" si="10"/>
        <v>209</v>
      </c>
      <c r="H29" s="34">
        <f t="shared" si="11"/>
        <v>207</v>
      </c>
      <c r="I29" s="99">
        <f t="shared" si="12"/>
        <v>198</v>
      </c>
      <c r="K29" s="59"/>
      <c r="L29" s="59"/>
      <c r="Z29" s="109"/>
      <c r="AA29" s="109"/>
    </row>
    <row r="30" spans="1:27" x14ac:dyDescent="0.25">
      <c r="A30" s="25">
        <f t="shared" si="13"/>
        <v>2025</v>
      </c>
      <c r="B30" s="37">
        <f>'P1 Catchment Projections'!I31+'P1 Catchment Projections'!I32+'P1 Catchment Projections'!I33+'P1 Catchment Projections'!I34+'P1 Catchment Projections'!I35</f>
        <v>243</v>
      </c>
      <c r="C30" s="34">
        <f t="shared" si="6"/>
        <v>238</v>
      </c>
      <c r="D30" s="34">
        <f t="shared" si="7"/>
        <v>228</v>
      </c>
      <c r="E30" s="34">
        <f t="shared" si="8"/>
        <v>197</v>
      </c>
      <c r="F30" s="34">
        <f t="shared" si="9"/>
        <v>236</v>
      </c>
      <c r="G30" s="34">
        <f t="shared" si="10"/>
        <v>204</v>
      </c>
      <c r="H30" s="34">
        <f t="shared" si="11"/>
        <v>195</v>
      </c>
      <c r="I30" s="99">
        <f t="shared" si="12"/>
        <v>197</v>
      </c>
      <c r="K30" s="59"/>
      <c r="L30" s="59"/>
      <c r="Z30" s="109"/>
      <c r="AA30" s="109"/>
    </row>
    <row r="31" spans="1:27" x14ac:dyDescent="0.25">
      <c r="A31" s="25">
        <f t="shared" si="13"/>
        <v>2026</v>
      </c>
      <c r="B31" s="37">
        <f>'P1 Catchment Projections'!J31+'P1 Catchment Projections'!J32+'P1 Catchment Projections'!J33+'P1 Catchment Projections'!J34+'P1 Catchment Projections'!J35</f>
        <v>245</v>
      </c>
      <c r="C31" s="34">
        <f t="shared" si="6"/>
        <v>241</v>
      </c>
      <c r="D31" s="34">
        <f t="shared" si="7"/>
        <v>232</v>
      </c>
      <c r="E31" s="34">
        <f t="shared" si="8"/>
        <v>222</v>
      </c>
      <c r="F31" s="34">
        <f t="shared" si="9"/>
        <v>190</v>
      </c>
      <c r="G31" s="34">
        <f t="shared" si="10"/>
        <v>229</v>
      </c>
      <c r="H31" s="34">
        <f t="shared" si="11"/>
        <v>191</v>
      </c>
      <c r="I31" s="99">
        <f t="shared" si="12"/>
        <v>186</v>
      </c>
      <c r="K31" s="59"/>
      <c r="L31" s="59"/>
      <c r="Z31" s="109"/>
      <c r="AA31" s="109"/>
    </row>
    <row r="32" spans="1:27" x14ac:dyDescent="0.25">
      <c r="A32" s="25">
        <f t="shared" si="13"/>
        <v>2027</v>
      </c>
      <c r="B32" s="37">
        <f>'P1 Catchment Projections'!K31+'P1 Catchment Projections'!K32+'P1 Catchment Projections'!K33+'P1 Catchment Projections'!K34+'P1 Catchment Projections'!K35</f>
        <v>246</v>
      </c>
      <c r="C32" s="34">
        <f t="shared" si="6"/>
        <v>243</v>
      </c>
      <c r="D32" s="34">
        <f t="shared" si="7"/>
        <v>235</v>
      </c>
      <c r="E32" s="34">
        <f t="shared" si="8"/>
        <v>226</v>
      </c>
      <c r="F32" s="34">
        <f t="shared" si="9"/>
        <v>214</v>
      </c>
      <c r="G32" s="34">
        <f t="shared" si="10"/>
        <v>185</v>
      </c>
      <c r="H32" s="34">
        <f t="shared" si="11"/>
        <v>214</v>
      </c>
      <c r="I32" s="99">
        <f t="shared" si="12"/>
        <v>182</v>
      </c>
      <c r="K32" s="59"/>
      <c r="L32" s="59"/>
      <c r="Z32" s="109"/>
      <c r="AA32" s="109"/>
    </row>
    <row r="33" spans="1:27" x14ac:dyDescent="0.25">
      <c r="A33" s="25">
        <f t="shared" si="13"/>
        <v>2028</v>
      </c>
      <c r="B33" s="37">
        <f>'P1 Catchment Projections'!L31+'P1 Catchment Projections'!L32+'P1 Catchment Projections'!L33+'P1 Catchment Projections'!L34+'P1 Catchment Projections'!L35</f>
        <v>248</v>
      </c>
      <c r="C33" s="34">
        <f t="shared" si="6"/>
        <v>244</v>
      </c>
      <c r="D33" s="34">
        <f t="shared" si="7"/>
        <v>237</v>
      </c>
      <c r="E33" s="34">
        <f t="shared" si="8"/>
        <v>229</v>
      </c>
      <c r="F33" s="34">
        <f t="shared" si="9"/>
        <v>218</v>
      </c>
      <c r="G33" s="34">
        <f t="shared" si="10"/>
        <v>208</v>
      </c>
      <c r="H33" s="34">
        <f t="shared" si="11"/>
        <v>173</v>
      </c>
      <c r="I33" s="99">
        <f t="shared" si="12"/>
        <v>204</v>
      </c>
      <c r="K33" s="59"/>
      <c r="L33" s="59"/>
    </row>
    <row r="34" spans="1:27" x14ac:dyDescent="0.25">
      <c r="A34" s="25">
        <f t="shared" si="13"/>
        <v>2029</v>
      </c>
      <c r="B34" s="37">
        <f>'P1 Catchment Projections'!M31+'P1 Catchment Projections'!M32+'P1 Catchment Projections'!M33+'P1 Catchment Projections'!M34+'P1 Catchment Projections'!M35</f>
        <v>248</v>
      </c>
      <c r="C34" s="34">
        <f t="shared" si="6"/>
        <v>246</v>
      </c>
      <c r="D34" s="34">
        <f t="shared" si="7"/>
        <v>238</v>
      </c>
      <c r="E34" s="34">
        <f t="shared" si="8"/>
        <v>231</v>
      </c>
      <c r="F34" s="34">
        <f t="shared" si="9"/>
        <v>221</v>
      </c>
      <c r="G34" s="34">
        <f t="shared" si="10"/>
        <v>212</v>
      </c>
      <c r="H34" s="34">
        <f t="shared" si="11"/>
        <v>194</v>
      </c>
      <c r="I34" s="99">
        <f t="shared" si="12"/>
        <v>165</v>
      </c>
      <c r="K34" s="59"/>
      <c r="L34" s="59"/>
      <c r="Z34" s="109"/>
      <c r="AA34" s="109"/>
    </row>
    <row r="35" spans="1:27" x14ac:dyDescent="0.25">
      <c r="A35" s="25">
        <f t="shared" si="13"/>
        <v>2030</v>
      </c>
      <c r="B35" s="37">
        <f>'P1 Catchment Projections'!N31+'P1 Catchment Projections'!N32+'P1 Catchment Projections'!N33+'P1 Catchment Projections'!N34+'P1 Catchment Projections'!N35</f>
        <v>249</v>
      </c>
      <c r="C35" s="34">
        <f t="shared" si="6"/>
        <v>246</v>
      </c>
      <c r="D35" s="34">
        <f t="shared" si="7"/>
        <v>240</v>
      </c>
      <c r="E35" s="34">
        <f t="shared" si="8"/>
        <v>232</v>
      </c>
      <c r="F35" s="34">
        <f t="shared" si="9"/>
        <v>223</v>
      </c>
      <c r="G35" s="34">
        <f t="shared" si="10"/>
        <v>215</v>
      </c>
      <c r="H35" s="34">
        <f t="shared" si="11"/>
        <v>198</v>
      </c>
      <c r="I35" s="99">
        <f t="shared" si="12"/>
        <v>185</v>
      </c>
      <c r="K35" s="59"/>
      <c r="L35" s="59"/>
      <c r="Z35" s="109"/>
      <c r="AA35" s="109"/>
    </row>
    <row r="36" spans="1:27" x14ac:dyDescent="0.25">
      <c r="A36" s="25">
        <f t="shared" si="13"/>
        <v>2031</v>
      </c>
      <c r="B36" s="37">
        <f>'P1 Catchment Projections'!O31+'P1 Catchment Projections'!O32+'P1 Catchment Projections'!O33+'P1 Catchment Projections'!O34+'P1 Catchment Projections'!O35</f>
        <v>249</v>
      </c>
      <c r="C36" s="34">
        <f t="shared" si="6"/>
        <v>247</v>
      </c>
      <c r="D36" s="34">
        <f t="shared" si="7"/>
        <v>240</v>
      </c>
      <c r="E36" s="34">
        <f t="shared" si="8"/>
        <v>234</v>
      </c>
      <c r="F36" s="34">
        <f t="shared" si="9"/>
        <v>224</v>
      </c>
      <c r="G36" s="34">
        <f t="shared" si="10"/>
        <v>217</v>
      </c>
      <c r="H36" s="34">
        <f t="shared" si="11"/>
        <v>201</v>
      </c>
      <c r="I36" s="99">
        <f t="shared" si="12"/>
        <v>189</v>
      </c>
      <c r="K36" s="59"/>
      <c r="L36" s="59"/>
      <c r="Z36" s="109"/>
      <c r="AA36" s="109"/>
    </row>
    <row r="37" spans="1:27" x14ac:dyDescent="0.25">
      <c r="A37" s="25">
        <f t="shared" si="13"/>
        <v>2032</v>
      </c>
      <c r="B37" s="37">
        <f>'P1 Catchment Projections'!P31+'P1 Catchment Projections'!P32+'P1 Catchment Projections'!P33+'P1 Catchment Projections'!P34+'P1 Catchment Projections'!P35</f>
        <v>249</v>
      </c>
      <c r="C37" s="34">
        <f t="shared" si="6"/>
        <v>247</v>
      </c>
      <c r="D37" s="34">
        <f t="shared" si="7"/>
        <v>241</v>
      </c>
      <c r="E37" s="34">
        <f t="shared" si="8"/>
        <v>234</v>
      </c>
      <c r="F37" s="34">
        <f t="shared" si="9"/>
        <v>226</v>
      </c>
      <c r="G37" s="34">
        <f t="shared" si="10"/>
        <v>218</v>
      </c>
      <c r="H37" s="34">
        <f t="shared" si="11"/>
        <v>203</v>
      </c>
      <c r="I37" s="99">
        <f t="shared" si="12"/>
        <v>191</v>
      </c>
      <c r="K37" s="59"/>
      <c r="L37" s="59"/>
      <c r="Z37" s="109"/>
      <c r="AA37" s="109"/>
    </row>
    <row r="38" spans="1:27" x14ac:dyDescent="0.25">
      <c r="K38" s="59"/>
      <c r="L38" s="59"/>
    </row>
    <row r="39" spans="1:27" x14ac:dyDescent="0.25">
      <c r="A39" s="21" t="s">
        <v>200</v>
      </c>
      <c r="K39" s="394" t="s">
        <v>190</v>
      </c>
      <c r="L39" s="55"/>
      <c r="M39" s="394" t="s">
        <v>203</v>
      </c>
      <c r="N39" s="106"/>
      <c r="O39" s="395" t="s">
        <v>204</v>
      </c>
      <c r="R39" s="21" t="s">
        <v>196</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238</v>
      </c>
      <c r="C41" s="34">
        <f>C24+VLOOKUP($A$1,'Pri Housing Generation'!$A$96:$DQ$118, 11, FALSE)</f>
        <v>249</v>
      </c>
      <c r="D41" s="42">
        <f>D24+VLOOKUP($A$1,'Pri Housing Generation'!$A$96:$DQ$118, 12, FALSE)</f>
        <v>244</v>
      </c>
      <c r="E41" s="43">
        <f>E24+VLOOKUP($A$1,'Pri Housing Generation'!$A$96:$DQ$118, 13, FALSE)</f>
        <v>238</v>
      </c>
      <c r="F41" s="41">
        <f>F24+VLOOKUP($A$1,'Pri Housing Generation'!$A$96:$DQ$118, 14, FALSE)</f>
        <v>238</v>
      </c>
      <c r="G41" s="42">
        <f>G24+VLOOKUP($A$1,'Pri Housing Generation'!$A$96:$DQ$118, 15, FALSE)</f>
        <v>220</v>
      </c>
      <c r="H41" s="43">
        <f>H24+VLOOKUP($A$1,'Pri Housing Generation'!$A$96:$DQ$118, 16, FALSE)</f>
        <v>198</v>
      </c>
      <c r="I41" s="99">
        <f>ROUNDUP((H18-(H18*$I$20)),0)</f>
        <v>247</v>
      </c>
      <c r="K41" s="35">
        <f>'Sec Housing Generation'!I11</f>
        <v>1</v>
      </c>
      <c r="L41" s="83"/>
      <c r="M41" s="107">
        <f t="shared" ref="M41:M54" si="14">$K$20</f>
        <v>0.94088162755127502</v>
      </c>
      <c r="O41" s="35">
        <f t="shared" ref="O41:O54" si="15">ROUNDUP(((I41+K41)*M41),0)</f>
        <v>234</v>
      </c>
      <c r="Q41" s="25">
        <f>A41</f>
        <v>2019</v>
      </c>
      <c r="R41" s="20">
        <f t="shared" ref="R41:R54" si="16">IF(O41&lt;$C$7,(IF((O41+$O$20)&gt;$C$7,$C$7,(O41+$O$20))),(IF((O41+$O$20)&lt;(CEILING((O41),20)),(O41+$O$20),(CEILING((O41),20)))))</f>
        <v>240</v>
      </c>
      <c r="S41" s="53">
        <f>R18</f>
        <v>217</v>
      </c>
      <c r="T41" s="67">
        <f>S18</f>
        <v>216</v>
      </c>
      <c r="U41" s="69">
        <f>T18</f>
        <v>211</v>
      </c>
      <c r="V41" s="41">
        <f>ROUNDUP((U18-(U18*$V$20)),0)</f>
        <v>199</v>
      </c>
      <c r="W41" s="42">
        <f>ROUNDUP((V18-(V18*$W$20)),0)</f>
        <v>139</v>
      </c>
      <c r="X41" s="101">
        <f t="shared" ref="X41:X54" si="17">SUM(R41:W41)</f>
        <v>1222</v>
      </c>
    </row>
    <row r="42" spans="1:27" x14ac:dyDescent="0.25">
      <c r="A42" s="25">
        <f t="shared" ref="A42:A54" si="18">A25</f>
        <v>2020</v>
      </c>
      <c r="B42" s="37">
        <f>B25+VLOOKUP($A$1,'Pri Housing Generation'!$A$96:$DQ$118, 18, FALSE)</f>
        <v>234</v>
      </c>
      <c r="C42" s="34">
        <f>C25+VLOOKUP($A$1,'Pri Housing Generation'!$A$96:$DQ$118, 19, FALSE)</f>
        <v>237</v>
      </c>
      <c r="D42" s="34">
        <f>D25+VLOOKUP($A$1,'Pri Housing Generation'!$A$96:$DQ$118, 20, FALSE)</f>
        <v>242</v>
      </c>
      <c r="E42" s="42">
        <f>E25+VLOOKUP($A$1,'Pri Housing Generation'!$A$96:$DQ$118, 21, FALSE)</f>
        <v>238</v>
      </c>
      <c r="F42" s="43">
        <f>F25+VLOOKUP($A$1,'Pri Housing Generation'!$A$96:$DQ$118, 22, FALSE)</f>
        <v>230</v>
      </c>
      <c r="G42" s="41">
        <f>G25+VLOOKUP($A$1,'Pri Housing Generation'!$A$96:$DQ$118, 23, FALSE)</f>
        <v>231</v>
      </c>
      <c r="H42" s="42">
        <f>H25+VLOOKUP($A$1,'Pri Housing Generation'!$A$96:$DQ$118, 24, FALSE)</f>
        <v>206</v>
      </c>
      <c r="I42" s="99">
        <f t="shared" ref="I42:I54" si="19">ROUNDUP((H41-(H41*$I$20)),0)</f>
        <v>189</v>
      </c>
      <c r="K42" s="35">
        <f>'Sec Housing Generation'!P11</f>
        <v>1</v>
      </c>
      <c r="L42" s="83"/>
      <c r="M42" s="107">
        <f t="shared" si="14"/>
        <v>0.94088162755127502</v>
      </c>
      <c r="O42" s="35">
        <f t="shared" si="15"/>
        <v>179</v>
      </c>
      <c r="Q42" s="25">
        <f t="shared" ref="Q42:Q54" si="20">A42</f>
        <v>2020</v>
      </c>
      <c r="R42" s="20">
        <f t="shared" si="16"/>
        <v>219</v>
      </c>
      <c r="S42" s="53">
        <f t="shared" ref="S42:U42" si="21">R41</f>
        <v>240</v>
      </c>
      <c r="T42" s="53">
        <f t="shared" si="21"/>
        <v>217</v>
      </c>
      <c r="U42" s="67">
        <f t="shared" si="21"/>
        <v>216</v>
      </c>
      <c r="V42" s="43">
        <f t="shared" ref="V42:V54" si="22">ROUNDUP((U41-(U41*$V$20)),0)</f>
        <v>199</v>
      </c>
      <c r="W42" s="41">
        <f t="shared" ref="W42:W54" si="23">ROUNDUP((V41-(V41*$W$20)),0)</f>
        <v>155</v>
      </c>
      <c r="X42" s="101">
        <f t="shared" si="17"/>
        <v>1246</v>
      </c>
    </row>
    <row r="43" spans="1:27" x14ac:dyDescent="0.25">
      <c r="A43" s="25">
        <f t="shared" si="18"/>
        <v>2021</v>
      </c>
      <c r="B43" s="37">
        <f>B26+VLOOKUP($A$1,'Pri Housing Generation'!$A$96:$DQ$118, 26, FALSE)</f>
        <v>263</v>
      </c>
      <c r="C43" s="34">
        <f>C26+VLOOKUP($A$1,'Pri Housing Generation'!$A$96:$DQ$118, 27, FALSE)</f>
        <v>232</v>
      </c>
      <c r="D43" s="34">
        <f>D26+VLOOKUP($A$1,'Pri Housing Generation'!$A$96:$DQ$118, 28, FALSE)</f>
        <v>229</v>
      </c>
      <c r="E43" s="34">
        <f>E26+VLOOKUP($A$1,'Pri Housing Generation'!$A$96:$DQ$118, 29, FALSE)</f>
        <v>236</v>
      </c>
      <c r="F43" s="42">
        <f>F26+VLOOKUP($A$1,'Pri Housing Generation'!$A$96:$DQ$118, 30, FALSE)</f>
        <v>230</v>
      </c>
      <c r="G43" s="43">
        <f>G26+VLOOKUP($A$1,'Pri Housing Generation'!$A$96:$DQ$118, 31, FALSE)</f>
        <v>223</v>
      </c>
      <c r="H43" s="41">
        <f>H26+VLOOKUP($A$1,'Pri Housing Generation'!$A$96:$DQ$118, 32, FALSE)</f>
        <v>216</v>
      </c>
      <c r="I43" s="99">
        <f t="shared" si="19"/>
        <v>196</v>
      </c>
      <c r="K43" s="35">
        <f>'Sec Housing Generation'!W11</f>
        <v>1</v>
      </c>
      <c r="L43" s="83"/>
      <c r="M43" s="107">
        <f t="shared" si="14"/>
        <v>0.94088162755127502</v>
      </c>
      <c r="O43" s="35">
        <f t="shared" si="15"/>
        <v>186</v>
      </c>
      <c r="Q43" s="25">
        <f t="shared" si="20"/>
        <v>2021</v>
      </c>
      <c r="R43" s="20">
        <f t="shared" si="16"/>
        <v>220</v>
      </c>
      <c r="S43" s="53">
        <f t="shared" ref="S43:U54" si="24">R42</f>
        <v>219</v>
      </c>
      <c r="T43" s="53">
        <f t="shared" si="24"/>
        <v>240</v>
      </c>
      <c r="U43" s="53">
        <f t="shared" si="24"/>
        <v>217</v>
      </c>
      <c r="V43" s="42">
        <f t="shared" si="22"/>
        <v>204</v>
      </c>
      <c r="W43" s="43">
        <f t="shared" si="23"/>
        <v>155</v>
      </c>
      <c r="X43" s="101">
        <f t="shared" si="17"/>
        <v>1255</v>
      </c>
    </row>
    <row r="44" spans="1:27" x14ac:dyDescent="0.25">
      <c r="A44" s="25">
        <f t="shared" si="18"/>
        <v>2022</v>
      </c>
      <c r="B44" s="37">
        <f>B27+VLOOKUP($A$1,'Pri Housing Generation'!$A$96:$DQ$118, 34, FALSE)</f>
        <v>210</v>
      </c>
      <c r="C44" s="34">
        <f>C27+VLOOKUP($A$1,'Pri Housing Generation'!$A$96:$DQ$118, 35, FALSE)</f>
        <v>261</v>
      </c>
      <c r="D44" s="34">
        <f>D27+VLOOKUP($A$1,'Pri Housing Generation'!$A$96:$DQ$118, 36, FALSE)</f>
        <v>224</v>
      </c>
      <c r="E44" s="34">
        <f>E27+VLOOKUP($A$1,'Pri Housing Generation'!$A$96:$DQ$118, 37, FALSE)</f>
        <v>223</v>
      </c>
      <c r="F44" s="34">
        <f>F27+VLOOKUP($A$1,'Pri Housing Generation'!$A$96:$DQ$118, 38, FALSE)</f>
        <v>228</v>
      </c>
      <c r="G44" s="42">
        <f>G27+VLOOKUP($A$1,'Pri Housing Generation'!$A$96:$DQ$118, 39, FALSE)</f>
        <v>223</v>
      </c>
      <c r="H44" s="43">
        <f>H27+VLOOKUP($A$1,'Pri Housing Generation'!$A$96:$DQ$118, 40, FALSE)</f>
        <v>208</v>
      </c>
      <c r="I44" s="99">
        <f t="shared" si="19"/>
        <v>206</v>
      </c>
      <c r="K44" s="35">
        <f>'Sec Housing Generation'!AD11</f>
        <v>1</v>
      </c>
      <c r="L44" s="83"/>
      <c r="M44" s="107">
        <f t="shared" si="14"/>
        <v>0.94088162755127502</v>
      </c>
      <c r="O44" s="35">
        <f t="shared" si="15"/>
        <v>195</v>
      </c>
      <c r="Q44" s="25">
        <f t="shared" si="20"/>
        <v>2022</v>
      </c>
      <c r="R44" s="20">
        <f t="shared" si="16"/>
        <v>220</v>
      </c>
      <c r="S44" s="53">
        <f t="shared" si="24"/>
        <v>220</v>
      </c>
      <c r="T44" s="53">
        <f t="shared" si="24"/>
        <v>219</v>
      </c>
      <c r="U44" s="53">
        <f t="shared" si="24"/>
        <v>240</v>
      </c>
      <c r="V44" s="34">
        <f t="shared" si="22"/>
        <v>205</v>
      </c>
      <c r="W44" s="42">
        <f t="shared" si="23"/>
        <v>159</v>
      </c>
      <c r="X44" s="101">
        <f t="shared" si="17"/>
        <v>1263</v>
      </c>
    </row>
    <row r="45" spans="1:27" x14ac:dyDescent="0.25">
      <c r="A45" s="25">
        <f t="shared" si="18"/>
        <v>2023</v>
      </c>
      <c r="B45" s="37">
        <f>B28+VLOOKUP($A$1,'Pri Housing Generation'!$A$96:$DQ$118, 42, FALSE)</f>
        <v>238</v>
      </c>
      <c r="C45" s="34">
        <f>C28+VLOOKUP($A$1,'Pri Housing Generation'!$A$96:$DQ$118, 43, FALSE)</f>
        <v>209</v>
      </c>
      <c r="D45" s="34">
        <f>D28+VLOOKUP($A$1,'Pri Housing Generation'!$A$96:$DQ$118, 44, FALSE)</f>
        <v>252</v>
      </c>
      <c r="E45" s="34">
        <f>E28+VLOOKUP($A$1,'Pri Housing Generation'!$A$96:$DQ$118, 45, FALSE)</f>
        <v>218</v>
      </c>
      <c r="F45" s="34">
        <f>F28+VLOOKUP($A$1,'Pri Housing Generation'!$A$96:$DQ$118, 46, FALSE)</f>
        <v>215</v>
      </c>
      <c r="G45" s="34">
        <f>G28+VLOOKUP($A$1,'Pri Housing Generation'!$A$96:$DQ$118, 47, FALSE)</f>
        <v>221</v>
      </c>
      <c r="H45" s="42">
        <f>H28+VLOOKUP($A$1,'Pri Housing Generation'!$A$96:$DQ$118, 48, FALSE)</f>
        <v>208</v>
      </c>
      <c r="I45" s="99">
        <f t="shared" si="19"/>
        <v>198</v>
      </c>
      <c r="J45" s="181"/>
      <c r="K45" s="35">
        <f>'Sec Housing Generation'!AK11</f>
        <v>1</v>
      </c>
      <c r="L45" s="83"/>
      <c r="M45" s="107">
        <f t="shared" si="14"/>
        <v>0.94088162755127502</v>
      </c>
      <c r="O45" s="35">
        <f t="shared" si="15"/>
        <v>188</v>
      </c>
      <c r="Q45" s="25">
        <f t="shared" si="20"/>
        <v>2023</v>
      </c>
      <c r="R45" s="20">
        <f t="shared" si="16"/>
        <v>220</v>
      </c>
      <c r="S45" s="53">
        <f t="shared" si="24"/>
        <v>220</v>
      </c>
      <c r="T45" s="53">
        <f t="shared" si="24"/>
        <v>220</v>
      </c>
      <c r="U45" s="53">
        <f t="shared" si="24"/>
        <v>219</v>
      </c>
      <c r="V45" s="34">
        <f t="shared" si="22"/>
        <v>226</v>
      </c>
      <c r="W45" s="34">
        <f t="shared" si="23"/>
        <v>159</v>
      </c>
      <c r="X45" s="101">
        <f t="shared" si="17"/>
        <v>1264</v>
      </c>
    </row>
    <row r="46" spans="1:27" x14ac:dyDescent="0.25">
      <c r="A46" s="25">
        <f t="shared" si="18"/>
        <v>2024</v>
      </c>
      <c r="B46" s="37">
        <f>B29+VLOOKUP($A$1,'Pri Housing Generation'!$A$96:$DQ$118, 50, FALSE)</f>
        <v>243</v>
      </c>
      <c r="C46" s="34">
        <f>C29+VLOOKUP($A$1,'Pri Housing Generation'!$A$96:$DQ$118, 51, FALSE)</f>
        <v>237</v>
      </c>
      <c r="D46" s="34">
        <f>D29+VLOOKUP($A$1,'Pri Housing Generation'!$A$96:$DQ$118, 52, FALSE)</f>
        <v>203</v>
      </c>
      <c r="E46" s="34">
        <f>E29+VLOOKUP($A$1,'Pri Housing Generation'!$A$96:$DQ$118, 53, FALSE)</f>
        <v>245</v>
      </c>
      <c r="F46" s="34">
        <f>F29+VLOOKUP($A$1,'Pri Housing Generation'!$A$96:$DQ$118, 54, FALSE)</f>
        <v>210</v>
      </c>
      <c r="G46" s="34">
        <f>G29+VLOOKUP($A$1,'Pri Housing Generation'!$A$96:$DQ$118, 55, FALSE)</f>
        <v>209</v>
      </c>
      <c r="H46" s="34">
        <f>H29+VLOOKUP($A$1,'Pri Housing Generation'!$A$96:$DQ$118, 56, FALSE)</f>
        <v>207</v>
      </c>
      <c r="I46" s="99">
        <f t="shared" si="19"/>
        <v>198</v>
      </c>
      <c r="J46" s="181"/>
      <c r="K46" s="35">
        <f>'Sec Housing Generation'!AR11</f>
        <v>1</v>
      </c>
      <c r="L46" s="83"/>
      <c r="M46" s="107">
        <f>K20</f>
        <v>0.94088162755127502</v>
      </c>
      <c r="O46" s="35">
        <f t="shared" si="15"/>
        <v>188</v>
      </c>
      <c r="Q46" s="25">
        <f t="shared" si="20"/>
        <v>2024</v>
      </c>
      <c r="R46" s="20">
        <f t="shared" si="16"/>
        <v>220</v>
      </c>
      <c r="S46" s="53">
        <f t="shared" si="24"/>
        <v>220</v>
      </c>
      <c r="T46" s="53">
        <f t="shared" si="24"/>
        <v>220</v>
      </c>
      <c r="U46" s="53">
        <f t="shared" si="24"/>
        <v>220</v>
      </c>
      <c r="V46" s="34">
        <f t="shared" si="22"/>
        <v>207</v>
      </c>
      <c r="W46" s="34">
        <f t="shared" si="23"/>
        <v>176</v>
      </c>
      <c r="X46" s="101">
        <f t="shared" si="17"/>
        <v>1263</v>
      </c>
    </row>
    <row r="47" spans="1:27" x14ac:dyDescent="0.25">
      <c r="A47" s="25">
        <f t="shared" si="18"/>
        <v>2025</v>
      </c>
      <c r="B47" s="37">
        <f>B30+VLOOKUP($A$1,'Pri Housing Generation'!$A$96:$DQ$118, 58, FALSE)</f>
        <v>246</v>
      </c>
      <c r="C47" s="34">
        <f>C30+VLOOKUP($A$1,'Pri Housing Generation'!$A$96:$DQ$118, 59, FALSE)</f>
        <v>241</v>
      </c>
      <c r="D47" s="34">
        <f>D30+VLOOKUP($A$1,'Pri Housing Generation'!$A$96:$DQ$118, 60, FALSE)</f>
        <v>229</v>
      </c>
      <c r="E47" s="34">
        <f>E30+VLOOKUP($A$1,'Pri Housing Generation'!$A$96:$DQ$118, 61, FALSE)</f>
        <v>198</v>
      </c>
      <c r="F47" s="34">
        <f>F30+VLOOKUP($A$1,'Pri Housing Generation'!$A$96:$DQ$118, 62, FALSE)</f>
        <v>237</v>
      </c>
      <c r="G47" s="34">
        <f>G30+VLOOKUP($A$1,'Pri Housing Generation'!$A$96:$DQ$118, 63, FALSE)</f>
        <v>205</v>
      </c>
      <c r="H47" s="34">
        <f>H30+VLOOKUP($A$1,'Pri Housing Generation'!$A$96:$DQ$118, 64, FALSE)</f>
        <v>195</v>
      </c>
      <c r="I47" s="99">
        <f t="shared" si="19"/>
        <v>197</v>
      </c>
      <c r="J47" s="181"/>
      <c r="K47" s="235"/>
      <c r="L47" s="83"/>
      <c r="M47" s="107">
        <f t="shared" si="14"/>
        <v>0.94088162755127502</v>
      </c>
      <c r="O47" s="35">
        <f t="shared" si="15"/>
        <v>186</v>
      </c>
      <c r="Q47" s="25">
        <f t="shared" si="20"/>
        <v>2025</v>
      </c>
      <c r="R47" s="20">
        <f t="shared" si="16"/>
        <v>220</v>
      </c>
      <c r="S47" s="53">
        <f t="shared" si="24"/>
        <v>220</v>
      </c>
      <c r="T47" s="53">
        <f t="shared" si="24"/>
        <v>220</v>
      </c>
      <c r="U47" s="53">
        <f t="shared" si="24"/>
        <v>220</v>
      </c>
      <c r="V47" s="34">
        <f t="shared" si="22"/>
        <v>207</v>
      </c>
      <c r="W47" s="34">
        <f t="shared" si="23"/>
        <v>161</v>
      </c>
      <c r="X47" s="101">
        <f t="shared" si="17"/>
        <v>1248</v>
      </c>
    </row>
    <row r="48" spans="1:27" x14ac:dyDescent="0.25">
      <c r="A48" s="25">
        <f t="shared" si="18"/>
        <v>2026</v>
      </c>
      <c r="B48" s="37">
        <f>B31+VLOOKUP($A$1,'Pri Housing Generation'!$A$96:$DQ$118, 66, FALSE)</f>
        <v>248</v>
      </c>
      <c r="C48" s="34">
        <f>C31+VLOOKUP($A$1,'Pri Housing Generation'!$A$96:$DQ$118, 67, FALSE)</f>
        <v>244</v>
      </c>
      <c r="D48" s="34">
        <f>D31+VLOOKUP($A$1,'Pri Housing Generation'!$A$96:$DQ$118, 68, FALSE)</f>
        <v>233</v>
      </c>
      <c r="E48" s="34">
        <f>E31+VLOOKUP($A$1,'Pri Housing Generation'!$A$96:$DQ$118, 69, FALSE)</f>
        <v>223</v>
      </c>
      <c r="F48" s="34">
        <f>F31+VLOOKUP($A$1,'Pri Housing Generation'!$A$96:$DQ$118, 70, FALSE)</f>
        <v>191</v>
      </c>
      <c r="G48" s="34">
        <f>G31+VLOOKUP($A$1,'Pri Housing Generation'!$A$96:$DQ$118, 71, FALSE)</f>
        <v>230</v>
      </c>
      <c r="H48" s="34">
        <f>H31+VLOOKUP($A$1,'Pri Housing Generation'!$A$96:$DQ$118, 72, FALSE)</f>
        <v>191</v>
      </c>
      <c r="I48" s="99">
        <f t="shared" si="19"/>
        <v>186</v>
      </c>
      <c r="J48" s="181"/>
      <c r="K48" s="83"/>
      <c r="L48" s="83"/>
      <c r="M48" s="107">
        <f t="shared" si="14"/>
        <v>0.94088162755127502</v>
      </c>
      <c r="O48" s="35">
        <f t="shared" si="15"/>
        <v>176</v>
      </c>
      <c r="Q48" s="25">
        <f t="shared" si="20"/>
        <v>2026</v>
      </c>
      <c r="R48" s="20">
        <f t="shared" si="16"/>
        <v>216</v>
      </c>
      <c r="S48" s="53">
        <f t="shared" si="24"/>
        <v>220</v>
      </c>
      <c r="T48" s="53">
        <f t="shared" si="24"/>
        <v>220</v>
      </c>
      <c r="U48" s="53">
        <f t="shared" si="24"/>
        <v>220</v>
      </c>
      <c r="V48" s="34">
        <f t="shared" si="22"/>
        <v>207</v>
      </c>
      <c r="W48" s="34">
        <f t="shared" si="23"/>
        <v>161</v>
      </c>
      <c r="X48" s="101">
        <f t="shared" si="17"/>
        <v>1244</v>
      </c>
    </row>
    <row r="49" spans="1:24" x14ac:dyDescent="0.25">
      <c r="A49" s="25">
        <f t="shared" si="18"/>
        <v>2027</v>
      </c>
      <c r="B49" s="37">
        <f>B32+VLOOKUP($A$1,'Pri Housing Generation'!$A$96:$DQ$118, 74, FALSE)</f>
        <v>249</v>
      </c>
      <c r="C49" s="34">
        <f>C32+VLOOKUP($A$1,'Pri Housing Generation'!$A$96:$DQ$118, 75, FALSE)</f>
        <v>246</v>
      </c>
      <c r="D49" s="34">
        <f>D32+VLOOKUP($A$1,'Pri Housing Generation'!$A$96:$DQ$118, 76, FALSE)</f>
        <v>237</v>
      </c>
      <c r="E49" s="34">
        <f>E32+VLOOKUP($A$1,'Pri Housing Generation'!$A$96:$DQ$118, 77, FALSE)</f>
        <v>227</v>
      </c>
      <c r="F49" s="34">
        <f>F32+VLOOKUP($A$1,'Pri Housing Generation'!$A$96:$DQ$118, 78, FALSE)</f>
        <v>215</v>
      </c>
      <c r="G49" s="34">
        <f>G32+VLOOKUP($A$1,'Pri Housing Generation'!$A$96:$DQ$118, 79, FALSE)</f>
        <v>186</v>
      </c>
      <c r="H49" s="34">
        <f>H32+VLOOKUP($A$1,'Pri Housing Generation'!$A$96:$DQ$118, 80, FALSE)</f>
        <v>214</v>
      </c>
      <c r="I49" s="99">
        <f t="shared" si="19"/>
        <v>182</v>
      </c>
      <c r="J49" s="181"/>
      <c r="K49" s="83"/>
      <c r="L49" s="83"/>
      <c r="M49" s="107">
        <f t="shared" si="14"/>
        <v>0.94088162755127502</v>
      </c>
      <c r="O49" s="35">
        <f t="shared" si="15"/>
        <v>172</v>
      </c>
      <c r="Q49" s="25">
        <f t="shared" si="20"/>
        <v>2027</v>
      </c>
      <c r="R49" s="20">
        <f t="shared" si="16"/>
        <v>212</v>
      </c>
      <c r="S49" s="53">
        <f t="shared" si="24"/>
        <v>216</v>
      </c>
      <c r="T49" s="53">
        <f t="shared" si="24"/>
        <v>220</v>
      </c>
      <c r="U49" s="53">
        <f t="shared" si="24"/>
        <v>220</v>
      </c>
      <c r="V49" s="34">
        <f t="shared" si="22"/>
        <v>207</v>
      </c>
      <c r="W49" s="34">
        <f t="shared" si="23"/>
        <v>161</v>
      </c>
      <c r="X49" s="101">
        <f t="shared" si="17"/>
        <v>1236</v>
      </c>
    </row>
    <row r="50" spans="1:24" x14ac:dyDescent="0.25">
      <c r="A50" s="25">
        <f t="shared" si="18"/>
        <v>2028</v>
      </c>
      <c r="B50" s="37">
        <f>B33+VLOOKUP($A$1,'Pri Housing Generation'!$A$96:$DQ$118, 82, FALSE)</f>
        <v>251</v>
      </c>
      <c r="C50" s="34">
        <f>C33+VLOOKUP($A$1,'Pri Housing Generation'!$A$96:$DQ$118, 83, FALSE)</f>
        <v>247</v>
      </c>
      <c r="D50" s="34">
        <f>D33+VLOOKUP($A$1,'Pri Housing Generation'!$A$96:$DQ$118, 84, FALSE)</f>
        <v>239</v>
      </c>
      <c r="E50" s="34">
        <f>E33+VLOOKUP($A$1,'Pri Housing Generation'!$A$96:$DQ$118, 85, FALSE)</f>
        <v>230</v>
      </c>
      <c r="F50" s="34">
        <f>F33+VLOOKUP($A$1,'Pri Housing Generation'!$A$96:$DQ$118, 86, FALSE)</f>
        <v>219</v>
      </c>
      <c r="G50" s="34">
        <f>G33+VLOOKUP($A$1,'Pri Housing Generation'!$A$96:$DQ$118, 87, FALSE)</f>
        <v>209</v>
      </c>
      <c r="H50" s="34">
        <f>H33+VLOOKUP($A$1,'Pri Housing Generation'!$A$96:$DQ$118, 88, FALSE)</f>
        <v>173</v>
      </c>
      <c r="I50" s="99">
        <f t="shared" si="19"/>
        <v>204</v>
      </c>
      <c r="J50" s="181"/>
      <c r="K50" s="83"/>
      <c r="L50" s="83"/>
      <c r="M50" s="107">
        <f t="shared" si="14"/>
        <v>0.94088162755127502</v>
      </c>
      <c r="O50" s="35">
        <f t="shared" si="15"/>
        <v>192</v>
      </c>
      <c r="Q50" s="25">
        <f t="shared" si="20"/>
        <v>2028</v>
      </c>
      <c r="R50" s="20">
        <f t="shared" si="16"/>
        <v>220</v>
      </c>
      <c r="S50" s="53">
        <f t="shared" si="24"/>
        <v>212</v>
      </c>
      <c r="T50" s="53">
        <f t="shared" si="24"/>
        <v>216</v>
      </c>
      <c r="U50" s="53">
        <f t="shared" si="24"/>
        <v>220</v>
      </c>
      <c r="V50" s="34">
        <f t="shared" si="22"/>
        <v>207</v>
      </c>
      <c r="W50" s="34">
        <f t="shared" si="23"/>
        <v>161</v>
      </c>
      <c r="X50" s="101">
        <f t="shared" si="17"/>
        <v>1236</v>
      </c>
    </row>
    <row r="51" spans="1:24" x14ac:dyDescent="0.25">
      <c r="A51" s="25">
        <f t="shared" si="18"/>
        <v>2029</v>
      </c>
      <c r="B51" s="37">
        <f>B34+VLOOKUP($A$1,'Pri Housing Generation'!$A$96:$DQ$118, 90, FALSE)</f>
        <v>251</v>
      </c>
      <c r="C51" s="34">
        <f>C34+VLOOKUP($A$1,'Pri Housing Generation'!$A$96:$DQ$118, 91, FALSE)</f>
        <v>249</v>
      </c>
      <c r="D51" s="34">
        <f>D34+VLOOKUP($A$1,'Pri Housing Generation'!$A$96:$DQ$118, 92, FALSE)</f>
        <v>240</v>
      </c>
      <c r="E51" s="34">
        <f>E34+VLOOKUP($A$1,'Pri Housing Generation'!$A$96:$DQ$118, 93, FALSE)</f>
        <v>232</v>
      </c>
      <c r="F51" s="34">
        <f>F34+VLOOKUP($A$1,'Pri Housing Generation'!$A$96:$DQ$118, 94, FALSE)</f>
        <v>222</v>
      </c>
      <c r="G51" s="34">
        <f>G34+VLOOKUP($A$1,'Pri Housing Generation'!$A$96:$DQ$118, 95, FALSE)</f>
        <v>213</v>
      </c>
      <c r="H51" s="34">
        <f>H34+VLOOKUP($A$1,'Pri Housing Generation'!$A$96:$DQ$118, 96, FALSE)</f>
        <v>194</v>
      </c>
      <c r="I51" s="99">
        <f t="shared" si="19"/>
        <v>165</v>
      </c>
      <c r="J51" s="181"/>
      <c r="K51" s="83"/>
      <c r="L51" s="83"/>
      <c r="M51" s="107">
        <f t="shared" si="14"/>
        <v>0.94088162755127502</v>
      </c>
      <c r="O51" s="35">
        <f t="shared" si="15"/>
        <v>156</v>
      </c>
      <c r="Q51" s="25">
        <f t="shared" si="20"/>
        <v>2029</v>
      </c>
      <c r="R51" s="20">
        <f t="shared" si="16"/>
        <v>196</v>
      </c>
      <c r="S51" s="53">
        <f t="shared" si="24"/>
        <v>220</v>
      </c>
      <c r="T51" s="53">
        <f t="shared" si="24"/>
        <v>212</v>
      </c>
      <c r="U51" s="53">
        <f t="shared" si="24"/>
        <v>216</v>
      </c>
      <c r="V51" s="34">
        <f t="shared" si="22"/>
        <v>207</v>
      </c>
      <c r="W51" s="34">
        <f t="shared" si="23"/>
        <v>161</v>
      </c>
      <c r="X51" s="101">
        <f t="shared" si="17"/>
        <v>1212</v>
      </c>
    </row>
    <row r="52" spans="1:24" x14ac:dyDescent="0.25">
      <c r="A52" s="25">
        <f t="shared" si="18"/>
        <v>2030</v>
      </c>
      <c r="B52" s="37">
        <f>B35+VLOOKUP($A$1,'Pri Housing Generation'!$A$96:$DQ$118, 98, FALSE)</f>
        <v>252</v>
      </c>
      <c r="C52" s="34">
        <f>C35+VLOOKUP($A$1,'Pri Housing Generation'!$A$96:$DQ$118, 99, FALSE)</f>
        <v>249</v>
      </c>
      <c r="D52" s="34">
        <f>D35+VLOOKUP($A$1,'Pri Housing Generation'!$A$96:$DQ$118, 100, FALSE)</f>
        <v>242</v>
      </c>
      <c r="E52" s="34">
        <f>E35+VLOOKUP($A$1,'Pri Housing Generation'!$A$96:$DQ$118, 101, FALSE)</f>
        <v>233</v>
      </c>
      <c r="F52" s="34">
        <f>F35+VLOOKUP($A$1,'Pri Housing Generation'!$A$96:$DQ$118, 102, FALSE)</f>
        <v>224</v>
      </c>
      <c r="G52" s="34">
        <f>G35+VLOOKUP($A$1,'Pri Housing Generation'!$A$96:$DQ$118, 103, FALSE)</f>
        <v>216</v>
      </c>
      <c r="H52" s="34">
        <f>H35+VLOOKUP($A$1,'Pri Housing Generation'!$A$96:$DQ$118, 104, FALSE)</f>
        <v>198</v>
      </c>
      <c r="I52" s="99">
        <f t="shared" si="19"/>
        <v>185</v>
      </c>
      <c r="J52" s="54"/>
      <c r="K52" s="83"/>
      <c r="L52" s="83"/>
      <c r="M52" s="107">
        <f t="shared" si="14"/>
        <v>0.94088162755127502</v>
      </c>
      <c r="O52" s="35">
        <f t="shared" si="15"/>
        <v>175</v>
      </c>
      <c r="Q52" s="25">
        <f t="shared" si="20"/>
        <v>2030</v>
      </c>
      <c r="R52" s="20">
        <f t="shared" si="16"/>
        <v>215</v>
      </c>
      <c r="S52" s="53">
        <f t="shared" si="24"/>
        <v>196</v>
      </c>
      <c r="T52" s="53">
        <f t="shared" si="24"/>
        <v>220</v>
      </c>
      <c r="U52" s="53">
        <f t="shared" si="24"/>
        <v>212</v>
      </c>
      <c r="V52" s="34">
        <f t="shared" si="22"/>
        <v>204</v>
      </c>
      <c r="W52" s="34">
        <f t="shared" si="23"/>
        <v>161</v>
      </c>
      <c r="X52" s="101">
        <f t="shared" si="17"/>
        <v>1208</v>
      </c>
    </row>
    <row r="53" spans="1:24" x14ac:dyDescent="0.25">
      <c r="A53" s="25">
        <f t="shared" si="18"/>
        <v>2031</v>
      </c>
      <c r="B53" s="37">
        <f>B36+VLOOKUP($A$1,'Pri Housing Generation'!$A$96:$DQ$118, 106, FALSE)</f>
        <v>252</v>
      </c>
      <c r="C53" s="34">
        <f>C36+VLOOKUP($A$1,'Pri Housing Generation'!$A$96:$DQ$118, 107, FALSE)</f>
        <v>250</v>
      </c>
      <c r="D53" s="34">
        <f>D36+VLOOKUP($A$1,'Pri Housing Generation'!$A$96:$DQ$118, 108, FALSE)</f>
        <v>242</v>
      </c>
      <c r="E53" s="34">
        <f>E36+VLOOKUP($A$1,'Pri Housing Generation'!$A$96:$DQ$118, 109, FALSE)</f>
        <v>235</v>
      </c>
      <c r="F53" s="34">
        <f>F36+VLOOKUP($A$1,'Pri Housing Generation'!$A$96:$DQ$118, 110, FALSE)</f>
        <v>225</v>
      </c>
      <c r="G53" s="34">
        <f>G36+VLOOKUP($A$1,'Pri Housing Generation'!$A$96:$DQ$118, 111, FALSE)</f>
        <v>218</v>
      </c>
      <c r="H53" s="34">
        <f>H36+VLOOKUP($A$1,'Pri Housing Generation'!$A$96:$DQ$118, 112, FALSE)</f>
        <v>201</v>
      </c>
      <c r="I53" s="99">
        <f t="shared" si="19"/>
        <v>189</v>
      </c>
      <c r="J53" s="54"/>
      <c r="K53" s="83"/>
      <c r="L53" s="83"/>
      <c r="M53" s="107">
        <f t="shared" si="14"/>
        <v>0.94088162755127502</v>
      </c>
      <c r="O53" s="35">
        <f t="shared" si="15"/>
        <v>178</v>
      </c>
      <c r="Q53" s="25">
        <f t="shared" si="20"/>
        <v>2031</v>
      </c>
      <c r="R53" s="20">
        <f t="shared" si="16"/>
        <v>218</v>
      </c>
      <c r="S53" s="53">
        <f t="shared" si="24"/>
        <v>215</v>
      </c>
      <c r="T53" s="53">
        <f t="shared" si="24"/>
        <v>196</v>
      </c>
      <c r="U53" s="53">
        <f t="shared" si="24"/>
        <v>220</v>
      </c>
      <c r="V53" s="34">
        <f t="shared" si="22"/>
        <v>200</v>
      </c>
      <c r="W53" s="34">
        <f t="shared" si="23"/>
        <v>159</v>
      </c>
      <c r="X53" s="101">
        <f t="shared" si="17"/>
        <v>1208</v>
      </c>
    </row>
    <row r="54" spans="1:24" x14ac:dyDescent="0.25">
      <c r="A54" s="25">
        <f t="shared" si="18"/>
        <v>2032</v>
      </c>
      <c r="B54" s="37">
        <f>B37+VLOOKUP($A$1,'Pri Housing Generation'!$A$96:$DQ$118, 114, FALSE)</f>
        <v>252</v>
      </c>
      <c r="C54" s="34">
        <f>C37+VLOOKUP($A$1,'Pri Housing Generation'!$A$96:$DQ$118, 115, FALSE)</f>
        <v>250</v>
      </c>
      <c r="D54" s="34">
        <f>D37+VLOOKUP($A$1,'Pri Housing Generation'!$A$96:$DQ$118, 116, FALSE)</f>
        <v>243</v>
      </c>
      <c r="E54" s="34">
        <f>E37+VLOOKUP($A$1,'Pri Housing Generation'!$A$96:$DQ$118, 117, FALSE)</f>
        <v>235</v>
      </c>
      <c r="F54" s="34">
        <f>F37+VLOOKUP($A$1,'Pri Housing Generation'!$A$96:$DQ$118, 118, FALSE)</f>
        <v>227</v>
      </c>
      <c r="G54" s="34">
        <f>G37+VLOOKUP($A$1,'Pri Housing Generation'!$A$96:$DQ$118, 119, FALSE)</f>
        <v>219</v>
      </c>
      <c r="H54" s="34">
        <f>H37+VLOOKUP($A$1,'Pri Housing Generation'!$A$96:$DQ$118, 120, FALSE)</f>
        <v>203</v>
      </c>
      <c r="I54" s="99">
        <f t="shared" si="19"/>
        <v>191</v>
      </c>
      <c r="K54" s="83"/>
      <c r="L54" s="83"/>
      <c r="M54" s="107">
        <f t="shared" si="14"/>
        <v>0.94088162755127502</v>
      </c>
      <c r="O54" s="35">
        <f t="shared" si="15"/>
        <v>180</v>
      </c>
      <c r="Q54" s="25">
        <f t="shared" si="20"/>
        <v>2032</v>
      </c>
      <c r="R54" s="20">
        <f t="shared" si="16"/>
        <v>220</v>
      </c>
      <c r="S54" s="53">
        <f t="shared" si="24"/>
        <v>218</v>
      </c>
      <c r="T54" s="53">
        <f t="shared" si="24"/>
        <v>215</v>
      </c>
      <c r="U54" s="53">
        <f t="shared" si="24"/>
        <v>196</v>
      </c>
      <c r="V54" s="34">
        <f t="shared" si="22"/>
        <v>207</v>
      </c>
      <c r="W54" s="34">
        <f t="shared" si="23"/>
        <v>155</v>
      </c>
      <c r="X54" s="101">
        <f t="shared" si="17"/>
        <v>1211</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7" t="s">
        <v>225</v>
      </c>
      <c r="C60" s="413" t="s">
        <v>226</v>
      </c>
      <c r="D60" s="414"/>
      <c r="F60" s="132"/>
      <c r="G60" s="181"/>
      <c r="H60" s="130"/>
      <c r="I60" s="130"/>
      <c r="J60" s="130"/>
    </row>
    <row r="61" spans="1:24" x14ac:dyDescent="0.25">
      <c r="A61" s="25">
        <v>2011</v>
      </c>
      <c r="B61" s="128">
        <v>31</v>
      </c>
      <c r="C61" s="415">
        <f t="shared" ref="C61:C66" si="25">1-(I13/(I13+B61))</f>
        <v>0.13716814159292035</v>
      </c>
      <c r="D61" s="388"/>
      <c r="F61" s="133"/>
      <c r="G61" s="181"/>
      <c r="H61" s="54"/>
      <c r="I61" s="54"/>
      <c r="J61" s="54"/>
    </row>
    <row r="62" spans="1:24" x14ac:dyDescent="0.25">
      <c r="A62" s="25">
        <v>2012</v>
      </c>
      <c r="B62" s="128">
        <v>23</v>
      </c>
      <c r="C62" s="415">
        <f t="shared" si="25"/>
        <v>0.11004784688995217</v>
      </c>
      <c r="D62" s="388"/>
      <c r="F62" s="133"/>
      <c r="G62" s="181"/>
      <c r="H62" s="54"/>
      <c r="I62" s="54"/>
      <c r="J62" s="54"/>
      <c r="K62" s="181"/>
      <c r="N62" s="109"/>
      <c r="S62" s="82"/>
    </row>
    <row r="63" spans="1:24" x14ac:dyDescent="0.25">
      <c r="A63" s="25">
        <v>2013</v>
      </c>
      <c r="B63" s="128">
        <v>23</v>
      </c>
      <c r="C63" s="415">
        <f t="shared" si="25"/>
        <v>0.11499999999999999</v>
      </c>
      <c r="D63" s="388"/>
      <c r="F63" s="133"/>
      <c r="G63" s="181"/>
      <c r="H63" s="54"/>
      <c r="I63" s="54"/>
      <c r="J63" s="54"/>
      <c r="K63" s="181"/>
      <c r="N63" s="109"/>
      <c r="S63" s="82"/>
    </row>
    <row r="64" spans="1:24" x14ac:dyDescent="0.25">
      <c r="A64" s="25">
        <v>2014</v>
      </c>
      <c r="B64" s="128">
        <v>23</v>
      </c>
      <c r="C64" s="415">
        <f t="shared" si="25"/>
        <v>0.11557788944723613</v>
      </c>
      <c r="D64" s="388"/>
      <c r="F64" s="133"/>
      <c r="G64" s="181"/>
      <c r="H64" s="54"/>
      <c r="I64" s="54"/>
      <c r="J64" s="54"/>
      <c r="K64" s="181"/>
      <c r="N64" s="109"/>
      <c r="S64" s="82"/>
    </row>
    <row r="65" spans="1:19" x14ac:dyDescent="0.25">
      <c r="A65" s="25">
        <v>2015</v>
      </c>
      <c r="B65" s="128">
        <v>32</v>
      </c>
      <c r="C65" s="415">
        <f t="shared" si="25"/>
        <v>0.1576354679802956</v>
      </c>
      <c r="D65" s="388"/>
      <c r="F65" s="133"/>
      <c r="G65" s="181"/>
      <c r="H65" s="54"/>
      <c r="I65" s="54"/>
      <c r="J65" s="54"/>
      <c r="K65" s="181"/>
      <c r="N65" s="109"/>
      <c r="S65" s="82"/>
    </row>
    <row r="66" spans="1:19" x14ac:dyDescent="0.25">
      <c r="A66" s="25">
        <v>2016</v>
      </c>
      <c r="B66" s="128"/>
      <c r="C66" s="415">
        <f t="shared" si="25"/>
        <v>0</v>
      </c>
      <c r="D66" s="388"/>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K11:L13"/>
    <mergeCell ref="M11:M13"/>
    <mergeCell ref="O11:O13"/>
    <mergeCell ref="K18:L18"/>
    <mergeCell ref="K20:M20"/>
    <mergeCell ref="K19:M19"/>
    <mergeCell ref="C64:D64"/>
    <mergeCell ref="C65:D65"/>
    <mergeCell ref="C60:D60"/>
    <mergeCell ref="C61:D61"/>
    <mergeCell ref="C62:D62"/>
    <mergeCell ref="C63:D63"/>
    <mergeCell ref="A19:B20"/>
    <mergeCell ref="T19:U20"/>
    <mergeCell ref="K39:K40"/>
    <mergeCell ref="K14:L14"/>
    <mergeCell ref="K15:L15"/>
    <mergeCell ref="K16:L16"/>
    <mergeCell ref="K17:L17"/>
    <mergeCell ref="M39:M40"/>
    <mergeCell ref="O39:O40"/>
  </mergeCells>
  <conditionalFormatting sqref="R41:R72">
    <cfRule type="cellIs" dxfId="31" priority="27" operator="greaterThan">
      <formula>$C$7</formula>
    </cfRule>
  </conditionalFormatting>
  <conditionalFormatting sqref="X41:X72">
    <cfRule type="cellIs" dxfId="30" priority="26"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A84"/>
  <sheetViews>
    <sheetView workbookViewId="0">
      <selection activeCell="M16" sqref="M16:M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100</v>
      </c>
    </row>
    <row r="2" spans="1:24" x14ac:dyDescent="0.25">
      <c r="A2" t="s">
        <v>400</v>
      </c>
    </row>
    <row r="4" spans="1:24" x14ac:dyDescent="0.25">
      <c r="A4" s="21" t="s">
        <v>192</v>
      </c>
    </row>
    <row r="5" spans="1:24" x14ac:dyDescent="0.25">
      <c r="A5" s="21"/>
    </row>
    <row r="6" spans="1:24" x14ac:dyDescent="0.25">
      <c r="A6" s="21" t="s">
        <v>193</v>
      </c>
      <c r="C6" s="100">
        <f>VLOOKUP(A1,'Projection Summary'!A5:C50,3,FALSE)</f>
        <v>900</v>
      </c>
    </row>
    <row r="7" spans="1:24" x14ac:dyDescent="0.25">
      <c r="A7" s="21" t="s">
        <v>191</v>
      </c>
      <c r="B7" s="21"/>
      <c r="C7" s="100">
        <f>VLOOKUP(A1,'Projection Summary'!A5:C50,2,FALSE)</f>
        <v>180</v>
      </c>
    </row>
    <row r="9" spans="1:24" ht="15.75" x14ac:dyDescent="0.25">
      <c r="A9" s="129" t="s">
        <v>197</v>
      </c>
      <c r="R9" s="129" t="s">
        <v>198</v>
      </c>
      <c r="T9" s="173"/>
    </row>
    <row r="10" spans="1:24" x14ac:dyDescent="0.25">
      <c r="A10" s="21"/>
    </row>
    <row r="11" spans="1:24" x14ac:dyDescent="0.25">
      <c r="A11" s="21" t="s">
        <v>214</v>
      </c>
      <c r="K11" s="406" t="s">
        <v>137</v>
      </c>
      <c r="L11" s="407"/>
      <c r="M11" s="412" t="s">
        <v>139</v>
      </c>
      <c r="N11" s="49"/>
      <c r="O11" s="394" t="s">
        <v>136</v>
      </c>
      <c r="R11" s="21" t="s">
        <v>215</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222</v>
      </c>
      <c r="C13" s="19">
        <f>VLOOKUP($A$1,'Primary Catchment Analysis'!$A$3:$BE$25, 38, FALSE)</f>
        <v>196</v>
      </c>
      <c r="D13" s="27">
        <f>VLOOKUP($A$1,'Primary Catchment Analysis'!$A$3:$BE$25, 39, FALSE)</f>
        <v>190</v>
      </c>
      <c r="E13" s="27">
        <f>VLOOKUP($A$1,'Primary Catchment Analysis'!$A$3:$BE$25, 40, FALSE)</f>
        <v>189</v>
      </c>
      <c r="F13" s="27">
        <f>VLOOKUP($A$1,'Primary Catchment Analysis'!$A$3:$BE$25, 41, FALSE)</f>
        <v>148</v>
      </c>
      <c r="G13" s="33">
        <f>VLOOKUP($A$1,'Primary Catchment Analysis'!$A$3:$BE$25, 42, FALSE)</f>
        <v>180</v>
      </c>
      <c r="H13" s="28">
        <f>VLOOKUP($A$1,'Primary Catchment Analysis'!$A$3:$BE$25, 43, FALSE)</f>
        <v>164</v>
      </c>
      <c r="I13" s="28">
        <f>VLOOKUP($A$1,'S1 Catchment Analysis'!A3:I25, 7, FALSE)</f>
        <v>143</v>
      </c>
      <c r="J13" s="23"/>
      <c r="K13" s="410"/>
      <c r="L13" s="411"/>
      <c r="M13" s="399"/>
      <c r="N13" s="50"/>
      <c r="O13" s="399"/>
      <c r="P13" s="50"/>
      <c r="Q13" s="25">
        <f>A13</f>
        <v>2013</v>
      </c>
      <c r="R13" s="69">
        <f>VLOOKUP($A$1,'Secondary Rolls'!$A$3:$BE$25, 37, FALSE)</f>
        <v>136</v>
      </c>
      <c r="S13" s="53">
        <f>VLOOKUP($A$1,'Secondary Rolls'!$A$3:$BE$25, 38, FALSE)</f>
        <v>150</v>
      </c>
      <c r="T13" s="53">
        <f>VLOOKUP($A$1,'Secondary Rolls'!$A$3:$BE$25, 39, FALSE)</f>
        <v>130</v>
      </c>
      <c r="U13" s="122">
        <f>VLOOKUP($A$1,'Secondary Rolls'!$A$3:$BE$25, 40, FALSE)</f>
        <v>132</v>
      </c>
      <c r="V13" s="63">
        <f>VLOOKUP($A$1,'Secondary Rolls'!$A$3:$BE$25, 41, FALSE)</f>
        <v>81</v>
      </c>
      <c r="W13" s="53">
        <f>VLOOKUP($A$1,'Secondary Rolls'!$A$3:$BE$25, 42, FALSE)</f>
        <v>43</v>
      </c>
      <c r="X13" s="62">
        <f t="shared" ref="X13:X17" si="0">SUM(R13:W13)</f>
        <v>672</v>
      </c>
    </row>
    <row r="14" spans="1:24" ht="15.75" thickBot="1" x14ac:dyDescent="0.3">
      <c r="A14" s="25">
        <f>VLOOKUP($A$12,'S1 Catchment Analysis'!A2:I2, 6, FALSE)</f>
        <v>2014</v>
      </c>
      <c r="B14" s="45">
        <f>VLOOKUP($A$1,'Primary Catchment Analysis'!$A$3:$BE$25, 30, FALSE)</f>
        <v>240</v>
      </c>
      <c r="C14" s="44">
        <f>VLOOKUP($A$1,'Primary Catchment Analysis'!$A$3:$BE$25, 31, FALSE)</f>
        <v>213</v>
      </c>
      <c r="D14" s="19">
        <f>VLOOKUP($A$1,'Primary Catchment Analysis'!$A$3:$BE$25, 32, FALSE)</f>
        <v>192</v>
      </c>
      <c r="E14" s="27">
        <f>VLOOKUP($A$1,'Primary Catchment Analysis'!$A$3:$BE$25, 33, FALSE)</f>
        <v>180</v>
      </c>
      <c r="F14" s="27">
        <f>VLOOKUP($A$1,'Primary Catchment Analysis'!$A$3:$BE$25, 34, FALSE)</f>
        <v>186</v>
      </c>
      <c r="G14" s="33">
        <f>VLOOKUP($A$1,'Primary Catchment Analysis'!$A$3:$BE$25, 35, FALSE)</f>
        <v>147</v>
      </c>
      <c r="H14" s="28">
        <f>VLOOKUP($A$1,'Primary Catchment Analysis'!$A$3:$BE$25, 36, FALSE)</f>
        <v>171</v>
      </c>
      <c r="I14" s="27">
        <f>VLOOKUP($A$1,'S1 Catchment Analysis'!A3:I25, 6, FALSE)</f>
        <v>156</v>
      </c>
      <c r="J14" s="23"/>
      <c r="K14" s="400">
        <f>VLOOKUP($A$1,'S1 Catchment Retained'!A2:I25, 6, FALSE)</f>
        <v>104</v>
      </c>
      <c r="L14" s="401"/>
      <c r="M14" s="110">
        <f t="shared" ref="M14:M18" si="1">(K14/I14)</f>
        <v>0.66666666666666663</v>
      </c>
      <c r="N14" s="50"/>
      <c r="O14" s="111">
        <f t="shared" ref="O14:O18" si="2">R14-K14</f>
        <v>35</v>
      </c>
      <c r="P14" s="50"/>
      <c r="Q14" s="25">
        <f t="shared" ref="Q14:Q18" si="3">A14</f>
        <v>2014</v>
      </c>
      <c r="R14" s="67">
        <f>VLOOKUP($A$1,'Secondary Rolls'!$A$3:$BE$25, 30, FALSE)</f>
        <v>139</v>
      </c>
      <c r="S14" s="69">
        <f>VLOOKUP($A$1,'Secondary Rolls'!$A$3:$BE$25, 31, FALSE)</f>
        <v>135</v>
      </c>
      <c r="T14" s="61">
        <f>VLOOKUP($A$1,'Secondary Rolls'!$A$3:$BE$25, 32, FALSE)</f>
        <v>152</v>
      </c>
      <c r="U14" s="61">
        <f>VLOOKUP($A$1,'Secondary Rolls'!$A$3:$BE$25, 33, FALSE)</f>
        <v>133</v>
      </c>
      <c r="V14" s="64">
        <f>VLOOKUP($A$1,'Secondary Rolls'!$A$3:$BE$25, 34, FALSE)</f>
        <v>116</v>
      </c>
      <c r="W14" s="116">
        <f>VLOOKUP($A$1,'Secondary Rolls'!$A$3:$BE$25, 35, FALSE)</f>
        <v>52</v>
      </c>
      <c r="X14" s="62">
        <f t="shared" si="0"/>
        <v>727</v>
      </c>
    </row>
    <row r="15" spans="1:24" ht="15.75" thickBot="1" x14ac:dyDescent="0.3">
      <c r="A15" s="25">
        <f>VLOOKUP($A$12,'S1 Catchment Analysis'!A2:I2, 5, FALSE)</f>
        <v>2015</v>
      </c>
      <c r="B15" s="19">
        <f>VLOOKUP($A$1,'Primary Catchment Analysis'!$A$3:$BE$25, 23, FALSE)</f>
        <v>211</v>
      </c>
      <c r="C15" s="45">
        <f>VLOOKUP($A$1,'Primary Catchment Analysis'!$A$3:$BE$25, 24, FALSE)</f>
        <v>234</v>
      </c>
      <c r="D15" s="44">
        <f>VLOOKUP($A$1,'Primary Catchment Analysis'!$A$3:$BE$25, 25, FALSE)</f>
        <v>207</v>
      </c>
      <c r="E15" s="19">
        <f>VLOOKUP($A$1,'Primary Catchment Analysis'!$A$3:$BE$25, 26, FALSE)</f>
        <v>185</v>
      </c>
      <c r="F15" s="27">
        <f>VLOOKUP($A$1,'Primary Catchment Analysis'!$A$3:$BE$25, 27, FALSE)</f>
        <v>178</v>
      </c>
      <c r="G15" s="33">
        <f>VLOOKUP($A$1,'Primary Catchment Analysis'!$A$3:$BE$25, 28, FALSE)</f>
        <v>188</v>
      </c>
      <c r="H15" s="30">
        <f>VLOOKUP($A$1,'Primary Catchment Analysis'!$A$3:$BE$25, 29, FALSE)</f>
        <v>138</v>
      </c>
      <c r="I15" s="29">
        <f>VLOOKUP($A$1,'S1 Catchment Analysis'!A3:I25, 5, FALSE)</f>
        <v>160</v>
      </c>
      <c r="J15" s="23"/>
      <c r="K15" s="400">
        <f>VLOOKUP($A$1,'S1 Catchment Retained'!A2:I25, 5, FALSE)</f>
        <v>116</v>
      </c>
      <c r="L15" s="401"/>
      <c r="M15" s="110">
        <f t="shared" si="1"/>
        <v>0.72499999999999998</v>
      </c>
      <c r="N15" s="50"/>
      <c r="O15" s="111">
        <f t="shared" si="2"/>
        <v>26</v>
      </c>
      <c r="P15" s="50"/>
      <c r="Q15" s="25">
        <f t="shared" si="3"/>
        <v>2015</v>
      </c>
      <c r="R15" s="68">
        <f>VLOOKUP($A$1,'Secondary Rolls'!$A$3:$BE$25, 23, FALSE)</f>
        <v>142</v>
      </c>
      <c r="S15" s="67">
        <f>VLOOKUP($A$1,'Secondary Rolls'!$A$3:$BE$25, 24, FALSE)</f>
        <v>136</v>
      </c>
      <c r="T15" s="71">
        <f>VLOOKUP($A$1,'Secondary Rolls'!$A$3:$BE$25, 25, FALSE)</f>
        <v>132</v>
      </c>
      <c r="U15" s="61">
        <f>VLOOKUP($A$1,'Secondary Rolls'!$A$3:$BE$25, 26, FALSE)</f>
        <v>148</v>
      </c>
      <c r="V15" s="123">
        <f>VLOOKUP($A$1,'Secondary Rolls'!$A$3:$BE$25, 27, FALSE)</f>
        <v>102</v>
      </c>
      <c r="W15" s="64">
        <f>VLOOKUP($A$1,'Secondary Rolls'!$A$3:$BE$25, 28, FALSE)</f>
        <v>71</v>
      </c>
      <c r="X15" s="62">
        <f t="shared" si="0"/>
        <v>731</v>
      </c>
    </row>
    <row r="16" spans="1:24" ht="15.75" thickBot="1" x14ac:dyDescent="0.3">
      <c r="A16" s="25">
        <f>VLOOKUP($A$12,'S1 Catchment Analysis'!A2:I2, 4, FALSE)</f>
        <v>2016</v>
      </c>
      <c r="B16" s="44">
        <f>VLOOKUP($A$1,'Primary Catchment Analysis'!$A$3:$BE$25, 16, FALSE)</f>
        <v>169</v>
      </c>
      <c r="C16" s="19">
        <f>VLOOKUP($A$1,'Primary Catchment Analysis'!$A$3:$BE$25, 17, FALSE)</f>
        <v>205</v>
      </c>
      <c r="D16" s="45">
        <f>VLOOKUP($A$1,'Primary Catchment Analysis'!$A$3:$BE$25, 18, FALSE)</f>
        <v>228</v>
      </c>
      <c r="E16" s="44">
        <f>VLOOKUP($A$1,'Primary Catchment Analysis'!$A$3:$BE$25, 19, FALSE)</f>
        <v>200</v>
      </c>
      <c r="F16" s="19">
        <f>VLOOKUP($A$1,'Primary Catchment Analysis'!$A$3:$BE$25, 20, FALSE)</f>
        <v>194</v>
      </c>
      <c r="G16" s="33">
        <f>VLOOKUP($A$1,'Primary Catchment Analysis'!$A$3:$BE$25, 21, FALSE)</f>
        <v>173</v>
      </c>
      <c r="H16" s="112">
        <f>VLOOKUP($A$1,'Primary Catchment Analysis'!$A$3:$BE$25, 22, FALSE)</f>
        <v>189</v>
      </c>
      <c r="I16" s="30">
        <f>VLOOKUP($A$1,'S1 Catchment Analysis'!A3:I25, 4, FALSE)</f>
        <v>130</v>
      </c>
      <c r="J16" s="23"/>
      <c r="K16" s="400">
        <f>VLOOKUP($A$1,'S1 Catchment Retained'!A2:I25, 4, FALSE)</f>
        <v>81</v>
      </c>
      <c r="L16" s="401"/>
      <c r="M16" s="56">
        <f t="shared" si="1"/>
        <v>0.62307692307692308</v>
      </c>
      <c r="N16" s="50"/>
      <c r="O16" s="103">
        <f t="shared" si="2"/>
        <v>26</v>
      </c>
      <c r="P16" s="50"/>
      <c r="Q16" s="25">
        <f t="shared" si="3"/>
        <v>2016</v>
      </c>
      <c r="R16" s="69">
        <f>VLOOKUP($A$1,'Secondary Rolls'!$A$3:$BE$25, 16, FALSE)</f>
        <v>107</v>
      </c>
      <c r="S16" s="68">
        <f>VLOOKUP($A$1,'Secondary Rolls'!$A$3:$BE$25, 17, FALSE)</f>
        <v>139</v>
      </c>
      <c r="T16" s="70">
        <f>VLOOKUP($A$1,'Secondary Rolls'!$A$3:$BE$25, 18, FALSE)</f>
        <v>130</v>
      </c>
      <c r="U16" s="71">
        <f>VLOOKUP($A$1,'Secondary Rolls'!$A$3:$BE$25, 19, FALSE)</f>
        <v>131</v>
      </c>
      <c r="V16" s="66">
        <f>VLOOKUP($A$1,'Secondary Rolls'!$A$3:$BE$25, 20, FALSE)</f>
        <v>97</v>
      </c>
      <c r="W16" s="65">
        <f>VLOOKUP($A$1,'Secondary Rolls'!$A$3:$BE$25, 21, FALSE)</f>
        <v>69</v>
      </c>
      <c r="X16" s="62">
        <f t="shared" si="0"/>
        <v>673</v>
      </c>
    </row>
    <row r="17" spans="1:27" ht="15.75" thickBot="1" x14ac:dyDescent="0.3">
      <c r="A17" s="258">
        <f>VLOOKUP($A$12,'S1 Catchment Analysis'!A2:I2, 3, FALSE)</f>
        <v>2017</v>
      </c>
      <c r="B17" s="259">
        <f>VLOOKUP($A$1,'Primary Catchment Analysis'!$A$3:$BE$25, 9, FALSE)</f>
        <v>218</v>
      </c>
      <c r="C17" s="260">
        <f>VLOOKUP($A$1,'Primary Catchment Analysis'!$A$3:$BE$25, 10, FALSE)</f>
        <v>173</v>
      </c>
      <c r="D17" s="261">
        <f>VLOOKUP($A$1,'Primary Catchment Analysis'!$A$3:$BE$25, 11, FALSE)</f>
        <v>206</v>
      </c>
      <c r="E17" s="259">
        <f>VLOOKUP($A$1,'Primary Catchment Analysis'!$A$3:$BE$25, 12, FALSE)</f>
        <v>234</v>
      </c>
      <c r="F17" s="260">
        <f>VLOOKUP($A$1,'Primary Catchment Analysis'!$A$3:$BE$25, 13, FALSE)</f>
        <v>191</v>
      </c>
      <c r="G17" s="262">
        <f>VLOOKUP($A$1,'Primary Catchment Analysis'!$A$3:$BE$25, 14, FALSE)</f>
        <v>186</v>
      </c>
      <c r="H17" s="113">
        <f>VLOOKUP($A$1,'Primary Catchment Analysis'!$A$3:$BE$25, 15, FALSE)</f>
        <v>163</v>
      </c>
      <c r="I17" s="31">
        <f>VLOOKUP($A$1,'S1 Catchment Analysis'!A3:I25, 3, FALSE)</f>
        <v>176</v>
      </c>
      <c r="J17" s="23"/>
      <c r="K17" s="402">
        <f>VLOOKUP($A$1,'S1 Catchment Retained'!A2:I25, 3, FALSE)</f>
        <v>131</v>
      </c>
      <c r="L17" s="403"/>
      <c r="M17" s="57">
        <f t="shared" si="1"/>
        <v>0.74431818181818177</v>
      </c>
      <c r="N17" s="50"/>
      <c r="O17" s="104">
        <f t="shared" si="2"/>
        <v>24</v>
      </c>
      <c r="P17" s="50"/>
      <c r="Q17" s="25">
        <f t="shared" si="3"/>
        <v>2017</v>
      </c>
      <c r="R17" s="264">
        <f>VLOOKUP($A$1,'Secondary Rolls'!$A$3:$BE$25, 9, FALSE)</f>
        <v>155</v>
      </c>
      <c r="S17" s="265">
        <f>VLOOKUP($A$1,'Secondary Rolls'!$A$3:$BE$25, 10, FALSE)</f>
        <v>104</v>
      </c>
      <c r="T17" s="266">
        <f>VLOOKUP($A$1,'Secondary Rolls'!$A$3:$BE$25, 11, FALSE)</f>
        <v>137</v>
      </c>
      <c r="U17" s="270">
        <f>VLOOKUP($A$1,'Secondary Rolls'!$A$3:$BE$25, 12, FALSE)</f>
        <v>123</v>
      </c>
      <c r="V17" s="271">
        <f>VLOOKUP($A$1,'Secondary Rolls'!$A$3:$BE$25, 13, FALSE)</f>
        <v>89</v>
      </c>
      <c r="W17" s="272">
        <f>VLOOKUP($A$1,'Secondary Rolls'!$A$3:$BE$25, 14, FALSE)</f>
        <v>55</v>
      </c>
      <c r="X17" s="116">
        <f t="shared" si="0"/>
        <v>663</v>
      </c>
    </row>
    <row r="18" spans="1:27" ht="15.75" thickBot="1" x14ac:dyDescent="0.3">
      <c r="A18" s="25">
        <f>VLOOKUP($A$12,'S1 Catchment Analysis'!A2:I2, 2, FALSE)</f>
        <v>2018</v>
      </c>
      <c r="B18" s="19">
        <f>VLOOKUP($A$1,'Primary Catchment Analysis'!$A$3:$BE$25, 2, FALSE)</f>
        <v>211</v>
      </c>
      <c r="C18" s="45">
        <f>VLOOKUP($A$1,'Primary Catchment Analysis'!$A$3:$BE$25, 3, FALSE)</f>
        <v>206</v>
      </c>
      <c r="D18" s="44">
        <f>VLOOKUP($A$1,'Primary Catchment Analysis'!$A$3:$BE$25, 4, FALSE)</f>
        <v>179</v>
      </c>
      <c r="E18" s="19">
        <f>VLOOKUP($A$1,'Primary Catchment Analysis'!$A$3:$BE$25, 5, FALSE)</f>
        <v>194</v>
      </c>
      <c r="F18" s="45">
        <f>VLOOKUP($A$1,'Primary Catchment Analysis'!$A$3:$BE$25, 6, FALSE)</f>
        <v>235</v>
      </c>
      <c r="G18" s="273">
        <f>VLOOKUP($A$1,'Primary Catchment Analysis'!$A$3:$BE$25, 7, FALSE)</f>
        <v>189</v>
      </c>
      <c r="H18" s="274">
        <f>VLOOKUP($A$1,'Primary Catchment Analysis'!$A$3:$BE$25, 8, FALSE)</f>
        <v>184</v>
      </c>
      <c r="I18" s="32">
        <f>VLOOKUP($A$1,'S1 Catchment Analysis'!A3:I25, 2, FALSE)</f>
        <v>152</v>
      </c>
      <c r="J18" s="23"/>
      <c r="K18" s="392">
        <f>VLOOKUP($A$1,'S1 Catchment Retained'!A2:I25, 2, FALSE)</f>
        <v>108</v>
      </c>
      <c r="L18" s="393"/>
      <c r="M18" s="58">
        <f t="shared" si="1"/>
        <v>0.71052631578947367</v>
      </c>
      <c r="N18" s="50"/>
      <c r="O18" s="105">
        <f t="shared" si="2"/>
        <v>36</v>
      </c>
      <c r="P18" s="50"/>
      <c r="Q18" s="25">
        <f t="shared" si="3"/>
        <v>2018</v>
      </c>
      <c r="R18" s="68">
        <f>VLOOKUP($A$1,'Secondary Rolls'!$A$3:$BE$25, 2, FALSE)</f>
        <v>144</v>
      </c>
      <c r="S18" s="67">
        <f>VLOOKUP($A$1,'Secondary Rolls'!$A$3:$BE$25, 3, FALSE)</f>
        <v>157</v>
      </c>
      <c r="T18" s="69">
        <f>VLOOKUP($A$1,'Secondary Rolls'!$A$3:$BE$25, 4, FALSE)</f>
        <v>108</v>
      </c>
      <c r="U18" s="68">
        <f>VLOOKUP($A$1,'Secondary Rolls'!$A$3:$BE$25, 5, FALSE)</f>
        <v>134</v>
      </c>
      <c r="V18" s="67">
        <f>VLOOKUP($A$1,'Secondary Rolls'!$A$3:$BE$25, 6, FALSE)</f>
        <v>92</v>
      </c>
      <c r="W18" s="69">
        <f>VLOOKUP($A$1,'Secondary Rolls'!$A$3:$BE$25, 7, FALSE)</f>
        <v>62</v>
      </c>
      <c r="X18" s="53">
        <f t="shared" ref="X18" si="4">SUM(R18:W18)</f>
        <v>697</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0" t="s">
        <v>211</v>
      </c>
      <c r="P19" s="117"/>
      <c r="Q19" s="131"/>
      <c r="R19" s="131"/>
      <c r="T19" s="386" t="s">
        <v>212</v>
      </c>
      <c r="U19" s="387"/>
      <c r="V19" s="118" t="s">
        <v>140</v>
      </c>
      <c r="W19" s="119" t="s">
        <v>141</v>
      </c>
    </row>
    <row r="20" spans="1:27" x14ac:dyDescent="0.25">
      <c r="A20" s="388"/>
      <c r="B20" s="388"/>
      <c r="C20" s="40">
        <f>AVERAGE(((B15-C16)/B15),((B16-C17)/B16),((B17-C18)/B17))</f>
        <v>1.9937750487908187E-2</v>
      </c>
      <c r="D20" s="40">
        <f t="shared" ref="D20:I20" si="5">AVERAGE(((C15-D16)/C15),((C16-D17)/C16),((C17-D18)/C17))</f>
        <v>-4.6397013547725512E-3</v>
      </c>
      <c r="E20" s="40">
        <f t="shared" si="5"/>
        <v>2.1917687610518252E-2</v>
      </c>
      <c r="F20" s="40">
        <f t="shared" si="5"/>
        <v>-2.6407176407176425E-3</v>
      </c>
      <c r="G20" s="40">
        <f t="shared" si="5"/>
        <v>2.6599401743664323E-2</v>
      </c>
      <c r="H20" s="40">
        <f t="shared" si="5"/>
        <v>2.107900248132176E-2</v>
      </c>
      <c r="I20" s="40">
        <f t="shared" si="5"/>
        <v>6.474624861750318E-2</v>
      </c>
      <c r="K20" s="389">
        <f>AVERAGE(M16:M18)</f>
        <v>0.69264047356152625</v>
      </c>
      <c r="L20" s="390"/>
      <c r="M20" s="391"/>
      <c r="O20" s="51">
        <f>ROUNDUP((AVERAGE(O16:O18)),0)</f>
        <v>29</v>
      </c>
      <c r="T20" s="388"/>
      <c r="U20" s="388"/>
      <c r="V20" s="40">
        <f>AVERAGE(((U15-V16)/U15),((U16-V17)/U16),((U17-V18)/U17))</f>
        <v>0.3057459339808995</v>
      </c>
      <c r="W20" s="40">
        <f>AVERAGE(((V15-W16)/V15),((V16-W17)/V16),((V17-W18)/V17))</f>
        <v>0.35329662966773645</v>
      </c>
    </row>
    <row r="21" spans="1:27" x14ac:dyDescent="0.25">
      <c r="A21" s="21"/>
      <c r="K21" s="59"/>
      <c r="L21" s="59"/>
    </row>
    <row r="22" spans="1:27" x14ac:dyDescent="0.25">
      <c r="A22" s="21" t="s">
        <v>216</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Projections'!C36+'P1 Catchment Projections'!C37+'P1 Catchment Projections'!C38+'P1 Catchment Projections'!C39</f>
        <v>207</v>
      </c>
      <c r="C24" s="34">
        <f>ROUNDUP((B18-(B18*$C$20)),0)</f>
        <v>207</v>
      </c>
      <c r="D24" s="42">
        <f>ROUNDUP((C18-(C18*$D$20)),0)</f>
        <v>207</v>
      </c>
      <c r="E24" s="43">
        <f>ROUNDUP((D18-(D18*$E$20)),0)</f>
        <v>176</v>
      </c>
      <c r="F24" s="41">
        <f>ROUNDUP((E18-(E18*$F$20)),0)</f>
        <v>195</v>
      </c>
      <c r="G24" s="42">
        <f>ROUNDUP((F18-(F18*$G$20)),0)</f>
        <v>229</v>
      </c>
      <c r="H24" s="43">
        <f>ROUNDUP((G18-(G18*$H$20)),0)</f>
        <v>186</v>
      </c>
      <c r="I24" s="99">
        <f>ROUNDUP((H18-(H18*$I$20)),0)</f>
        <v>173</v>
      </c>
      <c r="J24" s="23"/>
      <c r="K24" s="59"/>
      <c r="L24" s="59"/>
      <c r="Z24" s="109"/>
      <c r="AA24" s="109"/>
    </row>
    <row r="25" spans="1:27" x14ac:dyDescent="0.25">
      <c r="A25" s="25">
        <f>A24+1</f>
        <v>2020</v>
      </c>
      <c r="B25" s="37">
        <f>'P1 Catchment Projections'!D36+'P1 Catchment Projections'!D37+'P1 Catchment Projections'!D38+'P1 Catchment Projections'!D39</f>
        <v>183</v>
      </c>
      <c r="C25" s="34">
        <f t="shared" ref="C25:C37" si="6">ROUNDUP((B24-(B24*$C$20)),0)</f>
        <v>203</v>
      </c>
      <c r="D25" s="34">
        <f t="shared" ref="D25:D37" si="7">ROUNDUP((C24-(C24*$D$20)),0)</f>
        <v>208</v>
      </c>
      <c r="E25" s="42">
        <f t="shared" ref="E25:E37" si="8">ROUNDUP((D24-(D24*$E$20)),0)</f>
        <v>203</v>
      </c>
      <c r="F25" s="43">
        <f t="shared" ref="F25:F37" si="9">ROUNDUP((E24-(E24*$F$20)),0)</f>
        <v>177</v>
      </c>
      <c r="G25" s="41">
        <f t="shared" ref="G25:G37" si="10">ROUNDUP((F24-(F24*$G$20)),0)</f>
        <v>190</v>
      </c>
      <c r="H25" s="42">
        <f t="shared" ref="H25:H37" si="11">ROUNDUP((G24-(G24*$H$20)),0)</f>
        <v>225</v>
      </c>
      <c r="I25" s="99">
        <f t="shared" ref="I25:I37" si="12">ROUNDUP((H24-(H24*$I$20)),0)</f>
        <v>174</v>
      </c>
      <c r="J25" s="23"/>
      <c r="K25" s="59"/>
      <c r="L25" s="59"/>
      <c r="Z25" s="109"/>
      <c r="AA25" s="109"/>
    </row>
    <row r="26" spans="1:27" x14ac:dyDescent="0.25">
      <c r="A26" s="25">
        <f>A25+1</f>
        <v>2021</v>
      </c>
      <c r="B26" s="37">
        <f>'P1 Catchment Projections'!E36+'P1 Catchment Projections'!E37+'P1 Catchment Projections'!E38+'P1 Catchment Projections'!E39</f>
        <v>182</v>
      </c>
      <c r="C26" s="34">
        <f t="shared" si="6"/>
        <v>180</v>
      </c>
      <c r="D26" s="34">
        <f t="shared" si="7"/>
        <v>204</v>
      </c>
      <c r="E26" s="34">
        <f t="shared" si="8"/>
        <v>204</v>
      </c>
      <c r="F26" s="42">
        <f t="shared" si="9"/>
        <v>204</v>
      </c>
      <c r="G26" s="43">
        <f t="shared" si="10"/>
        <v>173</v>
      </c>
      <c r="H26" s="41">
        <f t="shared" si="11"/>
        <v>186</v>
      </c>
      <c r="I26" s="99">
        <f t="shared" si="12"/>
        <v>211</v>
      </c>
      <c r="J26" s="23"/>
      <c r="K26" s="59"/>
      <c r="L26" s="59"/>
      <c r="Z26" s="109"/>
      <c r="AA26" s="109"/>
    </row>
    <row r="27" spans="1:27" x14ac:dyDescent="0.25">
      <c r="A27" s="25">
        <f>A26+1</f>
        <v>2022</v>
      </c>
      <c r="B27" s="37">
        <f>'P1 Catchment Projections'!F36+'P1 Catchment Projections'!F37+'P1 Catchment Projections'!F38+'P1 Catchment Projections'!F39</f>
        <v>204</v>
      </c>
      <c r="C27" s="34">
        <f t="shared" si="6"/>
        <v>179</v>
      </c>
      <c r="D27" s="34">
        <f t="shared" si="7"/>
        <v>181</v>
      </c>
      <c r="E27" s="34">
        <f t="shared" si="8"/>
        <v>200</v>
      </c>
      <c r="F27" s="34">
        <f t="shared" si="9"/>
        <v>205</v>
      </c>
      <c r="G27" s="42">
        <f t="shared" si="10"/>
        <v>199</v>
      </c>
      <c r="H27" s="43">
        <f t="shared" si="11"/>
        <v>170</v>
      </c>
      <c r="I27" s="99">
        <f t="shared" si="12"/>
        <v>174</v>
      </c>
      <c r="J27" s="23"/>
      <c r="K27" s="59"/>
      <c r="L27" s="59"/>
      <c r="Z27" s="109"/>
      <c r="AA27" s="109"/>
    </row>
    <row r="28" spans="1:27" x14ac:dyDescent="0.25">
      <c r="A28" s="25">
        <f t="shared" ref="A28:A37" si="13">A27+1</f>
        <v>2023</v>
      </c>
      <c r="B28" s="37">
        <f>'P1 Catchment Projections'!G36+'P1 Catchment Projections'!G37+'P1 Catchment Projections'!G38+'P1 Catchment Projections'!G39</f>
        <v>191</v>
      </c>
      <c r="C28" s="34">
        <f t="shared" si="6"/>
        <v>200</v>
      </c>
      <c r="D28" s="34">
        <f t="shared" si="7"/>
        <v>180</v>
      </c>
      <c r="E28" s="34">
        <f t="shared" si="8"/>
        <v>178</v>
      </c>
      <c r="F28" s="34">
        <f t="shared" si="9"/>
        <v>201</v>
      </c>
      <c r="G28" s="34">
        <f t="shared" si="10"/>
        <v>200</v>
      </c>
      <c r="H28" s="42">
        <f t="shared" si="11"/>
        <v>195</v>
      </c>
      <c r="I28" s="99">
        <f t="shared" si="12"/>
        <v>159</v>
      </c>
      <c r="J28" s="23"/>
      <c r="K28" s="59"/>
      <c r="L28" s="59"/>
      <c r="Z28" s="109"/>
      <c r="AA28" s="109"/>
    </row>
    <row r="29" spans="1:27" x14ac:dyDescent="0.25">
      <c r="A29" s="25">
        <f t="shared" si="13"/>
        <v>2024</v>
      </c>
      <c r="B29" s="37">
        <f>'P1 Catchment Projections'!H36+'P1 Catchment Projections'!H37+'P1 Catchment Projections'!H38+'P1 Catchment Projections'!H39</f>
        <v>194</v>
      </c>
      <c r="C29" s="34">
        <f t="shared" si="6"/>
        <v>188</v>
      </c>
      <c r="D29" s="34">
        <f t="shared" si="7"/>
        <v>201</v>
      </c>
      <c r="E29" s="34">
        <f t="shared" si="8"/>
        <v>177</v>
      </c>
      <c r="F29" s="34">
        <f t="shared" si="9"/>
        <v>179</v>
      </c>
      <c r="G29" s="34">
        <f t="shared" si="10"/>
        <v>196</v>
      </c>
      <c r="H29" s="34">
        <f t="shared" si="11"/>
        <v>196</v>
      </c>
      <c r="I29" s="99">
        <f t="shared" si="12"/>
        <v>183</v>
      </c>
      <c r="K29" s="59"/>
      <c r="L29" s="59"/>
      <c r="Z29" s="109"/>
      <c r="AA29" s="109"/>
    </row>
    <row r="30" spans="1:27" x14ac:dyDescent="0.25">
      <c r="A30" s="25">
        <f t="shared" si="13"/>
        <v>2025</v>
      </c>
      <c r="B30" s="37">
        <f>'P1 Catchment Projections'!I36+'P1 Catchment Projections'!I37+'P1 Catchment Projections'!I38+'P1 Catchment Projections'!I39</f>
        <v>196</v>
      </c>
      <c r="C30" s="34">
        <f t="shared" si="6"/>
        <v>191</v>
      </c>
      <c r="D30" s="34">
        <f t="shared" si="7"/>
        <v>189</v>
      </c>
      <c r="E30" s="34">
        <f t="shared" si="8"/>
        <v>197</v>
      </c>
      <c r="F30" s="34">
        <f t="shared" si="9"/>
        <v>178</v>
      </c>
      <c r="G30" s="34">
        <f t="shared" si="10"/>
        <v>175</v>
      </c>
      <c r="H30" s="34">
        <f t="shared" si="11"/>
        <v>192</v>
      </c>
      <c r="I30" s="99">
        <f t="shared" si="12"/>
        <v>184</v>
      </c>
      <c r="K30" s="59"/>
      <c r="L30" s="59"/>
      <c r="Z30" s="109"/>
      <c r="AA30" s="109"/>
    </row>
    <row r="31" spans="1:27" x14ac:dyDescent="0.25">
      <c r="A31" s="25">
        <f t="shared" si="13"/>
        <v>2026</v>
      </c>
      <c r="B31" s="37">
        <f>'P1 Catchment Projections'!J36+'P1 Catchment Projections'!J37+'P1 Catchment Projections'!J38+'P1 Catchment Projections'!J39</f>
        <v>198</v>
      </c>
      <c r="C31" s="34">
        <f t="shared" si="6"/>
        <v>193</v>
      </c>
      <c r="D31" s="34">
        <f t="shared" si="7"/>
        <v>192</v>
      </c>
      <c r="E31" s="34">
        <f t="shared" si="8"/>
        <v>185</v>
      </c>
      <c r="F31" s="34">
        <f t="shared" si="9"/>
        <v>198</v>
      </c>
      <c r="G31" s="34">
        <f t="shared" si="10"/>
        <v>174</v>
      </c>
      <c r="H31" s="34">
        <f t="shared" si="11"/>
        <v>172</v>
      </c>
      <c r="I31" s="99">
        <f t="shared" si="12"/>
        <v>180</v>
      </c>
      <c r="K31" s="59"/>
      <c r="L31" s="59"/>
      <c r="Z31" s="109"/>
      <c r="AA31" s="109"/>
    </row>
    <row r="32" spans="1:27" x14ac:dyDescent="0.25">
      <c r="A32" s="25">
        <f t="shared" si="13"/>
        <v>2027</v>
      </c>
      <c r="B32" s="37">
        <f>'P1 Catchment Projections'!K36+'P1 Catchment Projections'!K37+'P1 Catchment Projections'!K38+'P1 Catchment Projections'!K39</f>
        <v>199</v>
      </c>
      <c r="C32" s="34">
        <f t="shared" si="6"/>
        <v>195</v>
      </c>
      <c r="D32" s="34">
        <f t="shared" si="7"/>
        <v>194</v>
      </c>
      <c r="E32" s="34">
        <f t="shared" si="8"/>
        <v>188</v>
      </c>
      <c r="F32" s="34">
        <f t="shared" si="9"/>
        <v>186</v>
      </c>
      <c r="G32" s="34">
        <f t="shared" si="10"/>
        <v>193</v>
      </c>
      <c r="H32" s="34">
        <f t="shared" si="11"/>
        <v>171</v>
      </c>
      <c r="I32" s="99">
        <f t="shared" si="12"/>
        <v>161</v>
      </c>
      <c r="K32" s="59"/>
      <c r="L32" s="59"/>
      <c r="Z32" s="109"/>
      <c r="AA32" s="109"/>
    </row>
    <row r="33" spans="1:27" x14ac:dyDescent="0.25">
      <c r="A33" s="25">
        <f t="shared" si="13"/>
        <v>2028</v>
      </c>
      <c r="B33" s="37">
        <f>'P1 Catchment Projections'!L36+'P1 Catchment Projections'!L37+'P1 Catchment Projections'!L38+'P1 Catchment Projections'!L39</f>
        <v>201</v>
      </c>
      <c r="C33" s="34">
        <f t="shared" si="6"/>
        <v>196</v>
      </c>
      <c r="D33" s="34">
        <f t="shared" si="7"/>
        <v>196</v>
      </c>
      <c r="E33" s="34">
        <f t="shared" si="8"/>
        <v>190</v>
      </c>
      <c r="F33" s="34">
        <f t="shared" si="9"/>
        <v>189</v>
      </c>
      <c r="G33" s="34">
        <f t="shared" si="10"/>
        <v>182</v>
      </c>
      <c r="H33" s="34">
        <f t="shared" si="11"/>
        <v>189</v>
      </c>
      <c r="I33" s="99">
        <f t="shared" si="12"/>
        <v>160</v>
      </c>
      <c r="K33" s="59"/>
      <c r="L33" s="59"/>
    </row>
    <row r="34" spans="1:27" x14ac:dyDescent="0.25">
      <c r="A34" s="25">
        <f t="shared" si="13"/>
        <v>2029</v>
      </c>
      <c r="B34" s="37">
        <f>'P1 Catchment Projections'!M31+'P1 Catchment Projections'!M32+'P1 Catchment Projections'!M33+'P1 Catchment Projections'!M34+'P1 Catchment Projections'!M35</f>
        <v>248</v>
      </c>
      <c r="C34" s="34">
        <f t="shared" si="6"/>
        <v>197</v>
      </c>
      <c r="D34" s="34">
        <f t="shared" si="7"/>
        <v>197</v>
      </c>
      <c r="E34" s="34">
        <f t="shared" si="8"/>
        <v>192</v>
      </c>
      <c r="F34" s="34">
        <f t="shared" si="9"/>
        <v>191</v>
      </c>
      <c r="G34" s="34">
        <f t="shared" si="10"/>
        <v>184</v>
      </c>
      <c r="H34" s="34">
        <f t="shared" si="11"/>
        <v>179</v>
      </c>
      <c r="I34" s="99">
        <f t="shared" si="12"/>
        <v>177</v>
      </c>
      <c r="K34" s="59"/>
      <c r="L34" s="59"/>
      <c r="Z34" s="109"/>
      <c r="AA34" s="109"/>
    </row>
    <row r="35" spans="1:27" x14ac:dyDescent="0.25">
      <c r="A35" s="25">
        <f t="shared" si="13"/>
        <v>2030</v>
      </c>
      <c r="B35" s="37">
        <f>'P1 Catchment Projections'!N31+'P1 Catchment Projections'!N32+'P1 Catchment Projections'!N33+'P1 Catchment Projections'!N34+'P1 Catchment Projections'!N35</f>
        <v>249</v>
      </c>
      <c r="C35" s="34">
        <f t="shared" si="6"/>
        <v>244</v>
      </c>
      <c r="D35" s="34">
        <f t="shared" si="7"/>
        <v>198</v>
      </c>
      <c r="E35" s="34">
        <f t="shared" si="8"/>
        <v>193</v>
      </c>
      <c r="F35" s="34">
        <f t="shared" si="9"/>
        <v>193</v>
      </c>
      <c r="G35" s="34">
        <f t="shared" si="10"/>
        <v>186</v>
      </c>
      <c r="H35" s="34">
        <f t="shared" si="11"/>
        <v>181</v>
      </c>
      <c r="I35" s="99">
        <f t="shared" si="12"/>
        <v>168</v>
      </c>
      <c r="K35" s="59"/>
      <c r="L35" s="59"/>
      <c r="Z35" s="109"/>
      <c r="AA35" s="109"/>
    </row>
    <row r="36" spans="1:27" x14ac:dyDescent="0.25">
      <c r="A36" s="25">
        <f t="shared" si="13"/>
        <v>2031</v>
      </c>
      <c r="B36" s="37">
        <f>'P1 Catchment Projections'!O31+'P1 Catchment Projections'!O32+'P1 Catchment Projections'!O33+'P1 Catchment Projections'!O34+'P1 Catchment Projections'!O35</f>
        <v>249</v>
      </c>
      <c r="C36" s="34">
        <f t="shared" si="6"/>
        <v>245</v>
      </c>
      <c r="D36" s="34">
        <f t="shared" si="7"/>
        <v>246</v>
      </c>
      <c r="E36" s="34">
        <f t="shared" si="8"/>
        <v>194</v>
      </c>
      <c r="F36" s="34">
        <f t="shared" si="9"/>
        <v>194</v>
      </c>
      <c r="G36" s="34">
        <f t="shared" si="10"/>
        <v>188</v>
      </c>
      <c r="H36" s="34">
        <f t="shared" si="11"/>
        <v>183</v>
      </c>
      <c r="I36" s="99">
        <f t="shared" si="12"/>
        <v>170</v>
      </c>
      <c r="K36" s="59"/>
      <c r="L36" s="59"/>
      <c r="Z36" s="109"/>
      <c r="AA36" s="109"/>
    </row>
    <row r="37" spans="1:27" x14ac:dyDescent="0.25">
      <c r="A37" s="25">
        <f t="shared" si="13"/>
        <v>2032</v>
      </c>
      <c r="B37" s="37">
        <f>'P1 Catchment Projections'!P31+'P1 Catchment Projections'!P32+'P1 Catchment Projections'!P33+'P1 Catchment Projections'!P34+'P1 Catchment Projections'!P35</f>
        <v>249</v>
      </c>
      <c r="C37" s="34">
        <f t="shared" si="6"/>
        <v>245</v>
      </c>
      <c r="D37" s="34">
        <f t="shared" si="7"/>
        <v>247</v>
      </c>
      <c r="E37" s="34">
        <f t="shared" si="8"/>
        <v>241</v>
      </c>
      <c r="F37" s="34">
        <f t="shared" si="9"/>
        <v>195</v>
      </c>
      <c r="G37" s="34">
        <f t="shared" si="10"/>
        <v>189</v>
      </c>
      <c r="H37" s="34">
        <f t="shared" si="11"/>
        <v>185</v>
      </c>
      <c r="I37" s="99">
        <f t="shared" si="12"/>
        <v>172</v>
      </c>
      <c r="K37" s="59"/>
      <c r="L37" s="59"/>
      <c r="Z37" s="109"/>
      <c r="AA37" s="109"/>
    </row>
    <row r="38" spans="1:27" x14ac:dyDescent="0.25">
      <c r="K38" s="59"/>
      <c r="L38" s="59"/>
    </row>
    <row r="39" spans="1:27" x14ac:dyDescent="0.25">
      <c r="A39" s="21" t="s">
        <v>216</v>
      </c>
      <c r="K39" s="394" t="s">
        <v>190</v>
      </c>
      <c r="L39" s="55"/>
      <c r="M39" s="394" t="s">
        <v>203</v>
      </c>
      <c r="N39" s="106"/>
      <c r="O39" s="395" t="s">
        <v>204</v>
      </c>
      <c r="R39" s="21" t="s">
        <v>217</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212</v>
      </c>
      <c r="C41" s="34">
        <f>C24+VLOOKUP($A$1,'Pri Housing Generation'!$A$96:$DQ$118, 11, FALSE)</f>
        <v>212</v>
      </c>
      <c r="D41" s="42">
        <f>D24+VLOOKUP($A$1,'Pri Housing Generation'!$A$96:$DQ$118, 12, FALSE)</f>
        <v>212</v>
      </c>
      <c r="E41" s="43">
        <f>E24+VLOOKUP($A$1,'Pri Housing Generation'!$A$96:$DQ$118, 13, FALSE)</f>
        <v>180</v>
      </c>
      <c r="F41" s="41">
        <f>F24+VLOOKUP($A$1,'Pri Housing Generation'!$A$96:$DQ$118, 14, FALSE)</f>
        <v>199</v>
      </c>
      <c r="G41" s="42">
        <f>G24+VLOOKUP($A$1,'Pri Housing Generation'!$A$96:$DQ$118, 15, FALSE)</f>
        <v>233</v>
      </c>
      <c r="H41" s="43">
        <f>H24+VLOOKUP($A$1,'Pri Housing Generation'!$A$96:$DQ$118, 16, FALSE)</f>
        <v>189</v>
      </c>
      <c r="I41" s="99">
        <f>ROUNDUP((H18-(H18*$I$20)),0)</f>
        <v>173</v>
      </c>
      <c r="K41" s="35">
        <f>'Sec Housing Generation'!I12</f>
        <v>4</v>
      </c>
      <c r="L41" s="83"/>
      <c r="M41" s="107">
        <f t="shared" ref="M41:M54" si="14">$K$20</f>
        <v>0.69264047356152625</v>
      </c>
      <c r="O41" s="35">
        <f t="shared" ref="O41:O54" si="15">ROUNDUP(((I41+K41)*M41),0)</f>
        <v>123</v>
      </c>
      <c r="Q41" s="25">
        <f>A41</f>
        <v>2019</v>
      </c>
      <c r="R41" s="20">
        <f t="shared" ref="R41:R54" si="16">IF(O41&lt;$C$7,(IF((O41+$O$20)&gt;$C$7,$C$7,(O41+$O$20))),(IF((O41+$O$20)&lt;(CEILING((O41),20)),(O41+$O$20),(CEILING((O41),20)))))</f>
        <v>152</v>
      </c>
      <c r="S41" s="53">
        <f>R18</f>
        <v>144</v>
      </c>
      <c r="T41" s="67">
        <f>S18</f>
        <v>157</v>
      </c>
      <c r="U41" s="69">
        <f>T18</f>
        <v>108</v>
      </c>
      <c r="V41" s="41">
        <f>ROUNDUP((U18-(U18*$V$20)),0)</f>
        <v>94</v>
      </c>
      <c r="W41" s="42">
        <f>ROUNDUP((V18-(V18*$W$20)),0)</f>
        <v>60</v>
      </c>
      <c r="X41" s="101">
        <f t="shared" ref="X41:X54" si="17">SUM(R41:W41)</f>
        <v>715</v>
      </c>
    </row>
    <row r="42" spans="1:27" x14ac:dyDescent="0.25">
      <c r="A42" s="25">
        <f t="shared" ref="A42:A54" si="18">A25</f>
        <v>2020</v>
      </c>
      <c r="B42" s="37">
        <f>B25+VLOOKUP($A$1,'Pri Housing Generation'!$A$96:$DQ$118, 18, FALSE)</f>
        <v>191</v>
      </c>
      <c r="C42" s="34">
        <f>C25+VLOOKUP($A$1,'Pri Housing Generation'!$A$96:$DQ$118, 19, FALSE)</f>
        <v>211</v>
      </c>
      <c r="D42" s="34">
        <f>D25+VLOOKUP($A$1,'Pri Housing Generation'!$A$96:$DQ$118, 20, FALSE)</f>
        <v>216</v>
      </c>
      <c r="E42" s="42">
        <f>E25+VLOOKUP($A$1,'Pri Housing Generation'!$A$96:$DQ$118, 21, FALSE)</f>
        <v>211</v>
      </c>
      <c r="F42" s="43">
        <f>F25+VLOOKUP($A$1,'Pri Housing Generation'!$A$96:$DQ$118, 22, FALSE)</f>
        <v>185</v>
      </c>
      <c r="G42" s="41">
        <f>G25+VLOOKUP($A$1,'Pri Housing Generation'!$A$96:$DQ$118, 23, FALSE)</f>
        <v>198</v>
      </c>
      <c r="H42" s="42">
        <f>H25+VLOOKUP($A$1,'Pri Housing Generation'!$A$96:$DQ$118, 24, FALSE)</f>
        <v>231</v>
      </c>
      <c r="I42" s="99">
        <f t="shared" ref="I42:I54" si="19">ROUNDUP((H41-(H41*$I$20)),0)</f>
        <v>177</v>
      </c>
      <c r="K42" s="35">
        <f>'Sec Housing Generation'!P12</f>
        <v>6</v>
      </c>
      <c r="L42" s="83"/>
      <c r="M42" s="107">
        <f t="shared" si="14"/>
        <v>0.69264047356152625</v>
      </c>
      <c r="O42" s="35">
        <f t="shared" si="15"/>
        <v>127</v>
      </c>
      <c r="Q42" s="25">
        <f t="shared" ref="Q42:Q54" si="20">A42</f>
        <v>2020</v>
      </c>
      <c r="R42" s="20">
        <f t="shared" si="16"/>
        <v>156</v>
      </c>
      <c r="S42" s="53">
        <f t="shared" ref="S42:U42" si="21">R41</f>
        <v>152</v>
      </c>
      <c r="T42" s="53">
        <f t="shared" si="21"/>
        <v>144</v>
      </c>
      <c r="U42" s="67">
        <f t="shared" si="21"/>
        <v>157</v>
      </c>
      <c r="V42" s="43">
        <f t="shared" ref="V42:V54" si="22">ROUNDUP((U41-(U41*$V$20)),0)</f>
        <v>75</v>
      </c>
      <c r="W42" s="41">
        <f t="shared" ref="W42:W54" si="23">ROUNDUP((V41-(V41*$W$20)),0)</f>
        <v>61</v>
      </c>
      <c r="X42" s="101">
        <f t="shared" si="17"/>
        <v>745</v>
      </c>
    </row>
    <row r="43" spans="1:27" x14ac:dyDescent="0.25">
      <c r="A43" s="25">
        <f t="shared" si="18"/>
        <v>2021</v>
      </c>
      <c r="B43" s="37">
        <f>B26+VLOOKUP($A$1,'Pri Housing Generation'!$A$96:$DQ$118, 26, FALSE)</f>
        <v>190</v>
      </c>
      <c r="C43" s="34">
        <f>C26+VLOOKUP($A$1,'Pri Housing Generation'!$A$96:$DQ$118, 27, FALSE)</f>
        <v>188</v>
      </c>
      <c r="D43" s="34">
        <f>D26+VLOOKUP($A$1,'Pri Housing Generation'!$A$96:$DQ$118, 28, FALSE)</f>
        <v>212</v>
      </c>
      <c r="E43" s="34">
        <f>E26+VLOOKUP($A$1,'Pri Housing Generation'!$A$96:$DQ$118, 29, FALSE)</f>
        <v>212</v>
      </c>
      <c r="F43" s="42">
        <f>F26+VLOOKUP($A$1,'Pri Housing Generation'!$A$96:$DQ$118, 30, FALSE)</f>
        <v>212</v>
      </c>
      <c r="G43" s="43">
        <f>G26+VLOOKUP($A$1,'Pri Housing Generation'!$A$96:$DQ$118, 31, FALSE)</f>
        <v>181</v>
      </c>
      <c r="H43" s="41">
        <f>H26+VLOOKUP($A$1,'Pri Housing Generation'!$A$96:$DQ$118, 32, FALSE)</f>
        <v>192</v>
      </c>
      <c r="I43" s="99">
        <f t="shared" si="19"/>
        <v>217</v>
      </c>
      <c r="K43" s="35">
        <f>'Sec Housing Generation'!W12</f>
        <v>6</v>
      </c>
      <c r="L43" s="83"/>
      <c r="M43" s="107">
        <f t="shared" si="14"/>
        <v>0.69264047356152625</v>
      </c>
      <c r="O43" s="35">
        <f t="shared" si="15"/>
        <v>155</v>
      </c>
      <c r="Q43" s="25">
        <f t="shared" si="20"/>
        <v>2021</v>
      </c>
      <c r="R43" s="20">
        <f t="shared" si="16"/>
        <v>180</v>
      </c>
      <c r="S43" s="53">
        <f t="shared" ref="S43:U54" si="24">R42</f>
        <v>156</v>
      </c>
      <c r="T43" s="53">
        <f t="shared" si="24"/>
        <v>152</v>
      </c>
      <c r="U43" s="53">
        <f t="shared" si="24"/>
        <v>144</v>
      </c>
      <c r="V43" s="42">
        <f t="shared" si="22"/>
        <v>109</v>
      </c>
      <c r="W43" s="43">
        <f t="shared" si="23"/>
        <v>49</v>
      </c>
      <c r="X43" s="101">
        <f t="shared" si="17"/>
        <v>790</v>
      </c>
    </row>
    <row r="44" spans="1:27" x14ac:dyDescent="0.25">
      <c r="A44" s="25">
        <f t="shared" si="18"/>
        <v>2022</v>
      </c>
      <c r="B44" s="37">
        <f>B27+VLOOKUP($A$1,'Pri Housing Generation'!$A$96:$DQ$118, 34, FALSE)</f>
        <v>212</v>
      </c>
      <c r="C44" s="34">
        <f>C27+VLOOKUP($A$1,'Pri Housing Generation'!$A$96:$DQ$118, 35, FALSE)</f>
        <v>187</v>
      </c>
      <c r="D44" s="34">
        <f>D27+VLOOKUP($A$1,'Pri Housing Generation'!$A$96:$DQ$118, 36, FALSE)</f>
        <v>189</v>
      </c>
      <c r="E44" s="34">
        <f>E27+VLOOKUP($A$1,'Pri Housing Generation'!$A$96:$DQ$118, 37, FALSE)</f>
        <v>208</v>
      </c>
      <c r="F44" s="34">
        <f>F27+VLOOKUP($A$1,'Pri Housing Generation'!$A$96:$DQ$118, 38, FALSE)</f>
        <v>213</v>
      </c>
      <c r="G44" s="42">
        <f>G27+VLOOKUP($A$1,'Pri Housing Generation'!$A$96:$DQ$118, 39, FALSE)</f>
        <v>207</v>
      </c>
      <c r="H44" s="43">
        <f>H27+VLOOKUP($A$1,'Pri Housing Generation'!$A$96:$DQ$118, 40, FALSE)</f>
        <v>176</v>
      </c>
      <c r="I44" s="99">
        <f t="shared" si="19"/>
        <v>180</v>
      </c>
      <c r="K44" s="35">
        <f>'Sec Housing Generation'!AD12</f>
        <v>6</v>
      </c>
      <c r="L44" s="83"/>
      <c r="M44" s="107">
        <f t="shared" si="14"/>
        <v>0.69264047356152625</v>
      </c>
      <c r="O44" s="35">
        <f t="shared" si="15"/>
        <v>129</v>
      </c>
      <c r="Q44" s="25">
        <f t="shared" si="20"/>
        <v>2022</v>
      </c>
      <c r="R44" s="20">
        <f t="shared" si="16"/>
        <v>158</v>
      </c>
      <c r="S44" s="53">
        <f t="shared" si="24"/>
        <v>180</v>
      </c>
      <c r="T44" s="53">
        <f t="shared" si="24"/>
        <v>156</v>
      </c>
      <c r="U44" s="53">
        <f t="shared" si="24"/>
        <v>152</v>
      </c>
      <c r="V44" s="34">
        <f t="shared" si="22"/>
        <v>100</v>
      </c>
      <c r="W44" s="42">
        <f t="shared" si="23"/>
        <v>71</v>
      </c>
      <c r="X44" s="101">
        <f t="shared" si="17"/>
        <v>817</v>
      </c>
    </row>
    <row r="45" spans="1:27" x14ac:dyDescent="0.25">
      <c r="A45" s="25">
        <f t="shared" si="18"/>
        <v>2023</v>
      </c>
      <c r="B45" s="37">
        <f>B28+VLOOKUP($A$1,'Pri Housing Generation'!$A$96:$DQ$118, 42, FALSE)</f>
        <v>199</v>
      </c>
      <c r="C45" s="34">
        <f>C28+VLOOKUP($A$1,'Pri Housing Generation'!$A$96:$DQ$118, 43, FALSE)</f>
        <v>208</v>
      </c>
      <c r="D45" s="34">
        <f>D28+VLOOKUP($A$1,'Pri Housing Generation'!$A$96:$DQ$118, 44, FALSE)</f>
        <v>188</v>
      </c>
      <c r="E45" s="34">
        <f>E28+VLOOKUP($A$1,'Pri Housing Generation'!$A$96:$DQ$118, 45, FALSE)</f>
        <v>186</v>
      </c>
      <c r="F45" s="34">
        <f>F28+VLOOKUP($A$1,'Pri Housing Generation'!$A$96:$DQ$118, 46, FALSE)</f>
        <v>209</v>
      </c>
      <c r="G45" s="34">
        <f>G28+VLOOKUP($A$1,'Pri Housing Generation'!$A$96:$DQ$118, 47, FALSE)</f>
        <v>208</v>
      </c>
      <c r="H45" s="42">
        <f>H28+VLOOKUP($A$1,'Pri Housing Generation'!$A$96:$DQ$118, 48, FALSE)</f>
        <v>201</v>
      </c>
      <c r="I45" s="99">
        <f t="shared" si="19"/>
        <v>165</v>
      </c>
      <c r="J45" s="181"/>
      <c r="K45" s="35">
        <f>'Sec Housing Generation'!AK12</f>
        <v>6</v>
      </c>
      <c r="L45" s="83"/>
      <c r="M45" s="107">
        <f t="shared" si="14"/>
        <v>0.69264047356152625</v>
      </c>
      <c r="O45" s="35">
        <f t="shared" si="15"/>
        <v>119</v>
      </c>
      <c r="Q45" s="25">
        <f t="shared" si="20"/>
        <v>2023</v>
      </c>
      <c r="R45" s="20">
        <f t="shared" si="16"/>
        <v>148</v>
      </c>
      <c r="S45" s="53">
        <f t="shared" si="24"/>
        <v>158</v>
      </c>
      <c r="T45" s="53">
        <f t="shared" si="24"/>
        <v>180</v>
      </c>
      <c r="U45" s="53">
        <f t="shared" si="24"/>
        <v>156</v>
      </c>
      <c r="V45" s="34">
        <f t="shared" si="22"/>
        <v>106</v>
      </c>
      <c r="W45" s="34">
        <f t="shared" si="23"/>
        <v>65</v>
      </c>
      <c r="X45" s="101">
        <f t="shared" si="17"/>
        <v>813</v>
      </c>
    </row>
    <row r="46" spans="1:27" x14ac:dyDescent="0.25">
      <c r="A46" s="25">
        <f t="shared" si="18"/>
        <v>2024</v>
      </c>
      <c r="B46" s="37">
        <f>B29+VLOOKUP($A$1,'Pri Housing Generation'!$A$96:$DQ$118, 50, FALSE)</f>
        <v>203</v>
      </c>
      <c r="C46" s="34">
        <f>C29+VLOOKUP($A$1,'Pri Housing Generation'!$A$96:$DQ$118, 51, FALSE)</f>
        <v>197</v>
      </c>
      <c r="D46" s="34">
        <f>D29+VLOOKUP($A$1,'Pri Housing Generation'!$A$96:$DQ$118, 52, FALSE)</f>
        <v>210</v>
      </c>
      <c r="E46" s="34">
        <f>E29+VLOOKUP($A$1,'Pri Housing Generation'!$A$96:$DQ$118, 53, FALSE)</f>
        <v>186</v>
      </c>
      <c r="F46" s="34">
        <f>F29+VLOOKUP($A$1,'Pri Housing Generation'!$A$96:$DQ$118, 54, FALSE)</f>
        <v>187</v>
      </c>
      <c r="G46" s="34">
        <f>G29+VLOOKUP($A$1,'Pri Housing Generation'!$A$96:$DQ$118, 55, FALSE)</f>
        <v>204</v>
      </c>
      <c r="H46" s="34">
        <f>H29+VLOOKUP($A$1,'Pri Housing Generation'!$A$96:$DQ$118, 56, FALSE)</f>
        <v>203</v>
      </c>
      <c r="I46" s="99">
        <f t="shared" si="19"/>
        <v>188</v>
      </c>
      <c r="J46" s="181"/>
      <c r="K46" s="35">
        <f>'Sec Housing Generation'!AR12</f>
        <v>6</v>
      </c>
      <c r="L46" s="83"/>
      <c r="M46" s="107">
        <f>K20</f>
        <v>0.69264047356152625</v>
      </c>
      <c r="O46" s="35">
        <f t="shared" si="15"/>
        <v>135</v>
      </c>
      <c r="Q46" s="25">
        <f t="shared" si="20"/>
        <v>2024</v>
      </c>
      <c r="R46" s="20">
        <f t="shared" si="16"/>
        <v>164</v>
      </c>
      <c r="S46" s="53">
        <f t="shared" si="24"/>
        <v>148</v>
      </c>
      <c r="T46" s="53">
        <f t="shared" si="24"/>
        <v>158</v>
      </c>
      <c r="U46" s="53">
        <f t="shared" si="24"/>
        <v>180</v>
      </c>
      <c r="V46" s="34">
        <f t="shared" si="22"/>
        <v>109</v>
      </c>
      <c r="W46" s="34">
        <f t="shared" si="23"/>
        <v>69</v>
      </c>
      <c r="X46" s="101">
        <f t="shared" si="17"/>
        <v>828</v>
      </c>
    </row>
    <row r="47" spans="1:27" x14ac:dyDescent="0.25">
      <c r="A47" s="25">
        <f t="shared" si="18"/>
        <v>2025</v>
      </c>
      <c r="B47" s="37">
        <f>B30+VLOOKUP($A$1,'Pri Housing Generation'!$A$96:$DQ$118, 58, FALSE)</f>
        <v>206</v>
      </c>
      <c r="C47" s="34">
        <f>C30+VLOOKUP($A$1,'Pri Housing Generation'!$A$96:$DQ$118, 59, FALSE)</f>
        <v>201</v>
      </c>
      <c r="D47" s="34">
        <f>D30+VLOOKUP($A$1,'Pri Housing Generation'!$A$96:$DQ$118, 60, FALSE)</f>
        <v>198</v>
      </c>
      <c r="E47" s="34">
        <f>E30+VLOOKUP($A$1,'Pri Housing Generation'!$A$96:$DQ$118, 61, FALSE)</f>
        <v>206</v>
      </c>
      <c r="F47" s="34">
        <f>F30+VLOOKUP($A$1,'Pri Housing Generation'!$A$96:$DQ$118, 62, FALSE)</f>
        <v>187</v>
      </c>
      <c r="G47" s="34">
        <f>G30+VLOOKUP($A$1,'Pri Housing Generation'!$A$96:$DQ$118, 63, FALSE)</f>
        <v>184</v>
      </c>
      <c r="H47" s="34">
        <f>H30+VLOOKUP($A$1,'Pri Housing Generation'!$A$96:$DQ$118, 64, FALSE)</f>
        <v>200</v>
      </c>
      <c r="I47" s="99">
        <f t="shared" si="19"/>
        <v>190</v>
      </c>
      <c r="J47" s="181"/>
      <c r="K47" s="235"/>
      <c r="L47" s="83"/>
      <c r="M47" s="107">
        <f t="shared" si="14"/>
        <v>0.69264047356152625</v>
      </c>
      <c r="O47" s="35">
        <f t="shared" si="15"/>
        <v>132</v>
      </c>
      <c r="Q47" s="25">
        <f t="shared" si="20"/>
        <v>2025</v>
      </c>
      <c r="R47" s="20">
        <f t="shared" si="16"/>
        <v>161</v>
      </c>
      <c r="S47" s="53">
        <f t="shared" si="24"/>
        <v>164</v>
      </c>
      <c r="T47" s="53">
        <f t="shared" si="24"/>
        <v>148</v>
      </c>
      <c r="U47" s="53">
        <f t="shared" si="24"/>
        <v>158</v>
      </c>
      <c r="V47" s="34">
        <f t="shared" si="22"/>
        <v>125</v>
      </c>
      <c r="W47" s="34">
        <f t="shared" si="23"/>
        <v>71</v>
      </c>
      <c r="X47" s="101">
        <f t="shared" si="17"/>
        <v>827</v>
      </c>
    </row>
    <row r="48" spans="1:27" x14ac:dyDescent="0.25">
      <c r="A48" s="25">
        <f t="shared" si="18"/>
        <v>2026</v>
      </c>
      <c r="B48" s="37">
        <f>B31+VLOOKUP($A$1,'Pri Housing Generation'!$A$96:$DQ$118, 66, FALSE)</f>
        <v>208</v>
      </c>
      <c r="C48" s="34">
        <f>C31+VLOOKUP($A$1,'Pri Housing Generation'!$A$96:$DQ$118, 67, FALSE)</f>
        <v>203</v>
      </c>
      <c r="D48" s="34">
        <f>D31+VLOOKUP($A$1,'Pri Housing Generation'!$A$96:$DQ$118, 68, FALSE)</f>
        <v>202</v>
      </c>
      <c r="E48" s="34">
        <f>E31+VLOOKUP($A$1,'Pri Housing Generation'!$A$96:$DQ$118, 69, FALSE)</f>
        <v>195</v>
      </c>
      <c r="F48" s="34">
        <f>F31+VLOOKUP($A$1,'Pri Housing Generation'!$A$96:$DQ$118, 70, FALSE)</f>
        <v>208</v>
      </c>
      <c r="G48" s="34">
        <f>G31+VLOOKUP($A$1,'Pri Housing Generation'!$A$96:$DQ$118, 71, FALSE)</f>
        <v>184</v>
      </c>
      <c r="H48" s="34">
        <f>H31+VLOOKUP($A$1,'Pri Housing Generation'!$A$96:$DQ$118, 72, FALSE)</f>
        <v>181</v>
      </c>
      <c r="I48" s="99">
        <f t="shared" si="19"/>
        <v>188</v>
      </c>
      <c r="J48" s="181"/>
      <c r="K48" s="83"/>
      <c r="L48" s="83"/>
      <c r="M48" s="107">
        <f t="shared" si="14"/>
        <v>0.69264047356152625</v>
      </c>
      <c r="O48" s="35">
        <f t="shared" si="15"/>
        <v>131</v>
      </c>
      <c r="Q48" s="25">
        <f t="shared" si="20"/>
        <v>2026</v>
      </c>
      <c r="R48" s="20">
        <f t="shared" si="16"/>
        <v>160</v>
      </c>
      <c r="S48" s="53">
        <f t="shared" si="24"/>
        <v>161</v>
      </c>
      <c r="T48" s="53">
        <f t="shared" si="24"/>
        <v>164</v>
      </c>
      <c r="U48" s="53">
        <f t="shared" si="24"/>
        <v>148</v>
      </c>
      <c r="V48" s="34">
        <f t="shared" si="22"/>
        <v>110</v>
      </c>
      <c r="W48" s="34">
        <f t="shared" si="23"/>
        <v>81</v>
      </c>
      <c r="X48" s="101">
        <f t="shared" si="17"/>
        <v>824</v>
      </c>
    </row>
    <row r="49" spans="1:24" x14ac:dyDescent="0.25">
      <c r="A49" s="25">
        <f t="shared" si="18"/>
        <v>2027</v>
      </c>
      <c r="B49" s="37">
        <f>B32+VLOOKUP($A$1,'Pri Housing Generation'!$A$96:$DQ$118, 74, FALSE)</f>
        <v>210</v>
      </c>
      <c r="C49" s="34">
        <f>C32+VLOOKUP($A$1,'Pri Housing Generation'!$A$96:$DQ$118, 75, FALSE)</f>
        <v>206</v>
      </c>
      <c r="D49" s="34">
        <f>D32+VLOOKUP($A$1,'Pri Housing Generation'!$A$96:$DQ$118, 76, FALSE)</f>
        <v>205</v>
      </c>
      <c r="E49" s="34">
        <f>E32+VLOOKUP($A$1,'Pri Housing Generation'!$A$96:$DQ$118, 77, FALSE)</f>
        <v>199</v>
      </c>
      <c r="F49" s="34">
        <f>F32+VLOOKUP($A$1,'Pri Housing Generation'!$A$96:$DQ$118, 78, FALSE)</f>
        <v>197</v>
      </c>
      <c r="G49" s="34">
        <f>G32+VLOOKUP($A$1,'Pri Housing Generation'!$A$96:$DQ$118, 79, FALSE)</f>
        <v>203</v>
      </c>
      <c r="H49" s="34">
        <f>H32+VLOOKUP($A$1,'Pri Housing Generation'!$A$96:$DQ$118, 80, FALSE)</f>
        <v>180</v>
      </c>
      <c r="I49" s="99">
        <f t="shared" si="19"/>
        <v>170</v>
      </c>
      <c r="J49" s="181"/>
      <c r="K49" s="83"/>
      <c r="L49" s="83"/>
      <c r="M49" s="107">
        <f t="shared" si="14"/>
        <v>0.69264047356152625</v>
      </c>
      <c r="O49" s="35">
        <f t="shared" si="15"/>
        <v>118</v>
      </c>
      <c r="Q49" s="25">
        <f t="shared" si="20"/>
        <v>2027</v>
      </c>
      <c r="R49" s="20">
        <f t="shared" si="16"/>
        <v>147</v>
      </c>
      <c r="S49" s="53">
        <f t="shared" si="24"/>
        <v>160</v>
      </c>
      <c r="T49" s="53">
        <f t="shared" si="24"/>
        <v>161</v>
      </c>
      <c r="U49" s="53">
        <f t="shared" si="24"/>
        <v>164</v>
      </c>
      <c r="V49" s="34">
        <f t="shared" si="22"/>
        <v>103</v>
      </c>
      <c r="W49" s="34">
        <f t="shared" si="23"/>
        <v>72</v>
      </c>
      <c r="X49" s="101">
        <f t="shared" si="17"/>
        <v>807</v>
      </c>
    </row>
    <row r="50" spans="1:24" x14ac:dyDescent="0.25">
      <c r="A50" s="25">
        <f t="shared" si="18"/>
        <v>2028</v>
      </c>
      <c r="B50" s="37">
        <f>B33+VLOOKUP($A$1,'Pri Housing Generation'!$A$96:$DQ$118, 82, FALSE)</f>
        <v>213</v>
      </c>
      <c r="C50" s="34">
        <f>C33+VLOOKUP($A$1,'Pri Housing Generation'!$A$96:$DQ$118, 83, FALSE)</f>
        <v>208</v>
      </c>
      <c r="D50" s="34">
        <f>D33+VLOOKUP($A$1,'Pri Housing Generation'!$A$96:$DQ$118, 84, FALSE)</f>
        <v>208</v>
      </c>
      <c r="E50" s="34">
        <f>E33+VLOOKUP($A$1,'Pri Housing Generation'!$A$96:$DQ$118, 85, FALSE)</f>
        <v>201</v>
      </c>
      <c r="F50" s="34">
        <f>F33+VLOOKUP($A$1,'Pri Housing Generation'!$A$96:$DQ$118, 86, FALSE)</f>
        <v>200</v>
      </c>
      <c r="G50" s="34">
        <f>G33+VLOOKUP($A$1,'Pri Housing Generation'!$A$96:$DQ$118, 87, FALSE)</f>
        <v>193</v>
      </c>
      <c r="H50" s="34">
        <f>H33+VLOOKUP($A$1,'Pri Housing Generation'!$A$96:$DQ$118, 88, FALSE)</f>
        <v>199</v>
      </c>
      <c r="I50" s="99">
        <f t="shared" si="19"/>
        <v>169</v>
      </c>
      <c r="J50" s="181"/>
      <c r="K50" s="83"/>
      <c r="L50" s="83"/>
      <c r="M50" s="107">
        <f t="shared" si="14"/>
        <v>0.69264047356152625</v>
      </c>
      <c r="O50" s="35">
        <f t="shared" si="15"/>
        <v>118</v>
      </c>
      <c r="Q50" s="25">
        <f t="shared" si="20"/>
        <v>2028</v>
      </c>
      <c r="R50" s="20">
        <f t="shared" si="16"/>
        <v>147</v>
      </c>
      <c r="S50" s="53">
        <f t="shared" si="24"/>
        <v>147</v>
      </c>
      <c r="T50" s="53">
        <f t="shared" si="24"/>
        <v>160</v>
      </c>
      <c r="U50" s="53">
        <f t="shared" si="24"/>
        <v>161</v>
      </c>
      <c r="V50" s="34">
        <f t="shared" si="22"/>
        <v>114</v>
      </c>
      <c r="W50" s="34">
        <f t="shared" si="23"/>
        <v>67</v>
      </c>
      <c r="X50" s="101">
        <f t="shared" si="17"/>
        <v>796</v>
      </c>
    </row>
    <row r="51" spans="1:24" x14ac:dyDescent="0.25">
      <c r="A51" s="25">
        <f t="shared" si="18"/>
        <v>2029</v>
      </c>
      <c r="B51" s="37">
        <f>B34+VLOOKUP($A$1,'Pri Housing Generation'!$A$96:$DQ$118, 90, FALSE)</f>
        <v>260</v>
      </c>
      <c r="C51" s="34">
        <f>C34+VLOOKUP($A$1,'Pri Housing Generation'!$A$96:$DQ$118, 91, FALSE)</f>
        <v>209</v>
      </c>
      <c r="D51" s="34">
        <f>D34+VLOOKUP($A$1,'Pri Housing Generation'!$A$96:$DQ$118, 92, FALSE)</f>
        <v>209</v>
      </c>
      <c r="E51" s="34">
        <f>E34+VLOOKUP($A$1,'Pri Housing Generation'!$A$96:$DQ$118, 93, FALSE)</f>
        <v>204</v>
      </c>
      <c r="F51" s="34">
        <f>F34+VLOOKUP($A$1,'Pri Housing Generation'!$A$96:$DQ$118, 94, FALSE)</f>
        <v>203</v>
      </c>
      <c r="G51" s="34">
        <f>G34+VLOOKUP($A$1,'Pri Housing Generation'!$A$96:$DQ$118, 95, FALSE)</f>
        <v>196</v>
      </c>
      <c r="H51" s="34">
        <f>H34+VLOOKUP($A$1,'Pri Housing Generation'!$A$96:$DQ$118, 96, FALSE)</f>
        <v>189</v>
      </c>
      <c r="I51" s="99">
        <f t="shared" si="19"/>
        <v>187</v>
      </c>
      <c r="J51" s="181"/>
      <c r="K51" s="83"/>
      <c r="L51" s="83"/>
      <c r="M51" s="107">
        <f t="shared" si="14"/>
        <v>0.69264047356152625</v>
      </c>
      <c r="O51" s="35">
        <f t="shared" si="15"/>
        <v>130</v>
      </c>
      <c r="Q51" s="25">
        <f t="shared" si="20"/>
        <v>2029</v>
      </c>
      <c r="R51" s="20">
        <f t="shared" si="16"/>
        <v>159</v>
      </c>
      <c r="S51" s="53">
        <f t="shared" si="24"/>
        <v>147</v>
      </c>
      <c r="T51" s="53">
        <f t="shared" si="24"/>
        <v>147</v>
      </c>
      <c r="U51" s="53">
        <f t="shared" si="24"/>
        <v>160</v>
      </c>
      <c r="V51" s="34">
        <f t="shared" si="22"/>
        <v>112</v>
      </c>
      <c r="W51" s="34">
        <f t="shared" si="23"/>
        <v>74</v>
      </c>
      <c r="X51" s="101">
        <f t="shared" si="17"/>
        <v>799</v>
      </c>
    </row>
    <row r="52" spans="1:24" x14ac:dyDescent="0.25">
      <c r="A52" s="25">
        <f t="shared" si="18"/>
        <v>2030</v>
      </c>
      <c r="B52" s="37">
        <f>B35+VLOOKUP($A$1,'Pri Housing Generation'!$A$96:$DQ$118, 98, FALSE)</f>
        <v>262</v>
      </c>
      <c r="C52" s="34">
        <f>C35+VLOOKUP($A$1,'Pri Housing Generation'!$A$96:$DQ$118, 99, FALSE)</f>
        <v>256</v>
      </c>
      <c r="D52" s="34">
        <f>D35+VLOOKUP($A$1,'Pri Housing Generation'!$A$96:$DQ$118, 100, FALSE)</f>
        <v>210</v>
      </c>
      <c r="E52" s="34">
        <f>E35+VLOOKUP($A$1,'Pri Housing Generation'!$A$96:$DQ$118, 101, FALSE)</f>
        <v>205</v>
      </c>
      <c r="F52" s="34">
        <f>F35+VLOOKUP($A$1,'Pri Housing Generation'!$A$96:$DQ$118, 102, FALSE)</f>
        <v>205</v>
      </c>
      <c r="G52" s="34">
        <f>G35+VLOOKUP($A$1,'Pri Housing Generation'!$A$96:$DQ$118, 103, FALSE)</f>
        <v>198</v>
      </c>
      <c r="H52" s="34">
        <f>H35+VLOOKUP($A$1,'Pri Housing Generation'!$A$96:$DQ$118, 104, FALSE)</f>
        <v>192</v>
      </c>
      <c r="I52" s="99">
        <f t="shared" si="19"/>
        <v>177</v>
      </c>
      <c r="J52" s="54"/>
      <c r="K52" s="83"/>
      <c r="L52" s="83"/>
      <c r="M52" s="107">
        <f t="shared" si="14"/>
        <v>0.69264047356152625</v>
      </c>
      <c r="O52" s="35">
        <f t="shared" si="15"/>
        <v>123</v>
      </c>
      <c r="Q52" s="25">
        <f t="shared" si="20"/>
        <v>2030</v>
      </c>
      <c r="R52" s="20">
        <f t="shared" si="16"/>
        <v>152</v>
      </c>
      <c r="S52" s="53">
        <f t="shared" si="24"/>
        <v>159</v>
      </c>
      <c r="T52" s="53">
        <f t="shared" si="24"/>
        <v>147</v>
      </c>
      <c r="U52" s="53">
        <f t="shared" si="24"/>
        <v>147</v>
      </c>
      <c r="V52" s="34">
        <f t="shared" si="22"/>
        <v>112</v>
      </c>
      <c r="W52" s="34">
        <f t="shared" si="23"/>
        <v>73</v>
      </c>
      <c r="X52" s="101">
        <f t="shared" si="17"/>
        <v>790</v>
      </c>
    </row>
    <row r="53" spans="1:24" x14ac:dyDescent="0.25">
      <c r="A53" s="25">
        <f t="shared" si="18"/>
        <v>2031</v>
      </c>
      <c r="B53" s="37">
        <f>B36+VLOOKUP($A$1,'Pri Housing Generation'!$A$96:$DQ$118, 106, FALSE)</f>
        <v>262</v>
      </c>
      <c r="C53" s="34">
        <f>C36+VLOOKUP($A$1,'Pri Housing Generation'!$A$96:$DQ$118, 107, FALSE)</f>
        <v>258</v>
      </c>
      <c r="D53" s="34">
        <f>D36+VLOOKUP($A$1,'Pri Housing Generation'!$A$96:$DQ$118, 108, FALSE)</f>
        <v>259</v>
      </c>
      <c r="E53" s="34">
        <f>E36+VLOOKUP($A$1,'Pri Housing Generation'!$A$96:$DQ$118, 109, FALSE)</f>
        <v>207</v>
      </c>
      <c r="F53" s="34">
        <f>F36+VLOOKUP($A$1,'Pri Housing Generation'!$A$96:$DQ$118, 110, FALSE)</f>
        <v>206</v>
      </c>
      <c r="G53" s="34">
        <f>G36+VLOOKUP($A$1,'Pri Housing Generation'!$A$96:$DQ$118, 111, FALSE)</f>
        <v>200</v>
      </c>
      <c r="H53" s="34">
        <f>H36+VLOOKUP($A$1,'Pri Housing Generation'!$A$96:$DQ$118, 112, FALSE)</f>
        <v>194</v>
      </c>
      <c r="I53" s="99">
        <f t="shared" si="19"/>
        <v>180</v>
      </c>
      <c r="J53" s="54"/>
      <c r="K53" s="83"/>
      <c r="L53" s="83"/>
      <c r="M53" s="107">
        <f t="shared" si="14"/>
        <v>0.69264047356152625</v>
      </c>
      <c r="O53" s="35">
        <f t="shared" si="15"/>
        <v>125</v>
      </c>
      <c r="Q53" s="25">
        <f t="shared" si="20"/>
        <v>2031</v>
      </c>
      <c r="R53" s="20">
        <f t="shared" si="16"/>
        <v>154</v>
      </c>
      <c r="S53" s="53">
        <f t="shared" si="24"/>
        <v>152</v>
      </c>
      <c r="T53" s="53">
        <f t="shared" si="24"/>
        <v>159</v>
      </c>
      <c r="U53" s="53">
        <f t="shared" si="24"/>
        <v>147</v>
      </c>
      <c r="V53" s="34">
        <f t="shared" si="22"/>
        <v>103</v>
      </c>
      <c r="W53" s="34">
        <f t="shared" si="23"/>
        <v>73</v>
      </c>
      <c r="X53" s="101">
        <f t="shared" si="17"/>
        <v>788</v>
      </c>
    </row>
    <row r="54" spans="1:24" x14ac:dyDescent="0.25">
      <c r="A54" s="25">
        <f t="shared" si="18"/>
        <v>2032</v>
      </c>
      <c r="B54" s="37">
        <f>B37+VLOOKUP($A$1,'Pri Housing Generation'!$A$96:$DQ$118, 114, FALSE)</f>
        <v>262</v>
      </c>
      <c r="C54" s="34">
        <f>C37+VLOOKUP($A$1,'Pri Housing Generation'!$A$96:$DQ$118, 115, FALSE)</f>
        <v>258</v>
      </c>
      <c r="D54" s="34">
        <f>D37+VLOOKUP($A$1,'Pri Housing Generation'!$A$96:$DQ$118, 116, FALSE)</f>
        <v>260</v>
      </c>
      <c r="E54" s="34">
        <f>E37+VLOOKUP($A$1,'Pri Housing Generation'!$A$96:$DQ$118, 117, FALSE)</f>
        <v>254</v>
      </c>
      <c r="F54" s="34">
        <f>F37+VLOOKUP($A$1,'Pri Housing Generation'!$A$96:$DQ$118, 118, FALSE)</f>
        <v>208</v>
      </c>
      <c r="G54" s="34">
        <f>G37+VLOOKUP($A$1,'Pri Housing Generation'!$A$96:$DQ$118, 119, FALSE)</f>
        <v>202</v>
      </c>
      <c r="H54" s="34">
        <f>H37+VLOOKUP($A$1,'Pri Housing Generation'!$A$96:$DQ$118, 120, FALSE)</f>
        <v>196</v>
      </c>
      <c r="I54" s="99">
        <f t="shared" si="19"/>
        <v>182</v>
      </c>
      <c r="K54" s="83"/>
      <c r="L54" s="83"/>
      <c r="M54" s="107">
        <f t="shared" si="14"/>
        <v>0.69264047356152625</v>
      </c>
      <c r="O54" s="35">
        <f t="shared" si="15"/>
        <v>127</v>
      </c>
      <c r="Q54" s="25">
        <f t="shared" si="20"/>
        <v>2032</v>
      </c>
      <c r="R54" s="20">
        <f t="shared" si="16"/>
        <v>156</v>
      </c>
      <c r="S54" s="53">
        <f t="shared" si="24"/>
        <v>154</v>
      </c>
      <c r="T54" s="53">
        <f t="shared" si="24"/>
        <v>152</v>
      </c>
      <c r="U54" s="53">
        <f t="shared" si="24"/>
        <v>159</v>
      </c>
      <c r="V54" s="34">
        <f t="shared" si="22"/>
        <v>103</v>
      </c>
      <c r="W54" s="34">
        <f t="shared" si="23"/>
        <v>67</v>
      </c>
      <c r="X54" s="101">
        <f t="shared" si="17"/>
        <v>791</v>
      </c>
    </row>
    <row r="56" spans="1:24" ht="15.75" x14ac:dyDescent="0.25">
      <c r="A56" s="129" t="s">
        <v>223</v>
      </c>
      <c r="F56" s="131"/>
      <c r="G56" s="131"/>
      <c r="H56" s="131"/>
      <c r="I56" s="131"/>
      <c r="J56" s="131"/>
    </row>
    <row r="57" spans="1:24" x14ac:dyDescent="0.25">
      <c r="F57" s="131"/>
      <c r="G57" s="131"/>
      <c r="H57" s="131"/>
      <c r="I57" s="131"/>
      <c r="J57" s="131"/>
    </row>
    <row r="58" spans="1:24" x14ac:dyDescent="0.25">
      <c r="A58" s="21" t="s">
        <v>224</v>
      </c>
      <c r="F58" s="132"/>
      <c r="G58" s="131"/>
      <c r="H58" s="131"/>
      <c r="I58" s="131"/>
      <c r="J58" s="131"/>
    </row>
    <row r="59" spans="1:24" x14ac:dyDescent="0.25">
      <c r="A59" s="21"/>
      <c r="F59" s="132"/>
      <c r="G59" s="131"/>
      <c r="H59" s="131"/>
      <c r="I59" s="131"/>
      <c r="J59" s="131"/>
    </row>
    <row r="60" spans="1:24" ht="33" customHeight="1" x14ac:dyDescent="0.25">
      <c r="A60" s="136"/>
      <c r="B60" s="137" t="s">
        <v>225</v>
      </c>
      <c r="C60" s="413" t="s">
        <v>226</v>
      </c>
      <c r="D60" s="414"/>
      <c r="F60" s="132"/>
      <c r="G60" s="130"/>
      <c r="H60" s="130"/>
      <c r="I60" s="130"/>
      <c r="J60" s="130"/>
    </row>
    <row r="61" spans="1:24" x14ac:dyDescent="0.25">
      <c r="A61" s="25">
        <v>2011</v>
      </c>
      <c r="B61" s="128">
        <v>26</v>
      </c>
      <c r="C61" s="415">
        <f t="shared" ref="C61:C66" si="25">1-(I13/(I13+B61))</f>
        <v>0.15384615384615385</v>
      </c>
      <c r="D61" s="388"/>
      <c r="F61" s="133"/>
      <c r="G61" s="54"/>
      <c r="H61" s="54"/>
      <c r="I61" s="54"/>
      <c r="J61" s="54"/>
    </row>
    <row r="62" spans="1:24" x14ac:dyDescent="0.25">
      <c r="A62" s="25">
        <v>2012</v>
      </c>
      <c r="B62" s="128">
        <v>38</v>
      </c>
      <c r="C62" s="415">
        <f t="shared" si="25"/>
        <v>0.19587628865979378</v>
      </c>
      <c r="D62" s="388"/>
      <c r="F62" s="133"/>
      <c r="G62" s="54"/>
      <c r="H62" s="54"/>
      <c r="I62" s="54"/>
      <c r="J62" s="54"/>
      <c r="K62" s="181"/>
      <c r="N62" s="109"/>
      <c r="S62" s="82"/>
    </row>
    <row r="63" spans="1:24" x14ac:dyDescent="0.25">
      <c r="A63" s="25">
        <v>2013</v>
      </c>
      <c r="B63" s="128">
        <v>20</v>
      </c>
      <c r="C63" s="415">
        <f t="shared" si="25"/>
        <v>0.11111111111111116</v>
      </c>
      <c r="D63" s="388"/>
      <c r="F63" s="133"/>
      <c r="G63" s="54"/>
      <c r="H63" s="54"/>
      <c r="I63" s="54"/>
      <c r="J63" s="54"/>
      <c r="K63" s="181"/>
      <c r="N63" s="109"/>
      <c r="S63" s="82"/>
    </row>
    <row r="64" spans="1:24" x14ac:dyDescent="0.25">
      <c r="A64" s="25">
        <v>2014</v>
      </c>
      <c r="B64" s="128">
        <v>26</v>
      </c>
      <c r="C64" s="415">
        <f t="shared" si="25"/>
        <v>0.16666666666666663</v>
      </c>
      <c r="D64" s="388"/>
      <c r="F64" s="133"/>
      <c r="G64" s="54"/>
      <c r="H64" s="54"/>
      <c r="I64" s="54"/>
      <c r="J64" s="54"/>
      <c r="K64" s="181"/>
      <c r="N64" s="109"/>
      <c r="S64" s="82"/>
    </row>
    <row r="65" spans="1:19" x14ac:dyDescent="0.25">
      <c r="A65" s="25">
        <v>2015</v>
      </c>
      <c r="B65" s="128">
        <v>25</v>
      </c>
      <c r="C65" s="415">
        <f t="shared" si="25"/>
        <v>0.12437810945273631</v>
      </c>
      <c r="D65" s="388"/>
      <c r="F65" s="133"/>
      <c r="G65" s="54"/>
      <c r="H65" s="54"/>
      <c r="I65" s="54"/>
      <c r="J65" s="54"/>
      <c r="K65" s="181"/>
      <c r="N65" s="109"/>
      <c r="S65" s="82"/>
    </row>
    <row r="66" spans="1:19" x14ac:dyDescent="0.25">
      <c r="A66" s="25">
        <v>2016</v>
      </c>
      <c r="B66" s="128"/>
      <c r="C66" s="415">
        <f t="shared" si="25"/>
        <v>0</v>
      </c>
      <c r="D66" s="388"/>
      <c r="F66" s="133"/>
      <c r="G66" s="54"/>
      <c r="H66" s="54"/>
      <c r="I66" s="54"/>
      <c r="J66" s="54"/>
      <c r="K66" s="181"/>
      <c r="N66" s="109"/>
      <c r="S66" s="82"/>
    </row>
    <row r="67" spans="1:19" x14ac:dyDescent="0.25">
      <c r="A67" s="279"/>
      <c r="B67" s="277"/>
      <c r="C67" s="50"/>
      <c r="D67" s="131"/>
      <c r="F67" s="133"/>
      <c r="G67" s="54"/>
      <c r="H67" s="54"/>
      <c r="I67" s="54"/>
      <c r="J67" s="54"/>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T19:U20"/>
    <mergeCell ref="K20:M20"/>
    <mergeCell ref="K14:L14"/>
    <mergeCell ref="K15:L15"/>
    <mergeCell ref="C66:D66"/>
    <mergeCell ref="K39:K40"/>
    <mergeCell ref="M39:M40"/>
    <mergeCell ref="O39:O40"/>
    <mergeCell ref="C64:D64"/>
    <mergeCell ref="C65:D65"/>
    <mergeCell ref="C60:D60"/>
    <mergeCell ref="C61:D61"/>
    <mergeCell ref="C62:D62"/>
    <mergeCell ref="C63:D63"/>
    <mergeCell ref="K11:L13"/>
    <mergeCell ref="M11:M13"/>
    <mergeCell ref="O11:O13"/>
    <mergeCell ref="K18:L18"/>
    <mergeCell ref="A19:B20"/>
    <mergeCell ref="K19:M19"/>
    <mergeCell ref="K16:L16"/>
    <mergeCell ref="K17:L17"/>
  </mergeCells>
  <conditionalFormatting sqref="R41:R72">
    <cfRule type="cellIs" dxfId="29" priority="30" operator="greaterThan">
      <formula>$C$7</formula>
    </cfRule>
  </conditionalFormatting>
  <conditionalFormatting sqref="X41:X72">
    <cfRule type="cellIs" dxfId="28" priority="29"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AA84"/>
  <sheetViews>
    <sheetView topLeftCell="A28" workbookViewId="0">
      <selection activeCell="K14" sqref="K14:L18"/>
    </sheetView>
  </sheetViews>
  <sheetFormatPr defaultRowHeight="15" x14ac:dyDescent="0.25"/>
  <cols>
    <col min="10" max="10" width="10.42578125"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101</v>
      </c>
    </row>
    <row r="2" spans="1:24" x14ac:dyDescent="0.25">
      <c r="A2" t="s">
        <v>400</v>
      </c>
    </row>
    <row r="4" spans="1:24" x14ac:dyDescent="0.25">
      <c r="A4" s="21" t="s">
        <v>192</v>
      </c>
    </row>
    <row r="5" spans="1:24" x14ac:dyDescent="0.25">
      <c r="A5" s="21"/>
    </row>
    <row r="6" spans="1:24" x14ac:dyDescent="0.25">
      <c r="A6" s="21" t="s">
        <v>193</v>
      </c>
      <c r="C6" s="100">
        <f>VLOOKUP(A1,'Projection Summary'!A5:C50,3,FALSE)</f>
        <v>650</v>
      </c>
    </row>
    <row r="7" spans="1:24" x14ac:dyDescent="0.25">
      <c r="A7" s="21" t="s">
        <v>191</v>
      </c>
      <c r="B7" s="21"/>
      <c r="C7" s="100">
        <f>VLOOKUP(A1,'Projection Summary'!A5:C50,2,FALSE)</f>
        <v>120</v>
      </c>
    </row>
    <row r="9" spans="1:24" ht="15.75" x14ac:dyDescent="0.25">
      <c r="A9" s="129" t="s">
        <v>197</v>
      </c>
      <c r="R9" s="129" t="s">
        <v>198</v>
      </c>
      <c r="T9" s="173"/>
    </row>
    <row r="10" spans="1:24" x14ac:dyDescent="0.25">
      <c r="A10" s="21"/>
    </row>
    <row r="11" spans="1:24" x14ac:dyDescent="0.25">
      <c r="A11" s="21" t="s">
        <v>254</v>
      </c>
      <c r="K11" s="406" t="s">
        <v>137</v>
      </c>
      <c r="L11" s="407"/>
      <c r="M11" s="412" t="s">
        <v>139</v>
      </c>
      <c r="N11" s="49"/>
      <c r="O11" s="394" t="s">
        <v>136</v>
      </c>
      <c r="R11" s="21" t="s">
        <v>251</v>
      </c>
      <c r="S11" s="52"/>
      <c r="T11" s="52"/>
      <c r="U11" s="52"/>
      <c r="V11" s="52"/>
      <c r="W11" s="52"/>
      <c r="X11" s="52"/>
    </row>
    <row r="12" spans="1:24" x14ac:dyDescent="0.25">
      <c r="A12" s="22" t="s">
        <v>114</v>
      </c>
      <c r="B12" s="24" t="s">
        <v>1</v>
      </c>
      <c r="C12" s="24" t="s">
        <v>115</v>
      </c>
      <c r="D12" s="24" t="s">
        <v>116</v>
      </c>
      <c r="E12" s="24" t="s">
        <v>117</v>
      </c>
      <c r="F12" s="24" t="s">
        <v>118</v>
      </c>
      <c r="G12" s="24" t="s">
        <v>119</v>
      </c>
      <c r="H12" s="236" t="s">
        <v>120</v>
      </c>
      <c r="I12" s="27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114</v>
      </c>
      <c r="C13" s="19">
        <f>VLOOKUP($A$1,'Primary Catchment Analysis'!$A$3:$BE$25, 38, FALSE)</f>
        <v>95</v>
      </c>
      <c r="D13" s="27">
        <f>VLOOKUP($A$1,'Primary Catchment Analysis'!$A$3:$BE$25, 39, FALSE)</f>
        <v>85</v>
      </c>
      <c r="E13" s="27">
        <f>VLOOKUP($A$1,'Primary Catchment Analysis'!$A$3:$BE$25, 40, FALSE)</f>
        <v>97</v>
      </c>
      <c r="F13" s="27">
        <f>VLOOKUP($A$1,'Primary Catchment Analysis'!$A$3:$BE$25, 41, FALSE)</f>
        <v>72</v>
      </c>
      <c r="G13" s="126">
        <f>VLOOKUP($A$1,'Primary Catchment Analysis'!$A$3:$BE$25, 42, FALSE)</f>
        <v>94</v>
      </c>
      <c r="H13" s="27">
        <f>VLOOKUP($A$1,'Primary Catchment Analysis'!$A$3:$BE$25, 43, FALSE)</f>
        <v>85</v>
      </c>
      <c r="I13" s="27">
        <f>VLOOKUP($A$1,'S1 Catchment Analysis'!A3:I25, 7, FALSE)</f>
        <v>99</v>
      </c>
      <c r="J13" s="23"/>
      <c r="K13" s="410"/>
      <c r="L13" s="411"/>
      <c r="M13" s="399"/>
      <c r="N13" s="50"/>
      <c r="O13" s="399"/>
      <c r="P13" s="50"/>
      <c r="Q13" s="25">
        <f>A13</f>
        <v>2013</v>
      </c>
      <c r="R13" s="69">
        <f>VLOOKUP($A$1,'Secondary Rolls'!$A$3:$BE$25, 37, FALSE)</f>
        <v>120</v>
      </c>
      <c r="S13" s="53">
        <f>VLOOKUP($A$1,'Secondary Rolls'!$A$3:$BE$25, 38, FALSE)</f>
        <v>110</v>
      </c>
      <c r="T13" s="53">
        <f>VLOOKUP($A$1,'Secondary Rolls'!$A$3:$BE$25, 39, FALSE)</f>
        <v>122</v>
      </c>
      <c r="U13" s="122">
        <f>VLOOKUP($A$1,'Secondary Rolls'!$A$3:$BE$25, 40, FALSE)</f>
        <v>114</v>
      </c>
      <c r="V13" s="63">
        <f>VLOOKUP($A$1,'Secondary Rolls'!$A$3:$BE$25, 41, FALSE)</f>
        <v>87</v>
      </c>
      <c r="W13" s="53">
        <f>VLOOKUP($A$1,'Secondary Rolls'!$A$3:$BE$25, 42, FALSE)</f>
        <v>57</v>
      </c>
      <c r="X13" s="62">
        <f t="shared" ref="X13:X17" si="0">SUM(R13:W13)</f>
        <v>610</v>
      </c>
    </row>
    <row r="14" spans="1:24" ht="15.75" thickBot="1" x14ac:dyDescent="0.3">
      <c r="A14" s="25">
        <f>VLOOKUP($A$12,'S1 Catchment Analysis'!A2:I2, 6, FALSE)</f>
        <v>2014</v>
      </c>
      <c r="B14" s="45">
        <f>VLOOKUP($A$1,'Primary Catchment Analysis'!$A$3:$BE$25, 30, FALSE)</f>
        <v>108</v>
      </c>
      <c r="C14" s="44">
        <f>VLOOKUP($A$1,'Primary Catchment Analysis'!$A$3:$BE$25, 31, FALSE)</f>
        <v>120</v>
      </c>
      <c r="D14" s="19">
        <f>VLOOKUP($A$1,'Primary Catchment Analysis'!$A$3:$BE$25, 32, FALSE)</f>
        <v>93</v>
      </c>
      <c r="E14" s="27">
        <f>VLOOKUP($A$1,'Primary Catchment Analysis'!$A$3:$BE$25, 33, FALSE)</f>
        <v>85</v>
      </c>
      <c r="F14" s="27">
        <f>VLOOKUP($A$1,'Primary Catchment Analysis'!$A$3:$BE$25, 34, FALSE)</f>
        <v>94</v>
      </c>
      <c r="G14" s="126">
        <f>VLOOKUP($A$1,'Primary Catchment Analysis'!$A$3:$BE$25, 35, FALSE)</f>
        <v>75</v>
      </c>
      <c r="H14" s="28">
        <f>VLOOKUP($A$1,'Primary Catchment Analysis'!$A$3:$BE$25, 36, FALSE)</f>
        <v>90</v>
      </c>
      <c r="I14" s="27">
        <f>VLOOKUP($A$1,'S1 Catchment Analysis'!A3:I25, 6, FALSE)</f>
        <v>97</v>
      </c>
      <c r="J14" s="23"/>
      <c r="K14" s="400">
        <f>VLOOKUP($A$1,'S1 Catchment Retained'!A2:I25, 6, FALSE)</f>
        <v>77</v>
      </c>
      <c r="L14" s="401"/>
      <c r="M14" s="110">
        <f t="shared" ref="M14:M18" si="1">(K14/I14)</f>
        <v>0.79381443298969068</v>
      </c>
      <c r="N14" s="50"/>
      <c r="O14" s="111">
        <f t="shared" ref="O14:O18" si="2">R14-K14</f>
        <v>37</v>
      </c>
      <c r="P14" s="50"/>
      <c r="Q14" s="25">
        <f t="shared" ref="Q14:Q18" si="3">A14</f>
        <v>2014</v>
      </c>
      <c r="R14" s="67">
        <f>VLOOKUP($A$1,'Secondary Rolls'!$A$3:$BE$25, 30, FALSE)</f>
        <v>114</v>
      </c>
      <c r="S14" s="69">
        <f>VLOOKUP($A$1,'Secondary Rolls'!$A$3:$BE$25, 31, FALSE)</f>
        <v>119</v>
      </c>
      <c r="T14" s="61">
        <f>VLOOKUP($A$1,'Secondary Rolls'!$A$3:$BE$25, 32, FALSE)</f>
        <v>110</v>
      </c>
      <c r="U14" s="61">
        <f>VLOOKUP($A$1,'Secondary Rolls'!$A$3:$BE$25, 33, FALSE)</f>
        <v>117</v>
      </c>
      <c r="V14" s="64">
        <f>VLOOKUP($A$1,'Secondary Rolls'!$A$3:$BE$25, 34, FALSE)</f>
        <v>96</v>
      </c>
      <c r="W14" s="116">
        <f>VLOOKUP($A$1,'Secondary Rolls'!$A$3:$BE$25, 35, FALSE)</f>
        <v>62</v>
      </c>
      <c r="X14" s="62">
        <f t="shared" si="0"/>
        <v>618</v>
      </c>
    </row>
    <row r="15" spans="1:24" ht="15.75" thickBot="1" x14ac:dyDescent="0.3">
      <c r="A15" s="25">
        <f>VLOOKUP($A$12,'S1 Catchment Analysis'!A2:I2, 5, FALSE)</f>
        <v>2015</v>
      </c>
      <c r="B15" s="19">
        <f>VLOOKUP($A$1,'Primary Catchment Analysis'!$A$3:$BE$25, 23, FALSE)</f>
        <v>97</v>
      </c>
      <c r="C15" s="45">
        <f>VLOOKUP($A$1,'Primary Catchment Analysis'!$A$3:$BE$25, 24, FALSE)</f>
        <v>108</v>
      </c>
      <c r="D15" s="44">
        <f>VLOOKUP($A$1,'Primary Catchment Analysis'!$A$3:$BE$25, 25, FALSE)</f>
        <v>118</v>
      </c>
      <c r="E15" s="19">
        <f>VLOOKUP($A$1,'Primary Catchment Analysis'!$A$3:$BE$25, 26, FALSE)</f>
        <v>100</v>
      </c>
      <c r="F15" s="27">
        <f>VLOOKUP($A$1,'Primary Catchment Analysis'!$A$3:$BE$25, 27, FALSE)</f>
        <v>85</v>
      </c>
      <c r="G15" s="126">
        <f>VLOOKUP($A$1,'Primary Catchment Analysis'!$A$3:$BE$25, 28, FALSE)</f>
        <v>82</v>
      </c>
      <c r="H15" s="30">
        <f>VLOOKUP($A$1,'Primary Catchment Analysis'!$A$3:$BE$25, 29, FALSE)</f>
        <v>71</v>
      </c>
      <c r="I15" s="29">
        <f>VLOOKUP($A$1,'S1 Catchment Analysis'!A3:I25, 5, FALSE)</f>
        <v>96</v>
      </c>
      <c r="J15" s="23"/>
      <c r="K15" s="400">
        <f>VLOOKUP($A$1,'S1 Catchment Retained'!A2:I25, 5, FALSE)</f>
        <v>77</v>
      </c>
      <c r="L15" s="401"/>
      <c r="M15" s="110">
        <f t="shared" si="1"/>
        <v>0.80208333333333337</v>
      </c>
      <c r="N15" s="50"/>
      <c r="O15" s="111">
        <f t="shared" si="2"/>
        <v>38</v>
      </c>
      <c r="P15" s="50"/>
      <c r="Q15" s="25">
        <f t="shared" si="3"/>
        <v>2015</v>
      </c>
      <c r="R15" s="68">
        <f>VLOOKUP($A$1,'Secondary Rolls'!$A$3:$BE$25, 23, FALSE)</f>
        <v>115</v>
      </c>
      <c r="S15" s="67">
        <f>VLOOKUP($A$1,'Secondary Rolls'!$A$3:$BE$25, 24, FALSE)</f>
        <v>115</v>
      </c>
      <c r="T15" s="71">
        <f>VLOOKUP($A$1,'Secondary Rolls'!$A$3:$BE$25, 25, FALSE)</f>
        <v>119</v>
      </c>
      <c r="U15" s="61">
        <f>VLOOKUP($A$1,'Secondary Rolls'!$A$3:$BE$25, 26, FALSE)</f>
        <v>107</v>
      </c>
      <c r="V15" s="123">
        <f>VLOOKUP($A$1,'Secondary Rolls'!$A$3:$BE$25, 27, FALSE)</f>
        <v>100</v>
      </c>
      <c r="W15" s="64">
        <f>VLOOKUP($A$1,'Secondary Rolls'!$A$3:$BE$25, 28, FALSE)</f>
        <v>59</v>
      </c>
      <c r="X15" s="62">
        <f t="shared" si="0"/>
        <v>615</v>
      </c>
    </row>
    <row r="16" spans="1:24" ht="15.75" thickBot="1" x14ac:dyDescent="0.3">
      <c r="A16" s="25">
        <f>VLOOKUP($A$12,'S1 Catchment Analysis'!A2:I2, 4, FALSE)</f>
        <v>2016</v>
      </c>
      <c r="B16" s="44">
        <f>VLOOKUP($A$1,'Primary Catchment Analysis'!$A$3:$BE$25, 16, FALSE)</f>
        <v>105</v>
      </c>
      <c r="C16" s="19">
        <f>VLOOKUP($A$1,'Primary Catchment Analysis'!$A$3:$BE$25, 17, FALSE)</f>
        <v>99</v>
      </c>
      <c r="D16" s="45">
        <f>VLOOKUP($A$1,'Primary Catchment Analysis'!$A$3:$BE$25, 18, FALSE)</f>
        <v>109</v>
      </c>
      <c r="E16" s="44">
        <f>VLOOKUP($A$1,'Primary Catchment Analysis'!$A$3:$BE$25, 19, FALSE)</f>
        <v>123</v>
      </c>
      <c r="F16" s="19">
        <f>VLOOKUP($A$1,'Primary Catchment Analysis'!$A$3:$BE$25, 20, FALSE)</f>
        <v>96</v>
      </c>
      <c r="G16" s="126">
        <f>VLOOKUP($A$1,'Primary Catchment Analysis'!$A$3:$BE$25, 21, FALSE)</f>
        <v>84</v>
      </c>
      <c r="H16" s="112">
        <f>VLOOKUP($A$1,'Primary Catchment Analysis'!$A$3:$BE$25, 22, FALSE)</f>
        <v>84</v>
      </c>
      <c r="I16" s="30">
        <f>VLOOKUP($A$1,'S1 Catchment Analysis'!A3:I25, 4, FALSE)</f>
        <v>86</v>
      </c>
      <c r="J16" s="23"/>
      <c r="K16" s="400">
        <f>VLOOKUP($A$1,'S1 Catchment Retained'!A2:I25, 4, FALSE)</f>
        <v>73</v>
      </c>
      <c r="L16" s="401"/>
      <c r="M16" s="56">
        <f t="shared" si="1"/>
        <v>0.84883720930232553</v>
      </c>
      <c r="N16" s="50"/>
      <c r="O16" s="103">
        <f t="shared" si="2"/>
        <v>27</v>
      </c>
      <c r="P16" s="50"/>
      <c r="Q16" s="25">
        <f t="shared" si="3"/>
        <v>2016</v>
      </c>
      <c r="R16" s="69">
        <f>VLOOKUP($A$1,'Secondary Rolls'!$A$3:$BE$25, 16, FALSE)</f>
        <v>100</v>
      </c>
      <c r="S16" s="68">
        <f>VLOOKUP($A$1,'Secondary Rolls'!$A$3:$BE$25, 17, FALSE)</f>
        <v>118</v>
      </c>
      <c r="T16" s="70">
        <f>VLOOKUP($A$1,'Secondary Rolls'!$A$3:$BE$25, 18, FALSE)</f>
        <v>112</v>
      </c>
      <c r="U16" s="71">
        <f>VLOOKUP($A$1,'Secondary Rolls'!$A$3:$BE$25, 19, FALSE)</f>
        <v>118</v>
      </c>
      <c r="V16" s="66">
        <f>VLOOKUP($A$1,'Secondary Rolls'!$A$3:$BE$25, 20, FALSE)</f>
        <v>87</v>
      </c>
      <c r="W16" s="65">
        <f>VLOOKUP($A$1,'Secondary Rolls'!$A$3:$BE$25, 21, FALSE)</f>
        <v>69</v>
      </c>
      <c r="X16" s="62">
        <f t="shared" si="0"/>
        <v>604</v>
      </c>
    </row>
    <row r="17" spans="1:27" ht="15.75" thickBot="1" x14ac:dyDescent="0.3">
      <c r="A17" s="258">
        <f>VLOOKUP($A$12,'S1 Catchment Analysis'!A2:I2, 3, FALSE)</f>
        <v>2017</v>
      </c>
      <c r="B17" s="259">
        <f>VLOOKUP($A$1,'Primary Catchment Analysis'!$A$3:$BE$25, 9, FALSE)</f>
        <v>107</v>
      </c>
      <c r="C17" s="260">
        <f>VLOOKUP($A$1,'Primary Catchment Analysis'!$A$3:$BE$25, 10, FALSE)</f>
        <v>107</v>
      </c>
      <c r="D17" s="261">
        <f>VLOOKUP($A$1,'Primary Catchment Analysis'!$A$3:$BE$25, 11, FALSE)</f>
        <v>97</v>
      </c>
      <c r="E17" s="259">
        <f>VLOOKUP($A$1,'Primary Catchment Analysis'!$A$3:$BE$25, 12, FALSE)</f>
        <v>102</v>
      </c>
      <c r="F17" s="260">
        <f>VLOOKUP($A$1,'Primary Catchment Analysis'!$A$3:$BE$25, 13, FALSE)</f>
        <v>127</v>
      </c>
      <c r="G17" s="262">
        <f>VLOOKUP($A$1,'Primary Catchment Analysis'!$A$3:$BE$25, 14, FALSE)</f>
        <v>92</v>
      </c>
      <c r="H17" s="113">
        <f>VLOOKUP($A$1,'Primary Catchment Analysis'!$A$3:$BE$25, 15, FALSE)</f>
        <v>85</v>
      </c>
      <c r="I17" s="31">
        <f>VLOOKUP($A$1,'S1 Catchment Analysis'!A3:I25, 3, FALSE)</f>
        <v>100</v>
      </c>
      <c r="J17" s="23"/>
      <c r="K17" s="402">
        <f>VLOOKUP($A$1,'S1 Catchment Retained'!A2:I25, 3, FALSE)</f>
        <v>72</v>
      </c>
      <c r="L17" s="403"/>
      <c r="M17" s="57">
        <f t="shared" si="1"/>
        <v>0.72</v>
      </c>
      <c r="N17" s="50"/>
      <c r="O17" s="104">
        <f t="shared" si="2"/>
        <v>37</v>
      </c>
      <c r="P17" s="50"/>
      <c r="Q17" s="25">
        <f t="shared" si="3"/>
        <v>2017</v>
      </c>
      <c r="R17" s="264">
        <f>VLOOKUP($A$1,'Secondary Rolls'!$A$3:$BE$25, 9, FALSE)</f>
        <v>109</v>
      </c>
      <c r="S17" s="265">
        <f>VLOOKUP($A$1,'Secondary Rolls'!$A$3:$BE$25, 10, FALSE)</f>
        <v>102</v>
      </c>
      <c r="T17" s="266">
        <f>VLOOKUP($A$1,'Secondary Rolls'!$A$3:$BE$25, 11, FALSE)</f>
        <v>114</v>
      </c>
      <c r="U17" s="270">
        <f>VLOOKUP($A$1,'Secondary Rolls'!$A$3:$BE$25, 12, FALSE)</f>
        <v>105</v>
      </c>
      <c r="V17" s="271">
        <f>VLOOKUP($A$1,'Secondary Rolls'!$A$3:$BE$25, 13, FALSE)</f>
        <v>96</v>
      </c>
      <c r="W17" s="272">
        <f>VLOOKUP($A$1,'Secondary Rolls'!$A$3:$BE$25, 14, FALSE)</f>
        <v>50</v>
      </c>
      <c r="X17" s="116">
        <f t="shared" si="0"/>
        <v>576</v>
      </c>
    </row>
    <row r="18" spans="1:27" ht="15.75" thickBot="1" x14ac:dyDescent="0.3">
      <c r="A18" s="25">
        <f>VLOOKUP($A$12,'S1 Catchment Analysis'!A2:I2, 2, FALSE)</f>
        <v>2018</v>
      </c>
      <c r="B18" s="19">
        <f>VLOOKUP($A$1,'Primary Catchment Analysis'!$A$3:$BE$25, 2, FALSE)</f>
        <v>84</v>
      </c>
      <c r="C18" s="45">
        <f>VLOOKUP($A$1,'Primary Catchment Analysis'!$A$3:$BE$25, 3, FALSE)</f>
        <v>114</v>
      </c>
      <c r="D18" s="44">
        <f>VLOOKUP($A$1,'Primary Catchment Analysis'!$A$3:$BE$25, 4, FALSE)</f>
        <v>104</v>
      </c>
      <c r="E18" s="19">
        <f>VLOOKUP($A$1,'Primary Catchment Analysis'!$A$3:$BE$25, 5, FALSE)</f>
        <v>99</v>
      </c>
      <c r="F18" s="45">
        <f>VLOOKUP($A$1,'Primary Catchment Analysis'!$A$3:$BE$25, 6, FALSE)</f>
        <v>109</v>
      </c>
      <c r="G18" s="273">
        <f>VLOOKUP($A$1,'Primary Catchment Analysis'!$A$3:$BE$25, 7, FALSE)</f>
        <v>117</v>
      </c>
      <c r="H18" s="274">
        <f>VLOOKUP($A$1,'Primary Catchment Analysis'!$A$3:$BE$25, 8, FALSE)</f>
        <v>95</v>
      </c>
      <c r="I18" s="32">
        <f>VLOOKUP($A$1,'S1 Catchment Analysis'!A3:I25, 2, FALSE)</f>
        <v>96</v>
      </c>
      <c r="J18" s="23"/>
      <c r="K18" s="392">
        <f>VLOOKUP($A$1,'S1 Catchment Retained'!A2:I25, 2, FALSE)</f>
        <v>76</v>
      </c>
      <c r="L18" s="393"/>
      <c r="M18" s="58">
        <f t="shared" si="1"/>
        <v>0.79166666666666663</v>
      </c>
      <c r="N18" s="50"/>
      <c r="O18" s="105">
        <f t="shared" si="2"/>
        <v>37</v>
      </c>
      <c r="P18" s="50"/>
      <c r="Q18" s="25">
        <f t="shared" si="3"/>
        <v>2018</v>
      </c>
      <c r="R18" s="68">
        <f>VLOOKUP($A$1,'Secondary Rolls'!$A$3:$BE$25, 2, FALSE)</f>
        <v>113</v>
      </c>
      <c r="S18" s="67">
        <f>VLOOKUP($A$1,'Secondary Rolls'!$A$3:$BE$25, 3, FALSE)</f>
        <v>115</v>
      </c>
      <c r="T18" s="69">
        <f>VLOOKUP($A$1,'Secondary Rolls'!$A$3:$BE$25, 4, FALSE)</f>
        <v>105</v>
      </c>
      <c r="U18" s="68">
        <f>VLOOKUP($A$1,'Secondary Rolls'!$A$3:$BE$25, 5, FALSE)</f>
        <v>117</v>
      </c>
      <c r="V18" s="67">
        <f>VLOOKUP($A$1,'Secondary Rolls'!$A$3:$BE$25, 6, FALSE)</f>
        <v>91</v>
      </c>
      <c r="W18" s="69">
        <f>VLOOKUP($A$1,'Secondary Rolls'!$A$3:$BE$25, 7, FALSE)</f>
        <v>56</v>
      </c>
      <c r="X18" s="53">
        <f t="shared" ref="X18" si="4">SUM(R18:W18)</f>
        <v>597</v>
      </c>
    </row>
    <row r="19" spans="1:27" ht="15" customHeight="1" x14ac:dyDescent="0.25">
      <c r="A19" s="386" t="s">
        <v>380</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-3.5028912165437839E-2</v>
      </c>
      <c r="D20" s="40">
        <f t="shared" ref="D20:I20" si="5">AVERAGE(((C15-D16)/C15),((C16-D17)/C16),((C17-D18)/C17))</f>
        <v>1.2993381373443679E-2</v>
      </c>
      <c r="E20" s="40">
        <f t="shared" si="5"/>
        <v>4.0958180975846889E-4</v>
      </c>
      <c r="F20" s="40">
        <f t="shared" si="5"/>
        <v>-2.0382592061214733E-2</v>
      </c>
      <c r="G20" s="40">
        <f t="shared" si="5"/>
        <v>4.4057176676444855E-2</v>
      </c>
      <c r="H20" s="40">
        <f t="shared" si="5"/>
        <v>-2.2967900486458279E-2</v>
      </c>
      <c r="I20" s="40">
        <f t="shared" si="5"/>
        <v>-0.17705185360529188</v>
      </c>
      <c r="K20" s="389">
        <f>AVERAGE(M16:M18)</f>
        <v>0.78683462532299731</v>
      </c>
      <c r="L20" s="390"/>
      <c r="M20" s="391"/>
      <c r="O20" s="51">
        <f>ROUNDUP((AVERAGE(O16:O18)),0)</f>
        <v>34</v>
      </c>
      <c r="T20" s="388"/>
      <c r="U20" s="388"/>
      <c r="V20" s="40">
        <f>AVERAGE(((U15-V16)/U15),((U16-V17)/U16),((U17-V18)/U17))</f>
        <v>0.16889663304996741</v>
      </c>
      <c r="W20" s="40">
        <f>AVERAGE(((V15-W16)/V15),((V16-W17)/V16),((V17-W18)/V17))</f>
        <v>0.3839846743295019</v>
      </c>
    </row>
    <row r="21" spans="1:27" x14ac:dyDescent="0.25">
      <c r="A21" s="21"/>
      <c r="K21" s="59"/>
      <c r="L21" s="59"/>
    </row>
    <row r="22" spans="1:27" x14ac:dyDescent="0.25">
      <c r="A22" s="21" t="s">
        <v>252</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Projections'!C40+G67</f>
        <v>106</v>
      </c>
      <c r="C24" s="34">
        <f>ROUNDUP((B18-(B18*$C$20)),0)</f>
        <v>87</v>
      </c>
      <c r="D24" s="42">
        <f>ROUNDUP((C18-(C18*$D$20)),0)</f>
        <v>113</v>
      </c>
      <c r="E24" s="43">
        <f>ROUNDUP((D18-(D18*$E$20)),0)</f>
        <v>104</v>
      </c>
      <c r="F24" s="41">
        <f>ROUNDUP((E18-(E18*$F$20)),0)</f>
        <v>102</v>
      </c>
      <c r="G24" s="42">
        <f>ROUNDUP((F18-(F18*$G$20)),0)</f>
        <v>105</v>
      </c>
      <c r="H24" s="43">
        <f>ROUNDUP((G18-(G18*$H$20)),0)</f>
        <v>120</v>
      </c>
      <c r="I24" s="99">
        <f>ROUNDUP((H18-(H18*$I$20)),0)</f>
        <v>112</v>
      </c>
      <c r="J24" s="23"/>
      <c r="K24" s="59"/>
      <c r="L24" s="59"/>
      <c r="Z24" s="109"/>
      <c r="AA24" s="109"/>
    </row>
    <row r="25" spans="1:27" x14ac:dyDescent="0.25">
      <c r="A25" s="25">
        <f>A24+1</f>
        <v>2020</v>
      </c>
      <c r="B25" s="37">
        <f>'P1 Catchment Projections'!D40+G67</f>
        <v>97</v>
      </c>
      <c r="C25" s="34">
        <f t="shared" ref="C25:C33" si="6">ROUNDUP((B24-(B24*$C$20)),0)</f>
        <v>110</v>
      </c>
      <c r="D25" s="34">
        <f t="shared" ref="D25:D33" si="7">ROUNDUP((C24-(C24*$D$20)),0)</f>
        <v>86</v>
      </c>
      <c r="E25" s="42">
        <f t="shared" ref="E25:E33" si="8">ROUNDUP((D24-(D24*$E$20)),0)</f>
        <v>113</v>
      </c>
      <c r="F25" s="43">
        <f t="shared" ref="F25:F33" si="9">ROUNDUP((E24-(E24*$F$20)),0)</f>
        <v>107</v>
      </c>
      <c r="G25" s="41">
        <f t="shared" ref="G25:G33" si="10">ROUNDUP((F24-(F24*$G$20)),0)</f>
        <v>98</v>
      </c>
      <c r="H25" s="42">
        <f t="shared" ref="H25:H33" si="11">ROUNDUP((G24-(G24*$H$20)),0)</f>
        <v>108</v>
      </c>
      <c r="I25" s="99">
        <f t="shared" ref="I25:I33" si="12">ROUNDUP((H24-(H24*$I$20)),0)</f>
        <v>142</v>
      </c>
      <c r="J25" s="23"/>
      <c r="K25" s="59"/>
      <c r="L25" s="59"/>
      <c r="Z25" s="109"/>
      <c r="AA25" s="109"/>
    </row>
    <row r="26" spans="1:27" x14ac:dyDescent="0.25">
      <c r="A26" s="25">
        <f>A25+1</f>
        <v>2021</v>
      </c>
      <c r="B26" s="37">
        <f>'P1 Catchment Projections'!E40+G67</f>
        <v>115</v>
      </c>
      <c r="C26" s="34">
        <f t="shared" si="6"/>
        <v>101</v>
      </c>
      <c r="D26" s="34">
        <f t="shared" si="7"/>
        <v>109</v>
      </c>
      <c r="E26" s="34">
        <f t="shared" si="8"/>
        <v>86</v>
      </c>
      <c r="F26" s="42">
        <f t="shared" si="9"/>
        <v>116</v>
      </c>
      <c r="G26" s="43">
        <f t="shared" si="10"/>
        <v>103</v>
      </c>
      <c r="H26" s="41">
        <f t="shared" si="11"/>
        <v>101</v>
      </c>
      <c r="I26" s="99">
        <f t="shared" si="12"/>
        <v>128</v>
      </c>
      <c r="J26" s="23"/>
      <c r="K26" s="59"/>
      <c r="L26" s="59"/>
      <c r="Z26" s="109"/>
      <c r="AA26" s="109"/>
    </row>
    <row r="27" spans="1:27" x14ac:dyDescent="0.25">
      <c r="A27" s="25">
        <f>A26+1</f>
        <v>2022</v>
      </c>
      <c r="B27" s="37">
        <f>'P1 Catchment Projections'!F40+G67</f>
        <v>100</v>
      </c>
      <c r="C27" s="34">
        <f t="shared" si="6"/>
        <v>120</v>
      </c>
      <c r="D27" s="34">
        <f t="shared" si="7"/>
        <v>100</v>
      </c>
      <c r="E27" s="34">
        <f t="shared" si="8"/>
        <v>109</v>
      </c>
      <c r="F27" s="34">
        <f t="shared" si="9"/>
        <v>88</v>
      </c>
      <c r="G27" s="42">
        <f t="shared" si="10"/>
        <v>111</v>
      </c>
      <c r="H27" s="43">
        <f t="shared" si="11"/>
        <v>106</v>
      </c>
      <c r="I27" s="99">
        <f t="shared" si="12"/>
        <v>119</v>
      </c>
      <c r="J27" s="23"/>
      <c r="K27" s="59"/>
      <c r="L27" s="59"/>
      <c r="Z27" s="109"/>
      <c r="AA27" s="109"/>
    </row>
    <row r="28" spans="1:27" x14ac:dyDescent="0.25">
      <c r="A28" s="25">
        <f t="shared" ref="A28:A37" si="13">A27+1</f>
        <v>2023</v>
      </c>
      <c r="B28" s="37">
        <f>'P1 Catchment Projections'!G40+G67</f>
        <v>106</v>
      </c>
      <c r="C28" s="34">
        <f t="shared" si="6"/>
        <v>104</v>
      </c>
      <c r="D28" s="34">
        <f t="shared" si="7"/>
        <v>119</v>
      </c>
      <c r="E28" s="34">
        <f t="shared" si="8"/>
        <v>100</v>
      </c>
      <c r="F28" s="34">
        <f t="shared" si="9"/>
        <v>112</v>
      </c>
      <c r="G28" s="34">
        <f t="shared" si="10"/>
        <v>85</v>
      </c>
      <c r="H28" s="42">
        <f t="shared" si="11"/>
        <v>114</v>
      </c>
      <c r="I28" s="99">
        <f t="shared" si="12"/>
        <v>125</v>
      </c>
      <c r="J28" s="23"/>
      <c r="K28" s="59"/>
      <c r="L28" s="59"/>
      <c r="Z28" s="109"/>
      <c r="AA28" s="109"/>
    </row>
    <row r="29" spans="1:27" x14ac:dyDescent="0.25">
      <c r="A29" s="25">
        <f t="shared" si="13"/>
        <v>2024</v>
      </c>
      <c r="B29" s="37">
        <f>'P1 Catchment Projections'!H40+G67</f>
        <v>106</v>
      </c>
      <c r="C29" s="34">
        <f t="shared" si="6"/>
        <v>110</v>
      </c>
      <c r="D29" s="34">
        <f t="shared" si="7"/>
        <v>103</v>
      </c>
      <c r="E29" s="34">
        <f t="shared" si="8"/>
        <v>119</v>
      </c>
      <c r="F29" s="34">
        <f t="shared" si="9"/>
        <v>103</v>
      </c>
      <c r="G29" s="34">
        <f t="shared" si="10"/>
        <v>108</v>
      </c>
      <c r="H29" s="34">
        <f t="shared" si="11"/>
        <v>87</v>
      </c>
      <c r="I29" s="99">
        <f t="shared" si="12"/>
        <v>135</v>
      </c>
      <c r="K29" s="59"/>
      <c r="L29" s="59"/>
      <c r="Z29" s="109"/>
      <c r="AA29" s="109"/>
    </row>
    <row r="30" spans="1:27" x14ac:dyDescent="0.25">
      <c r="A30" s="25">
        <f t="shared" si="13"/>
        <v>2025</v>
      </c>
      <c r="B30" s="37">
        <f>'P1 Catchment Projections'!I40+G67</f>
        <v>107</v>
      </c>
      <c r="C30" s="34">
        <f t="shared" si="6"/>
        <v>110</v>
      </c>
      <c r="D30" s="34">
        <f t="shared" si="7"/>
        <v>109</v>
      </c>
      <c r="E30" s="34">
        <f t="shared" si="8"/>
        <v>103</v>
      </c>
      <c r="F30" s="34">
        <f t="shared" si="9"/>
        <v>122</v>
      </c>
      <c r="G30" s="34">
        <f t="shared" si="10"/>
        <v>99</v>
      </c>
      <c r="H30" s="34">
        <f t="shared" si="11"/>
        <v>111</v>
      </c>
      <c r="I30" s="99">
        <f t="shared" si="12"/>
        <v>103</v>
      </c>
      <c r="K30" s="59"/>
      <c r="L30" s="59"/>
      <c r="Z30" s="109"/>
      <c r="AA30" s="109"/>
    </row>
    <row r="31" spans="1:27" x14ac:dyDescent="0.25">
      <c r="A31" s="25">
        <f t="shared" si="13"/>
        <v>2026</v>
      </c>
      <c r="B31" s="37">
        <f>'P1 Catchment Projections'!J40+G67</f>
        <v>108</v>
      </c>
      <c r="C31" s="34">
        <f t="shared" si="6"/>
        <v>111</v>
      </c>
      <c r="D31" s="34">
        <f t="shared" si="7"/>
        <v>109</v>
      </c>
      <c r="E31" s="34">
        <f t="shared" si="8"/>
        <v>109</v>
      </c>
      <c r="F31" s="34">
        <f t="shared" si="9"/>
        <v>106</v>
      </c>
      <c r="G31" s="34">
        <f t="shared" si="10"/>
        <v>117</v>
      </c>
      <c r="H31" s="34">
        <f t="shared" si="11"/>
        <v>102</v>
      </c>
      <c r="I31" s="99">
        <f t="shared" si="12"/>
        <v>131</v>
      </c>
      <c r="K31" s="59"/>
      <c r="L31" s="59"/>
      <c r="Z31" s="109"/>
      <c r="AA31" s="109"/>
    </row>
    <row r="32" spans="1:27" x14ac:dyDescent="0.25">
      <c r="A32" s="25">
        <f t="shared" si="13"/>
        <v>2027</v>
      </c>
      <c r="B32" s="37">
        <f>'P1 Catchment Projections'!K40+G67</f>
        <v>109</v>
      </c>
      <c r="C32" s="34">
        <f t="shared" si="6"/>
        <v>112</v>
      </c>
      <c r="D32" s="34">
        <f t="shared" si="7"/>
        <v>110</v>
      </c>
      <c r="E32" s="34">
        <f t="shared" si="8"/>
        <v>109</v>
      </c>
      <c r="F32" s="34">
        <f t="shared" si="9"/>
        <v>112</v>
      </c>
      <c r="G32" s="34">
        <f t="shared" si="10"/>
        <v>102</v>
      </c>
      <c r="H32" s="34">
        <f t="shared" si="11"/>
        <v>120</v>
      </c>
      <c r="I32" s="99">
        <f t="shared" si="12"/>
        <v>121</v>
      </c>
      <c r="K32" s="59"/>
      <c r="L32" s="59"/>
      <c r="Z32" s="109"/>
      <c r="AA32" s="109"/>
    </row>
    <row r="33" spans="1:24" x14ac:dyDescent="0.25">
      <c r="A33" s="25">
        <f t="shared" si="13"/>
        <v>2028</v>
      </c>
      <c r="B33" s="37">
        <f>'P1 Catchment Projections'!$L$40+$G$67</f>
        <v>109</v>
      </c>
      <c r="C33" s="34">
        <f t="shared" si="6"/>
        <v>113</v>
      </c>
      <c r="D33" s="34">
        <f t="shared" si="7"/>
        <v>111</v>
      </c>
      <c r="E33" s="34">
        <f t="shared" si="8"/>
        <v>110</v>
      </c>
      <c r="F33" s="34">
        <f t="shared" si="9"/>
        <v>112</v>
      </c>
      <c r="G33" s="34">
        <f t="shared" si="10"/>
        <v>108</v>
      </c>
      <c r="H33" s="34">
        <f t="shared" si="11"/>
        <v>105</v>
      </c>
      <c r="I33" s="99">
        <f t="shared" si="12"/>
        <v>142</v>
      </c>
      <c r="K33" s="59"/>
      <c r="L33" s="59"/>
    </row>
    <row r="34" spans="1:24" x14ac:dyDescent="0.25">
      <c r="A34" s="25">
        <f t="shared" si="13"/>
        <v>2029</v>
      </c>
      <c r="B34" s="37">
        <f>'P1 Catchment Projections'!$M$40+$G$67</f>
        <v>109</v>
      </c>
      <c r="C34" s="34">
        <f t="shared" ref="C34:C37" si="14">ROUNDUP((B33-(B33*$C$20)),0)</f>
        <v>113</v>
      </c>
      <c r="D34" s="34">
        <f t="shared" ref="D34:D37" si="15">ROUNDUP((C33-(C33*$D$20)),0)</f>
        <v>112</v>
      </c>
      <c r="E34" s="34">
        <f t="shared" ref="E34:E37" si="16">ROUNDUP((D33-(D33*$E$20)),0)</f>
        <v>111</v>
      </c>
      <c r="F34" s="34">
        <f t="shared" ref="F34:F37" si="17">ROUNDUP((E33-(E33*$F$20)),0)</f>
        <v>113</v>
      </c>
      <c r="G34" s="34">
        <f t="shared" ref="G34:G37" si="18">ROUNDUP((F33-(F33*$G$20)),0)</f>
        <v>108</v>
      </c>
      <c r="H34" s="34">
        <f t="shared" ref="H34:H37" si="19">ROUNDUP((G33-(G33*$H$20)),0)</f>
        <v>111</v>
      </c>
      <c r="I34" s="99">
        <f t="shared" ref="I34:I37" si="20">ROUNDUP((H33-(H33*$I$20)),0)</f>
        <v>124</v>
      </c>
      <c r="K34" s="59"/>
      <c r="L34" s="59"/>
    </row>
    <row r="35" spans="1:24" x14ac:dyDescent="0.25">
      <c r="A35" s="25">
        <f t="shared" si="13"/>
        <v>2030</v>
      </c>
      <c r="B35" s="37">
        <f>'P1 Catchment Projections'!$N$40+$G$67</f>
        <v>109</v>
      </c>
      <c r="C35" s="34">
        <f t="shared" si="14"/>
        <v>113</v>
      </c>
      <c r="D35" s="34">
        <f t="shared" si="15"/>
        <v>112</v>
      </c>
      <c r="E35" s="34">
        <f t="shared" si="16"/>
        <v>112</v>
      </c>
      <c r="F35" s="34">
        <f t="shared" si="17"/>
        <v>114</v>
      </c>
      <c r="G35" s="34">
        <f t="shared" si="18"/>
        <v>109</v>
      </c>
      <c r="H35" s="34">
        <f t="shared" si="19"/>
        <v>111</v>
      </c>
      <c r="I35" s="99">
        <f t="shared" si="20"/>
        <v>131</v>
      </c>
      <c r="K35" s="59"/>
      <c r="L35" s="59"/>
    </row>
    <row r="36" spans="1:24" x14ac:dyDescent="0.25">
      <c r="A36" s="25">
        <f t="shared" si="13"/>
        <v>2031</v>
      </c>
      <c r="B36" s="37">
        <f>'P1 Catchment Projections'!$O$40+$G$67</f>
        <v>109</v>
      </c>
      <c r="C36" s="34">
        <f t="shared" si="14"/>
        <v>113</v>
      </c>
      <c r="D36" s="34">
        <f t="shared" si="15"/>
        <v>112</v>
      </c>
      <c r="E36" s="34">
        <f t="shared" si="16"/>
        <v>112</v>
      </c>
      <c r="F36" s="34">
        <f t="shared" si="17"/>
        <v>115</v>
      </c>
      <c r="G36" s="34">
        <f t="shared" si="18"/>
        <v>109</v>
      </c>
      <c r="H36" s="34">
        <f t="shared" si="19"/>
        <v>112</v>
      </c>
      <c r="I36" s="99">
        <f t="shared" si="20"/>
        <v>131</v>
      </c>
      <c r="K36" s="59"/>
      <c r="L36" s="59"/>
    </row>
    <row r="37" spans="1:24" x14ac:dyDescent="0.25">
      <c r="A37" s="25">
        <f t="shared" si="13"/>
        <v>2032</v>
      </c>
      <c r="B37" s="37">
        <f>'P1 Catchment Projections'!$P$40+$G$67</f>
        <v>109</v>
      </c>
      <c r="C37" s="34">
        <f t="shared" si="14"/>
        <v>113</v>
      </c>
      <c r="D37" s="34">
        <f t="shared" si="15"/>
        <v>112</v>
      </c>
      <c r="E37" s="34">
        <f t="shared" si="16"/>
        <v>112</v>
      </c>
      <c r="F37" s="34">
        <f t="shared" si="17"/>
        <v>115</v>
      </c>
      <c r="G37" s="34">
        <f t="shared" si="18"/>
        <v>110</v>
      </c>
      <c r="H37" s="34">
        <f t="shared" si="19"/>
        <v>112</v>
      </c>
      <c r="I37" s="99">
        <f t="shared" si="20"/>
        <v>132</v>
      </c>
      <c r="K37" s="59"/>
      <c r="L37" s="59"/>
    </row>
    <row r="38" spans="1:24" x14ac:dyDescent="0.25">
      <c r="K38" s="59"/>
      <c r="L38" s="59"/>
    </row>
    <row r="39" spans="1:24" x14ac:dyDescent="0.25">
      <c r="A39" s="21" t="s">
        <v>252</v>
      </c>
      <c r="K39" s="394" t="s">
        <v>190</v>
      </c>
      <c r="L39" s="55"/>
      <c r="M39" s="394" t="s">
        <v>203</v>
      </c>
      <c r="N39" s="106"/>
      <c r="O39" s="395" t="s">
        <v>204</v>
      </c>
      <c r="R39" s="21" t="s">
        <v>253</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111</v>
      </c>
      <c r="C41" s="34">
        <f>C24+VLOOKUP($A$1,'Pri Housing Generation'!$A$96:$DQ$118, 11, FALSE)</f>
        <v>92</v>
      </c>
      <c r="D41" s="42">
        <f>D24+VLOOKUP($A$1,'Pri Housing Generation'!$A$96:$DQ$118, 12, FALSE)</f>
        <v>118</v>
      </c>
      <c r="E41" s="43">
        <f>E24+VLOOKUP($A$1,'Pri Housing Generation'!$A$96:$DQ$118, 13, FALSE)</f>
        <v>109</v>
      </c>
      <c r="F41" s="41">
        <f>F24+VLOOKUP($A$1,'Pri Housing Generation'!$A$96:$DQ$118, 14, FALSE)</f>
        <v>107</v>
      </c>
      <c r="G41" s="42">
        <f>G24+VLOOKUP($A$1,'Pri Housing Generation'!$A$96:$DQ$118, 15, FALSE)</f>
        <v>109</v>
      </c>
      <c r="H41" s="43">
        <f>H24+VLOOKUP($A$1,'Pri Housing Generation'!$A$96:$DQ$118, 16, FALSE)</f>
        <v>124</v>
      </c>
      <c r="I41" s="99">
        <f>ROUNDUP((H18-(H18*$I$20)),0)</f>
        <v>112</v>
      </c>
      <c r="K41" s="35">
        <f>'Sec Housing Generation'!I13</f>
        <v>6</v>
      </c>
      <c r="L41" s="83"/>
      <c r="M41" s="107">
        <f>K20+0.0116</f>
        <v>0.79843462532299725</v>
      </c>
      <c r="O41" s="35">
        <f t="shared" ref="O41:O54" si="21">ROUNDUP(((I41+K41)*M41),0)</f>
        <v>95</v>
      </c>
      <c r="Q41" s="25">
        <f>A41</f>
        <v>2019</v>
      </c>
      <c r="R41" s="20">
        <f t="shared" ref="R41:R54" si="22">IF(O41&lt;$C$7,(IF((O41+$O$20)&gt;$C$7,$C$7,(O41+$O$20))),(IF((O41+$O$20)&lt;(CEILING((O41),20)),(O41+$O$20),(CEILING((O41),20)))))</f>
        <v>120</v>
      </c>
      <c r="S41" s="53">
        <f>R18</f>
        <v>113</v>
      </c>
      <c r="T41" s="67">
        <f>S18</f>
        <v>115</v>
      </c>
      <c r="U41" s="69">
        <f>T18</f>
        <v>105</v>
      </c>
      <c r="V41" s="41">
        <f>ROUNDUP((U18-(U18*$V$20)),0)</f>
        <v>98</v>
      </c>
      <c r="W41" s="42">
        <f>ROUNDUP((V18-(V18*$W$20)),0)</f>
        <v>57</v>
      </c>
      <c r="X41" s="101">
        <f t="shared" ref="X41:X50" si="23">SUM(R41:W41)</f>
        <v>608</v>
      </c>
    </row>
    <row r="42" spans="1:24" x14ac:dyDescent="0.25">
      <c r="A42" s="25">
        <f t="shared" ref="A42:A54" si="24">A25</f>
        <v>2020</v>
      </c>
      <c r="B42" s="37">
        <f>B25+VLOOKUP($A$1,'Pri Housing Generation'!$A$96:$DQ$118, 18, FALSE)</f>
        <v>104</v>
      </c>
      <c r="C42" s="34">
        <f>C25+VLOOKUP($A$1,'Pri Housing Generation'!$A$96:$DQ$118, 19, FALSE)</f>
        <v>117</v>
      </c>
      <c r="D42" s="34">
        <f>D25+VLOOKUP($A$1,'Pri Housing Generation'!$A$96:$DQ$118, 20, FALSE)</f>
        <v>92</v>
      </c>
      <c r="E42" s="42">
        <f>E25+VLOOKUP($A$1,'Pri Housing Generation'!$A$96:$DQ$118, 21, FALSE)</f>
        <v>119</v>
      </c>
      <c r="F42" s="43">
        <f>F25+VLOOKUP($A$1,'Pri Housing Generation'!$A$96:$DQ$118, 22, FALSE)</f>
        <v>113</v>
      </c>
      <c r="G42" s="41">
        <f>G25+VLOOKUP($A$1,'Pri Housing Generation'!$A$96:$DQ$118, 23, FALSE)</f>
        <v>104</v>
      </c>
      <c r="H42" s="42">
        <f>H25+VLOOKUP($A$1,'Pri Housing Generation'!$A$96:$DQ$118, 24, FALSE)</f>
        <v>114</v>
      </c>
      <c r="I42" s="99">
        <f t="shared" ref="I42:I54" si="25">ROUNDUP((H41-(H41*$I$20)),0)</f>
        <v>146</v>
      </c>
      <c r="K42" s="35">
        <f>'Sec Housing Generation'!P13</f>
        <v>10</v>
      </c>
      <c r="L42" s="83"/>
      <c r="M42" s="107">
        <f t="shared" ref="M42:M53" si="26">M41+0.0116</f>
        <v>0.8100346253229973</v>
      </c>
      <c r="O42" s="35">
        <f t="shared" si="21"/>
        <v>127</v>
      </c>
      <c r="Q42" s="25">
        <f t="shared" ref="Q42:Q54" si="27">A42</f>
        <v>2020</v>
      </c>
      <c r="R42" s="20">
        <f t="shared" si="22"/>
        <v>140</v>
      </c>
      <c r="S42" s="53">
        <f t="shared" ref="S42:U50" si="28">R41</f>
        <v>120</v>
      </c>
      <c r="T42" s="53">
        <f t="shared" si="28"/>
        <v>113</v>
      </c>
      <c r="U42" s="67">
        <f t="shared" si="28"/>
        <v>115</v>
      </c>
      <c r="V42" s="43">
        <f t="shared" ref="V42:V50" si="29">ROUNDUP((U41-(U41*$V$20)),0)</f>
        <v>88</v>
      </c>
      <c r="W42" s="41">
        <f t="shared" ref="W42:W50" si="30">ROUNDUP((V41-(V41*$W$20)),0)</f>
        <v>61</v>
      </c>
      <c r="X42" s="101">
        <f t="shared" si="23"/>
        <v>637</v>
      </c>
    </row>
    <row r="43" spans="1:24" x14ac:dyDescent="0.25">
      <c r="A43" s="25">
        <f t="shared" si="24"/>
        <v>2021</v>
      </c>
      <c r="B43" s="37">
        <f>B26+VLOOKUP($A$1,'Pri Housing Generation'!$A$96:$DQ$118, 26, FALSE)</f>
        <v>123</v>
      </c>
      <c r="C43" s="34">
        <f>C26+VLOOKUP($A$1,'Pri Housing Generation'!$A$96:$DQ$118, 27, FALSE)</f>
        <v>109</v>
      </c>
      <c r="D43" s="34">
        <f>D26+VLOOKUP($A$1,'Pri Housing Generation'!$A$96:$DQ$118, 28, FALSE)</f>
        <v>117</v>
      </c>
      <c r="E43" s="34">
        <f>E26+VLOOKUP($A$1,'Pri Housing Generation'!$A$96:$DQ$118, 29, FALSE)</f>
        <v>94</v>
      </c>
      <c r="F43" s="42">
        <f>F26+VLOOKUP($A$1,'Pri Housing Generation'!$A$96:$DQ$118, 30, FALSE)</f>
        <v>124</v>
      </c>
      <c r="G43" s="43">
        <f>G26+VLOOKUP($A$1,'Pri Housing Generation'!$A$96:$DQ$118, 31, FALSE)</f>
        <v>111</v>
      </c>
      <c r="H43" s="41">
        <f>H26+VLOOKUP($A$1,'Pri Housing Generation'!$A$96:$DQ$118, 32, FALSE)</f>
        <v>108</v>
      </c>
      <c r="I43" s="99">
        <f t="shared" si="25"/>
        <v>135</v>
      </c>
      <c r="K43" s="35">
        <f>'Sec Housing Generation'!W13</f>
        <v>14</v>
      </c>
      <c r="L43" s="83"/>
      <c r="M43" s="107">
        <f t="shared" si="26"/>
        <v>0.82163462532299736</v>
      </c>
      <c r="O43" s="35">
        <f t="shared" si="21"/>
        <v>123</v>
      </c>
      <c r="Q43" s="25">
        <f t="shared" si="27"/>
        <v>2021</v>
      </c>
      <c r="R43" s="20">
        <f t="shared" si="22"/>
        <v>140</v>
      </c>
      <c r="S43" s="53">
        <f t="shared" si="28"/>
        <v>140</v>
      </c>
      <c r="T43" s="53">
        <f t="shared" si="28"/>
        <v>120</v>
      </c>
      <c r="U43" s="53">
        <f t="shared" si="28"/>
        <v>113</v>
      </c>
      <c r="V43" s="42">
        <f t="shared" si="29"/>
        <v>96</v>
      </c>
      <c r="W43" s="43">
        <f t="shared" si="30"/>
        <v>55</v>
      </c>
      <c r="X43" s="101">
        <f t="shared" si="23"/>
        <v>664</v>
      </c>
    </row>
    <row r="44" spans="1:24" x14ac:dyDescent="0.25">
      <c r="A44" s="25">
        <f t="shared" si="24"/>
        <v>2022</v>
      </c>
      <c r="B44" s="37">
        <f>B27+VLOOKUP($A$1,'Pri Housing Generation'!$A$96:$DQ$118, 34, FALSE)</f>
        <v>110</v>
      </c>
      <c r="C44" s="34">
        <f>C27+VLOOKUP($A$1,'Pri Housing Generation'!$A$96:$DQ$118, 35, FALSE)</f>
        <v>130</v>
      </c>
      <c r="D44" s="34">
        <f>D27+VLOOKUP($A$1,'Pri Housing Generation'!$A$96:$DQ$118, 36, FALSE)</f>
        <v>110</v>
      </c>
      <c r="E44" s="34">
        <f>E27+VLOOKUP($A$1,'Pri Housing Generation'!$A$96:$DQ$118, 37, FALSE)</f>
        <v>118</v>
      </c>
      <c r="F44" s="34">
        <f>F27+VLOOKUP($A$1,'Pri Housing Generation'!$A$96:$DQ$118, 38, FALSE)</f>
        <v>97</v>
      </c>
      <c r="G44" s="42">
        <f>G27+VLOOKUP($A$1,'Pri Housing Generation'!$A$96:$DQ$118, 39, FALSE)</f>
        <v>120</v>
      </c>
      <c r="H44" s="43">
        <f>H27+VLOOKUP($A$1,'Pri Housing Generation'!$A$96:$DQ$118, 40, FALSE)</f>
        <v>115</v>
      </c>
      <c r="I44" s="99">
        <f t="shared" si="25"/>
        <v>128</v>
      </c>
      <c r="K44" s="35">
        <f>'Sec Housing Generation'!AD13</f>
        <v>18</v>
      </c>
      <c r="L44" s="83"/>
      <c r="M44" s="107">
        <f t="shared" si="26"/>
        <v>0.83323462532299741</v>
      </c>
      <c r="O44" s="35">
        <f t="shared" si="21"/>
        <v>122</v>
      </c>
      <c r="Q44" s="25">
        <f t="shared" si="27"/>
        <v>2022</v>
      </c>
      <c r="R44" s="20">
        <f t="shared" si="22"/>
        <v>140</v>
      </c>
      <c r="S44" s="53">
        <f t="shared" si="28"/>
        <v>140</v>
      </c>
      <c r="T44" s="53">
        <f t="shared" si="28"/>
        <v>140</v>
      </c>
      <c r="U44" s="53">
        <f t="shared" si="28"/>
        <v>120</v>
      </c>
      <c r="V44" s="34">
        <f t="shared" si="29"/>
        <v>94</v>
      </c>
      <c r="W44" s="42">
        <f t="shared" si="30"/>
        <v>60</v>
      </c>
      <c r="X44" s="101">
        <f t="shared" si="23"/>
        <v>694</v>
      </c>
    </row>
    <row r="45" spans="1:24" x14ac:dyDescent="0.25">
      <c r="A45" s="25">
        <f t="shared" si="24"/>
        <v>2023</v>
      </c>
      <c r="B45" s="37">
        <f>B28+VLOOKUP($A$1,'Pri Housing Generation'!$A$96:$DQ$118, 42, FALSE)</f>
        <v>117</v>
      </c>
      <c r="C45" s="34">
        <f>C28+VLOOKUP($A$1,'Pri Housing Generation'!$A$96:$DQ$118, 43, FALSE)</f>
        <v>115</v>
      </c>
      <c r="D45" s="34">
        <f>D28+VLOOKUP($A$1,'Pri Housing Generation'!$A$96:$DQ$118, 44, FALSE)</f>
        <v>130</v>
      </c>
      <c r="E45" s="34">
        <f>E28+VLOOKUP($A$1,'Pri Housing Generation'!$A$96:$DQ$118, 45, FALSE)</f>
        <v>111</v>
      </c>
      <c r="F45" s="34">
        <f>F28+VLOOKUP($A$1,'Pri Housing Generation'!$A$96:$DQ$118, 46, FALSE)</f>
        <v>123</v>
      </c>
      <c r="G45" s="34">
        <f>G28+VLOOKUP($A$1,'Pri Housing Generation'!$A$96:$DQ$118, 47, FALSE)</f>
        <v>96</v>
      </c>
      <c r="H45" s="42">
        <f>H28+VLOOKUP($A$1,'Pri Housing Generation'!$A$96:$DQ$118, 48, FALSE)</f>
        <v>125</v>
      </c>
      <c r="I45" s="99">
        <f t="shared" si="25"/>
        <v>136</v>
      </c>
      <c r="J45" s="181"/>
      <c r="K45" s="35">
        <f>'Sec Housing Generation'!AK13</f>
        <v>19</v>
      </c>
      <c r="L45" s="83"/>
      <c r="M45" s="107">
        <f t="shared" si="26"/>
        <v>0.84483462532299747</v>
      </c>
      <c r="O45" s="35">
        <f t="shared" si="21"/>
        <v>131</v>
      </c>
      <c r="Q45" s="25">
        <f t="shared" si="27"/>
        <v>2023</v>
      </c>
      <c r="R45" s="20">
        <f t="shared" si="22"/>
        <v>140</v>
      </c>
      <c r="S45" s="53">
        <f t="shared" si="28"/>
        <v>140</v>
      </c>
      <c r="T45" s="53">
        <f t="shared" si="28"/>
        <v>140</v>
      </c>
      <c r="U45" s="53">
        <f t="shared" si="28"/>
        <v>140</v>
      </c>
      <c r="V45" s="34">
        <f t="shared" si="29"/>
        <v>100</v>
      </c>
      <c r="W45" s="34">
        <f t="shared" si="30"/>
        <v>58</v>
      </c>
      <c r="X45" s="101">
        <f t="shared" si="23"/>
        <v>718</v>
      </c>
    </row>
    <row r="46" spans="1:24" x14ac:dyDescent="0.25">
      <c r="A46" s="25">
        <f t="shared" si="24"/>
        <v>2024</v>
      </c>
      <c r="B46" s="37">
        <f>B29+VLOOKUP($A$1,'Pri Housing Generation'!$A$96:$DQ$118, 50, FALSE)</f>
        <v>121</v>
      </c>
      <c r="C46" s="34">
        <f>C29+VLOOKUP($A$1,'Pri Housing Generation'!$A$96:$DQ$118, 51, FALSE)</f>
        <v>125</v>
      </c>
      <c r="D46" s="34">
        <f>D29+VLOOKUP($A$1,'Pri Housing Generation'!$A$96:$DQ$118, 52, FALSE)</f>
        <v>118</v>
      </c>
      <c r="E46" s="34">
        <f>E29+VLOOKUP($A$1,'Pri Housing Generation'!$A$96:$DQ$118, 53, FALSE)</f>
        <v>134</v>
      </c>
      <c r="F46" s="34">
        <f>F29+VLOOKUP($A$1,'Pri Housing Generation'!$A$96:$DQ$118, 54, FALSE)</f>
        <v>118</v>
      </c>
      <c r="G46" s="34">
        <f>G29+VLOOKUP($A$1,'Pri Housing Generation'!$A$96:$DQ$118, 55, FALSE)</f>
        <v>123</v>
      </c>
      <c r="H46" s="34">
        <f>H29+VLOOKUP($A$1,'Pri Housing Generation'!$A$96:$DQ$118, 56, FALSE)</f>
        <v>102</v>
      </c>
      <c r="I46" s="99">
        <f t="shared" si="25"/>
        <v>148</v>
      </c>
      <c r="J46" s="181"/>
      <c r="K46" s="35">
        <f>'Sec Housing Generation'!AR13</f>
        <v>22</v>
      </c>
      <c r="L46" s="83"/>
      <c r="M46" s="107">
        <f t="shared" si="26"/>
        <v>0.85643462532299752</v>
      </c>
      <c r="O46" s="35">
        <f t="shared" si="21"/>
        <v>146</v>
      </c>
      <c r="Q46" s="25">
        <f t="shared" si="27"/>
        <v>2024</v>
      </c>
      <c r="R46" s="20">
        <f t="shared" si="22"/>
        <v>160</v>
      </c>
      <c r="S46" s="53">
        <f t="shared" si="28"/>
        <v>140</v>
      </c>
      <c r="T46" s="53">
        <f t="shared" si="28"/>
        <v>140</v>
      </c>
      <c r="U46" s="53">
        <f t="shared" si="28"/>
        <v>140</v>
      </c>
      <c r="V46" s="34">
        <f t="shared" si="29"/>
        <v>117</v>
      </c>
      <c r="W46" s="34">
        <f t="shared" si="30"/>
        <v>62</v>
      </c>
      <c r="X46" s="101">
        <f t="shared" si="23"/>
        <v>759</v>
      </c>
    </row>
    <row r="47" spans="1:24" x14ac:dyDescent="0.25">
      <c r="A47" s="25">
        <f t="shared" si="24"/>
        <v>2025</v>
      </c>
      <c r="B47" s="37">
        <f>B30+VLOOKUP($A$1,'Pri Housing Generation'!$A$96:$DQ$118, 58, FALSE)</f>
        <v>127</v>
      </c>
      <c r="C47" s="34">
        <f>C30+VLOOKUP($A$1,'Pri Housing Generation'!$A$96:$DQ$118, 59, FALSE)</f>
        <v>129</v>
      </c>
      <c r="D47" s="34">
        <f>D30+VLOOKUP($A$1,'Pri Housing Generation'!$A$96:$DQ$118, 60, FALSE)</f>
        <v>128</v>
      </c>
      <c r="E47" s="34">
        <f>E30+VLOOKUP($A$1,'Pri Housing Generation'!$A$96:$DQ$118, 61, FALSE)</f>
        <v>122</v>
      </c>
      <c r="F47" s="34">
        <f>F30+VLOOKUP($A$1,'Pri Housing Generation'!$A$96:$DQ$118, 62, FALSE)</f>
        <v>141</v>
      </c>
      <c r="G47" s="34">
        <f>G30+VLOOKUP($A$1,'Pri Housing Generation'!$A$96:$DQ$118, 63, FALSE)</f>
        <v>118</v>
      </c>
      <c r="H47" s="34">
        <f>H30+VLOOKUP($A$1,'Pri Housing Generation'!$A$96:$DQ$118, 64, FALSE)</f>
        <v>130</v>
      </c>
      <c r="I47" s="99">
        <f t="shared" si="25"/>
        <v>121</v>
      </c>
      <c r="J47" s="181"/>
      <c r="K47" s="235"/>
      <c r="L47" s="83"/>
      <c r="M47" s="107">
        <f t="shared" si="26"/>
        <v>0.86803462532299758</v>
      </c>
      <c r="O47" s="35">
        <f t="shared" si="21"/>
        <v>106</v>
      </c>
      <c r="Q47" s="25">
        <f t="shared" si="27"/>
        <v>2025</v>
      </c>
      <c r="R47" s="20">
        <f t="shared" si="22"/>
        <v>120</v>
      </c>
      <c r="S47" s="53">
        <f t="shared" si="28"/>
        <v>160</v>
      </c>
      <c r="T47" s="53">
        <f t="shared" si="28"/>
        <v>140</v>
      </c>
      <c r="U47" s="53">
        <f t="shared" si="28"/>
        <v>140</v>
      </c>
      <c r="V47" s="34">
        <f t="shared" si="29"/>
        <v>117</v>
      </c>
      <c r="W47" s="34">
        <f t="shared" si="30"/>
        <v>73</v>
      </c>
      <c r="X47" s="101">
        <f t="shared" si="23"/>
        <v>750</v>
      </c>
    </row>
    <row r="48" spans="1:24" x14ac:dyDescent="0.25">
      <c r="A48" s="25">
        <f t="shared" si="24"/>
        <v>2026</v>
      </c>
      <c r="B48" s="37">
        <f>B31+VLOOKUP($A$1,'Pri Housing Generation'!$A$96:$DQ$118, 66, FALSE)</f>
        <v>132</v>
      </c>
      <c r="C48" s="34">
        <f>C31+VLOOKUP($A$1,'Pri Housing Generation'!$A$96:$DQ$118, 67, FALSE)</f>
        <v>135</v>
      </c>
      <c r="D48" s="34">
        <f>D31+VLOOKUP($A$1,'Pri Housing Generation'!$A$96:$DQ$118, 68, FALSE)</f>
        <v>132</v>
      </c>
      <c r="E48" s="34">
        <f>E31+VLOOKUP($A$1,'Pri Housing Generation'!$A$96:$DQ$118, 69, FALSE)</f>
        <v>132</v>
      </c>
      <c r="F48" s="34">
        <f>F31+VLOOKUP($A$1,'Pri Housing Generation'!$A$96:$DQ$118, 70, FALSE)</f>
        <v>129</v>
      </c>
      <c r="G48" s="34">
        <f>G31+VLOOKUP($A$1,'Pri Housing Generation'!$A$96:$DQ$118, 71, FALSE)</f>
        <v>140</v>
      </c>
      <c r="H48" s="34">
        <f>H31+VLOOKUP($A$1,'Pri Housing Generation'!$A$96:$DQ$118, 72, FALSE)</f>
        <v>125</v>
      </c>
      <c r="I48" s="99">
        <f t="shared" si="25"/>
        <v>154</v>
      </c>
      <c r="J48" s="181"/>
      <c r="K48" s="83"/>
      <c r="L48" s="83"/>
      <c r="M48" s="107">
        <f t="shared" si="26"/>
        <v>0.87963462532299763</v>
      </c>
      <c r="O48" s="35">
        <f t="shared" si="21"/>
        <v>136</v>
      </c>
      <c r="Q48" s="25">
        <f t="shared" si="27"/>
        <v>2026</v>
      </c>
      <c r="R48" s="20">
        <f t="shared" si="22"/>
        <v>140</v>
      </c>
      <c r="S48" s="53">
        <f t="shared" si="28"/>
        <v>120</v>
      </c>
      <c r="T48" s="53">
        <f t="shared" si="28"/>
        <v>160</v>
      </c>
      <c r="U48" s="53">
        <f t="shared" si="28"/>
        <v>140</v>
      </c>
      <c r="V48" s="34">
        <f t="shared" si="29"/>
        <v>117</v>
      </c>
      <c r="W48" s="34">
        <f t="shared" si="30"/>
        <v>73</v>
      </c>
      <c r="X48" s="101">
        <f t="shared" si="23"/>
        <v>750</v>
      </c>
    </row>
    <row r="49" spans="1:24" x14ac:dyDescent="0.25">
      <c r="A49" s="25">
        <f t="shared" si="24"/>
        <v>2027</v>
      </c>
      <c r="B49" s="37">
        <f>B32+VLOOKUP($A$1,'Pri Housing Generation'!$A$96:$DQ$118, 74, FALSE)</f>
        <v>137</v>
      </c>
      <c r="C49" s="34">
        <f>C32+VLOOKUP($A$1,'Pri Housing Generation'!$A$96:$DQ$118, 75, FALSE)</f>
        <v>140</v>
      </c>
      <c r="D49" s="34">
        <f>D32+VLOOKUP($A$1,'Pri Housing Generation'!$A$96:$DQ$118, 76, FALSE)</f>
        <v>138</v>
      </c>
      <c r="E49" s="34">
        <f>E32+VLOOKUP($A$1,'Pri Housing Generation'!$A$96:$DQ$118, 77, FALSE)</f>
        <v>136</v>
      </c>
      <c r="F49" s="34">
        <f>F32+VLOOKUP($A$1,'Pri Housing Generation'!$A$96:$DQ$118, 78, FALSE)</f>
        <v>139</v>
      </c>
      <c r="G49" s="34">
        <f>G32+VLOOKUP($A$1,'Pri Housing Generation'!$A$96:$DQ$118, 79, FALSE)</f>
        <v>129</v>
      </c>
      <c r="H49" s="34">
        <f>H32+VLOOKUP($A$1,'Pri Housing Generation'!$A$96:$DQ$118, 80, FALSE)</f>
        <v>147</v>
      </c>
      <c r="I49" s="99">
        <f t="shared" si="25"/>
        <v>148</v>
      </c>
      <c r="J49" s="181"/>
      <c r="K49" s="83"/>
      <c r="L49" s="83"/>
      <c r="M49" s="107">
        <f t="shared" si="26"/>
        <v>0.89123462532299769</v>
      </c>
      <c r="O49" s="35">
        <f t="shared" si="21"/>
        <v>132</v>
      </c>
      <c r="Q49" s="25">
        <f t="shared" si="27"/>
        <v>2027</v>
      </c>
      <c r="R49" s="20">
        <f t="shared" si="22"/>
        <v>140</v>
      </c>
      <c r="S49" s="53">
        <f t="shared" si="28"/>
        <v>140</v>
      </c>
      <c r="T49" s="53">
        <f t="shared" si="28"/>
        <v>120</v>
      </c>
      <c r="U49" s="53">
        <f t="shared" si="28"/>
        <v>160</v>
      </c>
      <c r="V49" s="34">
        <f t="shared" si="29"/>
        <v>117</v>
      </c>
      <c r="W49" s="34">
        <f t="shared" si="30"/>
        <v>73</v>
      </c>
      <c r="X49" s="101">
        <f t="shared" si="23"/>
        <v>750</v>
      </c>
    </row>
    <row r="50" spans="1:24" x14ac:dyDescent="0.25">
      <c r="A50" s="25">
        <f t="shared" si="24"/>
        <v>2028</v>
      </c>
      <c r="B50" s="37">
        <f>B33+VLOOKUP($A$1,'Pri Housing Generation'!$A$96:$DQ$118, 82, FALSE)</f>
        <v>139</v>
      </c>
      <c r="C50" s="34">
        <f>C33+VLOOKUP($A$1,'Pri Housing Generation'!$A$96:$DQ$118, 83, FALSE)</f>
        <v>143</v>
      </c>
      <c r="D50" s="34">
        <f>D33+VLOOKUP($A$1,'Pri Housing Generation'!$A$96:$DQ$118, 84, FALSE)</f>
        <v>141</v>
      </c>
      <c r="E50" s="34">
        <f>E33+VLOOKUP($A$1,'Pri Housing Generation'!$A$96:$DQ$118, 85, FALSE)</f>
        <v>140</v>
      </c>
      <c r="F50" s="34">
        <f>F33+VLOOKUP($A$1,'Pri Housing Generation'!$A$96:$DQ$118, 86, FALSE)</f>
        <v>142</v>
      </c>
      <c r="G50" s="34">
        <f>G33+VLOOKUP($A$1,'Pri Housing Generation'!$A$96:$DQ$118, 87, FALSE)</f>
        <v>138</v>
      </c>
      <c r="H50" s="34">
        <f>H33+VLOOKUP($A$1,'Pri Housing Generation'!$A$96:$DQ$118, 88, FALSE)</f>
        <v>135</v>
      </c>
      <c r="I50" s="99">
        <f t="shared" si="25"/>
        <v>174</v>
      </c>
      <c r="J50" s="181"/>
      <c r="K50" s="83"/>
      <c r="L50" s="83"/>
      <c r="M50" s="107">
        <f t="shared" si="26"/>
        <v>0.90283462532299774</v>
      </c>
      <c r="O50" s="35">
        <f t="shared" si="21"/>
        <v>158</v>
      </c>
      <c r="Q50" s="25">
        <f t="shared" si="27"/>
        <v>2028</v>
      </c>
      <c r="R50" s="20">
        <f t="shared" si="22"/>
        <v>160</v>
      </c>
      <c r="S50" s="53">
        <f t="shared" si="28"/>
        <v>140</v>
      </c>
      <c r="T50" s="53">
        <f t="shared" si="28"/>
        <v>140</v>
      </c>
      <c r="U50" s="53">
        <f t="shared" si="28"/>
        <v>120</v>
      </c>
      <c r="V50" s="34">
        <f t="shared" si="29"/>
        <v>133</v>
      </c>
      <c r="W50" s="34">
        <f t="shared" si="30"/>
        <v>73</v>
      </c>
      <c r="X50" s="101">
        <f t="shared" si="23"/>
        <v>766</v>
      </c>
    </row>
    <row r="51" spans="1:24" x14ac:dyDescent="0.25">
      <c r="A51" s="25">
        <f t="shared" si="24"/>
        <v>2029</v>
      </c>
      <c r="B51" s="37">
        <f>B34+VLOOKUP($A$1,'Pri Housing Generation'!$A$96:$DQ$118, 90, FALSE)</f>
        <v>140</v>
      </c>
      <c r="C51" s="34">
        <f>C34+VLOOKUP($A$1,'Pri Housing Generation'!$A$96:$DQ$118, 91, FALSE)</f>
        <v>144</v>
      </c>
      <c r="D51" s="34">
        <f>D34+VLOOKUP($A$1,'Pri Housing Generation'!$A$96:$DQ$118, 92, FALSE)</f>
        <v>143</v>
      </c>
      <c r="E51" s="34">
        <f>E34+VLOOKUP($A$1,'Pri Housing Generation'!$A$96:$DQ$118, 93, FALSE)</f>
        <v>142</v>
      </c>
      <c r="F51" s="34">
        <f>F34+VLOOKUP($A$1,'Pri Housing Generation'!$A$96:$DQ$118, 94, FALSE)</f>
        <v>144</v>
      </c>
      <c r="G51" s="34">
        <f>G34+VLOOKUP($A$1,'Pri Housing Generation'!$A$96:$DQ$118, 95, FALSE)</f>
        <v>139</v>
      </c>
      <c r="H51" s="34">
        <f>H34+VLOOKUP($A$1,'Pri Housing Generation'!$A$96:$DQ$118, 96, FALSE)</f>
        <v>141</v>
      </c>
      <c r="I51" s="99">
        <f t="shared" si="25"/>
        <v>159</v>
      </c>
      <c r="J51" s="181"/>
      <c r="K51" s="83"/>
      <c r="L51" s="83"/>
      <c r="M51" s="107">
        <f t="shared" si="26"/>
        <v>0.9144346253229978</v>
      </c>
      <c r="O51" s="35">
        <f t="shared" si="21"/>
        <v>146</v>
      </c>
      <c r="Q51" s="25">
        <f t="shared" si="27"/>
        <v>2029</v>
      </c>
      <c r="R51" s="20">
        <f t="shared" si="22"/>
        <v>160</v>
      </c>
      <c r="S51" s="53">
        <f t="shared" ref="S51:S54" si="31">R50</f>
        <v>160</v>
      </c>
      <c r="T51" s="53">
        <f t="shared" ref="T51:T54" si="32">S50</f>
        <v>140</v>
      </c>
      <c r="U51" s="53">
        <f t="shared" ref="U51:U54" si="33">T50</f>
        <v>140</v>
      </c>
      <c r="V51" s="34">
        <f t="shared" ref="V51:V54" si="34">ROUNDUP((U50-(U50*$V$20)),0)</f>
        <v>100</v>
      </c>
      <c r="W51" s="34">
        <f t="shared" ref="W51:W54" si="35">ROUNDUP((V50-(V50*$W$20)),0)</f>
        <v>82</v>
      </c>
      <c r="X51" s="101">
        <f t="shared" ref="X51:X54" si="36">SUM(R51:W51)</f>
        <v>782</v>
      </c>
    </row>
    <row r="52" spans="1:24" x14ac:dyDescent="0.25">
      <c r="A52" s="25">
        <f t="shared" si="24"/>
        <v>2030</v>
      </c>
      <c r="B52" s="37">
        <f>B35+VLOOKUP($A$1,'Pri Housing Generation'!$A$96:$DQ$118, 98, FALSE)</f>
        <v>141</v>
      </c>
      <c r="C52" s="34">
        <f>C35+VLOOKUP($A$1,'Pri Housing Generation'!$A$96:$DQ$118, 99, FALSE)</f>
        <v>145</v>
      </c>
      <c r="D52" s="34">
        <f>D35+VLOOKUP($A$1,'Pri Housing Generation'!$A$96:$DQ$118, 100, FALSE)</f>
        <v>144</v>
      </c>
      <c r="E52" s="34">
        <f>E35+VLOOKUP($A$1,'Pri Housing Generation'!$A$96:$DQ$118, 101, FALSE)</f>
        <v>144</v>
      </c>
      <c r="F52" s="34">
        <f>F35+VLOOKUP($A$1,'Pri Housing Generation'!$A$96:$DQ$118, 102, FALSE)</f>
        <v>146</v>
      </c>
      <c r="G52" s="34">
        <f>G35+VLOOKUP($A$1,'Pri Housing Generation'!$A$96:$DQ$118, 103, FALSE)</f>
        <v>140</v>
      </c>
      <c r="H52" s="34">
        <f>H35+VLOOKUP($A$1,'Pri Housing Generation'!$A$96:$DQ$118, 104, FALSE)</f>
        <v>142</v>
      </c>
      <c r="I52" s="99">
        <f t="shared" si="25"/>
        <v>166</v>
      </c>
      <c r="J52" s="54"/>
      <c r="K52" s="83"/>
      <c r="L52" s="83"/>
      <c r="M52" s="107">
        <f t="shared" si="26"/>
        <v>0.92603462532299785</v>
      </c>
      <c r="O52" s="35">
        <f t="shared" si="21"/>
        <v>154</v>
      </c>
      <c r="Q52" s="25">
        <f t="shared" si="27"/>
        <v>2030</v>
      </c>
      <c r="R52" s="20">
        <f t="shared" si="22"/>
        <v>160</v>
      </c>
      <c r="S52" s="53">
        <f t="shared" si="31"/>
        <v>160</v>
      </c>
      <c r="T52" s="53">
        <f t="shared" si="32"/>
        <v>160</v>
      </c>
      <c r="U52" s="53">
        <f t="shared" si="33"/>
        <v>140</v>
      </c>
      <c r="V52" s="34">
        <f t="shared" si="34"/>
        <v>117</v>
      </c>
      <c r="W52" s="34">
        <f t="shared" si="35"/>
        <v>62</v>
      </c>
      <c r="X52" s="101">
        <f t="shared" si="36"/>
        <v>799</v>
      </c>
    </row>
    <row r="53" spans="1:24" x14ac:dyDescent="0.25">
      <c r="A53" s="25">
        <f t="shared" si="24"/>
        <v>2031</v>
      </c>
      <c r="B53" s="37">
        <f>B36+VLOOKUP($A$1,'Pri Housing Generation'!$A$96:$DQ$118, 106, FALSE)</f>
        <v>142</v>
      </c>
      <c r="C53" s="34">
        <f>C36+VLOOKUP($A$1,'Pri Housing Generation'!$A$96:$DQ$118, 107, FALSE)</f>
        <v>146</v>
      </c>
      <c r="D53" s="34">
        <f>D36+VLOOKUP($A$1,'Pri Housing Generation'!$A$96:$DQ$118, 108, FALSE)</f>
        <v>145</v>
      </c>
      <c r="E53" s="34">
        <f>E36+VLOOKUP($A$1,'Pri Housing Generation'!$A$96:$DQ$118, 109, FALSE)</f>
        <v>145</v>
      </c>
      <c r="F53" s="34">
        <f>F36+VLOOKUP($A$1,'Pri Housing Generation'!$A$96:$DQ$118, 110, FALSE)</f>
        <v>147</v>
      </c>
      <c r="G53" s="34">
        <f>G36+VLOOKUP($A$1,'Pri Housing Generation'!$A$96:$DQ$118, 111, FALSE)</f>
        <v>141</v>
      </c>
      <c r="H53" s="34">
        <f>H36+VLOOKUP($A$1,'Pri Housing Generation'!$A$96:$DQ$118, 112, FALSE)</f>
        <v>144</v>
      </c>
      <c r="I53" s="99">
        <f t="shared" si="25"/>
        <v>168</v>
      </c>
      <c r="J53" s="54"/>
      <c r="K53" s="83"/>
      <c r="L53" s="83"/>
      <c r="M53" s="107">
        <f t="shared" si="26"/>
        <v>0.93763462532299791</v>
      </c>
      <c r="O53" s="35">
        <f t="shared" si="21"/>
        <v>158</v>
      </c>
      <c r="Q53" s="25">
        <f t="shared" si="27"/>
        <v>2031</v>
      </c>
      <c r="R53" s="20">
        <f t="shared" si="22"/>
        <v>160</v>
      </c>
      <c r="S53" s="53">
        <f t="shared" si="31"/>
        <v>160</v>
      </c>
      <c r="T53" s="53">
        <f t="shared" si="32"/>
        <v>160</v>
      </c>
      <c r="U53" s="53">
        <f t="shared" si="33"/>
        <v>160</v>
      </c>
      <c r="V53" s="34">
        <f t="shared" si="34"/>
        <v>117</v>
      </c>
      <c r="W53" s="34">
        <f t="shared" si="35"/>
        <v>73</v>
      </c>
      <c r="X53" s="101">
        <f t="shared" si="36"/>
        <v>830</v>
      </c>
    </row>
    <row r="54" spans="1:24" x14ac:dyDescent="0.25">
      <c r="A54" s="25">
        <f t="shared" si="24"/>
        <v>2032</v>
      </c>
      <c r="B54" s="37">
        <f>B37+VLOOKUP($A$1,'Pri Housing Generation'!$A$96:$DQ$118, 114, FALSE)</f>
        <v>143</v>
      </c>
      <c r="C54" s="34">
        <f>C37+VLOOKUP($A$1,'Pri Housing Generation'!$A$96:$DQ$118, 115, FALSE)</f>
        <v>147</v>
      </c>
      <c r="D54" s="34">
        <f>D37+VLOOKUP($A$1,'Pri Housing Generation'!$A$96:$DQ$118, 116, FALSE)</f>
        <v>146</v>
      </c>
      <c r="E54" s="34">
        <f>E37+VLOOKUP($A$1,'Pri Housing Generation'!$A$96:$DQ$118, 117, FALSE)</f>
        <v>145</v>
      </c>
      <c r="F54" s="34">
        <f>F37+VLOOKUP($A$1,'Pri Housing Generation'!$A$96:$DQ$118, 118, FALSE)</f>
        <v>148</v>
      </c>
      <c r="G54" s="34">
        <f>G37+VLOOKUP($A$1,'Pri Housing Generation'!$A$96:$DQ$118, 119, FALSE)</f>
        <v>143</v>
      </c>
      <c r="H54" s="34">
        <f>H37+VLOOKUP($A$1,'Pri Housing Generation'!$A$96:$DQ$118, 120, FALSE)</f>
        <v>145</v>
      </c>
      <c r="I54" s="99">
        <f t="shared" si="25"/>
        <v>170</v>
      </c>
      <c r="K54" s="83"/>
      <c r="L54" s="83"/>
      <c r="M54" s="107">
        <v>0.95</v>
      </c>
      <c r="O54" s="35">
        <f t="shared" si="21"/>
        <v>162</v>
      </c>
      <c r="Q54" s="25">
        <f t="shared" si="27"/>
        <v>2032</v>
      </c>
      <c r="R54" s="20">
        <f t="shared" si="22"/>
        <v>180</v>
      </c>
      <c r="S54" s="53">
        <f t="shared" si="31"/>
        <v>160</v>
      </c>
      <c r="T54" s="53">
        <f t="shared" si="32"/>
        <v>160</v>
      </c>
      <c r="U54" s="53">
        <f t="shared" si="33"/>
        <v>160</v>
      </c>
      <c r="V54" s="34">
        <f t="shared" si="34"/>
        <v>133</v>
      </c>
      <c r="W54" s="34">
        <f t="shared" si="35"/>
        <v>73</v>
      </c>
      <c r="X54" s="101">
        <f t="shared" si="36"/>
        <v>866</v>
      </c>
    </row>
    <row r="56" spans="1:24" ht="15.75" x14ac:dyDescent="0.25">
      <c r="A56" s="129" t="s">
        <v>223</v>
      </c>
      <c r="F56" s="131"/>
      <c r="G56" s="131"/>
      <c r="H56" s="131"/>
      <c r="I56" s="131"/>
      <c r="J56" s="131"/>
    </row>
    <row r="57" spans="1:24" x14ac:dyDescent="0.25">
      <c r="F57" s="131"/>
      <c r="G57" s="131"/>
      <c r="H57" s="131"/>
      <c r="I57" s="131"/>
      <c r="J57" s="131"/>
    </row>
    <row r="58" spans="1:24" x14ac:dyDescent="0.25">
      <c r="A58" s="21" t="s">
        <v>224</v>
      </c>
      <c r="F58" s="21" t="s">
        <v>255</v>
      </c>
      <c r="J58" s="131"/>
    </row>
    <row r="59" spans="1:24" x14ac:dyDescent="0.25">
      <c r="A59" s="21"/>
      <c r="F59" s="21"/>
      <c r="J59" s="131"/>
    </row>
    <row r="60" spans="1:24" ht="33" customHeight="1" x14ac:dyDescent="0.25">
      <c r="A60" s="136"/>
      <c r="B60" s="138" t="s">
        <v>225</v>
      </c>
      <c r="C60" s="413" t="s">
        <v>226</v>
      </c>
      <c r="D60" s="414"/>
      <c r="F60" s="136"/>
      <c r="G60" s="138" t="s">
        <v>225</v>
      </c>
      <c r="H60" s="130"/>
      <c r="I60" s="130"/>
    </row>
    <row r="61" spans="1:24" x14ac:dyDescent="0.25">
      <c r="A61" s="25">
        <v>2011</v>
      </c>
      <c r="B61" s="128">
        <v>15</v>
      </c>
      <c r="C61" s="415">
        <f t="shared" ref="C61:C66" si="37">1-(I13/(I13+B61))</f>
        <v>0.13157894736842102</v>
      </c>
      <c r="D61" s="388"/>
      <c r="F61" s="25">
        <v>2011</v>
      </c>
      <c r="G61" s="128">
        <v>23</v>
      </c>
      <c r="H61" s="54"/>
      <c r="I61" s="142"/>
    </row>
    <row r="62" spans="1:24" x14ac:dyDescent="0.25">
      <c r="A62" s="25">
        <v>2012</v>
      </c>
      <c r="B62" s="128">
        <v>23</v>
      </c>
      <c r="C62" s="415">
        <f t="shared" si="37"/>
        <v>0.19166666666666665</v>
      </c>
      <c r="D62" s="388"/>
      <c r="F62" s="25">
        <v>2012</v>
      </c>
      <c r="G62" s="128">
        <v>23</v>
      </c>
      <c r="H62" s="54"/>
      <c r="I62" s="142"/>
      <c r="K62" s="181"/>
      <c r="N62" s="109"/>
      <c r="S62" s="82"/>
    </row>
    <row r="63" spans="1:24" x14ac:dyDescent="0.25">
      <c r="A63" s="25">
        <v>2013</v>
      </c>
      <c r="B63" s="128">
        <v>20</v>
      </c>
      <c r="C63" s="415">
        <f t="shared" si="37"/>
        <v>0.17241379310344829</v>
      </c>
      <c r="D63" s="388"/>
      <c r="F63" s="25">
        <v>2013</v>
      </c>
      <c r="G63" s="128">
        <v>22</v>
      </c>
      <c r="H63" s="54"/>
      <c r="I63" s="142"/>
      <c r="K63" s="181"/>
      <c r="N63" s="109"/>
      <c r="S63" s="82"/>
    </row>
    <row r="64" spans="1:24" x14ac:dyDescent="0.25">
      <c r="A64" s="25">
        <v>2014</v>
      </c>
      <c r="B64" s="128">
        <v>23</v>
      </c>
      <c r="C64" s="415">
        <f t="shared" si="37"/>
        <v>0.21100917431192656</v>
      </c>
      <c r="D64" s="388"/>
      <c r="F64" s="25">
        <v>2014</v>
      </c>
      <c r="G64" s="128">
        <v>25</v>
      </c>
      <c r="H64" s="54"/>
      <c r="I64" s="142"/>
      <c r="K64" s="181"/>
      <c r="N64" s="109"/>
      <c r="S64" s="82"/>
    </row>
    <row r="65" spans="1:24" x14ac:dyDescent="0.25">
      <c r="A65" s="25">
        <v>2015</v>
      </c>
      <c r="B65" s="128">
        <v>20</v>
      </c>
      <c r="C65" s="415">
        <f t="shared" si="37"/>
        <v>0.16666666666666663</v>
      </c>
      <c r="D65" s="388"/>
      <c r="F65" s="25">
        <v>2015</v>
      </c>
      <c r="G65" s="128">
        <v>33</v>
      </c>
      <c r="H65" s="54"/>
      <c r="I65" s="142"/>
      <c r="K65" s="181"/>
      <c r="N65" s="109"/>
      <c r="S65" s="82"/>
    </row>
    <row r="66" spans="1:24" x14ac:dyDescent="0.25">
      <c r="A66" s="25">
        <v>2016</v>
      </c>
      <c r="B66" s="128"/>
      <c r="C66" s="415">
        <f t="shared" si="37"/>
        <v>0</v>
      </c>
      <c r="D66" s="388"/>
      <c r="F66" s="25">
        <v>2016</v>
      </c>
      <c r="G66" s="128"/>
      <c r="H66" s="54"/>
      <c r="I66" s="142"/>
      <c r="K66" s="181"/>
      <c r="N66" s="109"/>
      <c r="S66" s="82"/>
    </row>
    <row r="67" spans="1:24" x14ac:dyDescent="0.25">
      <c r="A67" s="21"/>
      <c r="F67" s="140" t="s">
        <v>256</v>
      </c>
      <c r="G67" s="141">
        <f>ROUNDUP((AVERAGE(G63:G65)),0)</f>
        <v>27</v>
      </c>
      <c r="I67" s="142"/>
      <c r="K67" s="181"/>
      <c r="N67" s="109"/>
      <c r="S67" s="82"/>
    </row>
    <row r="68" spans="1:24" x14ac:dyDescent="0.25">
      <c r="A68" s="21" t="s">
        <v>213</v>
      </c>
      <c r="I68" s="142"/>
      <c r="K68" s="181"/>
      <c r="N68" s="109"/>
      <c r="S68" s="82"/>
    </row>
    <row r="69" spans="1:24" x14ac:dyDescent="0.25">
      <c r="A69" t="s">
        <v>257</v>
      </c>
      <c r="I69" s="142"/>
      <c r="K69" s="54"/>
      <c r="N69" s="109"/>
      <c r="S69" s="82"/>
    </row>
    <row r="70" spans="1:24" x14ac:dyDescent="0.25">
      <c r="A70" t="s">
        <v>381</v>
      </c>
      <c r="I70" s="143"/>
      <c r="K70" s="54"/>
      <c r="N70" s="109"/>
      <c r="S70" s="82"/>
    </row>
    <row r="71" spans="1:24" x14ac:dyDescent="0.25">
      <c r="A71" t="s">
        <v>383</v>
      </c>
      <c r="K71" s="54"/>
      <c r="N71" s="109"/>
    </row>
    <row r="74" spans="1:24" x14ac:dyDescent="0.25">
      <c r="K74" s="131"/>
    </row>
    <row r="75" spans="1:24" x14ac:dyDescent="0.25">
      <c r="K75" s="131"/>
    </row>
    <row r="76" spans="1:24" x14ac:dyDescent="0.25">
      <c r="K76" s="131"/>
    </row>
    <row r="77" spans="1:24" x14ac:dyDescent="0.25">
      <c r="K77" s="131"/>
    </row>
    <row r="78" spans="1:24" x14ac:dyDescent="0.25">
      <c r="O78" s="39"/>
      <c r="P78" s="39"/>
      <c r="Q78" s="130"/>
      <c r="W78"/>
      <c r="X78"/>
    </row>
    <row r="79" spans="1:24" x14ac:dyDescent="0.25">
      <c r="O79" s="39"/>
      <c r="P79" s="39"/>
      <c r="Q79" s="54"/>
      <c r="W79"/>
      <c r="X79"/>
    </row>
    <row r="80" spans="1:24" x14ac:dyDescent="0.25">
      <c r="O80" s="39"/>
      <c r="P80" s="39"/>
      <c r="Q80" s="54"/>
      <c r="W80"/>
      <c r="X80"/>
    </row>
    <row r="81" spans="15:24" x14ac:dyDescent="0.25">
      <c r="O81" s="39"/>
      <c r="P81" s="39"/>
      <c r="Q81" s="54"/>
      <c r="W81"/>
      <c r="X81"/>
    </row>
    <row r="82" spans="15:24" x14ac:dyDescent="0.25">
      <c r="O82" s="39"/>
      <c r="P82" s="39"/>
      <c r="Q82" s="54"/>
      <c r="W82"/>
      <c r="X82"/>
    </row>
    <row r="83" spans="15:24" x14ac:dyDescent="0.25">
      <c r="O83" s="39"/>
      <c r="P83" s="39"/>
      <c r="Q83" s="54"/>
      <c r="W83"/>
      <c r="X83"/>
    </row>
    <row r="84" spans="15:24" x14ac:dyDescent="0.25">
      <c r="O84" s="39"/>
      <c r="P84" s="39"/>
      <c r="Q84" s="54"/>
      <c r="W84"/>
      <c r="X84"/>
    </row>
  </sheetData>
  <mergeCells count="22">
    <mergeCell ref="C66:D66"/>
    <mergeCell ref="C62:D62"/>
    <mergeCell ref="C63:D63"/>
    <mergeCell ref="C64:D64"/>
    <mergeCell ref="C65:D65"/>
    <mergeCell ref="K39:K40"/>
    <mergeCell ref="M39:M40"/>
    <mergeCell ref="O39:O40"/>
    <mergeCell ref="C60:D60"/>
    <mergeCell ref="C61:D61"/>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54">
    <cfRule type="cellIs" dxfId="27" priority="3" operator="greaterThan">
      <formula>$C$7</formula>
    </cfRule>
  </conditionalFormatting>
  <conditionalFormatting sqref="X41:X54">
    <cfRule type="cellIs" dxfId="26" priority="2"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A85"/>
  <sheetViews>
    <sheetView workbookViewId="0">
      <selection activeCell="K14" sqref="K14:L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102</v>
      </c>
    </row>
    <row r="2" spans="1:24" x14ac:dyDescent="0.25">
      <c r="A2" t="s">
        <v>400</v>
      </c>
    </row>
    <row r="4" spans="1:24" x14ac:dyDescent="0.25">
      <c r="A4" s="21" t="s">
        <v>192</v>
      </c>
    </row>
    <row r="5" spans="1:24" x14ac:dyDescent="0.25">
      <c r="A5" s="21"/>
    </row>
    <row r="6" spans="1:24" x14ac:dyDescent="0.25">
      <c r="A6" s="21" t="s">
        <v>193</v>
      </c>
      <c r="C6" s="100">
        <f>VLOOKUP(A1,'Projection Summary'!A5:C50,3,FALSE)</f>
        <v>1200</v>
      </c>
    </row>
    <row r="7" spans="1:24" x14ac:dyDescent="0.25">
      <c r="A7" s="21" t="s">
        <v>191</v>
      </c>
      <c r="B7" s="21"/>
      <c r="C7" s="100">
        <f>VLOOKUP(A1,'Projection Summary'!A5:C50,2,FALSE)</f>
        <v>220</v>
      </c>
    </row>
    <row r="9" spans="1:24" ht="15.75" x14ac:dyDescent="0.25">
      <c r="A9" s="129" t="s">
        <v>197</v>
      </c>
      <c r="R9" s="129" t="s">
        <v>198</v>
      </c>
      <c r="T9" s="173"/>
    </row>
    <row r="10" spans="1:24" x14ac:dyDescent="0.25">
      <c r="A10" s="21"/>
    </row>
    <row r="11" spans="1:24" x14ac:dyDescent="0.25">
      <c r="A11" s="21" t="s">
        <v>259</v>
      </c>
      <c r="K11" s="406" t="s">
        <v>137</v>
      </c>
      <c r="L11" s="407"/>
      <c r="M11" s="412" t="s">
        <v>139</v>
      </c>
      <c r="N11" s="49"/>
      <c r="O11" s="394" t="s">
        <v>136</v>
      </c>
      <c r="R11" s="21" t="s">
        <v>260</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264</v>
      </c>
      <c r="C13" s="19">
        <f>VLOOKUP($A$1,'Primary Catchment Analysis'!$A$3:$BE$25, 38, FALSE)</f>
        <v>268</v>
      </c>
      <c r="D13" s="27">
        <f>VLOOKUP($A$1,'Primary Catchment Analysis'!$A$3:$BE$25, 39, FALSE)</f>
        <v>249</v>
      </c>
      <c r="E13" s="27">
        <f>VLOOKUP($A$1,'Primary Catchment Analysis'!$A$3:$BE$25, 40, FALSE)</f>
        <v>255</v>
      </c>
      <c r="F13" s="27">
        <f>VLOOKUP($A$1,'Primary Catchment Analysis'!$A$3:$BE$25, 41, FALSE)</f>
        <v>198</v>
      </c>
      <c r="G13" s="126">
        <f>VLOOKUP($A$1,'Primary Catchment Analysis'!$A$3:$BE$25, 42, FALSE)</f>
        <v>225</v>
      </c>
      <c r="H13" s="28">
        <f>VLOOKUP($A$1,'Primary Catchment Analysis'!$A$3:$BE$25, 43, FALSE)</f>
        <v>213</v>
      </c>
      <c r="I13" s="28">
        <f>VLOOKUP($A$1,'S1 Catchment Analysis'!A3:I25, 7, FALSE)</f>
        <v>220</v>
      </c>
      <c r="J13" s="23"/>
      <c r="K13" s="410"/>
      <c r="L13" s="411"/>
      <c r="M13" s="399"/>
      <c r="N13" s="50"/>
      <c r="O13" s="399"/>
      <c r="P13" s="50"/>
      <c r="Q13" s="25">
        <f>A13</f>
        <v>2013</v>
      </c>
      <c r="R13" s="69">
        <f>VLOOKUP($A$1,'Secondary Rolls'!$A$3:$BE$25, 37, FALSE)</f>
        <v>225</v>
      </c>
      <c r="S13" s="53">
        <f>VLOOKUP($A$1,'Secondary Rolls'!$A$3:$BE$25, 38, FALSE)</f>
        <v>193</v>
      </c>
      <c r="T13" s="53">
        <f>VLOOKUP($A$1,'Secondary Rolls'!$A$3:$BE$25, 39, FALSE)</f>
        <v>197</v>
      </c>
      <c r="U13" s="122">
        <f>VLOOKUP($A$1,'Secondary Rolls'!$A$3:$BE$25, 40, FALSE)</f>
        <v>191</v>
      </c>
      <c r="V13" s="63">
        <f>VLOOKUP($A$1,'Secondary Rolls'!$A$3:$BE$25, 41, FALSE)</f>
        <v>161</v>
      </c>
      <c r="W13" s="53">
        <f>VLOOKUP($A$1,'Secondary Rolls'!$A$3:$BE$25, 42, FALSE)</f>
        <v>104</v>
      </c>
      <c r="X13" s="62">
        <f t="shared" ref="X13:X17" si="0">SUM(R13:W13)</f>
        <v>1071</v>
      </c>
    </row>
    <row r="14" spans="1:24" ht="15.75" thickBot="1" x14ac:dyDescent="0.3">
      <c r="A14" s="25">
        <f>VLOOKUP($A$12,'S1 Catchment Analysis'!A2:I2, 6, FALSE)</f>
        <v>2014</v>
      </c>
      <c r="B14" s="45">
        <f>VLOOKUP($A$1,'Primary Catchment Analysis'!$A$3:$BE$25, 30, FALSE)</f>
        <v>246</v>
      </c>
      <c r="C14" s="44">
        <f>VLOOKUP($A$1,'Primary Catchment Analysis'!$A$3:$BE$25, 31, FALSE)</f>
        <v>265</v>
      </c>
      <c r="D14" s="19">
        <f>VLOOKUP($A$1,'Primary Catchment Analysis'!$A$3:$BE$25, 32, FALSE)</f>
        <v>268</v>
      </c>
      <c r="E14" s="27">
        <f>VLOOKUP($A$1,'Primary Catchment Analysis'!$A$3:$BE$25, 33, FALSE)</f>
        <v>249</v>
      </c>
      <c r="F14" s="27">
        <f>VLOOKUP($A$1,'Primary Catchment Analysis'!$A$3:$BE$25, 34, FALSE)</f>
        <v>242</v>
      </c>
      <c r="G14" s="126">
        <f>VLOOKUP($A$1,'Primary Catchment Analysis'!$A$3:$BE$25, 35, FALSE)</f>
        <v>194</v>
      </c>
      <c r="H14" s="28">
        <f>VLOOKUP($A$1,'Primary Catchment Analysis'!$A$3:$BE$25, 36, FALSE)</f>
        <v>216</v>
      </c>
      <c r="I14" s="27">
        <f>VLOOKUP($A$1,'S1 Catchment Analysis'!A3:I25, 6, FALSE)</f>
        <v>210</v>
      </c>
      <c r="J14" s="23"/>
      <c r="K14" s="400">
        <f>VLOOKUP($A$1,'S1 Catchment Retained'!A2:I25, 6, FALSE)</f>
        <v>191</v>
      </c>
      <c r="L14" s="401"/>
      <c r="M14" s="110">
        <f t="shared" ref="M14:M18" si="1">(K14/I14)</f>
        <v>0.90952380952380951</v>
      </c>
      <c r="N14" s="50"/>
      <c r="O14" s="111">
        <f t="shared" ref="O14:O18" si="2">R14-K14</f>
        <v>11</v>
      </c>
      <c r="P14" s="50"/>
      <c r="Q14" s="25">
        <f t="shared" ref="Q14:Q18" si="3">A14</f>
        <v>2014</v>
      </c>
      <c r="R14" s="67">
        <f>VLOOKUP($A$1,'Secondary Rolls'!$A$3:$BE$25, 30, FALSE)</f>
        <v>202</v>
      </c>
      <c r="S14" s="69">
        <f>VLOOKUP($A$1,'Secondary Rolls'!$A$3:$BE$25, 31, FALSE)</f>
        <v>203</v>
      </c>
      <c r="T14" s="61">
        <f>VLOOKUP($A$1,'Secondary Rolls'!$A$3:$BE$25, 32, FALSE)</f>
        <v>186</v>
      </c>
      <c r="U14" s="61">
        <f>VLOOKUP($A$1,'Secondary Rolls'!$A$3:$BE$25, 33, FALSE)</f>
        <v>198</v>
      </c>
      <c r="V14" s="64">
        <f>VLOOKUP($A$1,'Secondary Rolls'!$A$3:$BE$25, 34, FALSE)</f>
        <v>161</v>
      </c>
      <c r="W14" s="116">
        <f>VLOOKUP($A$1,'Secondary Rolls'!$A$3:$BE$25, 35, FALSE)</f>
        <v>125</v>
      </c>
      <c r="X14" s="62">
        <f t="shared" si="0"/>
        <v>1075</v>
      </c>
    </row>
    <row r="15" spans="1:24" ht="15.75" thickBot="1" x14ac:dyDescent="0.3">
      <c r="A15" s="25">
        <f>VLOOKUP($A$12,'S1 Catchment Analysis'!A2:I2, 5, FALSE)</f>
        <v>2015</v>
      </c>
      <c r="B15" s="19">
        <f>VLOOKUP($A$1,'Primary Catchment Analysis'!$A$3:$BE$25, 23, FALSE)</f>
        <v>238</v>
      </c>
      <c r="C15" s="45">
        <f>VLOOKUP($A$1,'Primary Catchment Analysis'!$A$3:$BE$25, 24, FALSE)</f>
        <v>243</v>
      </c>
      <c r="D15" s="44">
        <f>VLOOKUP($A$1,'Primary Catchment Analysis'!$A$3:$BE$25, 25, FALSE)</f>
        <v>257</v>
      </c>
      <c r="E15" s="19">
        <f>VLOOKUP($A$1,'Primary Catchment Analysis'!$A$3:$BE$25, 26, FALSE)</f>
        <v>261</v>
      </c>
      <c r="F15" s="27">
        <f>VLOOKUP($A$1,'Primary Catchment Analysis'!$A$3:$BE$25, 27, FALSE)</f>
        <v>249</v>
      </c>
      <c r="G15" s="126">
        <f>VLOOKUP($A$1,'Primary Catchment Analysis'!$A$3:$BE$25, 28, FALSE)</f>
        <v>240</v>
      </c>
      <c r="H15" s="30">
        <f>VLOOKUP($A$1,'Primary Catchment Analysis'!$A$3:$BE$25, 29, FALSE)</f>
        <v>181</v>
      </c>
      <c r="I15" s="29">
        <f>VLOOKUP($A$1,'S1 Catchment Analysis'!A3:I25, 5, FALSE)</f>
        <v>180</v>
      </c>
      <c r="J15" s="23"/>
      <c r="K15" s="400">
        <f>VLOOKUP($A$1,'S1 Catchment Retained'!A2:I25, 5, FALSE)</f>
        <v>168</v>
      </c>
      <c r="L15" s="401"/>
      <c r="M15" s="110">
        <f t="shared" si="1"/>
        <v>0.93333333333333335</v>
      </c>
      <c r="N15" s="50"/>
      <c r="O15" s="111">
        <f t="shared" si="2"/>
        <v>8</v>
      </c>
      <c r="P15" s="50"/>
      <c r="Q15" s="25">
        <f t="shared" si="3"/>
        <v>2015</v>
      </c>
      <c r="R15" s="68">
        <f>VLOOKUP($A$1,'Secondary Rolls'!$A$3:$BE$25, 23, FALSE)</f>
        <v>176</v>
      </c>
      <c r="S15" s="67">
        <f>VLOOKUP($A$1,'Secondary Rolls'!$A$3:$BE$25, 24, FALSE)</f>
        <v>193</v>
      </c>
      <c r="T15" s="71">
        <f>VLOOKUP($A$1,'Secondary Rolls'!$A$3:$BE$25, 25, FALSE)</f>
        <v>200</v>
      </c>
      <c r="U15" s="61">
        <f>VLOOKUP($A$1,'Secondary Rolls'!$A$3:$BE$25, 26, FALSE)</f>
        <v>182</v>
      </c>
      <c r="V15" s="123">
        <f>VLOOKUP($A$1,'Secondary Rolls'!$A$3:$BE$25, 27, FALSE)</f>
        <v>166</v>
      </c>
      <c r="W15" s="64">
        <f>VLOOKUP($A$1,'Secondary Rolls'!$A$3:$BE$25, 28, FALSE)</f>
        <v>126</v>
      </c>
      <c r="X15" s="62">
        <f t="shared" si="0"/>
        <v>1043</v>
      </c>
    </row>
    <row r="16" spans="1:24" ht="15.75" thickBot="1" x14ac:dyDescent="0.3">
      <c r="A16" s="25">
        <f>VLOOKUP($A$12,'S1 Catchment Analysis'!A2:I2, 4, FALSE)</f>
        <v>2016</v>
      </c>
      <c r="B16" s="44">
        <f>VLOOKUP($A$1,'Primary Catchment Analysis'!$A$3:$BE$25, 16, FALSE)</f>
        <v>230</v>
      </c>
      <c r="C16" s="19">
        <f>VLOOKUP($A$1,'Primary Catchment Analysis'!$A$3:$BE$25, 17, FALSE)</f>
        <v>245</v>
      </c>
      <c r="D16" s="45">
        <f>VLOOKUP($A$1,'Primary Catchment Analysis'!$A$3:$BE$25, 18, FALSE)</f>
        <v>234</v>
      </c>
      <c r="E16" s="44">
        <f>VLOOKUP($A$1,'Primary Catchment Analysis'!$A$3:$BE$25, 19, FALSE)</f>
        <v>254</v>
      </c>
      <c r="F16" s="19">
        <f>VLOOKUP($A$1,'Primary Catchment Analysis'!$A$3:$BE$25, 20, FALSE)</f>
        <v>261</v>
      </c>
      <c r="G16" s="126">
        <f>VLOOKUP($A$1,'Primary Catchment Analysis'!$A$3:$BE$25, 21, FALSE)</f>
        <v>241</v>
      </c>
      <c r="H16" s="112">
        <f>VLOOKUP($A$1,'Primary Catchment Analysis'!$A$3:$BE$25, 22, FALSE)</f>
        <v>235</v>
      </c>
      <c r="I16" s="30">
        <f>VLOOKUP($A$1,'S1 Catchment Analysis'!A3:I25, 4, FALSE)</f>
        <v>197</v>
      </c>
      <c r="J16" s="23"/>
      <c r="K16" s="400">
        <f>VLOOKUP($A$1,'S1 Catchment Retained'!A2:I25, 4, FALSE)</f>
        <v>193</v>
      </c>
      <c r="L16" s="401"/>
      <c r="M16" s="56">
        <f t="shared" si="1"/>
        <v>0.97969543147208127</v>
      </c>
      <c r="N16" s="50"/>
      <c r="O16" s="103">
        <f t="shared" si="2"/>
        <v>11</v>
      </c>
      <c r="P16" s="50"/>
      <c r="Q16" s="25">
        <f t="shared" si="3"/>
        <v>2016</v>
      </c>
      <c r="R16" s="69">
        <f>VLOOKUP($A$1,'Secondary Rolls'!$A$3:$BE$25, 16, FALSE)</f>
        <v>204</v>
      </c>
      <c r="S16" s="68">
        <f>VLOOKUP($A$1,'Secondary Rolls'!$A$3:$BE$25, 17, FALSE)</f>
        <v>169</v>
      </c>
      <c r="T16" s="70">
        <f>VLOOKUP($A$1,'Secondary Rolls'!$A$3:$BE$25, 18, FALSE)</f>
        <v>196</v>
      </c>
      <c r="U16" s="71">
        <f>VLOOKUP($A$1,'Secondary Rolls'!$A$3:$BE$25, 19, FALSE)</f>
        <v>199</v>
      </c>
      <c r="V16" s="66">
        <f>VLOOKUP($A$1,'Secondary Rolls'!$A$3:$BE$25, 20, FALSE)</f>
        <v>143</v>
      </c>
      <c r="W16" s="65">
        <f>VLOOKUP($A$1,'Secondary Rolls'!$A$3:$BE$25, 21, FALSE)</f>
        <v>114</v>
      </c>
      <c r="X16" s="62">
        <f t="shared" si="0"/>
        <v>1025</v>
      </c>
    </row>
    <row r="17" spans="1:27" ht="15.75" thickBot="1" x14ac:dyDescent="0.3">
      <c r="A17" s="258">
        <f>VLOOKUP($A$12,'S1 Catchment Analysis'!A2:I2, 3, FALSE)</f>
        <v>2017</v>
      </c>
      <c r="B17" s="259">
        <f>VLOOKUP($A$1,'Primary Catchment Analysis'!$A$3:$BE$25, 9, FALSE)</f>
        <v>235</v>
      </c>
      <c r="C17" s="260">
        <f>VLOOKUP($A$1,'Primary Catchment Analysis'!$A$3:$BE$25, 10, FALSE)</f>
        <v>233</v>
      </c>
      <c r="D17" s="261">
        <f>VLOOKUP($A$1,'Primary Catchment Analysis'!$A$3:$BE$25, 11, FALSE)</f>
        <v>235</v>
      </c>
      <c r="E17" s="259">
        <f>VLOOKUP($A$1,'Primary Catchment Analysis'!$A$3:$BE$25, 12, FALSE)</f>
        <v>234</v>
      </c>
      <c r="F17" s="260">
        <f>VLOOKUP($A$1,'Primary Catchment Analysis'!$A$3:$BE$25, 13, FALSE)</f>
        <v>251</v>
      </c>
      <c r="G17" s="262">
        <f>VLOOKUP($A$1,'Primary Catchment Analysis'!$A$3:$BE$25, 14, FALSE)</f>
        <v>255</v>
      </c>
      <c r="H17" s="113">
        <f>VLOOKUP($A$1,'Primary Catchment Analysis'!$A$3:$BE$25, 15, FALSE)</f>
        <v>224</v>
      </c>
      <c r="I17" s="31">
        <f>VLOOKUP($A$1,'S1 Catchment Analysis'!A3:I25, 3, FALSE)</f>
        <v>218</v>
      </c>
      <c r="J17" s="23"/>
      <c r="K17" s="402">
        <f>VLOOKUP($A$1,'S1 Catchment Retained'!A2:I25, 3, FALSE)</f>
        <v>202</v>
      </c>
      <c r="L17" s="403"/>
      <c r="M17" s="57">
        <f t="shared" si="1"/>
        <v>0.92660550458715596</v>
      </c>
      <c r="N17" s="50"/>
      <c r="O17" s="104">
        <f t="shared" si="2"/>
        <v>4</v>
      </c>
      <c r="P17" s="50"/>
      <c r="Q17" s="25">
        <f t="shared" si="3"/>
        <v>2017</v>
      </c>
      <c r="R17" s="264">
        <f>VLOOKUP($A$1,'Secondary Rolls'!$A$3:$BE$25, 9, FALSE)</f>
        <v>206</v>
      </c>
      <c r="S17" s="265">
        <f>VLOOKUP($A$1,'Secondary Rolls'!$A$3:$BE$25, 10, FALSE)</f>
        <v>209</v>
      </c>
      <c r="T17" s="266">
        <f>VLOOKUP($A$1,'Secondary Rolls'!$A$3:$BE$25, 11, FALSE)</f>
        <v>168</v>
      </c>
      <c r="U17" s="270">
        <f>VLOOKUP($A$1,'Secondary Rolls'!$A$3:$BE$25, 12, FALSE)</f>
        <v>192</v>
      </c>
      <c r="V17" s="271">
        <f>VLOOKUP($A$1,'Secondary Rolls'!$A$3:$BE$25, 13, FALSE)</f>
        <v>151</v>
      </c>
      <c r="W17" s="272">
        <f>VLOOKUP($A$1,'Secondary Rolls'!$A$3:$BE$25, 14, FALSE)</f>
        <v>114</v>
      </c>
      <c r="X17" s="116">
        <f t="shared" si="0"/>
        <v>1040</v>
      </c>
    </row>
    <row r="18" spans="1:27" ht="15.75" thickBot="1" x14ac:dyDescent="0.3">
      <c r="A18" s="25">
        <f>VLOOKUP($A$12,'S1 Catchment Analysis'!A2:I2, 2, FALSE)</f>
        <v>2018</v>
      </c>
      <c r="B18" s="19">
        <f>VLOOKUP($A$1,'Primary Catchment Analysis'!$A$3:$BE$25, 2, FALSE)</f>
        <v>260</v>
      </c>
      <c r="C18" s="45">
        <f>VLOOKUP($A$1,'Primary Catchment Analysis'!$A$3:$BE$25, 3, FALSE)</f>
        <v>237</v>
      </c>
      <c r="D18" s="44">
        <f>VLOOKUP($A$1,'Primary Catchment Analysis'!$A$3:$BE$25, 4, FALSE)</f>
        <v>238</v>
      </c>
      <c r="E18" s="19">
        <f>VLOOKUP($A$1,'Primary Catchment Analysis'!$A$3:$BE$25, 5, FALSE)</f>
        <v>236</v>
      </c>
      <c r="F18" s="45">
        <f>VLOOKUP($A$1,'Primary Catchment Analysis'!$A$3:$BE$25, 6, FALSE)</f>
        <v>241</v>
      </c>
      <c r="G18" s="273">
        <f>VLOOKUP($A$1,'Primary Catchment Analysis'!$A$3:$BE$25, 7, FALSE)</f>
        <v>262</v>
      </c>
      <c r="H18" s="274">
        <f>VLOOKUP($A$1,'Primary Catchment Analysis'!$A$3:$BE$25, 8, FALSE)</f>
        <v>253</v>
      </c>
      <c r="I18" s="32">
        <f>VLOOKUP($A$1,'S1 Catchment Analysis'!A3:I25, 2, FALSE)</f>
        <v>205</v>
      </c>
      <c r="J18" s="23"/>
      <c r="K18" s="392">
        <f>VLOOKUP($A$1,'S1 Catchment Retained'!A2:I25, 2, FALSE)</f>
        <v>196</v>
      </c>
      <c r="L18" s="393"/>
      <c r="M18" s="58">
        <f t="shared" si="1"/>
        <v>0.95609756097560972</v>
      </c>
      <c r="N18" s="50"/>
      <c r="O18" s="105">
        <f t="shared" si="2"/>
        <v>2</v>
      </c>
      <c r="P18" s="50"/>
      <c r="Q18" s="25">
        <f t="shared" si="3"/>
        <v>2018</v>
      </c>
      <c r="R18" s="68">
        <f>VLOOKUP($A$1,'Secondary Rolls'!$A$3:$BE$25, 2, FALSE)</f>
        <v>198</v>
      </c>
      <c r="S18" s="67">
        <f>VLOOKUP($A$1,'Secondary Rolls'!$A$3:$BE$25, 3, FALSE)</f>
        <v>204</v>
      </c>
      <c r="T18" s="69">
        <f>VLOOKUP($A$1,'Secondary Rolls'!$A$3:$BE$25, 4, FALSE)</f>
        <v>204</v>
      </c>
      <c r="U18" s="68">
        <f>VLOOKUP($A$1,'Secondary Rolls'!$A$3:$BE$25, 5, FALSE)</f>
        <v>165</v>
      </c>
      <c r="V18" s="67">
        <f>VLOOKUP($A$1,'Secondary Rolls'!$A$3:$BE$25, 6, FALSE)</f>
        <v>153</v>
      </c>
      <c r="W18" s="69">
        <f>VLOOKUP($A$1,'Secondary Rolls'!$A$3:$BE$25, 7, FALSE)</f>
        <v>119</v>
      </c>
      <c r="X18" s="53">
        <f t="shared" ref="X18" si="4">SUM(R18:W18)</f>
        <v>1043</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-1.6988627088208086E-2</v>
      </c>
      <c r="D20" s="40">
        <f t="shared" ref="D20:I20" si="5">AVERAGE(((C15-D16)/C15),((C16-D17)/C16),((C17-D18)/C17))</f>
        <v>1.8798045366612701E-2</v>
      </c>
      <c r="E20" s="40">
        <f t="shared" si="5"/>
        <v>2.472610867345531E-3</v>
      </c>
      <c r="F20" s="40">
        <f t="shared" si="5"/>
        <v>-6.0345020974942242E-3</v>
      </c>
      <c r="G20" s="40">
        <f t="shared" si="5"/>
        <v>3.7641062027107355E-3</v>
      </c>
      <c r="H20" s="40">
        <f t="shared" si="5"/>
        <v>3.3071963225124075E-2</v>
      </c>
      <c r="I20" s="40">
        <f t="shared" si="5"/>
        <v>2.2921354682698281E-2</v>
      </c>
      <c r="K20" s="389">
        <f>AVERAGE(M16:M18)</f>
        <v>0.95413283234494894</v>
      </c>
      <c r="L20" s="390"/>
      <c r="M20" s="391"/>
      <c r="O20" s="51">
        <f>ROUNDUP((AVERAGE(O16:O18)),0)</f>
        <v>6</v>
      </c>
      <c r="T20" s="388"/>
      <c r="U20" s="388"/>
      <c r="V20" s="40">
        <f>AVERAGE(((U15-V16)/U15),((U16-V17)/U16),((U17-V18)/U17))</f>
        <v>0.21953891481215601</v>
      </c>
      <c r="W20" s="40">
        <f>AVERAGE(((V15-W16)/V15),((V16-W17)/V16),((V17-W18)/V17))</f>
        <v>0.24265691488224003</v>
      </c>
    </row>
    <row r="21" spans="1:27" x14ac:dyDescent="0.25">
      <c r="A21" s="21"/>
      <c r="K21" s="59"/>
      <c r="L21" s="59"/>
    </row>
    <row r="22" spans="1:27" x14ac:dyDescent="0.25">
      <c r="A22" s="21" t="s">
        <v>261</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Projections'!C41+'P1 Catchment Projections'!C42+'P1 Catchment Projections'!C43+'P1 Catchment Projections'!C44+'P1 Catchment Projections'!C45+'P1 Catchment Projections'!C46</f>
        <v>242</v>
      </c>
      <c r="C24" s="34">
        <f>ROUNDUP((B18-(B18*$C$20)),0)</f>
        <v>265</v>
      </c>
      <c r="D24" s="42">
        <f>ROUNDUP((C18-(C18*$D$20)),0)</f>
        <v>233</v>
      </c>
      <c r="E24" s="43">
        <f>ROUNDUP((D18-(D18*$E$20)),0)</f>
        <v>238</v>
      </c>
      <c r="F24" s="41">
        <f>ROUNDUP((E18-(E18*$F$20)),0)</f>
        <v>238</v>
      </c>
      <c r="G24" s="42">
        <f>ROUNDUP((F18-(F18*$G$20)),0)</f>
        <v>241</v>
      </c>
      <c r="H24" s="43">
        <f>ROUNDUP((G18-(G18*$H$20)),0)</f>
        <v>254</v>
      </c>
      <c r="I24" s="99">
        <f>ROUNDUP((H18-(H18*$I$20)),0)</f>
        <v>248</v>
      </c>
      <c r="J24" s="23"/>
      <c r="K24" s="59"/>
      <c r="L24" s="59"/>
      <c r="Z24" s="109"/>
      <c r="AA24" s="109"/>
    </row>
    <row r="25" spans="1:27" x14ac:dyDescent="0.25">
      <c r="A25" s="25">
        <f>A24+1</f>
        <v>2020</v>
      </c>
      <c r="B25" s="37">
        <f>'P1 Catchment Projections'!D41+'P1 Catchment Projections'!D42+'P1 Catchment Projections'!D43+'P1 Catchment Projections'!D44+'P1 Catchment Projections'!D45+'P1 Catchment Projections'!D46</f>
        <v>229</v>
      </c>
      <c r="C25" s="34">
        <f t="shared" ref="C25:C37" si="6">ROUNDUP((B24-(B24*$C$20)),0)</f>
        <v>247</v>
      </c>
      <c r="D25" s="34">
        <f t="shared" ref="D25:D37" si="7">ROUNDUP((C24-(C24*$D$20)),0)</f>
        <v>261</v>
      </c>
      <c r="E25" s="42">
        <f t="shared" ref="E25:E37" si="8">ROUNDUP((D24-(D24*$E$20)),0)</f>
        <v>233</v>
      </c>
      <c r="F25" s="43">
        <f t="shared" ref="F25:F37" si="9">ROUNDUP((E24-(E24*$F$20)),0)</f>
        <v>240</v>
      </c>
      <c r="G25" s="41">
        <f t="shared" ref="G25:G37" si="10">ROUNDUP((F24-(F24*$G$20)),0)</f>
        <v>238</v>
      </c>
      <c r="H25" s="42">
        <f t="shared" ref="H25:H37" si="11">ROUNDUP((G24-(G24*$H$20)),0)</f>
        <v>234</v>
      </c>
      <c r="I25" s="99">
        <f t="shared" ref="I25:I37" si="12">ROUNDUP((H24-(H24*$I$20)),0)</f>
        <v>249</v>
      </c>
      <c r="J25" s="23"/>
      <c r="K25" s="59"/>
      <c r="L25" s="59"/>
      <c r="Z25" s="109"/>
      <c r="AA25" s="109"/>
    </row>
    <row r="26" spans="1:27" x14ac:dyDescent="0.25">
      <c r="A26" s="25">
        <f>A25+1</f>
        <v>2021</v>
      </c>
      <c r="B26" s="37">
        <f>'P1 Catchment Projections'!E41+'P1 Catchment Projections'!E42+'P1 Catchment Projections'!E43+'P1 Catchment Projections'!E44+'P1 Catchment Projections'!E45+'P1 Catchment Projections'!E46</f>
        <v>246</v>
      </c>
      <c r="C26" s="34">
        <f t="shared" si="6"/>
        <v>233</v>
      </c>
      <c r="D26" s="34">
        <f t="shared" si="7"/>
        <v>243</v>
      </c>
      <c r="E26" s="34">
        <f t="shared" si="8"/>
        <v>261</v>
      </c>
      <c r="F26" s="42">
        <f t="shared" si="9"/>
        <v>235</v>
      </c>
      <c r="G26" s="43">
        <f t="shared" si="10"/>
        <v>240</v>
      </c>
      <c r="H26" s="41">
        <f t="shared" si="11"/>
        <v>231</v>
      </c>
      <c r="I26" s="99">
        <f t="shared" si="12"/>
        <v>229</v>
      </c>
      <c r="J26" s="23"/>
      <c r="K26" s="59"/>
      <c r="L26" s="59"/>
      <c r="Z26" s="109"/>
      <c r="AA26" s="109"/>
    </row>
    <row r="27" spans="1:27" x14ac:dyDescent="0.25">
      <c r="A27" s="25">
        <f>A26+1</f>
        <v>2022</v>
      </c>
      <c r="B27" s="37">
        <f>'P1 Catchment Projections'!F41+'P1 Catchment Projections'!F42+'P1 Catchment Projections'!F43+'P1 Catchment Projections'!F44+'P1 Catchment Projections'!F45+'P1 Catchment Projections'!F46</f>
        <v>234</v>
      </c>
      <c r="C27" s="34">
        <f t="shared" si="6"/>
        <v>251</v>
      </c>
      <c r="D27" s="34">
        <f t="shared" si="7"/>
        <v>229</v>
      </c>
      <c r="E27" s="34">
        <f t="shared" si="8"/>
        <v>243</v>
      </c>
      <c r="F27" s="34">
        <f t="shared" si="9"/>
        <v>263</v>
      </c>
      <c r="G27" s="42">
        <f t="shared" si="10"/>
        <v>235</v>
      </c>
      <c r="H27" s="43">
        <f t="shared" si="11"/>
        <v>233</v>
      </c>
      <c r="I27" s="99">
        <f t="shared" si="12"/>
        <v>226</v>
      </c>
      <c r="J27" s="23"/>
      <c r="K27" s="59"/>
      <c r="L27" s="59"/>
      <c r="Z27" s="109"/>
      <c r="AA27" s="109"/>
    </row>
    <row r="28" spans="1:27" x14ac:dyDescent="0.25">
      <c r="A28" s="25">
        <f t="shared" ref="A28:A37" si="13">A27+1</f>
        <v>2023</v>
      </c>
      <c r="B28" s="37">
        <f>'P1 Catchment Projections'!G41+'P1 Catchment Projections'!G42+'P1 Catchment Projections'!G43+'P1 Catchment Projections'!G44+'P1 Catchment Projections'!G45+'P1 Catchment Projections'!G46</f>
        <v>239</v>
      </c>
      <c r="C28" s="34">
        <f t="shared" si="6"/>
        <v>238</v>
      </c>
      <c r="D28" s="34">
        <f t="shared" si="7"/>
        <v>247</v>
      </c>
      <c r="E28" s="34">
        <f t="shared" si="8"/>
        <v>229</v>
      </c>
      <c r="F28" s="34">
        <f t="shared" si="9"/>
        <v>245</v>
      </c>
      <c r="G28" s="34">
        <f t="shared" si="10"/>
        <v>263</v>
      </c>
      <c r="H28" s="42">
        <f t="shared" si="11"/>
        <v>228</v>
      </c>
      <c r="I28" s="99">
        <f t="shared" si="12"/>
        <v>228</v>
      </c>
      <c r="J28" s="23"/>
      <c r="K28" s="59"/>
      <c r="L28" s="59"/>
      <c r="Z28" s="109"/>
      <c r="AA28" s="109"/>
    </row>
    <row r="29" spans="1:27" x14ac:dyDescent="0.25">
      <c r="A29" s="25">
        <f t="shared" si="13"/>
        <v>2024</v>
      </c>
      <c r="B29" s="37">
        <f>'P1 Catchment Projections'!H41+'P1 Catchment Projections'!H42+'P1 Catchment Projections'!H43+'P1 Catchment Projections'!H44+'P1 Catchment Projections'!H45+'P1 Catchment Projections'!H46</f>
        <v>244</v>
      </c>
      <c r="C29" s="34">
        <f t="shared" si="6"/>
        <v>244</v>
      </c>
      <c r="D29" s="34">
        <f t="shared" si="7"/>
        <v>234</v>
      </c>
      <c r="E29" s="34">
        <f t="shared" si="8"/>
        <v>247</v>
      </c>
      <c r="F29" s="34">
        <f t="shared" si="9"/>
        <v>231</v>
      </c>
      <c r="G29" s="34">
        <f t="shared" si="10"/>
        <v>245</v>
      </c>
      <c r="H29" s="34">
        <f t="shared" si="11"/>
        <v>255</v>
      </c>
      <c r="I29" s="99">
        <f t="shared" si="12"/>
        <v>223</v>
      </c>
      <c r="K29" s="59"/>
      <c r="L29" s="59"/>
      <c r="Z29" s="109"/>
      <c r="AA29" s="109"/>
    </row>
    <row r="30" spans="1:27" x14ac:dyDescent="0.25">
      <c r="A30" s="25">
        <f t="shared" si="13"/>
        <v>2025</v>
      </c>
      <c r="B30" s="37">
        <f>'P1 Catchment Projections'!I41+'P1 Catchment Projections'!I42+'P1 Catchment Projections'!I43+'P1 Catchment Projections'!I44+'P1 Catchment Projections'!I45+'P1 Catchment Projections'!I46</f>
        <v>246</v>
      </c>
      <c r="C30" s="34">
        <f t="shared" si="6"/>
        <v>249</v>
      </c>
      <c r="D30" s="34">
        <f t="shared" si="7"/>
        <v>240</v>
      </c>
      <c r="E30" s="34">
        <f t="shared" si="8"/>
        <v>234</v>
      </c>
      <c r="F30" s="34">
        <f t="shared" si="9"/>
        <v>249</v>
      </c>
      <c r="G30" s="34">
        <f t="shared" si="10"/>
        <v>231</v>
      </c>
      <c r="H30" s="34">
        <f t="shared" si="11"/>
        <v>237</v>
      </c>
      <c r="I30" s="99">
        <f t="shared" si="12"/>
        <v>250</v>
      </c>
      <c r="K30" s="59"/>
      <c r="L30" s="59"/>
      <c r="Z30" s="109"/>
      <c r="AA30" s="109"/>
    </row>
    <row r="31" spans="1:27" x14ac:dyDescent="0.25">
      <c r="A31" s="25">
        <f t="shared" si="13"/>
        <v>2026</v>
      </c>
      <c r="B31" s="37">
        <f>'P1 Catchment Projections'!J41+'P1 Catchment Projections'!J42+'P1 Catchment Projections'!J43+'P1 Catchment Projections'!J44+'P1 Catchment Projections'!J45+'P1 Catchment Projections'!J46</f>
        <v>246</v>
      </c>
      <c r="C31" s="34">
        <f t="shared" si="6"/>
        <v>251</v>
      </c>
      <c r="D31" s="34">
        <f t="shared" si="7"/>
        <v>245</v>
      </c>
      <c r="E31" s="34">
        <f t="shared" si="8"/>
        <v>240</v>
      </c>
      <c r="F31" s="34">
        <f t="shared" si="9"/>
        <v>236</v>
      </c>
      <c r="G31" s="34">
        <f t="shared" si="10"/>
        <v>249</v>
      </c>
      <c r="H31" s="34">
        <f t="shared" si="11"/>
        <v>224</v>
      </c>
      <c r="I31" s="99">
        <f t="shared" si="12"/>
        <v>232</v>
      </c>
      <c r="K31" s="59"/>
      <c r="L31" s="59"/>
      <c r="Z31" s="109"/>
      <c r="AA31" s="109"/>
    </row>
    <row r="32" spans="1:27" x14ac:dyDescent="0.25">
      <c r="A32" s="25">
        <f t="shared" si="13"/>
        <v>2027</v>
      </c>
      <c r="B32" s="37">
        <f>'P1 Catchment Projections'!K41+'P1 Catchment Projections'!K42+'P1 Catchment Projections'!K43+'P1 Catchment Projections'!K44+'P1 Catchment Projections'!K45+'P1 Catchment Projections'!K46</f>
        <v>250</v>
      </c>
      <c r="C32" s="34">
        <f t="shared" si="6"/>
        <v>251</v>
      </c>
      <c r="D32" s="34">
        <f t="shared" si="7"/>
        <v>247</v>
      </c>
      <c r="E32" s="34">
        <f t="shared" si="8"/>
        <v>245</v>
      </c>
      <c r="F32" s="34">
        <f t="shared" si="9"/>
        <v>242</v>
      </c>
      <c r="G32" s="34">
        <f t="shared" si="10"/>
        <v>236</v>
      </c>
      <c r="H32" s="34">
        <f t="shared" si="11"/>
        <v>241</v>
      </c>
      <c r="I32" s="99">
        <f t="shared" si="12"/>
        <v>219</v>
      </c>
      <c r="K32" s="59"/>
      <c r="L32" s="59"/>
      <c r="Z32" s="109"/>
      <c r="AA32" s="109"/>
    </row>
    <row r="33" spans="1:24" x14ac:dyDescent="0.25">
      <c r="A33" s="25">
        <f t="shared" si="13"/>
        <v>2028</v>
      </c>
      <c r="B33" s="37">
        <f>'P1 Catchment Projections'!L41+'P1 Catchment Projections'!L42+'P1 Catchment Projections'!L43+'P1 Catchment Projections'!L44+'P1 Catchment Projections'!L45+'P1 Catchment Projections'!L46</f>
        <v>252</v>
      </c>
      <c r="C33" s="34">
        <f t="shared" si="6"/>
        <v>255</v>
      </c>
      <c r="D33" s="34">
        <f t="shared" si="7"/>
        <v>247</v>
      </c>
      <c r="E33" s="34">
        <f t="shared" si="8"/>
        <v>247</v>
      </c>
      <c r="F33" s="34">
        <f t="shared" si="9"/>
        <v>247</v>
      </c>
      <c r="G33" s="34">
        <f t="shared" si="10"/>
        <v>242</v>
      </c>
      <c r="H33" s="34">
        <f t="shared" si="11"/>
        <v>229</v>
      </c>
      <c r="I33" s="99">
        <f t="shared" si="12"/>
        <v>236</v>
      </c>
      <c r="K33" s="59"/>
      <c r="L33" s="59"/>
    </row>
    <row r="34" spans="1:24" x14ac:dyDescent="0.25">
      <c r="A34" s="25">
        <f t="shared" si="13"/>
        <v>2029</v>
      </c>
      <c r="B34" s="37">
        <f>'P1 Catchment Projections'!M41+'P1 Catchment Projections'!M42+'P1 Catchment Projections'!M43+'P1 Catchment Projections'!M44+'P1 Catchment Projections'!M45+'P1 Catchment Projections'!M46</f>
        <v>252</v>
      </c>
      <c r="C34" s="34">
        <f t="shared" si="6"/>
        <v>257</v>
      </c>
      <c r="D34" s="34">
        <f t="shared" si="7"/>
        <v>251</v>
      </c>
      <c r="E34" s="34">
        <f t="shared" si="8"/>
        <v>247</v>
      </c>
      <c r="F34" s="34">
        <f t="shared" si="9"/>
        <v>249</v>
      </c>
      <c r="G34" s="34">
        <f t="shared" si="10"/>
        <v>247</v>
      </c>
      <c r="H34" s="34">
        <f t="shared" si="11"/>
        <v>234</v>
      </c>
      <c r="I34" s="99">
        <f t="shared" si="12"/>
        <v>224</v>
      </c>
      <c r="K34" s="59"/>
      <c r="L34" s="59"/>
    </row>
    <row r="35" spans="1:24" x14ac:dyDescent="0.25">
      <c r="A35" s="25">
        <f t="shared" si="13"/>
        <v>2030</v>
      </c>
      <c r="B35" s="37">
        <f>'P1 Catchment Projections'!N41+'P1 Catchment Projections'!N42+'P1 Catchment Projections'!N43+'P1 Catchment Projections'!N44+'P1 Catchment Projections'!N45+'P1 Catchment Projections'!N46</f>
        <v>252</v>
      </c>
      <c r="C35" s="34">
        <f t="shared" si="6"/>
        <v>257</v>
      </c>
      <c r="D35" s="34">
        <f t="shared" si="7"/>
        <v>253</v>
      </c>
      <c r="E35" s="34">
        <f t="shared" si="8"/>
        <v>251</v>
      </c>
      <c r="F35" s="34">
        <f t="shared" si="9"/>
        <v>249</v>
      </c>
      <c r="G35" s="34">
        <f t="shared" si="10"/>
        <v>249</v>
      </c>
      <c r="H35" s="34">
        <f t="shared" si="11"/>
        <v>239</v>
      </c>
      <c r="I35" s="99">
        <f t="shared" si="12"/>
        <v>229</v>
      </c>
      <c r="K35" s="59"/>
      <c r="L35" s="59"/>
    </row>
    <row r="36" spans="1:24" x14ac:dyDescent="0.25">
      <c r="A36" s="25">
        <f t="shared" si="13"/>
        <v>2031</v>
      </c>
      <c r="B36" s="37">
        <f>'P1 Catchment Projections'!O41+'P1 Catchment Projections'!O42+'P1 Catchment Projections'!O43+'P1 Catchment Projections'!O44+'P1 Catchment Projections'!O45+'P1 Catchment Projections'!O46</f>
        <v>252</v>
      </c>
      <c r="C36" s="34">
        <f t="shared" si="6"/>
        <v>257</v>
      </c>
      <c r="D36" s="34">
        <f t="shared" si="7"/>
        <v>253</v>
      </c>
      <c r="E36" s="34">
        <f t="shared" si="8"/>
        <v>253</v>
      </c>
      <c r="F36" s="34">
        <f t="shared" si="9"/>
        <v>253</v>
      </c>
      <c r="G36" s="34">
        <f t="shared" si="10"/>
        <v>249</v>
      </c>
      <c r="H36" s="34">
        <f t="shared" si="11"/>
        <v>241</v>
      </c>
      <c r="I36" s="99">
        <f t="shared" si="12"/>
        <v>234</v>
      </c>
      <c r="K36" s="59"/>
      <c r="L36" s="59"/>
    </row>
    <row r="37" spans="1:24" x14ac:dyDescent="0.25">
      <c r="A37" s="25">
        <f t="shared" si="13"/>
        <v>2032</v>
      </c>
      <c r="B37" s="37">
        <f>'P1 Catchment Projections'!P41+'P1 Catchment Projections'!P42+'P1 Catchment Projections'!P43+'P1 Catchment Projections'!P44+'P1 Catchment Projections'!P45+'P1 Catchment Projections'!P46</f>
        <v>252</v>
      </c>
      <c r="C37" s="34">
        <f t="shared" si="6"/>
        <v>257</v>
      </c>
      <c r="D37" s="34">
        <f t="shared" si="7"/>
        <v>253</v>
      </c>
      <c r="E37" s="34">
        <f t="shared" si="8"/>
        <v>253</v>
      </c>
      <c r="F37" s="34">
        <f t="shared" si="9"/>
        <v>255</v>
      </c>
      <c r="G37" s="34">
        <f t="shared" si="10"/>
        <v>253</v>
      </c>
      <c r="H37" s="34">
        <f t="shared" si="11"/>
        <v>241</v>
      </c>
      <c r="I37" s="99">
        <f t="shared" si="12"/>
        <v>236</v>
      </c>
      <c r="K37" s="59"/>
      <c r="L37" s="59"/>
    </row>
    <row r="38" spans="1:24" x14ac:dyDescent="0.25">
      <c r="K38" s="59"/>
      <c r="L38" s="59"/>
    </row>
    <row r="39" spans="1:24" x14ac:dyDescent="0.25">
      <c r="A39" s="21" t="s">
        <v>261</v>
      </c>
      <c r="K39" s="394" t="s">
        <v>190</v>
      </c>
      <c r="L39" s="55"/>
      <c r="M39" s="394" t="s">
        <v>203</v>
      </c>
      <c r="N39" s="106"/>
      <c r="O39" s="395" t="s">
        <v>204</v>
      </c>
      <c r="R39" s="21" t="s">
        <v>386</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251</v>
      </c>
      <c r="C41" s="34">
        <f>C24+VLOOKUP($A$1,'Pri Housing Generation'!$A$96:$DQ$118, 11, FALSE)</f>
        <v>270</v>
      </c>
      <c r="D41" s="42">
        <f>D24+VLOOKUP($A$1,'Pri Housing Generation'!$A$96:$DQ$118, 12, FALSE)</f>
        <v>237</v>
      </c>
      <c r="E41" s="43">
        <f>E24+VLOOKUP($A$1,'Pri Housing Generation'!$A$96:$DQ$118, 13, FALSE)</f>
        <v>242</v>
      </c>
      <c r="F41" s="41">
        <f>F24+VLOOKUP($A$1,'Pri Housing Generation'!$A$96:$DQ$118, 14, FALSE)</f>
        <v>241</v>
      </c>
      <c r="G41" s="42">
        <f>G24+VLOOKUP($A$1,'Pri Housing Generation'!$A$96:$DQ$118, 15, FALSE)</f>
        <v>244</v>
      </c>
      <c r="H41" s="43">
        <f>H24+VLOOKUP($A$1,'Pri Housing Generation'!$A$96:$DQ$118, 16, FALSE)</f>
        <v>257</v>
      </c>
      <c r="I41" s="99">
        <f>ROUNDUP((H18-(H18*$I$20)),0)</f>
        <v>248</v>
      </c>
      <c r="K41" s="35">
        <f>'Sec Housing Generation'!I14</f>
        <v>4</v>
      </c>
      <c r="L41" s="83"/>
      <c r="M41" s="107">
        <f t="shared" ref="M41:M54" si="14">$K$20</f>
        <v>0.95413283234494894</v>
      </c>
      <c r="O41" s="35">
        <f t="shared" ref="O41:O54" si="15">ROUNDUP(((I41+K41)*M41),0)</f>
        <v>241</v>
      </c>
      <c r="Q41" s="25">
        <f>A41</f>
        <v>2019</v>
      </c>
      <c r="R41" s="20">
        <f t="shared" ref="R41:R54" si="16">IF(O41&lt;$C$7,(IF((O41+$O$20)&gt;$C$7,$C$7,(O41+$O$20))),(IF((O41+$O$20)&lt;(CEILING((O41),20)),(O41+$O$20),(CEILING((O41),20)))))</f>
        <v>247</v>
      </c>
      <c r="S41" s="53">
        <f>R18</f>
        <v>198</v>
      </c>
      <c r="T41" s="67">
        <f>S18</f>
        <v>204</v>
      </c>
      <c r="U41" s="69">
        <f>T18</f>
        <v>204</v>
      </c>
      <c r="V41" s="41">
        <f>ROUNDUP((U18-(U18*$V$20)),0)</f>
        <v>129</v>
      </c>
      <c r="W41" s="42">
        <f>ROUNDUP((V18-(V18*$W$20)),0)</f>
        <v>116</v>
      </c>
      <c r="X41" s="101">
        <f t="shared" ref="X41:X54" si="17">SUM(R41:W41)</f>
        <v>1098</v>
      </c>
    </row>
    <row r="42" spans="1:24" x14ac:dyDescent="0.25">
      <c r="A42" s="25">
        <f t="shared" ref="A42:A54" si="18">A25</f>
        <v>2020</v>
      </c>
      <c r="B42" s="37">
        <f>B25+VLOOKUP($A$1,'Pri Housing Generation'!$A$96:$DQ$118, 18, FALSE)</f>
        <v>240</v>
      </c>
      <c r="C42" s="34">
        <f>C25+VLOOKUP($A$1,'Pri Housing Generation'!$A$96:$DQ$118, 19, FALSE)</f>
        <v>258</v>
      </c>
      <c r="D42" s="34">
        <f>D25+VLOOKUP($A$1,'Pri Housing Generation'!$A$96:$DQ$118, 20, FALSE)</f>
        <v>270</v>
      </c>
      <c r="E42" s="42">
        <f>E25+VLOOKUP($A$1,'Pri Housing Generation'!$A$96:$DQ$118, 21, FALSE)</f>
        <v>240</v>
      </c>
      <c r="F42" s="43">
        <f>F25+VLOOKUP($A$1,'Pri Housing Generation'!$A$96:$DQ$118, 22, FALSE)</f>
        <v>247</v>
      </c>
      <c r="G42" s="41">
        <f>G25+VLOOKUP($A$1,'Pri Housing Generation'!$A$96:$DQ$118, 23, FALSE)</f>
        <v>245</v>
      </c>
      <c r="H42" s="42">
        <f>H25+VLOOKUP($A$1,'Pri Housing Generation'!$A$96:$DQ$118, 24, FALSE)</f>
        <v>240</v>
      </c>
      <c r="I42" s="99">
        <f t="shared" ref="I42:I54" si="19">ROUNDUP((H41-(H41*$I$20)),0)</f>
        <v>252</v>
      </c>
      <c r="K42" s="35">
        <f>'Sec Housing Generation'!P14</f>
        <v>7</v>
      </c>
      <c r="L42" s="83"/>
      <c r="M42" s="107">
        <f t="shared" si="14"/>
        <v>0.95413283234494894</v>
      </c>
      <c r="O42" s="35">
        <f t="shared" si="15"/>
        <v>248</v>
      </c>
      <c r="Q42" s="25">
        <f t="shared" ref="Q42:Q54" si="20">A42</f>
        <v>2020</v>
      </c>
      <c r="R42" s="20">
        <f t="shared" si="16"/>
        <v>254</v>
      </c>
      <c r="S42" s="53">
        <f t="shared" ref="S42:U54" si="21">R41</f>
        <v>247</v>
      </c>
      <c r="T42" s="53">
        <f t="shared" si="21"/>
        <v>198</v>
      </c>
      <c r="U42" s="67">
        <f t="shared" si="21"/>
        <v>204</v>
      </c>
      <c r="V42" s="43">
        <f t="shared" ref="V42:V54" si="22">ROUNDUP((U41-(U41*$V$20)),0)</f>
        <v>160</v>
      </c>
      <c r="W42" s="41">
        <f t="shared" ref="W42:W54" si="23">ROUNDUP((V41-(V41*$W$20)),0)</f>
        <v>98</v>
      </c>
      <c r="X42" s="101">
        <f t="shared" si="17"/>
        <v>1161</v>
      </c>
    </row>
    <row r="43" spans="1:24" x14ac:dyDescent="0.25">
      <c r="A43" s="25">
        <f t="shared" si="18"/>
        <v>2021</v>
      </c>
      <c r="B43" s="37">
        <f>B26+VLOOKUP($A$1,'Pri Housing Generation'!$A$96:$DQ$118, 26, FALSE)</f>
        <v>261</v>
      </c>
      <c r="C43" s="34">
        <f>C26+VLOOKUP($A$1,'Pri Housing Generation'!$A$96:$DQ$118, 27, FALSE)</f>
        <v>247</v>
      </c>
      <c r="D43" s="34">
        <f>D26+VLOOKUP($A$1,'Pri Housing Generation'!$A$96:$DQ$118, 28, FALSE)</f>
        <v>257</v>
      </c>
      <c r="E43" s="34">
        <f>E26+VLOOKUP($A$1,'Pri Housing Generation'!$A$96:$DQ$118, 29, FALSE)</f>
        <v>274</v>
      </c>
      <c r="F43" s="42">
        <f>F26+VLOOKUP($A$1,'Pri Housing Generation'!$A$96:$DQ$118, 30, FALSE)</f>
        <v>247</v>
      </c>
      <c r="G43" s="43">
        <f>G26+VLOOKUP($A$1,'Pri Housing Generation'!$A$96:$DQ$118, 31, FALSE)</f>
        <v>252</v>
      </c>
      <c r="H43" s="41">
        <f>H26+VLOOKUP($A$1,'Pri Housing Generation'!$A$96:$DQ$118, 32, FALSE)</f>
        <v>242</v>
      </c>
      <c r="I43" s="99">
        <f t="shared" si="19"/>
        <v>235</v>
      </c>
      <c r="K43" s="35">
        <f>'Sec Housing Generation'!W14</f>
        <v>11</v>
      </c>
      <c r="L43" s="83"/>
      <c r="M43" s="107">
        <f t="shared" si="14"/>
        <v>0.95413283234494894</v>
      </c>
      <c r="O43" s="35">
        <f t="shared" si="15"/>
        <v>235</v>
      </c>
      <c r="Q43" s="25">
        <f t="shared" si="20"/>
        <v>2021</v>
      </c>
      <c r="R43" s="20">
        <f t="shared" si="16"/>
        <v>240</v>
      </c>
      <c r="S43" s="53">
        <f t="shared" si="21"/>
        <v>254</v>
      </c>
      <c r="T43" s="53">
        <f t="shared" si="21"/>
        <v>247</v>
      </c>
      <c r="U43" s="53">
        <f t="shared" si="21"/>
        <v>198</v>
      </c>
      <c r="V43" s="42">
        <f t="shared" si="22"/>
        <v>160</v>
      </c>
      <c r="W43" s="43">
        <f t="shared" si="23"/>
        <v>122</v>
      </c>
      <c r="X43" s="101">
        <f t="shared" si="17"/>
        <v>1221</v>
      </c>
    </row>
    <row r="44" spans="1:24" x14ac:dyDescent="0.25">
      <c r="A44" s="25">
        <f t="shared" si="18"/>
        <v>2022</v>
      </c>
      <c r="B44" s="37">
        <f>B27+VLOOKUP($A$1,'Pri Housing Generation'!$A$96:$DQ$118, 34, FALSE)</f>
        <v>253</v>
      </c>
      <c r="C44" s="34">
        <f>C27+VLOOKUP($A$1,'Pri Housing Generation'!$A$96:$DQ$118, 35, FALSE)</f>
        <v>270</v>
      </c>
      <c r="D44" s="34">
        <f>D27+VLOOKUP($A$1,'Pri Housing Generation'!$A$96:$DQ$118, 36, FALSE)</f>
        <v>247</v>
      </c>
      <c r="E44" s="34">
        <f>E27+VLOOKUP($A$1,'Pri Housing Generation'!$A$96:$DQ$118, 37, FALSE)</f>
        <v>260</v>
      </c>
      <c r="F44" s="34">
        <f>F27+VLOOKUP($A$1,'Pri Housing Generation'!$A$96:$DQ$118, 38, FALSE)</f>
        <v>279</v>
      </c>
      <c r="G44" s="42">
        <f>G27+VLOOKUP($A$1,'Pri Housing Generation'!$A$96:$DQ$118, 39, FALSE)</f>
        <v>250</v>
      </c>
      <c r="H44" s="43">
        <f>H27+VLOOKUP($A$1,'Pri Housing Generation'!$A$96:$DQ$118, 40, FALSE)</f>
        <v>248</v>
      </c>
      <c r="I44" s="99">
        <f t="shared" si="19"/>
        <v>237</v>
      </c>
      <c r="K44" s="35">
        <f>'Sec Housing Generation'!AD14</f>
        <v>14</v>
      </c>
      <c r="L44" s="83"/>
      <c r="M44" s="107">
        <f t="shared" si="14"/>
        <v>0.95413283234494894</v>
      </c>
      <c r="O44" s="35">
        <f t="shared" si="15"/>
        <v>240</v>
      </c>
      <c r="Q44" s="25">
        <f t="shared" si="20"/>
        <v>2022</v>
      </c>
      <c r="R44" s="20">
        <f t="shared" si="16"/>
        <v>240</v>
      </c>
      <c r="S44" s="53">
        <f t="shared" si="21"/>
        <v>240</v>
      </c>
      <c r="T44" s="53">
        <f t="shared" si="21"/>
        <v>254</v>
      </c>
      <c r="U44" s="53">
        <f t="shared" si="21"/>
        <v>247</v>
      </c>
      <c r="V44" s="34">
        <f t="shared" si="22"/>
        <v>155</v>
      </c>
      <c r="W44" s="42">
        <f t="shared" si="23"/>
        <v>122</v>
      </c>
      <c r="X44" s="101">
        <f t="shared" si="17"/>
        <v>1258</v>
      </c>
    </row>
    <row r="45" spans="1:24" x14ac:dyDescent="0.25">
      <c r="A45" s="25">
        <f t="shared" si="18"/>
        <v>2023</v>
      </c>
      <c r="B45" s="37">
        <f>B28+VLOOKUP($A$1,'Pri Housing Generation'!$A$96:$DQ$118, 42, FALSE)</f>
        <v>263</v>
      </c>
      <c r="C45" s="34">
        <f>C28+VLOOKUP($A$1,'Pri Housing Generation'!$A$96:$DQ$118, 43, FALSE)</f>
        <v>260</v>
      </c>
      <c r="D45" s="34">
        <f>D28+VLOOKUP($A$1,'Pri Housing Generation'!$A$96:$DQ$118, 44, FALSE)</f>
        <v>269</v>
      </c>
      <c r="E45" s="34">
        <f>E28+VLOOKUP($A$1,'Pri Housing Generation'!$A$96:$DQ$118, 45, FALSE)</f>
        <v>251</v>
      </c>
      <c r="F45" s="34">
        <f>F28+VLOOKUP($A$1,'Pri Housing Generation'!$A$96:$DQ$118, 46, FALSE)</f>
        <v>266</v>
      </c>
      <c r="G45" s="34">
        <f>G28+VLOOKUP($A$1,'Pri Housing Generation'!$A$96:$DQ$118, 47, FALSE)</f>
        <v>282</v>
      </c>
      <c r="H45" s="42">
        <f>H28+VLOOKUP($A$1,'Pri Housing Generation'!$A$96:$DQ$118, 48, FALSE)</f>
        <v>246</v>
      </c>
      <c r="I45" s="99">
        <f t="shared" si="19"/>
        <v>243</v>
      </c>
      <c r="J45" s="181"/>
      <c r="K45" s="35">
        <f>'Sec Housing Generation'!AK14</f>
        <v>17</v>
      </c>
      <c r="L45" s="83"/>
      <c r="M45" s="107">
        <f t="shared" si="14"/>
        <v>0.95413283234494894</v>
      </c>
      <c r="O45" s="35">
        <f t="shared" si="15"/>
        <v>249</v>
      </c>
      <c r="Q45" s="25">
        <f t="shared" si="20"/>
        <v>2023</v>
      </c>
      <c r="R45" s="20">
        <f t="shared" si="16"/>
        <v>255</v>
      </c>
      <c r="S45" s="53">
        <f t="shared" si="21"/>
        <v>240</v>
      </c>
      <c r="T45" s="53">
        <f t="shared" si="21"/>
        <v>240</v>
      </c>
      <c r="U45" s="53">
        <f t="shared" si="21"/>
        <v>254</v>
      </c>
      <c r="V45" s="34">
        <f t="shared" si="22"/>
        <v>193</v>
      </c>
      <c r="W45" s="34">
        <f t="shared" si="23"/>
        <v>118</v>
      </c>
      <c r="X45" s="101">
        <f t="shared" si="17"/>
        <v>1300</v>
      </c>
    </row>
    <row r="46" spans="1:24" x14ac:dyDescent="0.25">
      <c r="A46" s="25">
        <f t="shared" si="18"/>
        <v>2024</v>
      </c>
      <c r="B46" s="37">
        <f>B29+VLOOKUP($A$1,'Pri Housing Generation'!$A$96:$DQ$118, 50, FALSE)</f>
        <v>271</v>
      </c>
      <c r="C46" s="34">
        <f>C29+VLOOKUP($A$1,'Pri Housing Generation'!$A$96:$DQ$118, 51, FALSE)</f>
        <v>270</v>
      </c>
      <c r="D46" s="34">
        <f>D29+VLOOKUP($A$1,'Pri Housing Generation'!$A$96:$DQ$118, 52, FALSE)</f>
        <v>260</v>
      </c>
      <c r="E46" s="34">
        <f>E29+VLOOKUP($A$1,'Pri Housing Generation'!$A$96:$DQ$118, 53, FALSE)</f>
        <v>273</v>
      </c>
      <c r="F46" s="34">
        <f>F29+VLOOKUP($A$1,'Pri Housing Generation'!$A$96:$DQ$118, 54, FALSE)</f>
        <v>256</v>
      </c>
      <c r="G46" s="34">
        <f>G29+VLOOKUP($A$1,'Pri Housing Generation'!$A$96:$DQ$118, 55, FALSE)</f>
        <v>269</v>
      </c>
      <c r="H46" s="34">
        <f>H29+VLOOKUP($A$1,'Pri Housing Generation'!$A$96:$DQ$118, 56, FALSE)</f>
        <v>279</v>
      </c>
      <c r="I46" s="99">
        <f t="shared" si="19"/>
        <v>241</v>
      </c>
      <c r="J46" s="181"/>
      <c r="K46" s="35">
        <f>'Sec Housing Generation'!AR14</f>
        <v>20</v>
      </c>
      <c r="L46" s="83"/>
      <c r="M46" s="107">
        <f>K20</f>
        <v>0.95413283234494894</v>
      </c>
      <c r="O46" s="35">
        <f t="shared" si="15"/>
        <v>250</v>
      </c>
      <c r="Q46" s="25">
        <f t="shared" si="20"/>
        <v>2024</v>
      </c>
      <c r="R46" s="20">
        <f t="shared" si="16"/>
        <v>256</v>
      </c>
      <c r="S46" s="53">
        <f t="shared" si="21"/>
        <v>255</v>
      </c>
      <c r="T46" s="53">
        <f t="shared" si="21"/>
        <v>240</v>
      </c>
      <c r="U46" s="53">
        <f t="shared" si="21"/>
        <v>240</v>
      </c>
      <c r="V46" s="34">
        <f t="shared" si="22"/>
        <v>199</v>
      </c>
      <c r="W46" s="34">
        <f t="shared" si="23"/>
        <v>147</v>
      </c>
      <c r="X46" s="101">
        <f t="shared" si="17"/>
        <v>1337</v>
      </c>
    </row>
    <row r="47" spans="1:24" x14ac:dyDescent="0.25">
      <c r="A47" s="25">
        <f t="shared" si="18"/>
        <v>2025</v>
      </c>
      <c r="B47" s="37">
        <f>B30+VLOOKUP($A$1,'Pri Housing Generation'!$A$96:$DQ$118, 58, FALSE)</f>
        <v>278</v>
      </c>
      <c r="C47" s="34">
        <f>C30+VLOOKUP($A$1,'Pri Housing Generation'!$A$96:$DQ$118, 59, FALSE)</f>
        <v>281</v>
      </c>
      <c r="D47" s="34">
        <f>D30+VLOOKUP($A$1,'Pri Housing Generation'!$A$96:$DQ$118, 60, FALSE)</f>
        <v>271</v>
      </c>
      <c r="E47" s="34">
        <f>E30+VLOOKUP($A$1,'Pri Housing Generation'!$A$96:$DQ$118, 61, FALSE)</f>
        <v>263</v>
      </c>
      <c r="F47" s="34">
        <f>F30+VLOOKUP($A$1,'Pri Housing Generation'!$A$96:$DQ$118, 62, FALSE)</f>
        <v>278</v>
      </c>
      <c r="G47" s="34">
        <f>G30+VLOOKUP($A$1,'Pri Housing Generation'!$A$96:$DQ$118, 63, FALSE)</f>
        <v>258</v>
      </c>
      <c r="H47" s="34">
        <f>H30+VLOOKUP($A$1,'Pri Housing Generation'!$A$96:$DQ$118, 64, FALSE)</f>
        <v>263</v>
      </c>
      <c r="I47" s="99">
        <f t="shared" si="19"/>
        <v>273</v>
      </c>
      <c r="J47" s="181"/>
      <c r="K47" s="235"/>
      <c r="L47" s="83"/>
      <c r="M47" s="107">
        <f t="shared" si="14"/>
        <v>0.95413283234494894</v>
      </c>
      <c r="O47" s="35">
        <f t="shared" si="15"/>
        <v>261</v>
      </c>
      <c r="Q47" s="25">
        <f t="shared" si="20"/>
        <v>2025</v>
      </c>
      <c r="R47" s="20">
        <f t="shared" si="16"/>
        <v>267</v>
      </c>
      <c r="S47" s="53">
        <f t="shared" si="21"/>
        <v>256</v>
      </c>
      <c r="T47" s="53">
        <f t="shared" si="21"/>
        <v>255</v>
      </c>
      <c r="U47" s="53">
        <f t="shared" si="21"/>
        <v>240</v>
      </c>
      <c r="V47" s="34">
        <f t="shared" si="22"/>
        <v>188</v>
      </c>
      <c r="W47" s="34">
        <f t="shared" si="23"/>
        <v>151</v>
      </c>
      <c r="X47" s="101">
        <f t="shared" si="17"/>
        <v>1357</v>
      </c>
    </row>
    <row r="48" spans="1:24" x14ac:dyDescent="0.25">
      <c r="A48" s="25">
        <f t="shared" si="18"/>
        <v>2026</v>
      </c>
      <c r="B48" s="37">
        <f>B31+VLOOKUP($A$1,'Pri Housing Generation'!$A$96:$DQ$118, 66, FALSE)</f>
        <v>281</v>
      </c>
      <c r="C48" s="34">
        <f>C31+VLOOKUP($A$1,'Pri Housing Generation'!$A$96:$DQ$118, 67, FALSE)</f>
        <v>286</v>
      </c>
      <c r="D48" s="34">
        <f>D31+VLOOKUP($A$1,'Pri Housing Generation'!$A$96:$DQ$118, 68, FALSE)</f>
        <v>279</v>
      </c>
      <c r="E48" s="34">
        <f>E31+VLOOKUP($A$1,'Pri Housing Generation'!$A$96:$DQ$118, 69, FALSE)</f>
        <v>274</v>
      </c>
      <c r="F48" s="34">
        <f>F31+VLOOKUP($A$1,'Pri Housing Generation'!$A$96:$DQ$118, 70, FALSE)</f>
        <v>270</v>
      </c>
      <c r="G48" s="34">
        <f>G31+VLOOKUP($A$1,'Pri Housing Generation'!$A$96:$DQ$118, 71, FALSE)</f>
        <v>282</v>
      </c>
      <c r="H48" s="34">
        <f>H31+VLOOKUP($A$1,'Pri Housing Generation'!$A$96:$DQ$118, 72, FALSE)</f>
        <v>254</v>
      </c>
      <c r="I48" s="99">
        <f t="shared" si="19"/>
        <v>257</v>
      </c>
      <c r="J48" s="181"/>
      <c r="K48" s="83"/>
      <c r="L48" s="83"/>
      <c r="M48" s="107">
        <f t="shared" si="14"/>
        <v>0.95413283234494894</v>
      </c>
      <c r="O48" s="35">
        <f t="shared" si="15"/>
        <v>246</v>
      </c>
      <c r="Q48" s="25">
        <f t="shared" si="20"/>
        <v>2026</v>
      </c>
      <c r="R48" s="20">
        <f t="shared" si="16"/>
        <v>252</v>
      </c>
      <c r="S48" s="53">
        <f t="shared" si="21"/>
        <v>267</v>
      </c>
      <c r="T48" s="53">
        <f t="shared" si="21"/>
        <v>256</v>
      </c>
      <c r="U48" s="53">
        <f t="shared" si="21"/>
        <v>255</v>
      </c>
      <c r="V48" s="34">
        <f t="shared" si="22"/>
        <v>188</v>
      </c>
      <c r="W48" s="34">
        <f t="shared" si="23"/>
        <v>143</v>
      </c>
      <c r="X48" s="101">
        <f t="shared" si="17"/>
        <v>1361</v>
      </c>
    </row>
    <row r="49" spans="1:24" x14ac:dyDescent="0.25">
      <c r="A49" s="25">
        <f t="shared" si="18"/>
        <v>2027</v>
      </c>
      <c r="B49" s="37">
        <f>B32+VLOOKUP($A$1,'Pri Housing Generation'!$A$96:$DQ$118, 74, FALSE)</f>
        <v>289</v>
      </c>
      <c r="C49" s="34">
        <f>C32+VLOOKUP($A$1,'Pri Housing Generation'!$A$96:$DQ$118, 75, FALSE)</f>
        <v>290</v>
      </c>
      <c r="D49" s="34">
        <f>D32+VLOOKUP($A$1,'Pri Housing Generation'!$A$96:$DQ$118, 76, FALSE)</f>
        <v>285</v>
      </c>
      <c r="E49" s="34">
        <f>E32+VLOOKUP($A$1,'Pri Housing Generation'!$A$96:$DQ$118, 77, FALSE)</f>
        <v>282</v>
      </c>
      <c r="F49" s="34">
        <f>F32+VLOOKUP($A$1,'Pri Housing Generation'!$A$96:$DQ$118, 78, FALSE)</f>
        <v>279</v>
      </c>
      <c r="G49" s="34">
        <f>G32+VLOOKUP($A$1,'Pri Housing Generation'!$A$96:$DQ$118, 79, FALSE)</f>
        <v>272</v>
      </c>
      <c r="H49" s="34">
        <f>H32+VLOOKUP($A$1,'Pri Housing Generation'!$A$96:$DQ$118, 80, FALSE)</f>
        <v>275</v>
      </c>
      <c r="I49" s="99">
        <f t="shared" si="19"/>
        <v>249</v>
      </c>
      <c r="J49" s="181"/>
      <c r="K49" s="83"/>
      <c r="L49" s="83"/>
      <c r="M49" s="107">
        <f t="shared" si="14"/>
        <v>0.95413283234494894</v>
      </c>
      <c r="O49" s="35">
        <f t="shared" si="15"/>
        <v>238</v>
      </c>
      <c r="Q49" s="25">
        <f t="shared" si="20"/>
        <v>2027</v>
      </c>
      <c r="R49" s="20">
        <f t="shared" si="16"/>
        <v>240</v>
      </c>
      <c r="S49" s="53">
        <f t="shared" si="21"/>
        <v>252</v>
      </c>
      <c r="T49" s="53">
        <f t="shared" si="21"/>
        <v>267</v>
      </c>
      <c r="U49" s="53">
        <f t="shared" si="21"/>
        <v>256</v>
      </c>
      <c r="V49" s="34">
        <f t="shared" si="22"/>
        <v>200</v>
      </c>
      <c r="W49" s="34">
        <f t="shared" si="23"/>
        <v>143</v>
      </c>
      <c r="X49" s="101">
        <f t="shared" si="17"/>
        <v>1358</v>
      </c>
    </row>
    <row r="50" spans="1:24" x14ac:dyDescent="0.25">
      <c r="A50" s="25">
        <f t="shared" si="18"/>
        <v>2028</v>
      </c>
      <c r="B50" s="37">
        <f>B33+VLOOKUP($A$1,'Pri Housing Generation'!$A$96:$DQ$118, 82, FALSE)</f>
        <v>294</v>
      </c>
      <c r="C50" s="34">
        <f>C33+VLOOKUP($A$1,'Pri Housing Generation'!$A$96:$DQ$118, 83, FALSE)</f>
        <v>296</v>
      </c>
      <c r="D50" s="34">
        <f>D33+VLOOKUP($A$1,'Pri Housing Generation'!$A$96:$DQ$118, 84, FALSE)</f>
        <v>288</v>
      </c>
      <c r="E50" s="34">
        <f>E33+VLOOKUP($A$1,'Pri Housing Generation'!$A$96:$DQ$118, 85, FALSE)</f>
        <v>286</v>
      </c>
      <c r="F50" s="34">
        <f>F33+VLOOKUP($A$1,'Pri Housing Generation'!$A$96:$DQ$118, 86, FALSE)</f>
        <v>285</v>
      </c>
      <c r="G50" s="34">
        <f>G33+VLOOKUP($A$1,'Pri Housing Generation'!$A$96:$DQ$118, 87, FALSE)</f>
        <v>280</v>
      </c>
      <c r="H50" s="34">
        <f>H33+VLOOKUP($A$1,'Pri Housing Generation'!$A$96:$DQ$118, 88, FALSE)</f>
        <v>266</v>
      </c>
      <c r="I50" s="99">
        <f t="shared" si="19"/>
        <v>269</v>
      </c>
      <c r="J50" s="181"/>
      <c r="K50" s="83"/>
      <c r="L50" s="83"/>
      <c r="M50" s="107">
        <f t="shared" si="14"/>
        <v>0.95413283234494894</v>
      </c>
      <c r="O50" s="35">
        <f t="shared" si="15"/>
        <v>257</v>
      </c>
      <c r="Q50" s="25">
        <f t="shared" si="20"/>
        <v>2028</v>
      </c>
      <c r="R50" s="20">
        <f t="shared" si="16"/>
        <v>260</v>
      </c>
      <c r="S50" s="53">
        <f t="shared" si="21"/>
        <v>240</v>
      </c>
      <c r="T50" s="53">
        <f t="shared" si="21"/>
        <v>252</v>
      </c>
      <c r="U50" s="53">
        <f t="shared" si="21"/>
        <v>267</v>
      </c>
      <c r="V50" s="34">
        <f t="shared" si="22"/>
        <v>200</v>
      </c>
      <c r="W50" s="34">
        <f t="shared" si="23"/>
        <v>152</v>
      </c>
      <c r="X50" s="101">
        <f t="shared" si="17"/>
        <v>1371</v>
      </c>
    </row>
    <row r="51" spans="1:24" x14ac:dyDescent="0.25">
      <c r="A51" s="25">
        <f t="shared" si="18"/>
        <v>2029</v>
      </c>
      <c r="B51" s="37">
        <f>B34+VLOOKUP($A$1,'Pri Housing Generation'!$A$96:$DQ$118, 90, FALSE)</f>
        <v>295</v>
      </c>
      <c r="C51" s="34">
        <f>C34+VLOOKUP($A$1,'Pri Housing Generation'!$A$96:$DQ$118, 91, FALSE)</f>
        <v>299</v>
      </c>
      <c r="D51" s="34">
        <f>D34+VLOOKUP($A$1,'Pri Housing Generation'!$A$96:$DQ$118, 92, FALSE)</f>
        <v>293</v>
      </c>
      <c r="E51" s="34">
        <f>E34+VLOOKUP($A$1,'Pri Housing Generation'!$A$96:$DQ$118, 93, FALSE)</f>
        <v>289</v>
      </c>
      <c r="F51" s="34">
        <f>F34+VLOOKUP($A$1,'Pri Housing Generation'!$A$96:$DQ$118, 94, FALSE)</f>
        <v>289</v>
      </c>
      <c r="G51" s="34">
        <f>G34+VLOOKUP($A$1,'Pri Housing Generation'!$A$96:$DQ$118, 95, FALSE)</f>
        <v>286</v>
      </c>
      <c r="H51" s="34">
        <f>H34+VLOOKUP($A$1,'Pri Housing Generation'!$A$96:$DQ$118, 96, FALSE)</f>
        <v>272</v>
      </c>
      <c r="I51" s="99">
        <f t="shared" si="19"/>
        <v>260</v>
      </c>
      <c r="J51" s="181"/>
      <c r="K51" s="83"/>
      <c r="L51" s="83"/>
      <c r="M51" s="107">
        <f t="shared" si="14"/>
        <v>0.95413283234494894</v>
      </c>
      <c r="O51" s="35">
        <f t="shared" si="15"/>
        <v>249</v>
      </c>
      <c r="Q51" s="25">
        <f t="shared" si="20"/>
        <v>2029</v>
      </c>
      <c r="R51" s="20">
        <f t="shared" si="16"/>
        <v>255</v>
      </c>
      <c r="S51" s="53">
        <f t="shared" si="21"/>
        <v>260</v>
      </c>
      <c r="T51" s="53">
        <f t="shared" si="21"/>
        <v>240</v>
      </c>
      <c r="U51" s="53">
        <f t="shared" si="21"/>
        <v>252</v>
      </c>
      <c r="V51" s="34">
        <f t="shared" si="22"/>
        <v>209</v>
      </c>
      <c r="W51" s="34">
        <f t="shared" si="23"/>
        <v>152</v>
      </c>
      <c r="X51" s="101">
        <f t="shared" si="17"/>
        <v>1368</v>
      </c>
    </row>
    <row r="52" spans="1:24" x14ac:dyDescent="0.25">
      <c r="A52" s="25">
        <f t="shared" si="18"/>
        <v>2030</v>
      </c>
      <c r="B52" s="37">
        <f>B35+VLOOKUP($A$1,'Pri Housing Generation'!$A$96:$DQ$118, 98, FALSE)</f>
        <v>297</v>
      </c>
      <c r="C52" s="34">
        <f>C35+VLOOKUP($A$1,'Pri Housing Generation'!$A$96:$DQ$118, 99, FALSE)</f>
        <v>300</v>
      </c>
      <c r="D52" s="34">
        <f>D35+VLOOKUP($A$1,'Pri Housing Generation'!$A$96:$DQ$118, 100, FALSE)</f>
        <v>296</v>
      </c>
      <c r="E52" s="34">
        <f>E35+VLOOKUP($A$1,'Pri Housing Generation'!$A$96:$DQ$118, 101, FALSE)</f>
        <v>294</v>
      </c>
      <c r="F52" s="34">
        <f>F35+VLOOKUP($A$1,'Pri Housing Generation'!$A$96:$DQ$118, 102, FALSE)</f>
        <v>291</v>
      </c>
      <c r="G52" s="34">
        <f>G35+VLOOKUP($A$1,'Pri Housing Generation'!$A$96:$DQ$118, 103, FALSE)</f>
        <v>289</v>
      </c>
      <c r="H52" s="34">
        <f>H35+VLOOKUP($A$1,'Pri Housing Generation'!$A$96:$DQ$118, 104, FALSE)</f>
        <v>278</v>
      </c>
      <c r="I52" s="99">
        <f t="shared" si="19"/>
        <v>266</v>
      </c>
      <c r="J52" s="54"/>
      <c r="K52" s="83"/>
      <c r="L52" s="83"/>
      <c r="M52" s="107">
        <f t="shared" si="14"/>
        <v>0.95413283234494894</v>
      </c>
      <c r="O52" s="35">
        <f t="shared" si="15"/>
        <v>254</v>
      </c>
      <c r="Q52" s="25">
        <f t="shared" si="20"/>
        <v>2030</v>
      </c>
      <c r="R52" s="20">
        <f t="shared" si="16"/>
        <v>260</v>
      </c>
      <c r="S52" s="53">
        <f t="shared" si="21"/>
        <v>255</v>
      </c>
      <c r="T52" s="53">
        <f t="shared" si="21"/>
        <v>260</v>
      </c>
      <c r="U52" s="53">
        <f t="shared" si="21"/>
        <v>240</v>
      </c>
      <c r="V52" s="34">
        <f t="shared" si="22"/>
        <v>197</v>
      </c>
      <c r="W52" s="34">
        <f t="shared" si="23"/>
        <v>159</v>
      </c>
      <c r="X52" s="101">
        <f t="shared" si="17"/>
        <v>1371</v>
      </c>
    </row>
    <row r="53" spans="1:24" x14ac:dyDescent="0.25">
      <c r="A53" s="25">
        <f t="shared" si="18"/>
        <v>2031</v>
      </c>
      <c r="B53" s="37">
        <f>B36+VLOOKUP($A$1,'Pri Housing Generation'!$A$96:$DQ$118, 106, FALSE)</f>
        <v>298</v>
      </c>
      <c r="C53" s="34">
        <f>C36+VLOOKUP($A$1,'Pri Housing Generation'!$A$96:$DQ$118, 107, FALSE)</f>
        <v>301</v>
      </c>
      <c r="D53" s="34">
        <f>D36+VLOOKUP($A$1,'Pri Housing Generation'!$A$96:$DQ$118, 108, FALSE)</f>
        <v>297</v>
      </c>
      <c r="E53" s="34">
        <f>E36+VLOOKUP($A$1,'Pri Housing Generation'!$A$96:$DQ$118, 109, FALSE)</f>
        <v>297</v>
      </c>
      <c r="F53" s="34">
        <f>F36+VLOOKUP($A$1,'Pri Housing Generation'!$A$96:$DQ$118, 110, FALSE)</f>
        <v>296</v>
      </c>
      <c r="G53" s="34">
        <f>G36+VLOOKUP($A$1,'Pri Housing Generation'!$A$96:$DQ$118, 111, FALSE)</f>
        <v>292</v>
      </c>
      <c r="H53" s="34">
        <f>H36+VLOOKUP($A$1,'Pri Housing Generation'!$A$96:$DQ$118, 112, FALSE)</f>
        <v>281</v>
      </c>
      <c r="I53" s="99">
        <f t="shared" si="19"/>
        <v>272</v>
      </c>
      <c r="J53" s="54"/>
      <c r="K53" s="83"/>
      <c r="L53" s="83"/>
      <c r="M53" s="107">
        <f t="shared" si="14"/>
        <v>0.95413283234494894</v>
      </c>
      <c r="O53" s="35">
        <f t="shared" si="15"/>
        <v>260</v>
      </c>
      <c r="Q53" s="25">
        <f t="shared" si="20"/>
        <v>2031</v>
      </c>
      <c r="R53" s="20">
        <f t="shared" si="16"/>
        <v>260</v>
      </c>
      <c r="S53" s="53">
        <f t="shared" si="21"/>
        <v>260</v>
      </c>
      <c r="T53" s="53">
        <f t="shared" si="21"/>
        <v>255</v>
      </c>
      <c r="U53" s="53">
        <f t="shared" si="21"/>
        <v>260</v>
      </c>
      <c r="V53" s="34">
        <f t="shared" si="22"/>
        <v>188</v>
      </c>
      <c r="W53" s="34">
        <f t="shared" si="23"/>
        <v>150</v>
      </c>
      <c r="X53" s="101">
        <f t="shared" si="17"/>
        <v>1373</v>
      </c>
    </row>
    <row r="54" spans="1:24" x14ac:dyDescent="0.25">
      <c r="A54" s="25">
        <f t="shared" si="18"/>
        <v>2032</v>
      </c>
      <c r="B54" s="37">
        <f>B37+VLOOKUP($A$1,'Pri Housing Generation'!$A$96:$DQ$118, 114, FALSE)</f>
        <v>299</v>
      </c>
      <c r="C54" s="34">
        <f>C37+VLOOKUP($A$1,'Pri Housing Generation'!$A$96:$DQ$118, 115, FALSE)</f>
        <v>302</v>
      </c>
      <c r="D54" s="34">
        <f>D37+VLOOKUP($A$1,'Pri Housing Generation'!$A$96:$DQ$118, 116, FALSE)</f>
        <v>298</v>
      </c>
      <c r="E54" s="34">
        <f>E37+VLOOKUP($A$1,'Pri Housing Generation'!$A$96:$DQ$118, 117, FALSE)</f>
        <v>298</v>
      </c>
      <c r="F54" s="34">
        <f>F37+VLOOKUP($A$1,'Pri Housing Generation'!$A$96:$DQ$118, 118, FALSE)</f>
        <v>300</v>
      </c>
      <c r="G54" s="34">
        <f>G37+VLOOKUP($A$1,'Pri Housing Generation'!$A$96:$DQ$118, 119, FALSE)</f>
        <v>297</v>
      </c>
      <c r="H54" s="34">
        <f>H37+VLOOKUP($A$1,'Pri Housing Generation'!$A$96:$DQ$118, 120, FALSE)</f>
        <v>283</v>
      </c>
      <c r="I54" s="99">
        <f t="shared" si="19"/>
        <v>275</v>
      </c>
      <c r="K54" s="83"/>
      <c r="L54" s="83"/>
      <c r="M54" s="107">
        <f t="shared" si="14"/>
        <v>0.95413283234494894</v>
      </c>
      <c r="O54" s="35">
        <f t="shared" si="15"/>
        <v>263</v>
      </c>
      <c r="Q54" s="25">
        <f t="shared" si="20"/>
        <v>2032</v>
      </c>
      <c r="R54" s="20">
        <f t="shared" si="16"/>
        <v>269</v>
      </c>
      <c r="S54" s="53">
        <f t="shared" si="21"/>
        <v>260</v>
      </c>
      <c r="T54" s="53">
        <f t="shared" si="21"/>
        <v>260</v>
      </c>
      <c r="U54" s="53">
        <f t="shared" si="21"/>
        <v>255</v>
      </c>
      <c r="V54" s="34">
        <f t="shared" si="22"/>
        <v>203</v>
      </c>
      <c r="W54" s="34">
        <f t="shared" si="23"/>
        <v>143</v>
      </c>
      <c r="X54" s="101">
        <f t="shared" si="17"/>
        <v>1390</v>
      </c>
    </row>
    <row r="56" spans="1:24" ht="15.75" x14ac:dyDescent="0.25">
      <c r="A56" s="129" t="s">
        <v>223</v>
      </c>
      <c r="F56" s="131"/>
      <c r="G56" s="131"/>
      <c r="H56" s="181"/>
      <c r="I56" s="131"/>
      <c r="J56" s="131"/>
    </row>
    <row r="57" spans="1:24" x14ac:dyDescent="0.25">
      <c r="F57" s="131"/>
      <c r="G57" s="131"/>
      <c r="H57" s="181"/>
      <c r="I57" s="131"/>
      <c r="J57" s="131"/>
    </row>
    <row r="58" spans="1:24" x14ac:dyDescent="0.25">
      <c r="A58" s="21" t="s">
        <v>258</v>
      </c>
      <c r="F58" s="132"/>
      <c r="G58" s="131"/>
      <c r="H58" s="181"/>
      <c r="I58" s="131"/>
      <c r="J58" s="131"/>
    </row>
    <row r="59" spans="1:24" x14ac:dyDescent="0.25">
      <c r="A59" s="21"/>
      <c r="F59" s="132"/>
      <c r="G59" s="131"/>
      <c r="H59" s="181"/>
      <c r="I59" s="131"/>
      <c r="J59" s="131"/>
    </row>
    <row r="60" spans="1:24" ht="33" customHeight="1" x14ac:dyDescent="0.25">
      <c r="A60" s="136"/>
      <c r="B60" s="138" t="s">
        <v>225</v>
      </c>
      <c r="C60" s="413" t="s">
        <v>226</v>
      </c>
      <c r="D60" s="414"/>
      <c r="F60" s="132"/>
      <c r="G60" s="130"/>
      <c r="H60" s="181"/>
      <c r="I60" s="130"/>
      <c r="J60" s="130"/>
    </row>
    <row r="61" spans="1:24" x14ac:dyDescent="0.25">
      <c r="A61" s="25">
        <v>2010</v>
      </c>
      <c r="B61" s="128">
        <v>724</v>
      </c>
      <c r="C61" s="415" t="e">
        <f>1-(#REF!/(#REF!+B61))</f>
        <v>#REF!</v>
      </c>
      <c r="D61" s="388"/>
      <c r="F61" s="133"/>
      <c r="G61" s="54"/>
      <c r="H61" s="181"/>
      <c r="I61" s="54"/>
      <c r="J61" s="54"/>
    </row>
    <row r="62" spans="1:24" x14ac:dyDescent="0.25">
      <c r="A62" s="25">
        <v>2011</v>
      </c>
      <c r="B62" s="128">
        <v>728</v>
      </c>
      <c r="C62" s="415">
        <f t="shared" ref="C62:C67" si="24">1-(I13/(I13+B62))</f>
        <v>0.76793248945147674</v>
      </c>
      <c r="D62" s="388"/>
      <c r="F62" s="133"/>
      <c r="G62" s="54"/>
      <c r="H62" s="181"/>
      <c r="I62" s="54"/>
      <c r="J62" s="54"/>
    </row>
    <row r="63" spans="1:24" x14ac:dyDescent="0.25">
      <c r="A63" s="25">
        <v>2012</v>
      </c>
      <c r="B63" s="128">
        <v>653</v>
      </c>
      <c r="C63" s="415">
        <f t="shared" si="24"/>
        <v>0.75666280417149478</v>
      </c>
      <c r="D63" s="388"/>
      <c r="F63" s="133"/>
      <c r="G63" s="54"/>
      <c r="H63" s="181"/>
      <c r="I63" s="54"/>
      <c r="J63" s="54"/>
      <c r="K63" s="181"/>
      <c r="N63" s="109"/>
      <c r="S63" s="82"/>
    </row>
    <row r="64" spans="1:24" x14ac:dyDescent="0.25">
      <c r="A64" s="25">
        <v>2013</v>
      </c>
      <c r="B64" s="128">
        <v>709</v>
      </c>
      <c r="C64" s="415">
        <f t="shared" si="24"/>
        <v>0.79752530933633292</v>
      </c>
      <c r="D64" s="388"/>
      <c r="F64" s="133"/>
      <c r="G64" s="54"/>
      <c r="H64" s="181"/>
      <c r="I64" s="54"/>
      <c r="J64" s="54"/>
      <c r="K64" s="181"/>
      <c r="N64" s="109"/>
      <c r="S64" s="82"/>
    </row>
    <row r="65" spans="1:19" x14ac:dyDescent="0.25">
      <c r="A65" s="25">
        <v>2014</v>
      </c>
      <c r="B65" s="128">
        <v>640</v>
      </c>
      <c r="C65" s="415">
        <f t="shared" si="24"/>
        <v>0.7646356033452808</v>
      </c>
      <c r="D65" s="388"/>
      <c r="F65" s="133"/>
      <c r="G65" s="54"/>
      <c r="H65" s="181"/>
      <c r="I65" s="54"/>
      <c r="J65" s="54"/>
      <c r="K65" s="181"/>
      <c r="N65" s="109"/>
      <c r="S65" s="82"/>
    </row>
    <row r="66" spans="1:19" x14ac:dyDescent="0.25">
      <c r="A66" s="25">
        <v>2015</v>
      </c>
      <c r="B66" s="128">
        <v>680</v>
      </c>
      <c r="C66" s="415">
        <f t="shared" si="24"/>
        <v>0.75723830734966591</v>
      </c>
      <c r="D66" s="388"/>
      <c r="F66" s="133"/>
      <c r="G66" s="54"/>
      <c r="H66" s="181"/>
      <c r="I66" s="54"/>
      <c r="J66" s="54"/>
      <c r="K66" s="181"/>
      <c r="N66" s="109"/>
      <c r="S66" s="82"/>
    </row>
    <row r="67" spans="1:19" x14ac:dyDescent="0.25">
      <c r="A67" s="25">
        <v>2016</v>
      </c>
      <c r="B67" s="128"/>
      <c r="C67" s="415">
        <f t="shared" si="24"/>
        <v>0</v>
      </c>
      <c r="D67" s="388"/>
      <c r="F67" s="133"/>
      <c r="G67" s="54"/>
      <c r="H67" s="181"/>
      <c r="I67" s="54"/>
      <c r="J67" s="54"/>
      <c r="K67" s="181"/>
      <c r="N67" s="109"/>
      <c r="S67" s="82"/>
    </row>
    <row r="68" spans="1:19" x14ac:dyDescent="0.25">
      <c r="A68" s="21"/>
      <c r="F68" s="48"/>
      <c r="K68" s="181"/>
      <c r="N68" s="109"/>
      <c r="S68" s="82"/>
    </row>
    <row r="69" spans="1:19" x14ac:dyDescent="0.25">
      <c r="A69" s="21" t="s">
        <v>213</v>
      </c>
      <c r="K69" s="181"/>
      <c r="N69" s="109"/>
      <c r="S69" s="82"/>
    </row>
    <row r="70" spans="1:19" x14ac:dyDescent="0.25">
      <c r="K70" s="54"/>
      <c r="N70" s="109"/>
      <c r="S70" s="82"/>
    </row>
    <row r="71" spans="1:19" x14ac:dyDescent="0.25">
      <c r="K71" s="54"/>
      <c r="N71" s="109"/>
      <c r="S71" s="82"/>
    </row>
    <row r="72" spans="1:19" x14ac:dyDescent="0.25">
      <c r="K72" s="54"/>
      <c r="N72" s="109"/>
    </row>
    <row r="75" spans="1:19" x14ac:dyDescent="0.25">
      <c r="K75" s="131"/>
    </row>
    <row r="76" spans="1:19" x14ac:dyDescent="0.25">
      <c r="K76" s="131"/>
    </row>
    <row r="77" spans="1:19" x14ac:dyDescent="0.25">
      <c r="K77" s="131"/>
    </row>
    <row r="78" spans="1:19" x14ac:dyDescent="0.25">
      <c r="K78" s="131"/>
    </row>
    <row r="79" spans="1:19" x14ac:dyDescent="0.25">
      <c r="K79" s="130"/>
      <c r="Q79" s="130"/>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row r="85" spans="11:17" x14ac:dyDescent="0.25">
      <c r="K85" s="54"/>
      <c r="Q85" s="54"/>
    </row>
  </sheetData>
  <mergeCells count="23">
    <mergeCell ref="C60:D60"/>
    <mergeCell ref="C61:D61"/>
    <mergeCell ref="C67:D67"/>
    <mergeCell ref="C63:D63"/>
    <mergeCell ref="C64:D64"/>
    <mergeCell ref="C65:D65"/>
    <mergeCell ref="C66:D66"/>
    <mergeCell ref="C62:D62"/>
    <mergeCell ref="A19:B20"/>
    <mergeCell ref="K19:M19"/>
    <mergeCell ref="K39:K40"/>
    <mergeCell ref="M39:M40"/>
    <mergeCell ref="O39:O40"/>
    <mergeCell ref="K11:L13"/>
    <mergeCell ref="M11:M13"/>
    <mergeCell ref="O11:O13"/>
    <mergeCell ref="T19:U20"/>
    <mergeCell ref="K20:M20"/>
    <mergeCell ref="K18:L18"/>
    <mergeCell ref="K15:L15"/>
    <mergeCell ref="K14:L14"/>
    <mergeCell ref="K16:L16"/>
    <mergeCell ref="K17:L17"/>
  </mergeCells>
  <conditionalFormatting sqref="R41:R73">
    <cfRule type="cellIs" dxfId="25" priority="5" operator="greaterThan">
      <formula>$C$7</formula>
    </cfRule>
  </conditionalFormatting>
  <conditionalFormatting sqref="X41:X73">
    <cfRule type="cellIs" dxfId="24" priority="4"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A85"/>
  <sheetViews>
    <sheetView topLeftCell="N28" workbookViewId="0">
      <selection activeCell="AA57" sqref="AA57"/>
    </sheetView>
  </sheetViews>
  <sheetFormatPr defaultRowHeight="15" x14ac:dyDescent="0.25"/>
  <cols>
    <col min="10" max="10" width="9.140625" customWidth="1"/>
    <col min="11" max="11" width="13.140625" customWidth="1"/>
    <col min="12" max="12" width="1.7109375" customWidth="1"/>
    <col min="13" max="13" width="7.7109375" customWidth="1"/>
    <col min="14" max="14" width="8" customWidth="1"/>
    <col min="15" max="15" width="11.85546875" customWidth="1"/>
    <col min="16" max="16" width="8" customWidth="1"/>
    <col min="17" max="17" width="11.85546875" customWidth="1"/>
    <col min="18" max="19" width="8" customWidth="1"/>
    <col min="20" max="26" width="9.140625" style="39"/>
  </cols>
  <sheetData>
    <row r="1" spans="1:26" ht="18.75" x14ac:dyDescent="0.3">
      <c r="A1" s="102" t="s">
        <v>103</v>
      </c>
    </row>
    <row r="2" spans="1:26" x14ac:dyDescent="0.25">
      <c r="A2" t="s">
        <v>400</v>
      </c>
    </row>
    <row r="4" spans="1:26" x14ac:dyDescent="0.25">
      <c r="A4" s="21" t="s">
        <v>192</v>
      </c>
      <c r="J4" s="48"/>
      <c r="K4" s="48"/>
      <c r="L4" s="48"/>
      <c r="M4" s="48"/>
      <c r="N4" s="48"/>
      <c r="O4" s="48"/>
      <c r="P4" s="48"/>
      <c r="Q4" s="48"/>
      <c r="R4" s="48"/>
    </row>
    <row r="5" spans="1:26" x14ac:dyDescent="0.25">
      <c r="A5" s="21"/>
      <c r="J5" s="48"/>
      <c r="K5" s="48"/>
      <c r="L5" s="48"/>
      <c r="M5" s="48"/>
      <c r="N5" s="48"/>
      <c r="O5" s="48"/>
      <c r="P5" s="48"/>
      <c r="Q5" s="48"/>
      <c r="R5" s="48"/>
    </row>
    <row r="6" spans="1:26" x14ac:dyDescent="0.25">
      <c r="A6" s="21" t="s">
        <v>193</v>
      </c>
      <c r="C6" s="100">
        <f>VLOOKUP(A1,'Projection Summary'!A5:C50,3,FALSE)</f>
        <v>1300</v>
      </c>
      <c r="J6" s="48"/>
      <c r="K6" s="48"/>
      <c r="L6" s="48"/>
      <c r="M6" s="48"/>
      <c r="N6" s="48"/>
      <c r="O6" s="48"/>
      <c r="P6" s="48"/>
      <c r="Q6" s="48"/>
      <c r="R6" s="48"/>
    </row>
    <row r="7" spans="1:26" x14ac:dyDescent="0.25">
      <c r="A7" s="21" t="s">
        <v>191</v>
      </c>
      <c r="B7" s="21"/>
      <c r="C7" s="100">
        <f>VLOOKUP(A1,'Projection Summary'!A5:C50,2,FALSE)</f>
        <v>220</v>
      </c>
      <c r="J7" s="48"/>
      <c r="K7" s="55"/>
      <c r="L7" s="49"/>
      <c r="M7" s="49"/>
      <c r="N7" s="49"/>
      <c r="O7" s="55"/>
      <c r="P7" s="49"/>
      <c r="Q7" s="55"/>
      <c r="R7" s="48"/>
    </row>
    <row r="8" spans="1:26" x14ac:dyDescent="0.25">
      <c r="J8" s="48"/>
      <c r="K8" s="49"/>
      <c r="L8" s="49"/>
      <c r="M8" s="49"/>
      <c r="N8" s="49"/>
      <c r="O8" s="55"/>
      <c r="P8" s="49"/>
      <c r="Q8" s="49"/>
      <c r="R8" s="48"/>
    </row>
    <row r="9" spans="1:26" ht="15.75" x14ac:dyDescent="0.25">
      <c r="A9" s="129" t="s">
        <v>197</v>
      </c>
      <c r="J9" s="48"/>
      <c r="K9" s="49"/>
      <c r="L9" s="49"/>
      <c r="M9" s="49"/>
      <c r="N9" s="49"/>
      <c r="O9" s="55"/>
      <c r="P9" s="49"/>
      <c r="Q9" s="172"/>
      <c r="R9" s="48"/>
      <c r="T9" s="129" t="s">
        <v>198</v>
      </c>
    </row>
    <row r="10" spans="1:26" x14ac:dyDescent="0.25">
      <c r="A10" s="21"/>
      <c r="J10" s="48"/>
      <c r="K10" s="48"/>
      <c r="L10" s="48"/>
      <c r="M10" s="48"/>
      <c r="N10" s="48"/>
      <c r="O10" s="48"/>
      <c r="P10" s="48"/>
      <c r="Q10" s="48"/>
      <c r="R10" s="48"/>
    </row>
    <row r="11" spans="1:26" x14ac:dyDescent="0.25">
      <c r="A11" s="21" t="s">
        <v>208</v>
      </c>
      <c r="K11" s="406" t="s">
        <v>137</v>
      </c>
      <c r="L11" s="407"/>
      <c r="M11" s="412" t="s">
        <v>139</v>
      </c>
      <c r="N11" s="49"/>
      <c r="O11" s="394" t="s">
        <v>209</v>
      </c>
      <c r="P11" s="49"/>
      <c r="Q11" s="394" t="s">
        <v>136</v>
      </c>
      <c r="T11" s="21" t="s">
        <v>205</v>
      </c>
      <c r="U11" s="52"/>
      <c r="V11" s="52"/>
      <c r="W11" s="52"/>
      <c r="X11" s="52"/>
      <c r="Y11" s="52"/>
      <c r="Z11" s="52"/>
    </row>
    <row r="12" spans="1:26" x14ac:dyDescent="0.25">
      <c r="A12" s="22" t="s">
        <v>114</v>
      </c>
      <c r="B12" s="24" t="s">
        <v>1</v>
      </c>
      <c r="C12" s="24" t="s">
        <v>115</v>
      </c>
      <c r="D12" s="24" t="s">
        <v>116</v>
      </c>
      <c r="E12" s="24" t="s">
        <v>117</v>
      </c>
      <c r="F12" s="24" t="s">
        <v>118</v>
      </c>
      <c r="G12" s="24" t="s">
        <v>119</v>
      </c>
      <c r="H12" s="24" t="s">
        <v>120</v>
      </c>
      <c r="I12" s="26" t="s">
        <v>121</v>
      </c>
      <c r="K12" s="408"/>
      <c r="L12" s="409"/>
      <c r="M12" s="398"/>
      <c r="N12" s="49"/>
      <c r="O12" s="425"/>
      <c r="P12" s="49"/>
      <c r="Q12" s="398"/>
      <c r="S12" s="22" t="s">
        <v>114</v>
      </c>
      <c r="T12" s="24" t="s">
        <v>121</v>
      </c>
      <c r="U12" s="24" t="s">
        <v>122</v>
      </c>
      <c r="V12" s="24" t="s">
        <v>123</v>
      </c>
      <c r="W12" s="24" t="s">
        <v>124</v>
      </c>
      <c r="X12" s="24" t="s">
        <v>125</v>
      </c>
      <c r="Y12" s="24" t="s">
        <v>126</v>
      </c>
      <c r="Z12" s="26" t="s">
        <v>138</v>
      </c>
    </row>
    <row r="13" spans="1:26" x14ac:dyDescent="0.25">
      <c r="A13" s="25">
        <f>VLOOKUP($A$12,'S1 Catchment Analysis'!A2:I2, 7, FALSE)</f>
        <v>2013</v>
      </c>
      <c r="B13" s="44">
        <f>VLOOKUP($A$1,'Primary Catchment Analysis'!$A$3:$BE$25, 37, FALSE)</f>
        <v>239</v>
      </c>
      <c r="C13" s="19">
        <f>VLOOKUP($A$1,'Primary Catchment Analysis'!$A$3:$BE$25, 38, FALSE)</f>
        <v>228</v>
      </c>
      <c r="D13" s="27">
        <f>VLOOKUP($A$1,'Primary Catchment Analysis'!$A$3:$BE$25, 39, FALSE)</f>
        <v>233</v>
      </c>
      <c r="E13" s="27">
        <f>VLOOKUP($A$1,'Primary Catchment Analysis'!$A$3:$BE$25, 40, FALSE)</f>
        <v>210</v>
      </c>
      <c r="F13" s="27">
        <f>VLOOKUP($A$1,'Primary Catchment Analysis'!$A$3:$BE$25, 41, FALSE)</f>
        <v>225</v>
      </c>
      <c r="G13" s="33">
        <f>VLOOKUP($A$1,'Primary Catchment Analysis'!$A$3:$BE$25, 42, FALSE)</f>
        <v>185</v>
      </c>
      <c r="H13" s="28">
        <f>VLOOKUP($A$1,'Primary Catchment Analysis'!$A$3:$BE$25, 43, FALSE)</f>
        <v>173</v>
      </c>
      <c r="I13" s="28">
        <f>VLOOKUP($A$1,'S1 Catchment Analysis'!A3:I25, 7, FALSE)</f>
        <v>173</v>
      </c>
      <c r="J13" s="23"/>
      <c r="K13" s="410"/>
      <c r="L13" s="411"/>
      <c r="M13" s="399"/>
      <c r="N13" s="50"/>
      <c r="O13" s="399"/>
      <c r="P13" s="50"/>
      <c r="Q13" s="399"/>
      <c r="R13" s="50"/>
      <c r="S13" s="25">
        <f>A13</f>
        <v>2013</v>
      </c>
      <c r="T13" s="69">
        <f>VLOOKUP($A$1,'Secondary Rolls'!$A$3:$BE$25, 37, FALSE)</f>
        <v>193</v>
      </c>
      <c r="U13" s="53">
        <f>VLOOKUP($A$1,'Secondary Rolls'!$A$3:$BE$25, 38, FALSE)</f>
        <v>194</v>
      </c>
      <c r="V13" s="53">
        <f>VLOOKUP($A$1,'Secondary Rolls'!$A$3:$BE$25, 39, FALSE)</f>
        <v>197</v>
      </c>
      <c r="W13" s="61">
        <f>VLOOKUP($A$1,'Secondary Rolls'!$A$3:$BE$25, 40, FALSE)</f>
        <v>195</v>
      </c>
      <c r="X13" s="63">
        <f>VLOOKUP($A$1,'Secondary Rolls'!$A$3:$BE$25, 41, FALSE)</f>
        <v>170</v>
      </c>
      <c r="Y13" s="63">
        <f>VLOOKUP($A$1,'Secondary Rolls'!$A$3:$BE$25, 42, FALSE)</f>
        <v>146</v>
      </c>
      <c r="Z13" s="62">
        <f t="shared" ref="Z13:Z17" si="0">SUM(T13:Y13)</f>
        <v>1095</v>
      </c>
    </row>
    <row r="14" spans="1:26" ht="15.75" thickBot="1" x14ac:dyDescent="0.3">
      <c r="A14" s="25">
        <f>VLOOKUP($A$12,'S1 Catchment Analysis'!A2:I2, 6, FALSE)</f>
        <v>2014</v>
      </c>
      <c r="B14" s="45">
        <f>VLOOKUP($A$1,'Primary Catchment Analysis'!$A$3:$BE$25, 30, FALSE)</f>
        <v>257</v>
      </c>
      <c r="C14" s="44">
        <f>VLOOKUP($A$1,'Primary Catchment Analysis'!$A$3:$BE$25, 31, FALSE)</f>
        <v>242</v>
      </c>
      <c r="D14" s="19">
        <f>VLOOKUP($A$1,'Primary Catchment Analysis'!$A$3:$BE$25, 32, FALSE)</f>
        <v>227</v>
      </c>
      <c r="E14" s="27">
        <f>VLOOKUP($A$1,'Primary Catchment Analysis'!$A$3:$BE$25, 33, FALSE)</f>
        <v>218</v>
      </c>
      <c r="F14" s="27">
        <f>VLOOKUP($A$1,'Primary Catchment Analysis'!$A$3:$BE$25, 34, FALSE)</f>
        <v>214</v>
      </c>
      <c r="G14" s="33">
        <f>VLOOKUP($A$1,'Primary Catchment Analysis'!$A$3:$BE$25, 35, FALSE)</f>
        <v>218</v>
      </c>
      <c r="H14" s="28">
        <f>VLOOKUP($A$1,'Primary Catchment Analysis'!$A$3:$BE$25, 36, FALSE)</f>
        <v>184</v>
      </c>
      <c r="I14" s="27">
        <f>VLOOKUP($A$1,'S1 Catchment Analysis'!A3:I25, 6, FALSE)</f>
        <v>164</v>
      </c>
      <c r="J14" s="23"/>
      <c r="K14" s="400">
        <f>VLOOKUP($A$1,'S1 Catchment Retained'!A2:I25, 6, FALSE)</f>
        <v>152</v>
      </c>
      <c r="L14" s="423"/>
      <c r="M14" s="110">
        <f t="shared" ref="M14:M18" si="1">(K14/I14)</f>
        <v>0.92682926829268297</v>
      </c>
      <c r="N14" s="50"/>
      <c r="O14" s="111">
        <v>18</v>
      </c>
      <c r="P14" s="50"/>
      <c r="Q14" s="111">
        <f>T14-K14-O14</f>
        <v>29</v>
      </c>
      <c r="R14" s="50"/>
      <c r="S14" s="25">
        <f t="shared" ref="S14:S18" si="2">A14</f>
        <v>2014</v>
      </c>
      <c r="T14" s="67">
        <f>VLOOKUP($A$1,'Secondary Rolls'!$A$3:$BE$25, 30, FALSE)</f>
        <v>199</v>
      </c>
      <c r="U14" s="69">
        <f>VLOOKUP($A$1,'Secondary Rolls'!$A$3:$BE$25, 31, FALSE)</f>
        <v>195</v>
      </c>
      <c r="V14" s="53">
        <f>VLOOKUP($A$1,'Secondary Rolls'!$A$3:$BE$25, 32, FALSE)</f>
        <v>196</v>
      </c>
      <c r="W14" s="61">
        <f>VLOOKUP($A$1,'Secondary Rolls'!$A$3:$BE$25, 33, FALSE)</f>
        <v>200</v>
      </c>
      <c r="X14" s="63">
        <f>VLOOKUP($A$1,'Secondary Rolls'!$A$3:$BE$25, 34, FALSE)</f>
        <v>174</v>
      </c>
      <c r="Y14" s="53">
        <f>VLOOKUP($A$1,'Secondary Rolls'!$A$3:$BE$25, 35, FALSE)</f>
        <v>153</v>
      </c>
      <c r="Z14" s="62">
        <f t="shared" si="0"/>
        <v>1117</v>
      </c>
    </row>
    <row r="15" spans="1:26" ht="15.75" thickBot="1" x14ac:dyDescent="0.3">
      <c r="A15" s="25">
        <f>VLOOKUP($A$12,'S1 Catchment Analysis'!A2:I2, 5, FALSE)</f>
        <v>2015</v>
      </c>
      <c r="B15" s="19">
        <f>VLOOKUP($A$1,'Primary Catchment Analysis'!$A$3:$BE$25, 23, FALSE)</f>
        <v>252</v>
      </c>
      <c r="C15" s="45">
        <f>VLOOKUP($A$1,'Primary Catchment Analysis'!$A$3:$BE$25, 24, FALSE)</f>
        <v>255</v>
      </c>
      <c r="D15" s="44">
        <f>VLOOKUP($A$1,'Primary Catchment Analysis'!$A$3:$BE$25, 25, FALSE)</f>
        <v>232</v>
      </c>
      <c r="E15" s="19">
        <f>VLOOKUP($A$1,'Primary Catchment Analysis'!$A$3:$BE$25, 26, FALSE)</f>
        <v>228</v>
      </c>
      <c r="F15" s="27">
        <f>VLOOKUP($A$1,'Primary Catchment Analysis'!$A$3:$BE$25, 27, FALSE)</f>
        <v>220</v>
      </c>
      <c r="G15" s="33">
        <f>VLOOKUP($A$1,'Primary Catchment Analysis'!$A$3:$BE$25, 28, FALSE)</f>
        <v>211</v>
      </c>
      <c r="H15" s="30">
        <f>VLOOKUP($A$1,'Primary Catchment Analysis'!$A$3:$BE$25, 29, FALSE)</f>
        <v>209</v>
      </c>
      <c r="I15" s="29">
        <f>VLOOKUP($A$1,'S1 Catchment Analysis'!A3:I25, 5, FALSE)</f>
        <v>171</v>
      </c>
      <c r="J15" s="23"/>
      <c r="K15" s="400">
        <f>VLOOKUP($A$1,'S1 Catchment Retained'!A2:I25, 5, FALSE)</f>
        <v>163</v>
      </c>
      <c r="L15" s="423"/>
      <c r="M15" s="110">
        <f t="shared" si="1"/>
        <v>0.95321637426900585</v>
      </c>
      <c r="N15" s="50"/>
      <c r="O15" s="36">
        <v>16</v>
      </c>
      <c r="P15" s="50"/>
      <c r="Q15" s="111">
        <f>T15-K15-O15</f>
        <v>17</v>
      </c>
      <c r="R15" s="50"/>
      <c r="S15" s="25">
        <f t="shared" si="2"/>
        <v>2015</v>
      </c>
      <c r="T15" s="68">
        <f>VLOOKUP($A$1,'Secondary Rolls'!$A$3:$BE$25, 23, FALSE)</f>
        <v>196</v>
      </c>
      <c r="U15" s="67">
        <f>VLOOKUP($A$1,'Secondary Rolls'!$A$3:$BE$25, 24, FALSE)</f>
        <v>197</v>
      </c>
      <c r="V15" s="69">
        <f>VLOOKUP($A$1,'Secondary Rolls'!$A$3:$BE$25, 25, FALSE)</f>
        <v>196</v>
      </c>
      <c r="W15" s="61">
        <f>VLOOKUP($A$1,'Secondary Rolls'!$A$3:$BE$25, 26, FALSE)</f>
        <v>196</v>
      </c>
      <c r="X15" s="64">
        <f>VLOOKUP($A$1,'Secondary Rolls'!$A$3:$BE$25, 27, FALSE)</f>
        <v>196</v>
      </c>
      <c r="Y15" s="116">
        <f>VLOOKUP($A$1,'Secondary Rolls'!$A$3:$BE$25, 28, FALSE)</f>
        <v>168</v>
      </c>
      <c r="Z15" s="62">
        <f t="shared" si="0"/>
        <v>1149</v>
      </c>
    </row>
    <row r="16" spans="1:26" x14ac:dyDescent="0.25">
      <c r="A16" s="25">
        <f>VLOOKUP($A$12,'S1 Catchment Analysis'!A2:I2, 4, FALSE)</f>
        <v>2016</v>
      </c>
      <c r="B16" s="44">
        <f>VLOOKUP($A$1,'Primary Catchment Analysis'!$A$3:$BE$25, 16, FALSE)</f>
        <v>226</v>
      </c>
      <c r="C16" s="19">
        <f>VLOOKUP($A$1,'Primary Catchment Analysis'!$A$3:$BE$25, 17, FALSE)</f>
        <v>248</v>
      </c>
      <c r="D16" s="45">
        <f>VLOOKUP($A$1,'Primary Catchment Analysis'!$A$3:$BE$25, 18, FALSE)</f>
        <v>249</v>
      </c>
      <c r="E16" s="44">
        <f>VLOOKUP($A$1,'Primary Catchment Analysis'!$A$3:$BE$25, 19, FALSE)</f>
        <v>239</v>
      </c>
      <c r="F16" s="19">
        <f>VLOOKUP($A$1,'Primary Catchment Analysis'!$A$3:$BE$25, 20, FALSE)</f>
        <v>231</v>
      </c>
      <c r="G16" s="33">
        <f>VLOOKUP($A$1,'Primary Catchment Analysis'!$A$3:$BE$25, 21, FALSE)</f>
        <v>215</v>
      </c>
      <c r="H16" s="112">
        <f>VLOOKUP($A$1,'Primary Catchment Analysis'!$A$3:$BE$25, 22, FALSE)</f>
        <v>212</v>
      </c>
      <c r="I16" s="30">
        <f>VLOOKUP($A$1,'S1 Catchment Analysis'!A3:I25, 4, FALSE)</f>
        <v>201</v>
      </c>
      <c r="J16" s="23"/>
      <c r="K16" s="400">
        <f>VLOOKUP($A$1,'S1 Catchment Retained'!A2:I25, 4, FALSE)</f>
        <v>195</v>
      </c>
      <c r="L16" s="424"/>
      <c r="M16" s="56">
        <f t="shared" si="1"/>
        <v>0.97014925373134331</v>
      </c>
      <c r="N16" s="50"/>
      <c r="O16" s="35">
        <v>17</v>
      </c>
      <c r="P16" s="50"/>
      <c r="Q16" s="103">
        <f>T16-K16-O16</f>
        <v>7</v>
      </c>
      <c r="R16" s="50"/>
      <c r="S16" s="25">
        <f t="shared" si="2"/>
        <v>2016</v>
      </c>
      <c r="T16" s="69">
        <f>VLOOKUP($A$1,'Secondary Rolls'!$A$3:$BE$25, 16, FALSE)</f>
        <v>219</v>
      </c>
      <c r="U16" s="68">
        <f>VLOOKUP($A$1,'Secondary Rolls'!$A$3:$BE$25, 17, FALSE)</f>
        <v>200</v>
      </c>
      <c r="V16" s="67">
        <f>VLOOKUP($A$1,'Secondary Rolls'!$A$3:$BE$25, 18, FALSE)</f>
        <v>194</v>
      </c>
      <c r="W16" s="71">
        <f>VLOOKUP($A$1,'Secondary Rolls'!$A$3:$BE$25, 19, FALSE)</f>
        <v>197</v>
      </c>
      <c r="X16" s="114">
        <f>VLOOKUP($A$1,'Secondary Rolls'!$A$3:$BE$25, 20, FALSE)</f>
        <v>209</v>
      </c>
      <c r="Y16" s="64">
        <f>VLOOKUP($A$1,'Secondary Rolls'!$A$3:$BE$25, 21, FALSE)</f>
        <v>179</v>
      </c>
      <c r="Z16" s="62">
        <f t="shared" si="0"/>
        <v>1198</v>
      </c>
    </row>
    <row r="17" spans="1:27" ht="15.75" thickBot="1" x14ac:dyDescent="0.3">
      <c r="A17" s="258">
        <f>VLOOKUP($A$12,'S1 Catchment Analysis'!A2:I2, 3, FALSE)</f>
        <v>2017</v>
      </c>
      <c r="B17" s="259">
        <f>VLOOKUP($A$1,'Primary Catchment Analysis'!$A$3:$BE$25, 9, FALSE)</f>
        <v>268</v>
      </c>
      <c r="C17" s="260">
        <f>VLOOKUP($A$1,'Primary Catchment Analysis'!$A$3:$BE$25, 10, FALSE)</f>
        <v>226</v>
      </c>
      <c r="D17" s="261">
        <f>VLOOKUP($A$1,'Primary Catchment Analysis'!$A$3:$BE$25, 11, FALSE)</f>
        <v>243</v>
      </c>
      <c r="E17" s="259">
        <f>VLOOKUP($A$1,'Primary Catchment Analysis'!$A$3:$BE$25, 12, FALSE)</f>
        <v>243</v>
      </c>
      <c r="F17" s="260">
        <f>VLOOKUP($A$1,'Primary Catchment Analysis'!$A$3:$BE$25, 13, FALSE)</f>
        <v>239</v>
      </c>
      <c r="G17" s="262">
        <f>VLOOKUP($A$1,'Primary Catchment Analysis'!$A$3:$BE$25, 14, FALSE)</f>
        <v>222</v>
      </c>
      <c r="H17" s="113">
        <f>VLOOKUP($A$1,'Primary Catchment Analysis'!$A$3:$BE$25, 15, FALSE)</f>
        <v>224</v>
      </c>
      <c r="I17" s="31">
        <f>VLOOKUP($A$1,'S1 Catchment Analysis'!A3:I25, 3, FALSE)</f>
        <v>212</v>
      </c>
      <c r="J17" s="23"/>
      <c r="K17" s="400">
        <f>VLOOKUP($A$1,'S1 Catchment Retained'!A2:I25, 3, FALSE)</f>
        <v>209</v>
      </c>
      <c r="L17" s="424"/>
      <c r="M17" s="57">
        <f t="shared" si="1"/>
        <v>0.98584905660377353</v>
      </c>
      <c r="N17" s="50"/>
      <c r="O17" s="35">
        <v>19</v>
      </c>
      <c r="P17" s="50"/>
      <c r="Q17" s="263">
        <f>T17-K17-O17</f>
        <v>10</v>
      </c>
      <c r="R17" s="50"/>
      <c r="S17" s="25">
        <f t="shared" si="2"/>
        <v>2017</v>
      </c>
      <c r="T17" s="264">
        <f>VLOOKUP($A$1,'Secondary Rolls'!$A$3:$BE$25, 9, FALSE)</f>
        <v>238</v>
      </c>
      <c r="U17" s="265">
        <f>VLOOKUP($A$1,'Secondary Rolls'!$A$3:$BE$25, 10, FALSE)</f>
        <v>220</v>
      </c>
      <c r="V17" s="266">
        <f>VLOOKUP($A$1,'Secondary Rolls'!$A$3:$BE$25, 11, FALSE)</f>
        <v>199</v>
      </c>
      <c r="W17" s="267">
        <f>VLOOKUP($A$1,'Secondary Rolls'!$A$3:$BE$25, 12, FALSE)</f>
        <v>199</v>
      </c>
      <c r="X17" s="284">
        <f>VLOOKUP($A$1,'Secondary Rolls'!$A$3:$BE$25, 13, FALSE)</f>
        <v>203</v>
      </c>
      <c r="Y17" s="65">
        <f>VLOOKUP($A$1,'Secondary Rolls'!$A$3:$BE$25, 14, FALSE)</f>
        <v>192</v>
      </c>
      <c r="Z17" s="62">
        <f t="shared" si="0"/>
        <v>1251</v>
      </c>
    </row>
    <row r="18" spans="1:27" ht="15.75" thickBot="1" x14ac:dyDescent="0.3">
      <c r="A18" s="25">
        <f>VLOOKUP($A$12,'S1 Catchment Analysis'!A2:I2, 2, FALSE)</f>
        <v>2018</v>
      </c>
      <c r="B18" s="19">
        <f>VLOOKUP($A$1,'Primary Catchment Analysis'!$A$3:$BE$25, 2, FALSE)</f>
        <v>258</v>
      </c>
      <c r="C18" s="45">
        <f>VLOOKUP($A$1,'Primary Catchment Analysis'!$A$3:$BE$25, 3, FALSE)</f>
        <v>268</v>
      </c>
      <c r="D18" s="44">
        <f>VLOOKUP($A$1,'Primary Catchment Analysis'!$A$3:$BE$25, 4, FALSE)</f>
        <v>225</v>
      </c>
      <c r="E18" s="19">
        <f>VLOOKUP($A$1,'Primary Catchment Analysis'!$A$3:$BE$25, 5, FALSE)</f>
        <v>246</v>
      </c>
      <c r="F18" s="45">
        <f>VLOOKUP($A$1,'Primary Catchment Analysis'!$A$3:$BE$25, 6, FALSE)</f>
        <v>239</v>
      </c>
      <c r="G18" s="273">
        <f>VLOOKUP($A$1,'Primary Catchment Analysis'!$A$3:$BE$25, 7, FALSE)</f>
        <v>239</v>
      </c>
      <c r="H18" s="274">
        <f>VLOOKUP($A$1,'Primary Catchment Analysis'!$A$3:$BE$25, 8, FALSE)</f>
        <v>232</v>
      </c>
      <c r="I18" s="32">
        <f>VLOOKUP($A$1,'S1 Catchment Analysis'!A3:I25, 2, FALSE)</f>
        <v>208</v>
      </c>
      <c r="J18" s="23"/>
      <c r="K18" s="400">
        <f>VLOOKUP($A$1,'S1 Catchment Retained'!A2:I25, 2, FALSE)</f>
        <v>204</v>
      </c>
      <c r="L18" s="424"/>
      <c r="M18" s="58">
        <f t="shared" si="1"/>
        <v>0.98076923076923073</v>
      </c>
      <c r="N18" s="50"/>
      <c r="O18" s="35">
        <v>27</v>
      </c>
      <c r="P18" s="50"/>
      <c r="Q18" s="286">
        <f>T18-K18-O18</f>
        <v>4</v>
      </c>
      <c r="S18" s="25">
        <f t="shared" si="2"/>
        <v>2018</v>
      </c>
      <c r="T18" s="275">
        <f>VLOOKUP($A$1,'Secondary Rolls'!$A$3:$BE$25, 2, FALSE)</f>
        <v>235</v>
      </c>
      <c r="U18" s="45">
        <f>VLOOKUP($A$1,'Secondary Rolls'!$A$3:$BE$25, 3, FALSE)</f>
        <v>239</v>
      </c>
      <c r="V18" s="69">
        <f>VLOOKUP($A$1,'Secondary Rolls'!$A$3:$BE$25, 4, FALSE)</f>
        <v>215</v>
      </c>
      <c r="W18" s="281">
        <f>VLOOKUP($A$1,'Secondary Rolls'!$A$3:$BE$25, 5, FALSE)</f>
        <v>197</v>
      </c>
      <c r="X18" s="285">
        <f>VLOOKUP($A$1,'Secondary Rolls'!$A$3:$BE$25, 6, FALSE)</f>
        <v>199</v>
      </c>
      <c r="Y18" s="283">
        <f>VLOOKUP($A$1,'Secondary Rolls'!$A$3:$BE$25, 7, FALSE)</f>
        <v>176</v>
      </c>
      <c r="Z18" s="282">
        <f>SUM(T18:Y18)</f>
        <v>1261</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Q19" s="257" t="s">
        <v>211</v>
      </c>
      <c r="R19" s="60"/>
      <c r="S19" s="131"/>
      <c r="V19" s="386" t="s">
        <v>212</v>
      </c>
      <c r="W19" s="387"/>
      <c r="X19" s="118" t="s">
        <v>140</v>
      </c>
      <c r="Y19" s="119" t="s">
        <v>141</v>
      </c>
    </row>
    <row r="20" spans="1:27" x14ac:dyDescent="0.25">
      <c r="A20" s="388"/>
      <c r="B20" s="388"/>
      <c r="C20" s="40">
        <f>AVERAGE(((B15-C16)/B15),((B16-C17)/B16),((B17-C18)/B17))</f>
        <v>5.2910052910052907E-3</v>
      </c>
      <c r="D20" s="40">
        <f t="shared" ref="D20:I20" si="3">AVERAGE(((C15-D16)/C15),((C16-D17)/C16),((C17-D18)/C17))</f>
        <v>1.6038493616116156E-2</v>
      </c>
      <c r="E20" s="40">
        <f t="shared" si="3"/>
        <v>-6.1405690877601509E-3</v>
      </c>
      <c r="F20" s="40">
        <f t="shared" si="3"/>
        <v>1.1010035376507118E-3</v>
      </c>
      <c r="G20" s="40">
        <f t="shared" si="3"/>
        <v>2.0562770562770564E-2</v>
      </c>
      <c r="H20" s="40">
        <f t="shared" si="3"/>
        <v>-3.0548282218071699E-2</v>
      </c>
      <c r="I20" s="40">
        <f t="shared" si="3"/>
        <v>3.6568694463431306E-2</v>
      </c>
      <c r="K20" s="389">
        <f>AVERAGE(M16:M18)</f>
        <v>0.97892251370144923</v>
      </c>
      <c r="L20" s="390"/>
      <c r="M20" s="391"/>
      <c r="Q20" s="51">
        <f>ROUNDUP((AVERAGE(Q16:Q18)),0)</f>
        <v>7</v>
      </c>
      <c r="V20" s="388"/>
      <c r="W20" s="388"/>
      <c r="X20" s="40">
        <f>AVERAGE(((W15-X16)/W15),((W16-X17)/W16),((W17-X18)/W17))</f>
        <v>-3.2261127801374356E-2</v>
      </c>
      <c r="Y20" s="40">
        <f>AVERAGE(((X15-Y16)/X15),((X16-Y17)/X16),((X17-Y18)/X17))</f>
        <v>0.10035977763486188</v>
      </c>
    </row>
    <row r="21" spans="1:27" x14ac:dyDescent="0.25">
      <c r="A21" s="21"/>
      <c r="K21" s="59"/>
      <c r="L21" s="59"/>
    </row>
    <row r="22" spans="1:27" x14ac:dyDescent="0.25">
      <c r="A22" s="21" t="s">
        <v>207</v>
      </c>
      <c r="K22" s="59"/>
      <c r="L22" s="59"/>
      <c r="Q22" s="39"/>
      <c r="R22" s="39"/>
      <c r="Y22" s="52"/>
      <c r="Z22" s="52"/>
    </row>
    <row r="23" spans="1:27" x14ac:dyDescent="0.25">
      <c r="A23" s="22" t="s">
        <v>114</v>
      </c>
      <c r="B23" s="24" t="s">
        <v>1</v>
      </c>
      <c r="C23" s="24" t="s">
        <v>115</v>
      </c>
      <c r="D23" s="24" t="s">
        <v>116</v>
      </c>
      <c r="E23" s="24" t="s">
        <v>117</v>
      </c>
      <c r="F23" s="24" t="s">
        <v>118</v>
      </c>
      <c r="G23" s="24" t="s">
        <v>119</v>
      </c>
      <c r="H23" s="24" t="s">
        <v>120</v>
      </c>
      <c r="I23" s="26" t="s">
        <v>121</v>
      </c>
      <c r="K23" s="59"/>
      <c r="L23" s="59"/>
      <c r="Q23" s="39"/>
      <c r="R23" s="39"/>
      <c r="Y23"/>
      <c r="Z23"/>
    </row>
    <row r="24" spans="1:27" x14ac:dyDescent="0.25">
      <c r="A24" s="25">
        <f>A18+1</f>
        <v>2019</v>
      </c>
      <c r="B24" s="37">
        <f>'P1 Catchment Projections'!C47+'P1 Catchment Projections'!C48+'P1 Catchment Projections'!C49+'P1 Catchment Projections'!C50+'P1 Catchment Projections'!C51+'P1 Catchment Projections'!C52</f>
        <v>329</v>
      </c>
      <c r="C24" s="34">
        <f>ROUNDUP((B18-(B18*$C$20)),0)</f>
        <v>257</v>
      </c>
      <c r="D24" s="42">
        <f>ROUNDUP((C18-(C18*$D$20)),0)</f>
        <v>264</v>
      </c>
      <c r="E24" s="43">
        <f>ROUNDUP((D18-(D18*$E$20)),0)</f>
        <v>227</v>
      </c>
      <c r="F24" s="41">
        <f>ROUNDUP((E18-(E18*$F$20)),0)</f>
        <v>246</v>
      </c>
      <c r="G24" s="42">
        <f>ROUNDUP((F18-(F18*$G$20)),0)</f>
        <v>235</v>
      </c>
      <c r="H24" s="43">
        <f>ROUNDUP((G18-(G18*$H$20)),0)</f>
        <v>247</v>
      </c>
      <c r="I24" s="99">
        <f>ROUNDUP((H18-(H18*$I$20)),0)</f>
        <v>224</v>
      </c>
      <c r="J24" s="23"/>
      <c r="K24" s="59"/>
      <c r="L24" s="59"/>
      <c r="Q24" s="39"/>
      <c r="R24" s="39"/>
      <c r="Y24"/>
      <c r="Z24" s="82"/>
      <c r="AA24" s="109"/>
    </row>
    <row r="25" spans="1:27" x14ac:dyDescent="0.25">
      <c r="A25" s="25">
        <f>A24+1</f>
        <v>2020</v>
      </c>
      <c r="B25" s="37">
        <f>'P1 Catchment Projections'!D47+'P1 Catchment Projections'!D48+'P1 Catchment Projections'!D49+'P1 Catchment Projections'!D50+'P1 Catchment Projections'!D51+'P1 Catchment Projections'!D52</f>
        <v>297</v>
      </c>
      <c r="C25" s="34">
        <f t="shared" ref="C25:C37" si="4">ROUNDUP((B24-(B24*$C$20)),0)</f>
        <v>328</v>
      </c>
      <c r="D25" s="34">
        <f t="shared" ref="D25:D37" si="5">ROUNDUP((C24-(C24*$D$20)),0)</f>
        <v>253</v>
      </c>
      <c r="E25" s="42">
        <f t="shared" ref="E25:E37" si="6">ROUNDUP((D24-(D24*$E$20)),0)</f>
        <v>266</v>
      </c>
      <c r="F25" s="43">
        <f t="shared" ref="F25:F37" si="7">ROUNDUP((E24-(E24*$F$20)),0)</f>
        <v>227</v>
      </c>
      <c r="G25" s="41">
        <f t="shared" ref="G25:G37" si="8">ROUNDUP((F24-(F24*$G$20)),0)</f>
        <v>241</v>
      </c>
      <c r="H25" s="42">
        <f t="shared" ref="H25:H37" si="9">ROUNDUP((G24-(G24*$H$20)),0)</f>
        <v>243</v>
      </c>
      <c r="I25" s="99">
        <f t="shared" ref="I25:I37" si="10">ROUNDUP((H24-(H24*$I$20)),0)</f>
        <v>238</v>
      </c>
      <c r="J25" s="23"/>
      <c r="K25" s="59"/>
      <c r="L25" s="59"/>
      <c r="Q25" s="39"/>
      <c r="R25" s="39"/>
      <c r="Y25"/>
      <c r="Z25" s="82"/>
      <c r="AA25" s="109"/>
    </row>
    <row r="26" spans="1:27" x14ac:dyDescent="0.25">
      <c r="A26" s="25">
        <f>A25+1</f>
        <v>2021</v>
      </c>
      <c r="B26" s="37">
        <f>'P1 Catchment Projections'!E47+'P1 Catchment Projections'!E48+'P1 Catchment Projections'!E49+'P1 Catchment Projections'!E50+'P1 Catchment Projections'!E51+'P1 Catchment Projections'!E52</f>
        <v>268</v>
      </c>
      <c r="C26" s="34">
        <f t="shared" si="4"/>
        <v>296</v>
      </c>
      <c r="D26" s="34">
        <f t="shared" si="5"/>
        <v>323</v>
      </c>
      <c r="E26" s="34">
        <f t="shared" si="6"/>
        <v>255</v>
      </c>
      <c r="F26" s="42">
        <f t="shared" si="7"/>
        <v>266</v>
      </c>
      <c r="G26" s="43">
        <f t="shared" si="8"/>
        <v>223</v>
      </c>
      <c r="H26" s="41">
        <f t="shared" si="9"/>
        <v>249</v>
      </c>
      <c r="I26" s="99">
        <f t="shared" si="10"/>
        <v>235</v>
      </c>
      <c r="J26" s="23"/>
      <c r="K26" s="59"/>
      <c r="L26" s="59"/>
      <c r="Q26" s="39"/>
      <c r="R26" s="39"/>
      <c r="Y26"/>
      <c r="Z26" s="82"/>
      <c r="AA26" s="109"/>
    </row>
    <row r="27" spans="1:27" x14ac:dyDescent="0.25">
      <c r="A27" s="25">
        <f>A26+1</f>
        <v>2022</v>
      </c>
      <c r="B27" s="37">
        <f>'P1 Catchment Projections'!F47+'P1 Catchment Projections'!F48+'P1 Catchment Projections'!F49+'P1 Catchment Projections'!F50+'P1 Catchment Projections'!F51+'P1 Catchment Projections'!F52</f>
        <v>253</v>
      </c>
      <c r="C27" s="34">
        <f t="shared" si="4"/>
        <v>267</v>
      </c>
      <c r="D27" s="34">
        <f t="shared" si="5"/>
        <v>292</v>
      </c>
      <c r="E27" s="34">
        <f t="shared" si="6"/>
        <v>325</v>
      </c>
      <c r="F27" s="34">
        <f t="shared" si="7"/>
        <v>255</v>
      </c>
      <c r="G27" s="42">
        <f t="shared" si="8"/>
        <v>261</v>
      </c>
      <c r="H27" s="43">
        <f t="shared" si="9"/>
        <v>230</v>
      </c>
      <c r="I27" s="99">
        <f t="shared" si="10"/>
        <v>240</v>
      </c>
      <c r="J27" s="23"/>
      <c r="K27" s="59"/>
      <c r="L27" s="59"/>
      <c r="Q27" s="39"/>
      <c r="R27" s="39"/>
      <c r="Y27"/>
      <c r="Z27" s="82"/>
      <c r="AA27" s="109"/>
    </row>
    <row r="28" spans="1:27" x14ac:dyDescent="0.25">
      <c r="A28" s="25">
        <f t="shared" ref="A28:A37" si="11">A27+1</f>
        <v>2023</v>
      </c>
      <c r="B28" s="37">
        <f>'P1 Catchment Projections'!G47+'P1 Catchment Projections'!G48+'P1 Catchment Projections'!G49+'P1 Catchment Projections'!G50+'P1 Catchment Projections'!G51+'P1 Catchment Projections'!G52</f>
        <v>276</v>
      </c>
      <c r="C28" s="34">
        <f t="shared" si="4"/>
        <v>252</v>
      </c>
      <c r="D28" s="34">
        <f t="shared" si="5"/>
        <v>263</v>
      </c>
      <c r="E28" s="34">
        <f t="shared" si="6"/>
        <v>294</v>
      </c>
      <c r="F28" s="34">
        <f t="shared" si="7"/>
        <v>325</v>
      </c>
      <c r="G28" s="34">
        <f t="shared" si="8"/>
        <v>250</v>
      </c>
      <c r="H28" s="42">
        <f t="shared" si="9"/>
        <v>269</v>
      </c>
      <c r="I28" s="99">
        <f t="shared" si="10"/>
        <v>222</v>
      </c>
      <c r="J28" s="23"/>
      <c r="K28" s="59"/>
      <c r="L28" s="59"/>
      <c r="Q28" s="39"/>
      <c r="R28" s="39"/>
      <c r="Y28"/>
      <c r="Z28" s="82"/>
      <c r="AA28" s="109"/>
    </row>
    <row r="29" spans="1:27" x14ac:dyDescent="0.25">
      <c r="A29" s="25">
        <f t="shared" si="11"/>
        <v>2024</v>
      </c>
      <c r="B29" s="37">
        <f>'P1 Catchment Projections'!H47+'P1 Catchment Projections'!H48+'P1 Catchment Projections'!H49+'P1 Catchment Projections'!H50+'P1 Catchment Projections'!H51+'P1 Catchment Projections'!H52</f>
        <v>278</v>
      </c>
      <c r="C29" s="34">
        <f t="shared" si="4"/>
        <v>275</v>
      </c>
      <c r="D29" s="34">
        <f t="shared" si="5"/>
        <v>248</v>
      </c>
      <c r="E29" s="34">
        <f t="shared" si="6"/>
        <v>265</v>
      </c>
      <c r="F29" s="34">
        <f t="shared" si="7"/>
        <v>294</v>
      </c>
      <c r="G29" s="34">
        <f t="shared" si="8"/>
        <v>319</v>
      </c>
      <c r="H29" s="34">
        <f t="shared" si="9"/>
        <v>258</v>
      </c>
      <c r="I29" s="99">
        <f t="shared" si="10"/>
        <v>260</v>
      </c>
      <c r="K29" s="59"/>
      <c r="L29" s="59"/>
      <c r="Q29" s="39"/>
      <c r="R29" s="39"/>
      <c r="Y29"/>
      <c r="Z29" s="82"/>
      <c r="AA29" s="109"/>
    </row>
    <row r="30" spans="1:27" x14ac:dyDescent="0.25">
      <c r="A30" s="25">
        <f t="shared" si="11"/>
        <v>2025</v>
      </c>
      <c r="B30" s="37">
        <f>'P1 Catchment Projections'!I47+'P1 Catchment Projections'!I48+'P1 Catchment Projections'!I49+'P1 Catchment Projections'!I50+'P1 Catchment Projections'!I51+'P1 Catchment Projections'!I52</f>
        <v>281</v>
      </c>
      <c r="C30" s="34">
        <f t="shared" si="4"/>
        <v>277</v>
      </c>
      <c r="D30" s="34">
        <f t="shared" si="5"/>
        <v>271</v>
      </c>
      <c r="E30" s="34">
        <f t="shared" si="6"/>
        <v>250</v>
      </c>
      <c r="F30" s="34">
        <f t="shared" si="7"/>
        <v>265</v>
      </c>
      <c r="G30" s="34">
        <f t="shared" si="8"/>
        <v>288</v>
      </c>
      <c r="H30" s="34">
        <f t="shared" si="9"/>
        <v>329</v>
      </c>
      <c r="I30" s="99">
        <f t="shared" si="10"/>
        <v>249</v>
      </c>
      <c r="K30" s="59"/>
      <c r="L30" s="59"/>
      <c r="Q30" s="39"/>
      <c r="R30" s="39"/>
      <c r="Y30"/>
      <c r="Z30" s="82"/>
      <c r="AA30" s="109"/>
    </row>
    <row r="31" spans="1:27" x14ac:dyDescent="0.25">
      <c r="A31" s="25">
        <f t="shared" si="11"/>
        <v>2026</v>
      </c>
      <c r="B31" s="37">
        <f>'P1 Catchment Projections'!J47+'P1 Catchment Projections'!J48+'P1 Catchment Projections'!J49+'P1 Catchment Projections'!J50+'P1 Catchment Projections'!J51+'P1 Catchment Projections'!J52</f>
        <v>284</v>
      </c>
      <c r="C31" s="34">
        <f t="shared" si="4"/>
        <v>280</v>
      </c>
      <c r="D31" s="34">
        <f t="shared" si="5"/>
        <v>273</v>
      </c>
      <c r="E31" s="34">
        <f t="shared" si="6"/>
        <v>273</v>
      </c>
      <c r="F31" s="34">
        <f t="shared" si="7"/>
        <v>250</v>
      </c>
      <c r="G31" s="34">
        <f t="shared" si="8"/>
        <v>260</v>
      </c>
      <c r="H31" s="34">
        <f t="shared" si="9"/>
        <v>297</v>
      </c>
      <c r="I31" s="99">
        <f t="shared" si="10"/>
        <v>317</v>
      </c>
      <c r="K31" s="59"/>
      <c r="L31" s="59"/>
      <c r="Q31" s="39"/>
      <c r="R31" s="39"/>
      <c r="Y31"/>
      <c r="Z31" s="82"/>
      <c r="AA31" s="109"/>
    </row>
    <row r="32" spans="1:27" x14ac:dyDescent="0.25">
      <c r="A32" s="25">
        <f t="shared" si="11"/>
        <v>2027</v>
      </c>
      <c r="B32" s="37">
        <f>'P1 Catchment Projections'!K47+'P1 Catchment Projections'!K48+'P1 Catchment Projections'!K49+'P1 Catchment Projections'!K50+'P1 Catchment Projections'!K51+'P1 Catchment Projections'!K52</f>
        <v>285</v>
      </c>
      <c r="C32" s="34">
        <f t="shared" si="4"/>
        <v>283</v>
      </c>
      <c r="D32" s="34">
        <f t="shared" si="5"/>
        <v>276</v>
      </c>
      <c r="E32" s="34">
        <f t="shared" si="6"/>
        <v>275</v>
      </c>
      <c r="F32" s="34">
        <f t="shared" si="7"/>
        <v>273</v>
      </c>
      <c r="G32" s="34">
        <f t="shared" si="8"/>
        <v>245</v>
      </c>
      <c r="H32" s="34">
        <f t="shared" si="9"/>
        <v>268</v>
      </c>
      <c r="I32" s="99">
        <f t="shared" si="10"/>
        <v>287</v>
      </c>
      <c r="K32" s="59"/>
      <c r="L32" s="59"/>
      <c r="Q32" s="39"/>
      <c r="R32" s="39"/>
      <c r="Y32"/>
      <c r="Z32" s="82"/>
      <c r="AA32" s="109"/>
    </row>
    <row r="33" spans="1:26" x14ac:dyDescent="0.25">
      <c r="A33" s="25">
        <f t="shared" si="11"/>
        <v>2028</v>
      </c>
      <c r="B33" s="37">
        <f>'P1 Catchment Projections'!L47+'P1 Catchment Projections'!L48+'P1 Catchment Projections'!L49+'P1 Catchment Projections'!L50+'P1 Catchment Projections'!L51+'P1 Catchment Projections'!L52</f>
        <v>287</v>
      </c>
      <c r="C33" s="34">
        <f t="shared" si="4"/>
        <v>284</v>
      </c>
      <c r="D33" s="34">
        <f t="shared" si="5"/>
        <v>279</v>
      </c>
      <c r="E33" s="34">
        <f t="shared" si="6"/>
        <v>278</v>
      </c>
      <c r="F33" s="34">
        <f t="shared" si="7"/>
        <v>275</v>
      </c>
      <c r="G33" s="34">
        <f t="shared" si="8"/>
        <v>268</v>
      </c>
      <c r="H33" s="34">
        <f t="shared" si="9"/>
        <v>253</v>
      </c>
      <c r="I33" s="99">
        <f t="shared" si="10"/>
        <v>259</v>
      </c>
      <c r="K33" s="59"/>
      <c r="L33" s="59"/>
      <c r="Q33" s="39"/>
      <c r="R33" s="39"/>
      <c r="Y33"/>
      <c r="Z33"/>
    </row>
    <row r="34" spans="1:26" x14ac:dyDescent="0.25">
      <c r="A34" s="25">
        <f t="shared" si="11"/>
        <v>2029</v>
      </c>
      <c r="B34" s="37">
        <f>'P1 Catchment Projections'!M47+'P1 Catchment Projections'!M48+'P1 Catchment Projections'!M49+'P1 Catchment Projections'!M50+'P1 Catchment Projections'!M51+'P1 Catchment Projections'!M52</f>
        <v>287</v>
      </c>
      <c r="C34" s="34">
        <f t="shared" si="4"/>
        <v>286</v>
      </c>
      <c r="D34" s="34">
        <f t="shared" si="5"/>
        <v>280</v>
      </c>
      <c r="E34" s="34">
        <f t="shared" si="6"/>
        <v>281</v>
      </c>
      <c r="F34" s="34">
        <f t="shared" si="7"/>
        <v>278</v>
      </c>
      <c r="G34" s="34">
        <f t="shared" si="8"/>
        <v>270</v>
      </c>
      <c r="H34" s="34">
        <f t="shared" si="9"/>
        <v>277</v>
      </c>
      <c r="I34" s="99">
        <f t="shared" si="10"/>
        <v>244</v>
      </c>
      <c r="K34" s="59"/>
      <c r="L34" s="59"/>
      <c r="Q34" s="39"/>
      <c r="R34" s="39"/>
      <c r="Y34"/>
      <c r="Z34"/>
    </row>
    <row r="35" spans="1:26" x14ac:dyDescent="0.25">
      <c r="A35" s="25">
        <f t="shared" si="11"/>
        <v>2030</v>
      </c>
      <c r="B35" s="37">
        <f>'P1 Catchment Projections'!N47+'P1 Catchment Projections'!N48+'P1 Catchment Projections'!N49+'P1 Catchment Projections'!N50+'P1 Catchment Projections'!N51+'P1 Catchment Projections'!N52</f>
        <v>287</v>
      </c>
      <c r="C35" s="34">
        <f t="shared" si="4"/>
        <v>286</v>
      </c>
      <c r="D35" s="34">
        <f t="shared" si="5"/>
        <v>282</v>
      </c>
      <c r="E35" s="34">
        <f t="shared" si="6"/>
        <v>282</v>
      </c>
      <c r="F35" s="34">
        <f t="shared" si="7"/>
        <v>281</v>
      </c>
      <c r="G35" s="34">
        <f t="shared" si="8"/>
        <v>273</v>
      </c>
      <c r="H35" s="34">
        <f t="shared" si="9"/>
        <v>279</v>
      </c>
      <c r="I35" s="99">
        <f t="shared" si="10"/>
        <v>267</v>
      </c>
      <c r="K35" s="59"/>
      <c r="L35" s="59"/>
      <c r="Q35" s="39"/>
      <c r="R35" s="39"/>
      <c r="Y35"/>
      <c r="Z35"/>
    </row>
    <row r="36" spans="1:26" x14ac:dyDescent="0.25">
      <c r="A36" s="25">
        <f t="shared" si="11"/>
        <v>2031</v>
      </c>
      <c r="B36" s="37">
        <f>'P1 Catchment Projections'!O47+'P1 Catchment Projections'!O48+'P1 Catchment Projections'!O49+'P1 Catchment Projections'!O50+'P1 Catchment Projections'!O51+'P1 Catchment Projections'!O52</f>
        <v>287</v>
      </c>
      <c r="C36" s="34">
        <f t="shared" si="4"/>
        <v>286</v>
      </c>
      <c r="D36" s="34">
        <f t="shared" si="5"/>
        <v>282</v>
      </c>
      <c r="E36" s="34">
        <f t="shared" si="6"/>
        <v>284</v>
      </c>
      <c r="F36" s="34">
        <f t="shared" si="7"/>
        <v>282</v>
      </c>
      <c r="G36" s="34">
        <f t="shared" si="8"/>
        <v>276</v>
      </c>
      <c r="H36" s="34">
        <f t="shared" si="9"/>
        <v>282</v>
      </c>
      <c r="I36" s="99">
        <f t="shared" si="10"/>
        <v>269</v>
      </c>
      <c r="K36" s="59"/>
      <c r="L36" s="59"/>
      <c r="Q36" s="39"/>
      <c r="R36" s="39"/>
      <c r="Y36"/>
      <c r="Z36"/>
    </row>
    <row r="37" spans="1:26" x14ac:dyDescent="0.25">
      <c r="A37" s="25">
        <f t="shared" si="11"/>
        <v>2032</v>
      </c>
      <c r="B37" s="37">
        <f>'P1 Catchment Projections'!P47+'P1 Catchment Projections'!P48+'P1 Catchment Projections'!P49+'P1 Catchment Projections'!P50+'P1 Catchment Projections'!P51+'P1 Catchment Projections'!P52</f>
        <v>287</v>
      </c>
      <c r="C37" s="34">
        <f t="shared" si="4"/>
        <v>286</v>
      </c>
      <c r="D37" s="34">
        <f t="shared" si="5"/>
        <v>282</v>
      </c>
      <c r="E37" s="34">
        <f t="shared" si="6"/>
        <v>284</v>
      </c>
      <c r="F37" s="34">
        <f t="shared" si="7"/>
        <v>284</v>
      </c>
      <c r="G37" s="34">
        <f t="shared" si="8"/>
        <v>277</v>
      </c>
      <c r="H37" s="34">
        <f t="shared" si="9"/>
        <v>285</v>
      </c>
      <c r="I37" s="99">
        <f t="shared" si="10"/>
        <v>272</v>
      </c>
      <c r="K37" s="59"/>
      <c r="L37" s="59"/>
      <c r="Q37" s="39"/>
      <c r="R37" s="39"/>
      <c r="Y37"/>
      <c r="Z37"/>
    </row>
    <row r="38" spans="1:26" x14ac:dyDescent="0.25">
      <c r="K38" s="59"/>
      <c r="L38" s="59"/>
      <c r="Q38" s="39"/>
      <c r="R38" s="39"/>
    </row>
    <row r="39" spans="1:26" x14ac:dyDescent="0.25">
      <c r="A39" s="21" t="s">
        <v>387</v>
      </c>
      <c r="K39" s="394" t="s">
        <v>190</v>
      </c>
      <c r="L39" s="55"/>
      <c r="M39" s="394" t="s">
        <v>203</v>
      </c>
      <c r="N39" s="106"/>
      <c r="O39" s="106"/>
      <c r="P39" s="106"/>
      <c r="Q39" s="395" t="s">
        <v>204</v>
      </c>
      <c r="T39" s="21" t="s">
        <v>206</v>
      </c>
      <c r="U39" s="52"/>
      <c r="V39" s="52"/>
      <c r="W39" s="52"/>
      <c r="X39" s="52"/>
      <c r="Y39"/>
      <c r="Z39"/>
    </row>
    <row r="40" spans="1:26" x14ac:dyDescent="0.25">
      <c r="A40" s="22" t="s">
        <v>114</v>
      </c>
      <c r="B40" s="24" t="s">
        <v>1</v>
      </c>
      <c r="C40" s="24" t="s">
        <v>115</v>
      </c>
      <c r="D40" s="24" t="s">
        <v>116</v>
      </c>
      <c r="E40" s="24" t="s">
        <v>117</v>
      </c>
      <c r="F40" s="24" t="s">
        <v>118</v>
      </c>
      <c r="G40" s="24" t="s">
        <v>119</v>
      </c>
      <c r="H40" s="24" t="s">
        <v>120</v>
      </c>
      <c r="I40" s="26" t="s">
        <v>121</v>
      </c>
      <c r="K40" s="397"/>
      <c r="L40" s="49"/>
      <c r="M40" s="386"/>
      <c r="N40" s="106"/>
      <c r="O40" s="106"/>
      <c r="P40" s="106"/>
      <c r="Q40" s="396"/>
      <c r="S40" s="22" t="s">
        <v>114</v>
      </c>
      <c r="T40" s="24" t="s">
        <v>121</v>
      </c>
      <c r="U40" s="24" t="s">
        <v>122</v>
      </c>
      <c r="V40" s="24" t="s">
        <v>123</v>
      </c>
      <c r="W40" s="24" t="s">
        <v>124</v>
      </c>
      <c r="X40" s="24" t="s">
        <v>125</v>
      </c>
      <c r="Y40" s="24" t="s">
        <v>126</v>
      </c>
      <c r="Z40" s="26" t="s">
        <v>138</v>
      </c>
    </row>
    <row r="41" spans="1:26" x14ac:dyDescent="0.25">
      <c r="A41" s="25">
        <f>A24</f>
        <v>2019</v>
      </c>
      <c r="B41" s="37">
        <f>B24+VLOOKUP($A$1,'Pri Housing Generation'!$A$96:$DQ$118, 10, FALSE)</f>
        <v>330</v>
      </c>
      <c r="C41" s="34">
        <f>C24+VLOOKUP($A$1,'Pri Housing Generation'!$A$96:$DQ$118, 11, FALSE)</f>
        <v>257</v>
      </c>
      <c r="D41" s="42">
        <f>D24+VLOOKUP($A$1,'Pri Housing Generation'!$A$96:$DQ$118, 12, FALSE)</f>
        <v>264</v>
      </c>
      <c r="E41" s="43">
        <f>E24+VLOOKUP($A$1,'Pri Housing Generation'!$A$96:$DQ$118, 13, FALSE)</f>
        <v>227</v>
      </c>
      <c r="F41" s="41">
        <f>F24+VLOOKUP($A$1,'Pri Housing Generation'!$A$96:$DQ$118, 14, FALSE)</f>
        <v>246</v>
      </c>
      <c r="G41" s="42">
        <f>G24+VLOOKUP($A$1,'Pri Housing Generation'!$A$96:$DQ$118, 15, FALSE)</f>
        <v>235</v>
      </c>
      <c r="H41" s="43">
        <f>H24+VLOOKUP($A$1,'Pri Housing Generation'!$A$96:$DQ$118, 16, FALSE)</f>
        <v>247</v>
      </c>
      <c r="I41" s="99">
        <f>ROUNDUP((H18-(H18*$I$20)),0)</f>
        <v>224</v>
      </c>
      <c r="K41" s="35">
        <f>'Sec Housing Generation'!I15</f>
        <v>1</v>
      </c>
      <c r="L41" s="83"/>
      <c r="M41" s="107">
        <f t="shared" ref="M41:M54" si="12">$K$20</f>
        <v>0.97892251370144923</v>
      </c>
      <c r="O41" s="36">
        <f>V60</f>
        <v>27</v>
      </c>
      <c r="Q41" s="35">
        <f t="shared" ref="Q41:Q50" si="13">(ROUNDUP(((I41+K41)*M41),0))+O41</f>
        <v>248</v>
      </c>
      <c r="S41" s="25">
        <f>A41</f>
        <v>2019</v>
      </c>
      <c r="T41" s="20">
        <f t="shared" ref="T41:T54" si="14">IF(Q41&lt;$C$7,(IF((Q41+$Q$20)&gt;$C$7,$C$7,(Q41+$Q$20))),(IF((Q41+$Q$20)&lt;(CEILING((Q41),20)),(Q41+$Q$20),(CEILING((Q41),20)))))</f>
        <v>255</v>
      </c>
      <c r="U41" s="53">
        <f>T18</f>
        <v>235</v>
      </c>
      <c r="V41" s="67">
        <f>U18</f>
        <v>239</v>
      </c>
      <c r="W41" s="69">
        <f>V18</f>
        <v>215</v>
      </c>
      <c r="X41" s="41">
        <f>ROUNDUP((W18-(W18*$X$20)),0)</f>
        <v>204</v>
      </c>
      <c r="Y41" s="42">
        <f>ROUNDUP((X18-(X18*$W$20)),0)</f>
        <v>199</v>
      </c>
      <c r="Z41" s="101">
        <f t="shared" ref="Z41:Z54" si="15">SUM(T41:Y41)</f>
        <v>1347</v>
      </c>
    </row>
    <row r="42" spans="1:26" x14ac:dyDescent="0.25">
      <c r="A42" s="25">
        <f t="shared" ref="A42:A54" si="16">A25</f>
        <v>2020</v>
      </c>
      <c r="B42" s="37">
        <f>B25+VLOOKUP($A$1,'Pri Housing Generation'!$A$96:$DQ$118, 18, FALSE)</f>
        <v>299</v>
      </c>
      <c r="C42" s="34">
        <f>C25+VLOOKUP($A$1,'Pri Housing Generation'!$A$96:$DQ$118, 19, FALSE)</f>
        <v>329</v>
      </c>
      <c r="D42" s="34">
        <f>D25+VLOOKUP($A$1,'Pri Housing Generation'!$A$96:$DQ$118, 20, FALSE)</f>
        <v>253</v>
      </c>
      <c r="E42" s="42">
        <f>E25+VLOOKUP($A$1,'Pri Housing Generation'!$A$96:$DQ$118, 21, FALSE)</f>
        <v>266</v>
      </c>
      <c r="F42" s="43">
        <f>F25+VLOOKUP($A$1,'Pri Housing Generation'!$A$96:$DQ$118, 22, FALSE)</f>
        <v>227</v>
      </c>
      <c r="G42" s="41">
        <f>G25+VLOOKUP($A$1,'Pri Housing Generation'!$A$96:$DQ$118, 23, FALSE)</f>
        <v>241</v>
      </c>
      <c r="H42" s="42">
        <f>H25+VLOOKUP($A$1,'Pri Housing Generation'!$A$96:$DQ$118, 24, FALSE)</f>
        <v>243</v>
      </c>
      <c r="I42" s="99">
        <f t="shared" ref="I42:I54" si="17">ROUNDUP((H41-(H41*$I$20)),0)</f>
        <v>238</v>
      </c>
      <c r="K42" s="35">
        <f>'Sec Housing Generation'!P15</f>
        <v>1</v>
      </c>
      <c r="L42" s="83"/>
      <c r="M42" s="107">
        <f t="shared" si="12"/>
        <v>0.97892251370144923</v>
      </c>
      <c r="O42" s="36">
        <f>U60</f>
        <v>45</v>
      </c>
      <c r="Q42" s="35">
        <f t="shared" si="13"/>
        <v>279</v>
      </c>
      <c r="S42" s="25">
        <f t="shared" ref="S42:S54" si="18">A42</f>
        <v>2020</v>
      </c>
      <c r="T42" s="20">
        <f t="shared" si="14"/>
        <v>280</v>
      </c>
      <c r="U42" s="53">
        <f t="shared" ref="U42:W42" si="19">T41</f>
        <v>255</v>
      </c>
      <c r="V42" s="53">
        <f t="shared" si="19"/>
        <v>235</v>
      </c>
      <c r="W42" s="67">
        <f t="shared" si="19"/>
        <v>239</v>
      </c>
      <c r="X42" s="43">
        <f t="shared" ref="X42:X50" si="20">ROUNDUP((W41-(W41*$X$20)),0)</f>
        <v>222</v>
      </c>
      <c r="Y42" s="41">
        <f t="shared" ref="Y42:Y54" si="21">ROUNDUP((X41-(X41*$W$20)),0)</f>
        <v>204</v>
      </c>
      <c r="Z42" s="101">
        <f t="shared" si="15"/>
        <v>1435</v>
      </c>
    </row>
    <row r="43" spans="1:26" x14ac:dyDescent="0.25">
      <c r="A43" s="25">
        <f t="shared" si="16"/>
        <v>2021</v>
      </c>
      <c r="B43" s="37">
        <f>B26+VLOOKUP($A$1,'Pri Housing Generation'!$A$96:$DQ$118, 26, FALSE)</f>
        <v>271</v>
      </c>
      <c r="C43" s="34">
        <f>C26+VLOOKUP($A$1,'Pri Housing Generation'!$A$96:$DQ$118, 27, FALSE)</f>
        <v>298</v>
      </c>
      <c r="D43" s="34">
        <f>D26+VLOOKUP($A$1,'Pri Housing Generation'!$A$96:$DQ$118, 28, FALSE)</f>
        <v>325</v>
      </c>
      <c r="E43" s="34">
        <f>E26+VLOOKUP($A$1,'Pri Housing Generation'!$A$96:$DQ$118, 29, FALSE)</f>
        <v>256</v>
      </c>
      <c r="F43" s="42">
        <f>F26+VLOOKUP($A$1,'Pri Housing Generation'!$A$96:$DQ$118, 30, FALSE)</f>
        <v>266</v>
      </c>
      <c r="G43" s="43">
        <f>G26+VLOOKUP($A$1,'Pri Housing Generation'!$A$96:$DQ$118, 31, FALSE)</f>
        <v>223</v>
      </c>
      <c r="H43" s="41">
        <f>H26+VLOOKUP($A$1,'Pri Housing Generation'!$A$96:$DQ$118, 32, FALSE)</f>
        <v>249</v>
      </c>
      <c r="I43" s="99">
        <f t="shared" si="17"/>
        <v>235</v>
      </c>
      <c r="K43" s="35">
        <f>'Sec Housing Generation'!W15</f>
        <v>1</v>
      </c>
      <c r="L43" s="83"/>
      <c r="M43" s="107">
        <f t="shared" si="12"/>
        <v>0.97892251370144923</v>
      </c>
      <c r="O43" s="36">
        <f>T60</f>
        <v>61</v>
      </c>
      <c r="Q43" s="35">
        <f t="shared" si="13"/>
        <v>293</v>
      </c>
      <c r="S43" s="25">
        <f t="shared" si="18"/>
        <v>2021</v>
      </c>
      <c r="T43" s="20">
        <f t="shared" si="14"/>
        <v>300</v>
      </c>
      <c r="U43" s="53">
        <f t="shared" ref="U43:W50" si="22">T42</f>
        <v>280</v>
      </c>
      <c r="V43" s="53">
        <f t="shared" si="22"/>
        <v>255</v>
      </c>
      <c r="W43" s="53">
        <f t="shared" si="22"/>
        <v>235</v>
      </c>
      <c r="X43" s="42">
        <f t="shared" si="20"/>
        <v>247</v>
      </c>
      <c r="Y43" s="43">
        <f t="shared" si="21"/>
        <v>222</v>
      </c>
      <c r="Z43" s="101">
        <f t="shared" si="15"/>
        <v>1539</v>
      </c>
    </row>
    <row r="44" spans="1:26" x14ac:dyDescent="0.25">
      <c r="A44" s="25">
        <f t="shared" si="16"/>
        <v>2022</v>
      </c>
      <c r="B44" s="37">
        <f>B27+VLOOKUP($A$1,'Pri Housing Generation'!$A$96:$DQ$118, 34, FALSE)</f>
        <v>256</v>
      </c>
      <c r="C44" s="34">
        <f>C27+VLOOKUP($A$1,'Pri Housing Generation'!$A$96:$DQ$118, 35, FALSE)</f>
        <v>269</v>
      </c>
      <c r="D44" s="34">
        <f>D27+VLOOKUP($A$1,'Pri Housing Generation'!$A$96:$DQ$118, 36, FALSE)</f>
        <v>294</v>
      </c>
      <c r="E44" s="34">
        <f>E27+VLOOKUP($A$1,'Pri Housing Generation'!$A$96:$DQ$118, 37, FALSE)</f>
        <v>327</v>
      </c>
      <c r="F44" s="34">
        <f>F27+VLOOKUP($A$1,'Pri Housing Generation'!$A$96:$DQ$118, 38, FALSE)</f>
        <v>257</v>
      </c>
      <c r="G44" s="42">
        <f>G27+VLOOKUP($A$1,'Pri Housing Generation'!$A$96:$DQ$118, 39, FALSE)</f>
        <v>263</v>
      </c>
      <c r="H44" s="43">
        <f>H27+VLOOKUP($A$1,'Pri Housing Generation'!$A$96:$DQ$118, 40, FALSE)</f>
        <v>232</v>
      </c>
      <c r="I44" s="99">
        <f t="shared" si="17"/>
        <v>240</v>
      </c>
      <c r="K44" s="35">
        <f>'Sec Housing Generation'!AD15</f>
        <v>2</v>
      </c>
      <c r="L44" s="83"/>
      <c r="M44" s="107">
        <f t="shared" si="12"/>
        <v>0.97892251370144923</v>
      </c>
      <c r="O44" s="36">
        <f>S60</f>
        <v>49</v>
      </c>
      <c r="Q44" s="35">
        <f t="shared" si="13"/>
        <v>286</v>
      </c>
      <c r="S44" s="25">
        <f t="shared" si="18"/>
        <v>2022</v>
      </c>
      <c r="T44" s="20">
        <f t="shared" si="14"/>
        <v>293</v>
      </c>
      <c r="U44" s="53">
        <f t="shared" si="22"/>
        <v>300</v>
      </c>
      <c r="V44" s="53">
        <f t="shared" si="22"/>
        <v>280</v>
      </c>
      <c r="W44" s="53">
        <f t="shared" si="22"/>
        <v>255</v>
      </c>
      <c r="X44" s="34">
        <f t="shared" si="20"/>
        <v>243</v>
      </c>
      <c r="Y44" s="42">
        <f t="shared" si="21"/>
        <v>247</v>
      </c>
      <c r="Z44" s="101">
        <f t="shared" si="15"/>
        <v>1618</v>
      </c>
    </row>
    <row r="45" spans="1:26" x14ac:dyDescent="0.25">
      <c r="A45" s="25">
        <f t="shared" si="16"/>
        <v>2023</v>
      </c>
      <c r="B45" s="37">
        <f>B28+VLOOKUP($A$1,'Pri Housing Generation'!$A$96:$DQ$118, 42, FALSE)</f>
        <v>280</v>
      </c>
      <c r="C45" s="34">
        <f>C28+VLOOKUP($A$1,'Pri Housing Generation'!$A$96:$DQ$118, 43, FALSE)</f>
        <v>255</v>
      </c>
      <c r="D45" s="34">
        <f>D28+VLOOKUP($A$1,'Pri Housing Generation'!$A$96:$DQ$118, 44, FALSE)</f>
        <v>266</v>
      </c>
      <c r="E45" s="34">
        <f>E28+VLOOKUP($A$1,'Pri Housing Generation'!$A$96:$DQ$118, 45, FALSE)</f>
        <v>297</v>
      </c>
      <c r="F45" s="34">
        <f>F28+VLOOKUP($A$1,'Pri Housing Generation'!$A$96:$DQ$118, 46, FALSE)</f>
        <v>327</v>
      </c>
      <c r="G45" s="34">
        <f>G28+VLOOKUP($A$1,'Pri Housing Generation'!$A$96:$DQ$118, 47, FALSE)</f>
        <v>252</v>
      </c>
      <c r="H45" s="42">
        <f>H28+VLOOKUP($A$1,'Pri Housing Generation'!$A$96:$DQ$118, 48, FALSE)</f>
        <v>271</v>
      </c>
      <c r="I45" s="99">
        <f t="shared" si="17"/>
        <v>224</v>
      </c>
      <c r="J45" s="181"/>
      <c r="K45" s="35">
        <f>'Sec Housing Generation'!AK15</f>
        <v>2</v>
      </c>
      <c r="L45" s="83"/>
      <c r="M45" s="107">
        <f t="shared" si="12"/>
        <v>0.97892251370144923</v>
      </c>
      <c r="O45" s="36">
        <f>R60</f>
        <v>55</v>
      </c>
      <c r="Q45" s="35">
        <f t="shared" si="13"/>
        <v>277</v>
      </c>
      <c r="S45" s="25">
        <f t="shared" si="18"/>
        <v>2023</v>
      </c>
      <c r="T45" s="20">
        <f t="shared" si="14"/>
        <v>280</v>
      </c>
      <c r="U45" s="53">
        <f t="shared" si="22"/>
        <v>293</v>
      </c>
      <c r="V45" s="53">
        <f t="shared" si="22"/>
        <v>300</v>
      </c>
      <c r="W45" s="53">
        <f t="shared" si="22"/>
        <v>280</v>
      </c>
      <c r="X45" s="34">
        <f t="shared" si="20"/>
        <v>264</v>
      </c>
      <c r="Y45" s="34">
        <f t="shared" si="21"/>
        <v>243</v>
      </c>
      <c r="Z45" s="101">
        <f t="shared" si="15"/>
        <v>1660</v>
      </c>
    </row>
    <row r="46" spans="1:26" x14ac:dyDescent="0.25">
      <c r="A46" s="25">
        <f t="shared" si="16"/>
        <v>2024</v>
      </c>
      <c r="B46" s="37">
        <f>B29+VLOOKUP($A$1,'Pri Housing Generation'!$A$96:$DQ$118, 50, FALSE)</f>
        <v>287</v>
      </c>
      <c r="C46" s="34">
        <f>C29+VLOOKUP($A$1,'Pri Housing Generation'!$A$96:$DQ$118, 51, FALSE)</f>
        <v>282</v>
      </c>
      <c r="D46" s="34">
        <f>D29+VLOOKUP($A$1,'Pri Housing Generation'!$A$96:$DQ$118, 52, FALSE)</f>
        <v>254</v>
      </c>
      <c r="E46" s="34">
        <f>E29+VLOOKUP($A$1,'Pri Housing Generation'!$A$96:$DQ$118, 53, FALSE)</f>
        <v>271</v>
      </c>
      <c r="F46" s="34">
        <f>F29+VLOOKUP($A$1,'Pri Housing Generation'!$A$96:$DQ$118, 54, FALSE)</f>
        <v>300</v>
      </c>
      <c r="G46" s="34">
        <f>G29+VLOOKUP($A$1,'Pri Housing Generation'!$A$96:$DQ$118, 55, FALSE)</f>
        <v>324</v>
      </c>
      <c r="H46" s="34">
        <f>H29+VLOOKUP($A$1,'Pri Housing Generation'!$A$96:$DQ$118, 56, FALSE)</f>
        <v>263</v>
      </c>
      <c r="I46" s="99">
        <f t="shared" si="17"/>
        <v>262</v>
      </c>
      <c r="J46" s="181"/>
      <c r="K46" s="35">
        <f>'Sec Housing Generation'!AR15</f>
        <v>5</v>
      </c>
      <c r="L46" s="83"/>
      <c r="M46" s="107">
        <f t="shared" si="12"/>
        <v>0.97892251370144923</v>
      </c>
      <c r="O46" s="36">
        <f>Q60</f>
        <v>76</v>
      </c>
      <c r="Q46" s="35">
        <f t="shared" si="13"/>
        <v>338</v>
      </c>
      <c r="S46" s="25">
        <f t="shared" si="18"/>
        <v>2024</v>
      </c>
      <c r="T46" s="20">
        <f t="shared" si="14"/>
        <v>340</v>
      </c>
      <c r="U46" s="53">
        <f t="shared" si="22"/>
        <v>280</v>
      </c>
      <c r="V46" s="53">
        <f t="shared" si="22"/>
        <v>293</v>
      </c>
      <c r="W46" s="53">
        <f t="shared" si="22"/>
        <v>300</v>
      </c>
      <c r="X46" s="34">
        <f t="shared" si="20"/>
        <v>290</v>
      </c>
      <c r="Y46" s="34">
        <f t="shared" si="21"/>
        <v>264</v>
      </c>
      <c r="Z46" s="101">
        <f t="shared" si="15"/>
        <v>1767</v>
      </c>
    </row>
    <row r="47" spans="1:26" x14ac:dyDescent="0.25">
      <c r="A47" s="25">
        <f t="shared" si="16"/>
        <v>2025</v>
      </c>
      <c r="B47" s="37">
        <f>B30+VLOOKUP($A$1,'Pri Housing Generation'!$A$96:$DQ$118, 58, FALSE)</f>
        <v>293</v>
      </c>
      <c r="C47" s="34">
        <f>C30+VLOOKUP($A$1,'Pri Housing Generation'!$A$96:$DQ$118, 59, FALSE)</f>
        <v>287</v>
      </c>
      <c r="D47" s="34">
        <f>D30+VLOOKUP($A$1,'Pri Housing Generation'!$A$96:$DQ$118, 60, FALSE)</f>
        <v>280</v>
      </c>
      <c r="E47" s="34">
        <f>E30+VLOOKUP($A$1,'Pri Housing Generation'!$A$96:$DQ$118, 61, FALSE)</f>
        <v>258</v>
      </c>
      <c r="F47" s="34">
        <f>F30+VLOOKUP($A$1,'Pri Housing Generation'!$A$96:$DQ$118, 62, FALSE)</f>
        <v>273</v>
      </c>
      <c r="G47" s="34">
        <f>G30+VLOOKUP($A$1,'Pri Housing Generation'!$A$96:$DQ$118, 63, FALSE)</f>
        <v>295</v>
      </c>
      <c r="H47" s="34">
        <f>H30+VLOOKUP($A$1,'Pri Housing Generation'!$A$96:$DQ$118, 64, FALSE)</f>
        <v>336</v>
      </c>
      <c r="I47" s="99">
        <f t="shared" si="17"/>
        <v>254</v>
      </c>
      <c r="J47" s="181"/>
      <c r="K47" s="235"/>
      <c r="L47" s="83"/>
      <c r="M47" s="107">
        <f t="shared" si="12"/>
        <v>0.97892251370144923</v>
      </c>
      <c r="O47" s="353">
        <f>P60</f>
        <v>63</v>
      </c>
      <c r="Q47" s="35">
        <f t="shared" si="13"/>
        <v>312</v>
      </c>
      <c r="S47" s="25">
        <f t="shared" si="18"/>
        <v>2025</v>
      </c>
      <c r="T47" s="20">
        <f t="shared" si="14"/>
        <v>319</v>
      </c>
      <c r="U47" s="53">
        <f t="shared" si="22"/>
        <v>340</v>
      </c>
      <c r="V47" s="53">
        <f t="shared" si="22"/>
        <v>280</v>
      </c>
      <c r="W47" s="53">
        <f t="shared" si="22"/>
        <v>293</v>
      </c>
      <c r="X47" s="34">
        <f t="shared" si="20"/>
        <v>310</v>
      </c>
      <c r="Y47" s="34">
        <f t="shared" si="21"/>
        <v>290</v>
      </c>
      <c r="Z47" s="101">
        <f t="shared" si="15"/>
        <v>1832</v>
      </c>
    </row>
    <row r="48" spans="1:26" x14ac:dyDescent="0.25">
      <c r="A48" s="25">
        <f t="shared" si="16"/>
        <v>2026</v>
      </c>
      <c r="B48" s="37">
        <f>B31+VLOOKUP($A$1,'Pri Housing Generation'!$A$96:$DQ$118, 66, FALSE)</f>
        <v>297</v>
      </c>
      <c r="C48" s="34">
        <f>C31+VLOOKUP($A$1,'Pri Housing Generation'!$A$96:$DQ$118, 67, FALSE)</f>
        <v>291</v>
      </c>
      <c r="D48" s="34">
        <f>D31+VLOOKUP($A$1,'Pri Housing Generation'!$A$96:$DQ$118, 68, FALSE)</f>
        <v>283</v>
      </c>
      <c r="E48" s="34">
        <f>E31+VLOOKUP($A$1,'Pri Housing Generation'!$A$96:$DQ$118, 69, FALSE)</f>
        <v>283</v>
      </c>
      <c r="F48" s="34">
        <f>F31+VLOOKUP($A$1,'Pri Housing Generation'!$A$96:$DQ$118, 70, FALSE)</f>
        <v>260</v>
      </c>
      <c r="G48" s="34">
        <f>G31+VLOOKUP($A$1,'Pri Housing Generation'!$A$96:$DQ$118, 71, FALSE)</f>
        <v>269</v>
      </c>
      <c r="H48" s="34">
        <f>H31+VLOOKUP($A$1,'Pri Housing Generation'!$A$96:$DQ$118, 72, FALSE)</f>
        <v>305</v>
      </c>
      <c r="I48" s="99">
        <f t="shared" si="17"/>
        <v>324</v>
      </c>
      <c r="J48" s="181"/>
      <c r="K48" s="83"/>
      <c r="L48" s="83"/>
      <c r="M48" s="107">
        <f t="shared" si="12"/>
        <v>0.97892251370144923</v>
      </c>
      <c r="O48" s="38">
        <v>0</v>
      </c>
      <c r="P48" t="s">
        <v>210</v>
      </c>
      <c r="Q48" s="35">
        <f t="shared" si="13"/>
        <v>318</v>
      </c>
      <c r="S48" s="25">
        <f t="shared" si="18"/>
        <v>2026</v>
      </c>
      <c r="T48" s="20">
        <f t="shared" si="14"/>
        <v>320</v>
      </c>
      <c r="U48" s="53">
        <f t="shared" si="22"/>
        <v>319</v>
      </c>
      <c r="V48" s="53">
        <f t="shared" si="22"/>
        <v>340</v>
      </c>
      <c r="W48" s="53">
        <f t="shared" si="22"/>
        <v>280</v>
      </c>
      <c r="X48" s="34">
        <f t="shared" si="20"/>
        <v>303</v>
      </c>
      <c r="Y48" s="34">
        <f t="shared" si="21"/>
        <v>310</v>
      </c>
      <c r="Z48" s="101">
        <f t="shared" si="15"/>
        <v>1872</v>
      </c>
    </row>
    <row r="49" spans="1:26" x14ac:dyDescent="0.25">
      <c r="A49" s="25">
        <f t="shared" si="16"/>
        <v>2027</v>
      </c>
      <c r="B49" s="37">
        <f>B32+VLOOKUP($A$1,'Pri Housing Generation'!$A$96:$DQ$118, 74, FALSE)</f>
        <v>300</v>
      </c>
      <c r="C49" s="34">
        <f>C32+VLOOKUP($A$1,'Pri Housing Generation'!$A$96:$DQ$118, 75, FALSE)</f>
        <v>296</v>
      </c>
      <c r="D49" s="34">
        <f>D32+VLOOKUP($A$1,'Pri Housing Generation'!$A$96:$DQ$118, 76, FALSE)</f>
        <v>287</v>
      </c>
      <c r="E49" s="34">
        <f>E32+VLOOKUP($A$1,'Pri Housing Generation'!$A$96:$DQ$118, 77, FALSE)</f>
        <v>286</v>
      </c>
      <c r="F49" s="34">
        <f>F32+VLOOKUP($A$1,'Pri Housing Generation'!$A$96:$DQ$118, 78, FALSE)</f>
        <v>284</v>
      </c>
      <c r="G49" s="34">
        <f>G32+VLOOKUP($A$1,'Pri Housing Generation'!$A$96:$DQ$118, 79, FALSE)</f>
        <v>255</v>
      </c>
      <c r="H49" s="34">
        <f>H32+VLOOKUP($A$1,'Pri Housing Generation'!$A$96:$DQ$118, 80, FALSE)</f>
        <v>278</v>
      </c>
      <c r="I49" s="99">
        <f t="shared" si="17"/>
        <v>294</v>
      </c>
      <c r="J49" s="181"/>
      <c r="K49" s="83"/>
      <c r="L49" s="83"/>
      <c r="M49" s="107">
        <f t="shared" si="12"/>
        <v>0.97892251370144923</v>
      </c>
      <c r="O49" s="38">
        <v>0</v>
      </c>
      <c r="P49" t="s">
        <v>210</v>
      </c>
      <c r="Q49" s="35">
        <f t="shared" si="13"/>
        <v>288</v>
      </c>
      <c r="S49" s="25">
        <f t="shared" si="18"/>
        <v>2027</v>
      </c>
      <c r="T49" s="20">
        <f t="shared" si="14"/>
        <v>295</v>
      </c>
      <c r="U49" s="53">
        <f t="shared" si="22"/>
        <v>320</v>
      </c>
      <c r="V49" s="53">
        <f t="shared" si="22"/>
        <v>319</v>
      </c>
      <c r="W49" s="53">
        <f t="shared" si="22"/>
        <v>340</v>
      </c>
      <c r="X49" s="34">
        <f t="shared" si="20"/>
        <v>290</v>
      </c>
      <c r="Y49" s="34">
        <f t="shared" si="21"/>
        <v>303</v>
      </c>
      <c r="Z49" s="101">
        <f t="shared" si="15"/>
        <v>1867</v>
      </c>
    </row>
    <row r="50" spans="1:26" x14ac:dyDescent="0.25">
      <c r="A50" s="25">
        <f t="shared" si="16"/>
        <v>2028</v>
      </c>
      <c r="B50" s="37">
        <f>B33+VLOOKUP($A$1,'Pri Housing Generation'!$A$96:$DQ$118, 82, FALSE)</f>
        <v>303</v>
      </c>
      <c r="C50" s="34">
        <f>C33+VLOOKUP($A$1,'Pri Housing Generation'!$A$96:$DQ$118, 83, FALSE)</f>
        <v>298</v>
      </c>
      <c r="D50" s="34">
        <f>D33+VLOOKUP($A$1,'Pri Housing Generation'!$A$96:$DQ$118, 84, FALSE)</f>
        <v>292</v>
      </c>
      <c r="E50" s="34">
        <f>E33+VLOOKUP($A$1,'Pri Housing Generation'!$A$96:$DQ$118, 85, FALSE)</f>
        <v>291</v>
      </c>
      <c r="F50" s="34">
        <f>F33+VLOOKUP($A$1,'Pri Housing Generation'!$A$96:$DQ$118, 86, FALSE)</f>
        <v>288</v>
      </c>
      <c r="G50" s="34">
        <f>G33+VLOOKUP($A$1,'Pri Housing Generation'!$A$96:$DQ$118, 87, FALSE)</f>
        <v>279</v>
      </c>
      <c r="H50" s="34">
        <f>H33+VLOOKUP($A$1,'Pri Housing Generation'!$A$96:$DQ$118, 88, FALSE)</f>
        <v>264</v>
      </c>
      <c r="I50" s="99">
        <f t="shared" si="17"/>
        <v>268</v>
      </c>
      <c r="J50" s="181"/>
      <c r="K50" s="83"/>
      <c r="L50" s="83"/>
      <c r="M50" s="107">
        <f t="shared" si="12"/>
        <v>0.97892251370144923</v>
      </c>
      <c r="O50" s="38">
        <v>0</v>
      </c>
      <c r="P50" t="s">
        <v>210</v>
      </c>
      <c r="Q50" s="35">
        <f t="shared" si="13"/>
        <v>263</v>
      </c>
      <c r="S50" s="25">
        <f t="shared" si="18"/>
        <v>2028</v>
      </c>
      <c r="T50" s="20">
        <f t="shared" si="14"/>
        <v>270</v>
      </c>
      <c r="U50" s="53">
        <f t="shared" si="22"/>
        <v>295</v>
      </c>
      <c r="V50" s="53">
        <f t="shared" si="22"/>
        <v>320</v>
      </c>
      <c r="W50" s="53">
        <f t="shared" si="22"/>
        <v>319</v>
      </c>
      <c r="X50" s="34">
        <f t="shared" si="20"/>
        <v>351</v>
      </c>
      <c r="Y50" s="34">
        <f t="shared" si="21"/>
        <v>290</v>
      </c>
      <c r="Z50" s="101">
        <f t="shared" si="15"/>
        <v>1845</v>
      </c>
    </row>
    <row r="51" spans="1:26" x14ac:dyDescent="0.25">
      <c r="A51" s="25">
        <f t="shared" si="16"/>
        <v>2029</v>
      </c>
      <c r="B51" s="37">
        <f>B34+VLOOKUP($A$1,'Pri Housing Generation'!$A$96:$DQ$118, 90, FALSE)</f>
        <v>303</v>
      </c>
      <c r="C51" s="34">
        <f>C34+VLOOKUP($A$1,'Pri Housing Generation'!$A$96:$DQ$118, 91, FALSE)</f>
        <v>300</v>
      </c>
      <c r="D51" s="34">
        <f>D34+VLOOKUP($A$1,'Pri Housing Generation'!$A$96:$DQ$118, 92, FALSE)</f>
        <v>293</v>
      </c>
      <c r="E51" s="34">
        <f>E34+VLOOKUP($A$1,'Pri Housing Generation'!$A$96:$DQ$118, 93, FALSE)</f>
        <v>294</v>
      </c>
      <c r="F51" s="34">
        <f>F34+VLOOKUP($A$1,'Pri Housing Generation'!$A$96:$DQ$118, 94, FALSE)</f>
        <v>291</v>
      </c>
      <c r="G51" s="34">
        <f>G34+VLOOKUP($A$1,'Pri Housing Generation'!$A$96:$DQ$118, 95, FALSE)</f>
        <v>282</v>
      </c>
      <c r="H51" s="34">
        <f>H34+VLOOKUP($A$1,'Pri Housing Generation'!$A$96:$DQ$118, 96, FALSE)</f>
        <v>289</v>
      </c>
      <c r="I51" s="99">
        <f t="shared" si="17"/>
        <v>255</v>
      </c>
      <c r="J51" s="181"/>
      <c r="K51" s="83"/>
      <c r="L51" s="83"/>
      <c r="M51" s="107">
        <f t="shared" si="12"/>
        <v>0.97892251370144923</v>
      </c>
      <c r="O51" s="38">
        <v>0</v>
      </c>
      <c r="P51" t="s">
        <v>210</v>
      </c>
      <c r="Q51" s="35">
        <f>(ROUNDUP(((I51+K51)*M51),0))+O50</f>
        <v>250</v>
      </c>
      <c r="S51" s="25">
        <f t="shared" si="18"/>
        <v>2029</v>
      </c>
      <c r="T51" s="20">
        <f t="shared" si="14"/>
        <v>257</v>
      </c>
      <c r="U51" s="53">
        <f t="shared" ref="U51:U54" si="23">T50</f>
        <v>270</v>
      </c>
      <c r="V51" s="53">
        <f t="shared" ref="V51:V54" si="24">U50</f>
        <v>295</v>
      </c>
      <c r="W51" s="53">
        <f t="shared" ref="W51:W54" si="25">V50</f>
        <v>320</v>
      </c>
      <c r="X51" s="34">
        <f t="shared" ref="X51:X54" si="26">ROUNDUP((W50-(W50*$X$20)),0)</f>
        <v>330</v>
      </c>
      <c r="Y51" s="34">
        <f t="shared" si="21"/>
        <v>351</v>
      </c>
      <c r="Z51" s="101">
        <f t="shared" si="15"/>
        <v>1823</v>
      </c>
    </row>
    <row r="52" spans="1:26" x14ac:dyDescent="0.25">
      <c r="A52" s="25">
        <f t="shared" si="16"/>
        <v>2030</v>
      </c>
      <c r="B52" s="37">
        <f>B35+VLOOKUP($A$1,'Pri Housing Generation'!$A$96:$DQ$118, 98, FALSE)</f>
        <v>304</v>
      </c>
      <c r="C52" s="34">
        <f>C35+VLOOKUP($A$1,'Pri Housing Generation'!$A$96:$DQ$118, 99, FALSE)</f>
        <v>301</v>
      </c>
      <c r="D52" s="34">
        <f>D35+VLOOKUP($A$1,'Pri Housing Generation'!$A$96:$DQ$118, 100, FALSE)</f>
        <v>295</v>
      </c>
      <c r="E52" s="34">
        <f>E35+VLOOKUP($A$1,'Pri Housing Generation'!$A$96:$DQ$118, 101, FALSE)</f>
        <v>295</v>
      </c>
      <c r="F52" s="34">
        <f>F35+VLOOKUP($A$1,'Pri Housing Generation'!$A$96:$DQ$118, 102, FALSE)</f>
        <v>294</v>
      </c>
      <c r="G52" s="34">
        <f>G35+VLOOKUP($A$1,'Pri Housing Generation'!$A$96:$DQ$118, 103, FALSE)</f>
        <v>285</v>
      </c>
      <c r="H52" s="34">
        <f>H35+VLOOKUP($A$1,'Pri Housing Generation'!$A$96:$DQ$118, 104, FALSE)</f>
        <v>291</v>
      </c>
      <c r="I52" s="99">
        <f t="shared" si="17"/>
        <v>279</v>
      </c>
      <c r="J52" s="54"/>
      <c r="K52" s="83"/>
      <c r="L52" s="83"/>
      <c r="M52" s="107">
        <f t="shared" si="12"/>
        <v>0.97892251370144923</v>
      </c>
      <c r="O52" s="38">
        <v>0</v>
      </c>
      <c r="P52" t="s">
        <v>210</v>
      </c>
      <c r="Q52" s="35">
        <f>(ROUNDUP(((I52+K52)*M52),0))+O50</f>
        <v>274</v>
      </c>
      <c r="S52" s="25">
        <f t="shared" si="18"/>
        <v>2030</v>
      </c>
      <c r="T52" s="20">
        <f t="shared" si="14"/>
        <v>280</v>
      </c>
      <c r="U52" s="53">
        <f t="shared" si="23"/>
        <v>257</v>
      </c>
      <c r="V52" s="53">
        <f t="shared" si="24"/>
        <v>270</v>
      </c>
      <c r="W52" s="53">
        <f t="shared" si="25"/>
        <v>295</v>
      </c>
      <c r="X52" s="34">
        <f t="shared" si="26"/>
        <v>331</v>
      </c>
      <c r="Y52" s="34">
        <f t="shared" si="21"/>
        <v>330</v>
      </c>
      <c r="Z52" s="101">
        <f t="shared" si="15"/>
        <v>1763</v>
      </c>
    </row>
    <row r="53" spans="1:26" x14ac:dyDescent="0.25">
      <c r="A53" s="25">
        <f t="shared" si="16"/>
        <v>2031</v>
      </c>
      <c r="B53" s="37">
        <f>B36+VLOOKUP($A$1,'Pri Housing Generation'!$A$96:$DQ$118, 106, FALSE)</f>
        <v>304</v>
      </c>
      <c r="C53" s="34">
        <f>C36+VLOOKUP($A$1,'Pri Housing Generation'!$A$96:$DQ$118, 107, FALSE)</f>
        <v>301</v>
      </c>
      <c r="D53" s="34">
        <f>D36+VLOOKUP($A$1,'Pri Housing Generation'!$A$96:$DQ$118, 108, FALSE)</f>
        <v>296</v>
      </c>
      <c r="E53" s="34">
        <f>E36+VLOOKUP($A$1,'Pri Housing Generation'!$A$96:$DQ$118, 109, FALSE)</f>
        <v>298</v>
      </c>
      <c r="F53" s="34">
        <f>F36+VLOOKUP($A$1,'Pri Housing Generation'!$A$96:$DQ$118, 110, FALSE)</f>
        <v>295</v>
      </c>
      <c r="G53" s="34">
        <f>G36+VLOOKUP($A$1,'Pri Housing Generation'!$A$96:$DQ$118, 111, FALSE)</f>
        <v>288</v>
      </c>
      <c r="H53" s="34">
        <f>H36+VLOOKUP($A$1,'Pri Housing Generation'!$A$96:$DQ$118, 112, FALSE)</f>
        <v>294</v>
      </c>
      <c r="I53" s="99">
        <f t="shared" si="17"/>
        <v>281</v>
      </c>
      <c r="J53" s="54"/>
      <c r="K53" s="83"/>
      <c r="L53" s="83"/>
      <c r="M53" s="107">
        <f t="shared" si="12"/>
        <v>0.97892251370144923</v>
      </c>
      <c r="O53" s="38">
        <v>0</v>
      </c>
      <c r="P53" t="s">
        <v>210</v>
      </c>
      <c r="Q53" s="35">
        <f>(ROUNDUP(((I53+K53)*M53),0))+O50</f>
        <v>276</v>
      </c>
      <c r="S53" s="25">
        <f t="shared" si="18"/>
        <v>2031</v>
      </c>
      <c r="T53" s="20">
        <f t="shared" si="14"/>
        <v>280</v>
      </c>
      <c r="U53" s="53">
        <f t="shared" si="23"/>
        <v>280</v>
      </c>
      <c r="V53" s="53">
        <f t="shared" si="24"/>
        <v>257</v>
      </c>
      <c r="W53" s="53">
        <f t="shared" si="25"/>
        <v>270</v>
      </c>
      <c r="X53" s="34">
        <f t="shared" si="26"/>
        <v>305</v>
      </c>
      <c r="Y53" s="34">
        <f t="shared" si="21"/>
        <v>331</v>
      </c>
      <c r="Z53" s="101">
        <f t="shared" si="15"/>
        <v>1723</v>
      </c>
    </row>
    <row r="54" spans="1:26" x14ac:dyDescent="0.25">
      <c r="A54" s="25">
        <f t="shared" si="16"/>
        <v>2032</v>
      </c>
      <c r="B54" s="37">
        <f>B37+VLOOKUP($A$1,'Pri Housing Generation'!$A$96:$DQ$118, 114, FALSE)</f>
        <v>304</v>
      </c>
      <c r="C54" s="34">
        <f>C37+VLOOKUP($A$1,'Pri Housing Generation'!$A$96:$DQ$118, 115, FALSE)</f>
        <v>301</v>
      </c>
      <c r="D54" s="34">
        <f>D37+VLOOKUP($A$1,'Pri Housing Generation'!$A$96:$DQ$118, 116, FALSE)</f>
        <v>296</v>
      </c>
      <c r="E54" s="34">
        <f>E37+VLOOKUP($A$1,'Pri Housing Generation'!$A$96:$DQ$118, 117, FALSE)</f>
        <v>298</v>
      </c>
      <c r="F54" s="34">
        <f>F37+VLOOKUP($A$1,'Pri Housing Generation'!$A$96:$DQ$118, 118, FALSE)</f>
        <v>298</v>
      </c>
      <c r="G54" s="34">
        <f>G37+VLOOKUP($A$1,'Pri Housing Generation'!$A$96:$DQ$118, 119, FALSE)</f>
        <v>290</v>
      </c>
      <c r="H54" s="34">
        <f>H37+VLOOKUP($A$1,'Pri Housing Generation'!$A$96:$DQ$118, 120, FALSE)</f>
        <v>297</v>
      </c>
      <c r="I54" s="99">
        <f t="shared" si="17"/>
        <v>284</v>
      </c>
      <c r="K54" s="83"/>
      <c r="L54" s="83"/>
      <c r="M54" s="107">
        <f t="shared" si="12"/>
        <v>0.97892251370144923</v>
      </c>
      <c r="O54" s="38">
        <v>0</v>
      </c>
      <c r="P54" t="s">
        <v>210</v>
      </c>
      <c r="Q54" s="35">
        <f>(ROUNDUP(((I54+K54)*M54),0))+O50</f>
        <v>279</v>
      </c>
      <c r="S54" s="25">
        <f t="shared" si="18"/>
        <v>2032</v>
      </c>
      <c r="T54" s="20">
        <f t="shared" si="14"/>
        <v>280</v>
      </c>
      <c r="U54" s="53">
        <f t="shared" si="23"/>
        <v>280</v>
      </c>
      <c r="V54" s="53">
        <f t="shared" si="24"/>
        <v>280</v>
      </c>
      <c r="W54" s="53">
        <f t="shared" si="25"/>
        <v>257</v>
      </c>
      <c r="X54" s="34">
        <f t="shared" si="26"/>
        <v>279</v>
      </c>
      <c r="Y54" s="34">
        <f t="shared" si="21"/>
        <v>305</v>
      </c>
      <c r="Z54" s="101">
        <f t="shared" si="15"/>
        <v>1681</v>
      </c>
    </row>
    <row r="55" spans="1:26" x14ac:dyDescent="0.25">
      <c r="T55" s="180"/>
    </row>
    <row r="56" spans="1:26" ht="15.75" x14ac:dyDescent="0.25">
      <c r="A56" s="129" t="s">
        <v>223</v>
      </c>
      <c r="F56" s="131"/>
      <c r="G56" s="131"/>
      <c r="H56" s="83"/>
      <c r="I56" s="181"/>
      <c r="J56" s="131"/>
      <c r="Q56" s="39"/>
      <c r="R56" s="39"/>
    </row>
    <row r="57" spans="1:26" x14ac:dyDescent="0.25">
      <c r="F57" s="131"/>
      <c r="G57" s="131"/>
      <c r="H57" s="83"/>
      <c r="I57" s="181"/>
      <c r="J57" s="131"/>
      <c r="Q57" s="39"/>
      <c r="R57" s="39"/>
    </row>
    <row r="58" spans="1:26" x14ac:dyDescent="0.25">
      <c r="A58" s="21" t="s">
        <v>224</v>
      </c>
      <c r="F58" s="132"/>
      <c r="G58" s="131"/>
      <c r="H58" s="83"/>
      <c r="I58" s="181"/>
      <c r="J58" s="131"/>
      <c r="O58" s="21" t="s">
        <v>403</v>
      </c>
      <c r="T58"/>
      <c r="U58"/>
      <c r="V58"/>
      <c r="Z58"/>
    </row>
    <row r="59" spans="1:26" x14ac:dyDescent="0.25">
      <c r="A59" s="21"/>
      <c r="F59" s="132"/>
      <c r="G59" s="131"/>
      <c r="H59" s="83"/>
      <c r="I59" s="181"/>
      <c r="J59" s="131"/>
      <c r="O59" s="134"/>
      <c r="P59" s="135" t="s">
        <v>1</v>
      </c>
      <c r="Q59" s="135" t="s">
        <v>115</v>
      </c>
      <c r="R59" s="135" t="s">
        <v>116</v>
      </c>
      <c r="S59" s="135" t="s">
        <v>117</v>
      </c>
      <c r="T59" s="135" t="s">
        <v>118</v>
      </c>
      <c r="U59" s="135" t="s">
        <v>119</v>
      </c>
      <c r="V59" s="135" t="s">
        <v>120</v>
      </c>
      <c r="Z59"/>
    </row>
    <row r="60" spans="1:26" ht="33" customHeight="1" x14ac:dyDescent="0.25">
      <c r="A60" s="136"/>
      <c r="B60" s="137" t="s">
        <v>225</v>
      </c>
      <c r="C60" s="413" t="s">
        <v>226</v>
      </c>
      <c r="D60" s="414"/>
      <c r="F60" s="132"/>
      <c r="G60" s="130"/>
      <c r="H60" s="182"/>
      <c r="I60" s="181"/>
      <c r="J60" s="130"/>
      <c r="O60" s="354">
        <f>A18</f>
        <v>2018</v>
      </c>
      <c r="P60" s="355">
        <v>63</v>
      </c>
      <c r="Q60" s="355">
        <v>76</v>
      </c>
      <c r="R60" s="355">
        <v>55</v>
      </c>
      <c r="S60" s="355">
        <v>49</v>
      </c>
      <c r="T60" s="355">
        <v>61</v>
      </c>
      <c r="U60" s="355">
        <v>45</v>
      </c>
      <c r="V60" s="355">
        <v>27</v>
      </c>
      <c r="Z60"/>
    </row>
    <row r="61" spans="1:26" x14ac:dyDescent="0.25">
      <c r="A61" s="25">
        <v>2011</v>
      </c>
      <c r="B61" s="128">
        <v>29</v>
      </c>
      <c r="C61" s="415">
        <f t="shared" ref="C61:C66" si="27">1-(I13/(I13+B61))</f>
        <v>0.14356435643564358</v>
      </c>
      <c r="D61" s="388"/>
      <c r="F61" s="133"/>
      <c r="G61" s="54"/>
      <c r="H61" s="83"/>
      <c r="I61" s="181"/>
      <c r="J61" s="54"/>
      <c r="O61" s="39"/>
      <c r="T61"/>
      <c r="U61"/>
      <c r="V61"/>
      <c r="W61"/>
    </row>
    <row r="62" spans="1:26" x14ac:dyDescent="0.25">
      <c r="A62" s="25">
        <v>2012</v>
      </c>
      <c r="B62" s="128">
        <v>28</v>
      </c>
      <c r="C62" s="415">
        <f t="shared" si="27"/>
        <v>0.14583333333333337</v>
      </c>
      <c r="D62" s="388"/>
      <c r="F62" s="133"/>
      <c r="G62" s="54"/>
      <c r="H62" s="83"/>
      <c r="I62" s="181"/>
      <c r="J62" s="54"/>
      <c r="O62" s="108" t="s">
        <v>404</v>
      </c>
      <c r="P62" s="39"/>
      <c r="Q62" s="39"/>
      <c r="R62" s="39"/>
    </row>
    <row r="63" spans="1:26" x14ac:dyDescent="0.25">
      <c r="A63" s="25">
        <v>2013</v>
      </c>
      <c r="B63" s="128">
        <v>28</v>
      </c>
      <c r="C63" s="415">
        <f t="shared" si="27"/>
        <v>0.14070351758793975</v>
      </c>
      <c r="D63" s="388"/>
      <c r="F63" s="133"/>
      <c r="G63" s="54"/>
      <c r="H63" s="83"/>
      <c r="I63" s="181"/>
      <c r="J63" s="54"/>
      <c r="K63" s="181"/>
      <c r="N63" s="109"/>
      <c r="Q63" s="39"/>
      <c r="R63" s="39"/>
    </row>
    <row r="64" spans="1:26" x14ac:dyDescent="0.25">
      <c r="A64" s="25">
        <v>2014</v>
      </c>
      <c r="B64" s="128">
        <v>14</v>
      </c>
      <c r="C64" s="415">
        <f t="shared" si="27"/>
        <v>6.5116279069767469E-2</v>
      </c>
      <c r="D64" s="388"/>
      <c r="F64" s="133"/>
      <c r="G64" s="54"/>
      <c r="H64" s="83"/>
      <c r="I64" s="181"/>
      <c r="J64" s="54"/>
      <c r="K64" s="181"/>
      <c r="N64" s="109"/>
      <c r="Q64" s="39"/>
      <c r="R64" s="39"/>
    </row>
    <row r="65" spans="1:19" x14ac:dyDescent="0.25">
      <c r="A65" s="25">
        <v>2015</v>
      </c>
      <c r="B65" s="128">
        <v>19</v>
      </c>
      <c r="C65" s="415">
        <f t="shared" si="27"/>
        <v>8.2251082251082241E-2</v>
      </c>
      <c r="D65" s="388"/>
      <c r="F65" s="133"/>
      <c r="G65" s="54"/>
      <c r="H65" s="83"/>
      <c r="I65" s="181"/>
      <c r="J65" s="54"/>
      <c r="K65" s="181"/>
      <c r="N65" s="109"/>
      <c r="Q65" s="39"/>
      <c r="R65" s="39"/>
    </row>
    <row r="66" spans="1:19" x14ac:dyDescent="0.25">
      <c r="A66" s="25">
        <v>2016</v>
      </c>
      <c r="B66" s="128"/>
      <c r="C66" s="415">
        <f t="shared" si="27"/>
        <v>0</v>
      </c>
      <c r="D66" s="388"/>
      <c r="F66" s="133"/>
      <c r="G66" s="54"/>
      <c r="H66" s="83"/>
      <c r="I66" s="181"/>
      <c r="J66" s="54"/>
      <c r="K66" s="181"/>
      <c r="N66" s="109"/>
      <c r="Q66" s="39"/>
      <c r="R66" s="39"/>
    </row>
    <row r="67" spans="1:19" x14ac:dyDescent="0.25">
      <c r="A67" s="21"/>
      <c r="F67" s="133"/>
      <c r="G67" s="54"/>
      <c r="H67" s="83"/>
      <c r="I67" s="181"/>
      <c r="J67" s="54"/>
      <c r="K67" s="181"/>
      <c r="N67" s="109"/>
    </row>
    <row r="68" spans="1:19" x14ac:dyDescent="0.25">
      <c r="A68" s="21" t="s">
        <v>213</v>
      </c>
      <c r="B68" s="39"/>
      <c r="C68" s="39"/>
      <c r="D68" s="39"/>
      <c r="F68" s="48"/>
      <c r="K68" s="181"/>
      <c r="N68" s="109"/>
    </row>
    <row r="69" spans="1:19" x14ac:dyDescent="0.25">
      <c r="A69" t="s">
        <v>340</v>
      </c>
      <c r="E69" s="39"/>
      <c r="F69" s="39"/>
      <c r="G69" s="39"/>
      <c r="H69" s="39"/>
      <c r="K69" s="181"/>
      <c r="N69" s="109"/>
    </row>
    <row r="70" spans="1:19" x14ac:dyDescent="0.25">
      <c r="K70" s="54"/>
      <c r="N70" s="109"/>
    </row>
    <row r="71" spans="1:19" x14ac:dyDescent="0.25">
      <c r="K71" s="54"/>
      <c r="N71" s="109"/>
    </row>
    <row r="72" spans="1:19" x14ac:dyDescent="0.25">
      <c r="K72" s="54"/>
      <c r="N72" s="109"/>
    </row>
    <row r="75" spans="1:19" x14ac:dyDescent="0.25">
      <c r="K75" s="131"/>
    </row>
    <row r="76" spans="1:19" x14ac:dyDescent="0.25">
      <c r="K76" s="131"/>
    </row>
    <row r="77" spans="1:19" x14ac:dyDescent="0.25">
      <c r="K77" s="131"/>
    </row>
    <row r="78" spans="1:19" x14ac:dyDescent="0.25">
      <c r="K78" s="131"/>
    </row>
    <row r="79" spans="1:19" x14ac:dyDescent="0.25">
      <c r="K79" s="130"/>
      <c r="S79" s="130"/>
    </row>
    <row r="80" spans="1:19" x14ac:dyDescent="0.25">
      <c r="K80" s="54"/>
      <c r="S80" s="54"/>
    </row>
    <row r="81" spans="11:19" x14ac:dyDescent="0.25">
      <c r="K81" s="54"/>
      <c r="S81" s="54"/>
    </row>
    <row r="82" spans="11:19" x14ac:dyDescent="0.25">
      <c r="K82" s="54"/>
      <c r="S82" s="54"/>
    </row>
    <row r="83" spans="11:19" x14ac:dyDescent="0.25">
      <c r="K83" s="54"/>
      <c r="S83" s="54"/>
    </row>
    <row r="84" spans="11:19" x14ac:dyDescent="0.25">
      <c r="K84" s="54"/>
      <c r="S84" s="54"/>
    </row>
    <row r="85" spans="11:19" x14ac:dyDescent="0.25">
      <c r="K85" s="54"/>
      <c r="S85" s="54"/>
    </row>
  </sheetData>
  <mergeCells count="23">
    <mergeCell ref="C66:D66"/>
    <mergeCell ref="K11:L13"/>
    <mergeCell ref="M11:M13"/>
    <mergeCell ref="O11:O13"/>
    <mergeCell ref="K18:L18"/>
    <mergeCell ref="C60:D60"/>
    <mergeCell ref="C61:D61"/>
    <mergeCell ref="C64:D64"/>
    <mergeCell ref="C65:D65"/>
    <mergeCell ref="K39:K40"/>
    <mergeCell ref="M39:M40"/>
    <mergeCell ref="V19:W20"/>
    <mergeCell ref="K20:M20"/>
    <mergeCell ref="K14:L14"/>
    <mergeCell ref="K15:L15"/>
    <mergeCell ref="K16:L16"/>
    <mergeCell ref="K17:L17"/>
    <mergeCell ref="Q39:Q40"/>
    <mergeCell ref="C62:D62"/>
    <mergeCell ref="C63:D63"/>
    <mergeCell ref="Q11:Q13"/>
    <mergeCell ref="A19:B20"/>
    <mergeCell ref="K19:M19"/>
  </mergeCells>
  <conditionalFormatting sqref="T41:T54">
    <cfRule type="cellIs" dxfId="23" priority="9" operator="greaterThan">
      <formula>$C$7</formula>
    </cfRule>
  </conditionalFormatting>
  <conditionalFormatting sqref="Z41:Z54">
    <cfRule type="cellIs" dxfId="22" priority="8"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AA84"/>
  <sheetViews>
    <sheetView topLeftCell="N25" workbookViewId="0">
      <selection activeCell="V57" sqref="V57"/>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104</v>
      </c>
    </row>
    <row r="2" spans="1:24" x14ac:dyDescent="0.25">
      <c r="A2" t="s">
        <v>400</v>
      </c>
    </row>
    <row r="4" spans="1:24" x14ac:dyDescent="0.25">
      <c r="A4" s="21" t="s">
        <v>192</v>
      </c>
    </row>
    <row r="5" spans="1:24" x14ac:dyDescent="0.25">
      <c r="A5" s="21"/>
    </row>
    <row r="6" spans="1:24" x14ac:dyDescent="0.25">
      <c r="A6" s="21" t="s">
        <v>193</v>
      </c>
      <c r="C6" s="100">
        <f>VLOOKUP(A1,'Projection Summary'!A5:C50,3,FALSE)</f>
        <v>950</v>
      </c>
    </row>
    <row r="7" spans="1:24" x14ac:dyDescent="0.25">
      <c r="A7" s="21" t="s">
        <v>191</v>
      </c>
      <c r="B7" s="21"/>
      <c r="C7" s="100">
        <f>VLOOKUP(A1,'Projection Summary'!A5:C50,2,FALSE)</f>
        <v>180</v>
      </c>
    </row>
    <row r="9" spans="1:24" ht="15.75" x14ac:dyDescent="0.25">
      <c r="A9" s="129" t="s">
        <v>197</v>
      </c>
      <c r="R9" s="129" t="s">
        <v>198</v>
      </c>
      <c r="T9" s="173"/>
    </row>
    <row r="10" spans="1:24" x14ac:dyDescent="0.25">
      <c r="A10" s="21"/>
    </row>
    <row r="11" spans="1:24" x14ac:dyDescent="0.25">
      <c r="A11" s="21" t="s">
        <v>278</v>
      </c>
      <c r="K11" s="406" t="s">
        <v>137</v>
      </c>
      <c r="L11" s="407"/>
      <c r="M11" s="412" t="s">
        <v>139</v>
      </c>
      <c r="N11" s="49"/>
      <c r="O11" s="394" t="s">
        <v>136</v>
      </c>
      <c r="R11" s="21" t="s">
        <v>279</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221</v>
      </c>
      <c r="C13" s="19">
        <f>VLOOKUP($A$1,'Primary Catchment Analysis'!$A$3:$BE$25, 38, FALSE)</f>
        <v>199</v>
      </c>
      <c r="D13" s="27">
        <f>VLOOKUP($A$1,'Primary Catchment Analysis'!$A$3:$BE$25, 39, FALSE)</f>
        <v>190</v>
      </c>
      <c r="E13" s="27">
        <f>VLOOKUP($A$1,'Primary Catchment Analysis'!$A$3:$BE$25, 40, FALSE)</f>
        <v>142</v>
      </c>
      <c r="F13" s="27">
        <f>VLOOKUP($A$1,'Primary Catchment Analysis'!$A$3:$BE$25, 41, FALSE)</f>
        <v>147</v>
      </c>
      <c r="G13" s="126">
        <f>VLOOKUP($A$1,'Primary Catchment Analysis'!$A$3:$BE$25, 42, FALSE)</f>
        <v>158</v>
      </c>
      <c r="H13" s="28">
        <f>VLOOKUP($A$1,'Primary Catchment Analysis'!$A$3:$BE$25, 43, FALSE)</f>
        <v>139</v>
      </c>
      <c r="I13" s="28">
        <f>VLOOKUP($A$1,'S1 Catchment Analysis'!A3:I25, 7, FALSE)</f>
        <v>182</v>
      </c>
      <c r="J13" s="23"/>
      <c r="K13" s="410"/>
      <c r="L13" s="411"/>
      <c r="M13" s="399"/>
      <c r="N13" s="50"/>
      <c r="O13" s="399"/>
      <c r="P13" s="50"/>
      <c r="Q13" s="25">
        <f>A13</f>
        <v>2013</v>
      </c>
      <c r="R13" s="69">
        <f>VLOOKUP($A$1,'Secondary Rolls'!$A$3:$BE$25, 37, FALSE)</f>
        <v>171</v>
      </c>
      <c r="S13" s="53">
        <f>VLOOKUP($A$1,'Secondary Rolls'!$A$3:$BE$25, 38, FALSE)</f>
        <v>158</v>
      </c>
      <c r="T13" s="53">
        <f>VLOOKUP($A$1,'Secondary Rolls'!$A$3:$BE$25, 39, FALSE)</f>
        <v>163</v>
      </c>
      <c r="U13" s="122">
        <f>VLOOKUP($A$1,'Secondary Rolls'!$A$3:$BE$25, 40, FALSE)</f>
        <v>173</v>
      </c>
      <c r="V13" s="63">
        <f>VLOOKUP($A$1,'Secondary Rolls'!$A$3:$BE$25, 41, FALSE)</f>
        <v>139</v>
      </c>
      <c r="W13" s="53">
        <f>VLOOKUP($A$1,'Secondary Rolls'!$A$3:$BE$25, 42, FALSE)</f>
        <v>94</v>
      </c>
      <c r="X13" s="62">
        <f t="shared" ref="X13:X17" si="0">SUM(R13:W13)</f>
        <v>898</v>
      </c>
    </row>
    <row r="14" spans="1:24" ht="15.75" thickBot="1" x14ac:dyDescent="0.3">
      <c r="A14" s="25">
        <f>VLOOKUP($A$12,'S1 Catchment Analysis'!A2:I2, 6, FALSE)</f>
        <v>2014</v>
      </c>
      <c r="B14" s="45">
        <f>VLOOKUP($A$1,'Primary Catchment Analysis'!$A$3:$BE$25, 30, FALSE)</f>
        <v>221</v>
      </c>
      <c r="C14" s="44">
        <f>VLOOKUP($A$1,'Primary Catchment Analysis'!$A$3:$BE$25, 31, FALSE)</f>
        <v>213</v>
      </c>
      <c r="D14" s="19">
        <f>VLOOKUP($A$1,'Primary Catchment Analysis'!$A$3:$BE$25, 32, FALSE)</f>
        <v>196</v>
      </c>
      <c r="E14" s="27">
        <f>VLOOKUP($A$1,'Primary Catchment Analysis'!$A$3:$BE$25, 33, FALSE)</f>
        <v>187</v>
      </c>
      <c r="F14" s="27">
        <f>VLOOKUP($A$1,'Primary Catchment Analysis'!$A$3:$BE$25, 34, FALSE)</f>
        <v>146</v>
      </c>
      <c r="G14" s="126">
        <f>VLOOKUP($A$1,'Primary Catchment Analysis'!$A$3:$BE$25, 35, FALSE)</f>
        <v>149</v>
      </c>
      <c r="H14" s="28">
        <f>VLOOKUP($A$1,'Primary Catchment Analysis'!$A$3:$BE$25, 36, FALSE)</f>
        <v>152</v>
      </c>
      <c r="I14" s="27">
        <f>VLOOKUP($A$1,'S1 Catchment Analysis'!A3:I25, 6, FALSE)</f>
        <v>161</v>
      </c>
      <c r="J14" s="23"/>
      <c r="K14" s="400">
        <f>VLOOKUP($A$1,'S1 Catchment Retained'!A2:I25, 6, FALSE)</f>
        <v>120</v>
      </c>
      <c r="L14" s="423"/>
      <c r="M14" s="110">
        <f t="shared" ref="M14:M18" si="1">(K14/I14)</f>
        <v>0.74534161490683226</v>
      </c>
      <c r="N14" s="50"/>
      <c r="O14" s="111">
        <f t="shared" ref="O14:O18" si="2">R14-K14</f>
        <v>28</v>
      </c>
      <c r="P14" s="50"/>
      <c r="Q14" s="25">
        <f t="shared" ref="Q14:Q18" si="3">A14</f>
        <v>2014</v>
      </c>
      <c r="R14" s="67">
        <f>VLOOKUP($A$1,'Secondary Rolls'!$A$3:$BE$25, 30, FALSE)</f>
        <v>148</v>
      </c>
      <c r="S14" s="69">
        <f>VLOOKUP($A$1,'Secondary Rolls'!$A$3:$BE$25, 31, FALSE)</f>
        <v>180</v>
      </c>
      <c r="T14" s="61">
        <f>VLOOKUP($A$1,'Secondary Rolls'!$A$3:$BE$25, 32, FALSE)</f>
        <v>159</v>
      </c>
      <c r="U14" s="61">
        <f>VLOOKUP($A$1,'Secondary Rolls'!$A$3:$BE$25, 33, FALSE)</f>
        <v>170</v>
      </c>
      <c r="V14" s="64">
        <f>VLOOKUP($A$1,'Secondary Rolls'!$A$3:$BE$25, 34, FALSE)</f>
        <v>160</v>
      </c>
      <c r="W14" s="116">
        <f>VLOOKUP($A$1,'Secondary Rolls'!$A$3:$BE$25, 35, FALSE)</f>
        <v>108</v>
      </c>
      <c r="X14" s="62">
        <f t="shared" si="0"/>
        <v>925</v>
      </c>
    </row>
    <row r="15" spans="1:24" ht="15.75" thickBot="1" x14ac:dyDescent="0.3">
      <c r="A15" s="25">
        <f>VLOOKUP($A$12,'S1 Catchment Analysis'!A2:I2, 5, FALSE)</f>
        <v>2015</v>
      </c>
      <c r="B15" s="19">
        <f>VLOOKUP($A$1,'Primary Catchment Analysis'!$A$3:$BE$25, 23, FALSE)</f>
        <v>203</v>
      </c>
      <c r="C15" s="45">
        <f>VLOOKUP($A$1,'Primary Catchment Analysis'!$A$3:$BE$25, 24, FALSE)</f>
        <v>220</v>
      </c>
      <c r="D15" s="44">
        <f>VLOOKUP($A$1,'Primary Catchment Analysis'!$A$3:$BE$25, 25, FALSE)</f>
        <v>213</v>
      </c>
      <c r="E15" s="19">
        <f>VLOOKUP($A$1,'Primary Catchment Analysis'!$A$3:$BE$25, 26, FALSE)</f>
        <v>189</v>
      </c>
      <c r="F15" s="27">
        <f>VLOOKUP($A$1,'Primary Catchment Analysis'!$A$3:$BE$25, 27, FALSE)</f>
        <v>180</v>
      </c>
      <c r="G15" s="126">
        <f>VLOOKUP($A$1,'Primary Catchment Analysis'!$A$3:$BE$25, 28, FALSE)</f>
        <v>143</v>
      </c>
      <c r="H15" s="30">
        <f>VLOOKUP($A$1,'Primary Catchment Analysis'!$A$3:$BE$25, 29, FALSE)</f>
        <v>143</v>
      </c>
      <c r="I15" s="29">
        <f>VLOOKUP($A$1,'S1 Catchment Analysis'!A3:I25, 5, FALSE)</f>
        <v>178</v>
      </c>
      <c r="J15" s="23"/>
      <c r="K15" s="400">
        <f>VLOOKUP($A$1,'S1 Catchment Retained'!A2:I25, 5, FALSE)</f>
        <v>132</v>
      </c>
      <c r="L15" s="423"/>
      <c r="M15" s="110">
        <f t="shared" si="1"/>
        <v>0.7415730337078652</v>
      </c>
      <c r="N15" s="50"/>
      <c r="O15" s="111">
        <f t="shared" si="2"/>
        <v>21</v>
      </c>
      <c r="P15" s="50"/>
      <c r="Q15" s="25">
        <f t="shared" si="3"/>
        <v>2015</v>
      </c>
      <c r="R15" s="68">
        <f>VLOOKUP($A$1,'Secondary Rolls'!$A$3:$BE$25, 23, FALSE)</f>
        <v>153</v>
      </c>
      <c r="S15" s="67">
        <f>VLOOKUP($A$1,'Secondary Rolls'!$A$3:$BE$25, 24, FALSE)</f>
        <v>158</v>
      </c>
      <c r="T15" s="71">
        <f>VLOOKUP($A$1,'Secondary Rolls'!$A$3:$BE$25, 25, FALSE)</f>
        <v>174</v>
      </c>
      <c r="U15" s="61">
        <f>VLOOKUP($A$1,'Secondary Rolls'!$A$3:$BE$25, 26, FALSE)</f>
        <v>165</v>
      </c>
      <c r="V15" s="123">
        <f>VLOOKUP($A$1,'Secondary Rolls'!$A$3:$BE$25, 27, FALSE)</f>
        <v>139</v>
      </c>
      <c r="W15" s="64">
        <f>VLOOKUP($A$1,'Secondary Rolls'!$A$3:$BE$25, 28, FALSE)</f>
        <v>107</v>
      </c>
      <c r="X15" s="62">
        <f t="shared" si="0"/>
        <v>896</v>
      </c>
    </row>
    <row r="16" spans="1:24" ht="15.75" thickBot="1" x14ac:dyDescent="0.3">
      <c r="A16" s="25">
        <f>VLOOKUP($A$12,'S1 Catchment Analysis'!A2:I2, 4, FALSE)</f>
        <v>2016</v>
      </c>
      <c r="B16" s="44">
        <f>VLOOKUP($A$1,'Primary Catchment Analysis'!$A$3:$BE$25, 16, FALSE)</f>
        <v>183</v>
      </c>
      <c r="C16" s="19">
        <f>VLOOKUP($A$1,'Primary Catchment Analysis'!$A$3:$BE$25, 17, FALSE)</f>
        <v>210</v>
      </c>
      <c r="D16" s="45">
        <f>VLOOKUP($A$1,'Primary Catchment Analysis'!$A$3:$BE$25, 18, FALSE)</f>
        <v>199</v>
      </c>
      <c r="E16" s="44">
        <f>VLOOKUP($A$1,'Primary Catchment Analysis'!$A$3:$BE$25, 19, FALSE)</f>
        <v>202</v>
      </c>
      <c r="F16" s="19">
        <f>VLOOKUP($A$1,'Primary Catchment Analysis'!$A$3:$BE$25, 20, FALSE)</f>
        <v>191</v>
      </c>
      <c r="G16" s="126">
        <f>VLOOKUP($A$1,'Primary Catchment Analysis'!$A$3:$BE$25, 21, FALSE)</f>
        <v>176</v>
      </c>
      <c r="H16" s="112">
        <f>VLOOKUP($A$1,'Primary Catchment Analysis'!$A$3:$BE$25, 22, FALSE)</f>
        <v>148</v>
      </c>
      <c r="I16" s="30">
        <f>VLOOKUP($A$1,'S1 Catchment Analysis'!A3:I25, 4, FALSE)</f>
        <v>158</v>
      </c>
      <c r="J16" s="23"/>
      <c r="K16" s="400">
        <f>VLOOKUP($A$1,'S1 Catchment Retained'!A2:I25, 4, FALSE)</f>
        <v>117</v>
      </c>
      <c r="L16" s="424"/>
      <c r="M16" s="56">
        <f t="shared" si="1"/>
        <v>0.740506329113924</v>
      </c>
      <c r="N16" s="50"/>
      <c r="O16" s="103">
        <f t="shared" si="2"/>
        <v>25</v>
      </c>
      <c r="P16" s="50"/>
      <c r="Q16" s="25">
        <f t="shared" si="3"/>
        <v>2016</v>
      </c>
      <c r="R16" s="69">
        <f>VLOOKUP($A$1,'Secondary Rolls'!$A$3:$BE$25, 16, FALSE)</f>
        <v>142</v>
      </c>
      <c r="S16" s="68">
        <f>VLOOKUP($A$1,'Secondary Rolls'!$A$3:$BE$25, 17, FALSE)</f>
        <v>159</v>
      </c>
      <c r="T16" s="70">
        <f>VLOOKUP($A$1,'Secondary Rolls'!$A$3:$BE$25, 18, FALSE)</f>
        <v>156</v>
      </c>
      <c r="U16" s="71">
        <f>VLOOKUP($A$1,'Secondary Rolls'!$A$3:$BE$25, 19, FALSE)</f>
        <v>177</v>
      </c>
      <c r="V16" s="66">
        <f>VLOOKUP($A$1,'Secondary Rolls'!$A$3:$BE$25, 20, FALSE)</f>
        <v>160</v>
      </c>
      <c r="W16" s="65">
        <f>VLOOKUP($A$1,'Secondary Rolls'!$A$3:$BE$25, 21, FALSE)</f>
        <v>104</v>
      </c>
      <c r="X16" s="62">
        <f t="shared" si="0"/>
        <v>898</v>
      </c>
    </row>
    <row r="17" spans="1:27" ht="15.75" thickBot="1" x14ac:dyDescent="0.3">
      <c r="A17" s="258">
        <f>VLOOKUP($A$12,'S1 Catchment Analysis'!A2:I2, 3, FALSE)</f>
        <v>2017</v>
      </c>
      <c r="B17" s="259">
        <f>VLOOKUP($A$1,'Primary Catchment Analysis'!$A$3:$BE$25, 9, FALSE)</f>
        <v>208</v>
      </c>
      <c r="C17" s="260">
        <f>VLOOKUP($A$1,'Primary Catchment Analysis'!$A$3:$BE$25, 10, FALSE)</f>
        <v>170</v>
      </c>
      <c r="D17" s="261">
        <f>VLOOKUP($A$1,'Primary Catchment Analysis'!$A$3:$BE$25, 11, FALSE)</f>
        <v>191</v>
      </c>
      <c r="E17" s="259">
        <f>VLOOKUP($A$1,'Primary Catchment Analysis'!$A$3:$BE$25, 12, FALSE)</f>
        <v>195</v>
      </c>
      <c r="F17" s="260">
        <f>VLOOKUP($A$1,'Primary Catchment Analysis'!$A$3:$BE$25, 13, FALSE)</f>
        <v>192</v>
      </c>
      <c r="G17" s="262">
        <f>VLOOKUP($A$1,'Primary Catchment Analysis'!$A$3:$BE$25, 14, FALSE)</f>
        <v>196</v>
      </c>
      <c r="H17" s="113">
        <f>VLOOKUP($A$1,'Primary Catchment Analysis'!$A$3:$BE$25, 15, FALSE)</f>
        <v>168</v>
      </c>
      <c r="I17" s="31">
        <f>VLOOKUP($A$1,'S1 Catchment Analysis'!A3:I25, 3, FALSE)</f>
        <v>155</v>
      </c>
      <c r="J17" s="23"/>
      <c r="K17" s="400">
        <f>VLOOKUP($A$1,'S1 Catchment Retained'!A2:I25, 3, FALSE)</f>
        <v>125</v>
      </c>
      <c r="L17" s="424"/>
      <c r="M17" s="57">
        <f t="shared" si="1"/>
        <v>0.80645161290322576</v>
      </c>
      <c r="N17" s="50"/>
      <c r="O17" s="104">
        <f t="shared" si="2"/>
        <v>33</v>
      </c>
      <c r="P17" s="50"/>
      <c r="Q17" s="25">
        <f t="shared" si="3"/>
        <v>2017</v>
      </c>
      <c r="R17" s="264">
        <f>VLOOKUP($A$1,'Secondary Rolls'!$A$3:$BE$25, 9, FALSE)</f>
        <v>158</v>
      </c>
      <c r="S17" s="265">
        <f>VLOOKUP($A$1,'Secondary Rolls'!$A$3:$BE$25, 10, FALSE)</f>
        <v>139</v>
      </c>
      <c r="T17" s="266">
        <f>VLOOKUP($A$1,'Secondary Rolls'!$A$3:$BE$25, 11, FALSE)</f>
        <v>159</v>
      </c>
      <c r="U17" s="270">
        <f>VLOOKUP($A$1,'Secondary Rolls'!$A$3:$BE$25, 12, FALSE)</f>
        <v>161</v>
      </c>
      <c r="V17" s="271">
        <f>VLOOKUP($A$1,'Secondary Rolls'!$A$3:$BE$25, 13, FALSE)</f>
        <v>159</v>
      </c>
      <c r="W17" s="272">
        <f>VLOOKUP($A$1,'Secondary Rolls'!$A$3:$BE$25, 14, FALSE)</f>
        <v>113</v>
      </c>
      <c r="X17" s="116">
        <f t="shared" si="0"/>
        <v>889</v>
      </c>
    </row>
    <row r="18" spans="1:27" ht="15.75" thickBot="1" x14ac:dyDescent="0.3">
      <c r="A18" s="25">
        <f>VLOOKUP($A$12,'S1 Catchment Analysis'!A2:I2, 2, FALSE)</f>
        <v>2018</v>
      </c>
      <c r="B18" s="19">
        <f>VLOOKUP($A$1,'Primary Catchment Analysis'!$A$3:$BE$25, 2, FALSE)</f>
        <v>211</v>
      </c>
      <c r="C18" s="45">
        <f>VLOOKUP($A$1,'Primary Catchment Analysis'!$A$3:$BE$25, 3, FALSE)</f>
        <v>187</v>
      </c>
      <c r="D18" s="44">
        <f>VLOOKUP($A$1,'Primary Catchment Analysis'!$A$3:$BE$25, 4, FALSE)</f>
        <v>160</v>
      </c>
      <c r="E18" s="19">
        <f>VLOOKUP($A$1,'Primary Catchment Analysis'!$A$3:$BE$25, 5, FALSE)</f>
        <v>181</v>
      </c>
      <c r="F18" s="45">
        <f>VLOOKUP($A$1,'Primary Catchment Analysis'!$A$3:$BE$25, 6, FALSE)</f>
        <v>189</v>
      </c>
      <c r="G18" s="273">
        <f>VLOOKUP($A$1,'Primary Catchment Analysis'!$A$3:$BE$25, 7, FALSE)</f>
        <v>189</v>
      </c>
      <c r="H18" s="274">
        <f>VLOOKUP($A$1,'Primary Catchment Analysis'!$A$3:$BE$25, 8, FALSE)</f>
        <v>188</v>
      </c>
      <c r="I18" s="32">
        <f>VLOOKUP($A$1,'S1 Catchment Analysis'!A3:I25, 2, FALSE)</f>
        <v>179</v>
      </c>
      <c r="J18" s="23"/>
      <c r="K18" s="400">
        <f>VLOOKUP($A$1,'S1 Catchment Retained'!A2:I25, 2, FALSE)</f>
        <v>137</v>
      </c>
      <c r="L18" s="424"/>
      <c r="M18" s="58">
        <f t="shared" si="1"/>
        <v>0.76536312849162014</v>
      </c>
      <c r="N18" s="50"/>
      <c r="O18" s="105">
        <f t="shared" si="2"/>
        <v>28</v>
      </c>
      <c r="P18" s="50"/>
      <c r="Q18" s="25">
        <f t="shared" si="3"/>
        <v>2018</v>
      </c>
      <c r="R18" s="68">
        <f>VLOOKUP($A$1,'Secondary Rolls'!$A$3:$BE$25, 2, FALSE)</f>
        <v>165</v>
      </c>
      <c r="S18" s="67">
        <f>VLOOKUP($A$1,'Secondary Rolls'!$A$3:$BE$25, 3, FALSE)</f>
        <v>155</v>
      </c>
      <c r="T18" s="69">
        <f>VLOOKUP($A$1,'Secondary Rolls'!$A$3:$BE$25, 4, FALSE)</f>
        <v>148</v>
      </c>
      <c r="U18" s="68">
        <f>VLOOKUP($A$1,'Secondary Rolls'!$A$3:$BE$25, 5, FALSE)</f>
        <v>156</v>
      </c>
      <c r="V18" s="67">
        <f>VLOOKUP($A$1,'Secondary Rolls'!$A$3:$BE$25, 6, FALSE)</f>
        <v>150</v>
      </c>
      <c r="W18" s="69">
        <f>VLOOKUP($A$1,'Secondary Rolls'!$A$3:$BE$25, 7, FALSE)</f>
        <v>137</v>
      </c>
      <c r="X18" s="53">
        <f t="shared" ref="X18" si="4">SUM(R18:W18)</f>
        <v>911</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4.5839010402323001E-2</v>
      </c>
      <c r="D20" s="40">
        <f t="shared" ref="D20:I20" si="5">AVERAGE(((C15-D16)/C15),((C16-D17)/C16),((C17-D18)/C17))</f>
        <v>8.1584755114166893E-2</v>
      </c>
      <c r="E20" s="40">
        <f t="shared" si="5"/>
        <v>4.1366571981078036E-2</v>
      </c>
      <c r="F20" s="40">
        <f t="shared" si="5"/>
        <v>2.3230723560756564E-2</v>
      </c>
      <c r="G20" s="40">
        <f t="shared" si="5"/>
        <v>3.8897372503393451E-3</v>
      </c>
      <c r="H20" s="40">
        <f t="shared" si="5"/>
        <v>1.7101945673374242E-2</v>
      </c>
      <c r="I20" s="40">
        <f t="shared" si="5"/>
        <v>-7.2556197556197563E-2</v>
      </c>
      <c r="K20" s="389">
        <f>AVERAGE(M16:M18)</f>
        <v>0.77077369016958996</v>
      </c>
      <c r="L20" s="390"/>
      <c r="M20" s="391"/>
      <c r="O20" s="51">
        <f>ROUNDUP((AVERAGE(O16:O18)),0)</f>
        <v>29</v>
      </c>
      <c r="T20" s="388"/>
      <c r="U20" s="388"/>
      <c r="V20" s="40">
        <f>AVERAGE(((U15-V16)/U15),((U16-V17)/U16),((U17-V18)/U17))</f>
        <v>6.6773642307909067E-2</v>
      </c>
      <c r="W20" s="40">
        <f>AVERAGE(((V15-W16)/V15),((V16-W17)/V16),((V17-W18)/V17))</f>
        <v>0.22797111367509762</v>
      </c>
    </row>
    <row r="21" spans="1:27" x14ac:dyDescent="0.25">
      <c r="A21" s="21"/>
      <c r="K21" s="59"/>
      <c r="L21" s="59"/>
    </row>
    <row r="22" spans="1:27" x14ac:dyDescent="0.25">
      <c r="A22" s="21" t="s">
        <v>283</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Projections'!C53+'P1 Catchment Projections'!C54+'P1 Catchment Projections'!C55+'P1 Catchment Projections'!C56</f>
        <v>210</v>
      </c>
      <c r="C24" s="34">
        <f>ROUNDUP((B18-(B18*$C$20)),0)</f>
        <v>202</v>
      </c>
      <c r="D24" s="42">
        <f>ROUNDUP((C18-(C18*$D$20)),0)</f>
        <v>172</v>
      </c>
      <c r="E24" s="43">
        <f>ROUNDUP((D18-(D18*$E$20)),0)</f>
        <v>154</v>
      </c>
      <c r="F24" s="41">
        <f>ROUNDUP((E18-(E18*$F$20)),0)</f>
        <v>177</v>
      </c>
      <c r="G24" s="42">
        <f>ROUNDUP((F18-(F18*$G$20)),0)</f>
        <v>189</v>
      </c>
      <c r="H24" s="43">
        <f>ROUNDUP((G18-(G18*$H$20)),0)</f>
        <v>186</v>
      </c>
      <c r="I24" s="99">
        <f>ROUNDUP((H18-(H18*$I$20)),0)</f>
        <v>202</v>
      </c>
      <c r="J24" s="23"/>
      <c r="K24" s="59"/>
      <c r="L24" s="59"/>
      <c r="Z24" s="109"/>
      <c r="AA24" s="109"/>
    </row>
    <row r="25" spans="1:27" x14ac:dyDescent="0.25">
      <c r="A25" s="25">
        <f>A24+1</f>
        <v>2020</v>
      </c>
      <c r="B25" s="37">
        <f>'P1 Catchment Projections'!D53+'P1 Catchment Projections'!D54+'P1 Catchment Projections'!D55+'P1 Catchment Projections'!D56</f>
        <v>185</v>
      </c>
      <c r="C25" s="34">
        <f t="shared" ref="C25:C37" si="6">ROUNDUP((B24-(B24*$C$20)),0)</f>
        <v>201</v>
      </c>
      <c r="D25" s="34">
        <f t="shared" ref="D25:D37" si="7">ROUNDUP((C24-(C24*$D$20)),0)</f>
        <v>186</v>
      </c>
      <c r="E25" s="42">
        <f t="shared" ref="E25:E37" si="8">ROUNDUP((D24-(D24*$E$20)),0)</f>
        <v>165</v>
      </c>
      <c r="F25" s="43">
        <f t="shared" ref="F25:F37" si="9">ROUNDUP((E24-(E24*$F$20)),0)</f>
        <v>151</v>
      </c>
      <c r="G25" s="41">
        <f t="shared" ref="G25:G37" si="10">ROUNDUP((F24-(F24*$G$20)),0)</f>
        <v>177</v>
      </c>
      <c r="H25" s="42">
        <f t="shared" ref="H25:H37" si="11">ROUNDUP((G24-(G24*$H$20)),0)</f>
        <v>186</v>
      </c>
      <c r="I25" s="99">
        <f t="shared" ref="I25:I37" si="12">ROUNDUP((H24-(H24*$I$20)),0)</f>
        <v>200</v>
      </c>
      <c r="J25" s="23"/>
      <c r="K25" s="59"/>
      <c r="L25" s="59"/>
      <c r="Z25" s="109"/>
      <c r="AA25" s="109"/>
    </row>
    <row r="26" spans="1:27" x14ac:dyDescent="0.25">
      <c r="A26" s="25">
        <f>A25+1</f>
        <v>2021</v>
      </c>
      <c r="B26" s="37">
        <f>'P1 Catchment Projections'!E53+'P1 Catchment Projections'!E54+'P1 Catchment Projections'!E55+'P1 Catchment Projections'!E56</f>
        <v>190</v>
      </c>
      <c r="C26" s="34">
        <f t="shared" si="6"/>
        <v>177</v>
      </c>
      <c r="D26" s="34">
        <f t="shared" si="7"/>
        <v>185</v>
      </c>
      <c r="E26" s="34">
        <f t="shared" si="8"/>
        <v>179</v>
      </c>
      <c r="F26" s="42">
        <f t="shared" si="9"/>
        <v>162</v>
      </c>
      <c r="G26" s="43">
        <f t="shared" si="10"/>
        <v>151</v>
      </c>
      <c r="H26" s="41">
        <f t="shared" si="11"/>
        <v>174</v>
      </c>
      <c r="I26" s="99">
        <f t="shared" si="12"/>
        <v>200</v>
      </c>
      <c r="J26" s="23"/>
      <c r="K26" s="59"/>
      <c r="L26" s="59"/>
      <c r="Z26" s="109"/>
      <c r="AA26" s="109"/>
    </row>
    <row r="27" spans="1:27" x14ac:dyDescent="0.25">
      <c r="A27" s="25">
        <f>A26+1</f>
        <v>2022</v>
      </c>
      <c r="B27" s="37">
        <f>'P1 Catchment Projections'!F53+'P1 Catchment Projections'!F54+'P1 Catchment Projections'!F55+'P1 Catchment Projections'!F56</f>
        <v>174</v>
      </c>
      <c r="C27" s="34">
        <f t="shared" si="6"/>
        <v>182</v>
      </c>
      <c r="D27" s="34">
        <f t="shared" si="7"/>
        <v>163</v>
      </c>
      <c r="E27" s="34">
        <f t="shared" si="8"/>
        <v>178</v>
      </c>
      <c r="F27" s="34">
        <f t="shared" si="9"/>
        <v>175</v>
      </c>
      <c r="G27" s="42">
        <f t="shared" si="10"/>
        <v>162</v>
      </c>
      <c r="H27" s="43">
        <f t="shared" si="11"/>
        <v>149</v>
      </c>
      <c r="I27" s="99">
        <f t="shared" si="12"/>
        <v>187</v>
      </c>
      <c r="J27" s="23"/>
      <c r="K27" s="59"/>
      <c r="L27" s="59"/>
      <c r="Z27" s="109"/>
      <c r="AA27" s="109"/>
    </row>
    <row r="28" spans="1:27" x14ac:dyDescent="0.25">
      <c r="A28" s="25">
        <f t="shared" ref="A28:A37" si="13">A27+1</f>
        <v>2023</v>
      </c>
      <c r="B28" s="37">
        <f>'P1 Catchment Projections'!G53+'P1 Catchment Projections'!G54+'P1 Catchment Projections'!G55+'P1 Catchment Projections'!G56</f>
        <v>185</v>
      </c>
      <c r="C28" s="34">
        <f t="shared" si="6"/>
        <v>167</v>
      </c>
      <c r="D28" s="34">
        <f t="shared" si="7"/>
        <v>168</v>
      </c>
      <c r="E28" s="34">
        <f t="shared" si="8"/>
        <v>157</v>
      </c>
      <c r="F28" s="34">
        <f t="shared" si="9"/>
        <v>174</v>
      </c>
      <c r="G28" s="34">
        <f t="shared" si="10"/>
        <v>175</v>
      </c>
      <c r="H28" s="42">
        <f t="shared" si="11"/>
        <v>160</v>
      </c>
      <c r="I28" s="99">
        <f t="shared" si="12"/>
        <v>160</v>
      </c>
      <c r="J28" s="23"/>
      <c r="K28" s="59"/>
      <c r="L28" s="59"/>
      <c r="Z28" s="109"/>
      <c r="AA28" s="109"/>
    </row>
    <row r="29" spans="1:27" x14ac:dyDescent="0.25">
      <c r="A29" s="25">
        <f t="shared" si="13"/>
        <v>2024</v>
      </c>
      <c r="B29" s="37">
        <f>'P1 Catchment Projections'!H53+'P1 Catchment Projections'!H54+'P1 Catchment Projections'!H55+'P1 Catchment Projections'!H56</f>
        <v>189</v>
      </c>
      <c r="C29" s="34">
        <f t="shared" si="6"/>
        <v>177</v>
      </c>
      <c r="D29" s="34">
        <f t="shared" si="7"/>
        <v>154</v>
      </c>
      <c r="E29" s="34">
        <f t="shared" si="8"/>
        <v>162</v>
      </c>
      <c r="F29" s="34">
        <f t="shared" si="9"/>
        <v>154</v>
      </c>
      <c r="G29" s="34">
        <f t="shared" si="10"/>
        <v>174</v>
      </c>
      <c r="H29" s="34">
        <f t="shared" si="11"/>
        <v>173</v>
      </c>
      <c r="I29" s="99">
        <f t="shared" si="12"/>
        <v>172</v>
      </c>
      <c r="K29" s="59"/>
      <c r="L29" s="59"/>
      <c r="Z29" s="109"/>
      <c r="AA29" s="109"/>
    </row>
    <row r="30" spans="1:27" x14ac:dyDescent="0.25">
      <c r="A30" s="25">
        <f t="shared" si="13"/>
        <v>2025</v>
      </c>
      <c r="B30" s="37">
        <f>'P1 Catchment Projections'!I53+'P1 Catchment Projections'!I54+'P1 Catchment Projections'!I55+'P1 Catchment Projections'!I56</f>
        <v>189</v>
      </c>
      <c r="C30" s="34">
        <f t="shared" si="6"/>
        <v>181</v>
      </c>
      <c r="D30" s="34">
        <f t="shared" si="7"/>
        <v>163</v>
      </c>
      <c r="E30" s="34">
        <f t="shared" si="8"/>
        <v>148</v>
      </c>
      <c r="F30" s="34">
        <f t="shared" si="9"/>
        <v>159</v>
      </c>
      <c r="G30" s="34">
        <f t="shared" si="10"/>
        <v>154</v>
      </c>
      <c r="H30" s="34">
        <f t="shared" si="11"/>
        <v>172</v>
      </c>
      <c r="I30" s="99">
        <f t="shared" si="12"/>
        <v>186</v>
      </c>
      <c r="K30" s="59"/>
      <c r="L30" s="59"/>
      <c r="Z30" s="109"/>
      <c r="AA30" s="109"/>
    </row>
    <row r="31" spans="1:27" x14ac:dyDescent="0.25">
      <c r="A31" s="25">
        <f t="shared" si="13"/>
        <v>2026</v>
      </c>
      <c r="B31" s="37">
        <f>'P1 Catchment Projections'!J53+'P1 Catchment Projections'!J54+'P1 Catchment Projections'!J55+'P1 Catchment Projections'!J56</f>
        <v>192</v>
      </c>
      <c r="C31" s="34">
        <f t="shared" si="6"/>
        <v>181</v>
      </c>
      <c r="D31" s="34">
        <f t="shared" si="7"/>
        <v>167</v>
      </c>
      <c r="E31" s="34">
        <f t="shared" si="8"/>
        <v>157</v>
      </c>
      <c r="F31" s="34">
        <f t="shared" si="9"/>
        <v>145</v>
      </c>
      <c r="G31" s="34">
        <f t="shared" si="10"/>
        <v>159</v>
      </c>
      <c r="H31" s="34">
        <f t="shared" si="11"/>
        <v>152</v>
      </c>
      <c r="I31" s="99">
        <f t="shared" si="12"/>
        <v>185</v>
      </c>
      <c r="K31" s="59"/>
      <c r="L31" s="59"/>
      <c r="Z31" s="109"/>
      <c r="AA31" s="109"/>
    </row>
    <row r="32" spans="1:27" x14ac:dyDescent="0.25">
      <c r="A32" s="25">
        <f t="shared" si="13"/>
        <v>2027</v>
      </c>
      <c r="B32" s="37">
        <f>'P1 Catchment Projections'!K53+'P1 Catchment Projections'!K54+'P1 Catchment Projections'!K55+'P1 Catchment Projections'!K56</f>
        <v>193</v>
      </c>
      <c r="C32" s="34">
        <f t="shared" si="6"/>
        <v>184</v>
      </c>
      <c r="D32" s="34">
        <f t="shared" si="7"/>
        <v>167</v>
      </c>
      <c r="E32" s="34">
        <f t="shared" si="8"/>
        <v>161</v>
      </c>
      <c r="F32" s="34">
        <f t="shared" si="9"/>
        <v>154</v>
      </c>
      <c r="G32" s="34">
        <f t="shared" si="10"/>
        <v>145</v>
      </c>
      <c r="H32" s="34">
        <f t="shared" si="11"/>
        <v>157</v>
      </c>
      <c r="I32" s="99">
        <f t="shared" si="12"/>
        <v>164</v>
      </c>
      <c r="K32" s="59"/>
      <c r="L32" s="59"/>
      <c r="Z32" s="109"/>
      <c r="AA32" s="109"/>
    </row>
    <row r="33" spans="1:24" x14ac:dyDescent="0.25">
      <c r="A33" s="25">
        <f t="shared" si="13"/>
        <v>2028</v>
      </c>
      <c r="B33" s="37">
        <f>'P1 Catchment Projections'!L53+'P1 Catchment Projections'!L54+'P1 Catchment Projections'!L55+'P1 Catchment Projections'!L56</f>
        <v>193</v>
      </c>
      <c r="C33" s="34">
        <f t="shared" si="6"/>
        <v>185</v>
      </c>
      <c r="D33" s="34">
        <f t="shared" si="7"/>
        <v>169</v>
      </c>
      <c r="E33" s="34">
        <f t="shared" si="8"/>
        <v>161</v>
      </c>
      <c r="F33" s="34">
        <f t="shared" si="9"/>
        <v>158</v>
      </c>
      <c r="G33" s="34">
        <f t="shared" si="10"/>
        <v>154</v>
      </c>
      <c r="H33" s="34">
        <f t="shared" si="11"/>
        <v>143</v>
      </c>
      <c r="I33" s="99">
        <f t="shared" si="12"/>
        <v>169</v>
      </c>
      <c r="K33" s="59"/>
      <c r="L33" s="59"/>
    </row>
    <row r="34" spans="1:24" x14ac:dyDescent="0.25">
      <c r="A34" s="25">
        <f t="shared" si="13"/>
        <v>2029</v>
      </c>
      <c r="B34" s="37">
        <f>'P1 Catchment Projections'!M53+'P1 Catchment Projections'!M54+'P1 Catchment Projections'!M55+'P1 Catchment Projections'!M56</f>
        <v>193</v>
      </c>
      <c r="C34" s="34">
        <f t="shared" si="6"/>
        <v>185</v>
      </c>
      <c r="D34" s="34">
        <f t="shared" si="7"/>
        <v>170</v>
      </c>
      <c r="E34" s="34">
        <f t="shared" si="8"/>
        <v>163</v>
      </c>
      <c r="F34" s="34">
        <f t="shared" si="9"/>
        <v>158</v>
      </c>
      <c r="G34" s="34">
        <f t="shared" si="10"/>
        <v>158</v>
      </c>
      <c r="H34" s="34">
        <f t="shared" si="11"/>
        <v>152</v>
      </c>
      <c r="I34" s="99">
        <f t="shared" si="12"/>
        <v>154</v>
      </c>
      <c r="K34" s="59"/>
      <c r="L34" s="59"/>
    </row>
    <row r="35" spans="1:24" x14ac:dyDescent="0.25">
      <c r="A35" s="25">
        <f t="shared" si="13"/>
        <v>2030</v>
      </c>
      <c r="B35" s="37">
        <f>'P1 Catchment Projections'!N53+'P1 Catchment Projections'!N54+'P1 Catchment Projections'!N55+'P1 Catchment Projections'!N56</f>
        <v>193</v>
      </c>
      <c r="C35" s="34">
        <f t="shared" si="6"/>
        <v>185</v>
      </c>
      <c r="D35" s="34">
        <f t="shared" si="7"/>
        <v>170</v>
      </c>
      <c r="E35" s="34">
        <f t="shared" si="8"/>
        <v>163</v>
      </c>
      <c r="F35" s="34">
        <f t="shared" si="9"/>
        <v>160</v>
      </c>
      <c r="G35" s="34">
        <f t="shared" si="10"/>
        <v>158</v>
      </c>
      <c r="H35" s="34">
        <f t="shared" si="11"/>
        <v>156</v>
      </c>
      <c r="I35" s="99">
        <f t="shared" si="12"/>
        <v>164</v>
      </c>
      <c r="K35" s="59"/>
      <c r="L35" s="59"/>
    </row>
    <row r="36" spans="1:24" x14ac:dyDescent="0.25">
      <c r="A36" s="25">
        <f t="shared" si="13"/>
        <v>2031</v>
      </c>
      <c r="B36" s="37">
        <f>'P1 Catchment Projections'!O53+'P1 Catchment Projections'!O54+'P1 Catchment Projections'!O55+'P1 Catchment Projections'!O56</f>
        <v>193</v>
      </c>
      <c r="C36" s="34">
        <f t="shared" si="6"/>
        <v>185</v>
      </c>
      <c r="D36" s="34">
        <f t="shared" si="7"/>
        <v>170</v>
      </c>
      <c r="E36" s="34">
        <f t="shared" si="8"/>
        <v>163</v>
      </c>
      <c r="F36" s="34">
        <f t="shared" si="9"/>
        <v>160</v>
      </c>
      <c r="G36" s="34">
        <f t="shared" si="10"/>
        <v>160</v>
      </c>
      <c r="H36" s="34">
        <f t="shared" si="11"/>
        <v>156</v>
      </c>
      <c r="I36" s="99">
        <f t="shared" si="12"/>
        <v>168</v>
      </c>
      <c r="K36" s="59"/>
      <c r="L36" s="59"/>
    </row>
    <row r="37" spans="1:24" x14ac:dyDescent="0.25">
      <c r="A37" s="25">
        <f t="shared" si="13"/>
        <v>2032</v>
      </c>
      <c r="B37" s="37">
        <f>'P1 Catchment Projections'!P53+'P1 Catchment Projections'!P54+'P1 Catchment Projections'!P55+'P1 Catchment Projections'!P56</f>
        <v>193</v>
      </c>
      <c r="C37" s="34">
        <f t="shared" si="6"/>
        <v>185</v>
      </c>
      <c r="D37" s="34">
        <f t="shared" si="7"/>
        <v>170</v>
      </c>
      <c r="E37" s="34">
        <f t="shared" si="8"/>
        <v>163</v>
      </c>
      <c r="F37" s="34">
        <f t="shared" si="9"/>
        <v>160</v>
      </c>
      <c r="G37" s="34">
        <f t="shared" si="10"/>
        <v>160</v>
      </c>
      <c r="H37" s="34">
        <f t="shared" si="11"/>
        <v>158</v>
      </c>
      <c r="I37" s="99">
        <f t="shared" si="12"/>
        <v>168</v>
      </c>
      <c r="K37" s="59"/>
      <c r="L37" s="59"/>
    </row>
    <row r="38" spans="1:24" x14ac:dyDescent="0.25">
      <c r="K38" s="59"/>
      <c r="L38" s="59"/>
    </row>
    <row r="39" spans="1:24" x14ac:dyDescent="0.25">
      <c r="A39" s="21" t="s">
        <v>388</v>
      </c>
      <c r="K39" s="394" t="s">
        <v>190</v>
      </c>
      <c r="L39" s="55"/>
      <c r="M39" s="394" t="s">
        <v>203</v>
      </c>
      <c r="N39" s="106"/>
      <c r="O39" s="395" t="s">
        <v>204</v>
      </c>
      <c r="R39" s="21" t="s">
        <v>280</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212</v>
      </c>
      <c r="C41" s="34">
        <f>C24+VLOOKUP($A$1,'Pri Housing Generation'!$A$96:$DQ$118, 11, FALSE)</f>
        <v>204</v>
      </c>
      <c r="D41" s="42">
        <f>D24+VLOOKUP($A$1,'Pri Housing Generation'!$A$96:$DQ$118, 12, FALSE)</f>
        <v>173</v>
      </c>
      <c r="E41" s="43">
        <f>E24+VLOOKUP($A$1,'Pri Housing Generation'!$A$96:$DQ$118, 13, FALSE)</f>
        <v>155</v>
      </c>
      <c r="F41" s="41">
        <f>F24+VLOOKUP($A$1,'Pri Housing Generation'!$A$96:$DQ$118, 14, FALSE)</f>
        <v>177</v>
      </c>
      <c r="G41" s="42">
        <f>G24+VLOOKUP($A$1,'Pri Housing Generation'!$A$96:$DQ$118, 15, FALSE)</f>
        <v>189</v>
      </c>
      <c r="H41" s="43">
        <f>H24+VLOOKUP($A$1,'Pri Housing Generation'!$A$96:$DQ$118, 16, FALSE)</f>
        <v>186</v>
      </c>
      <c r="I41" s="99">
        <f>ROUNDUP((H18-(H18*$I$20)),0)</f>
        <v>202</v>
      </c>
      <c r="K41" s="35">
        <f>'Sec Housing Generation'!I16</f>
        <v>1</v>
      </c>
      <c r="L41" s="83"/>
      <c r="M41" s="107">
        <f t="shared" ref="M41:M54" si="14">$K$20</f>
        <v>0.77077369016958996</v>
      </c>
      <c r="O41" s="35">
        <f t="shared" ref="O41:O54" si="15">ROUNDUP(((I41+K41)*M41),0)</f>
        <v>157</v>
      </c>
      <c r="Q41" s="25">
        <f>A41</f>
        <v>2019</v>
      </c>
      <c r="R41" s="20">
        <f t="shared" ref="R41:R54" si="16">IF(O41&lt;$C$7,(IF((O41+$O$20)&gt;$C$7,$C$7,(O41+$O$20))),(IF((O41+$O$20)&lt;(CEILING((O41),20)),(O41+$O$20),(CEILING((O41),20)))))</f>
        <v>180</v>
      </c>
      <c r="S41" s="53">
        <f>R18</f>
        <v>165</v>
      </c>
      <c r="T41" s="67">
        <f>S18</f>
        <v>155</v>
      </c>
      <c r="U41" s="69">
        <f>T18</f>
        <v>148</v>
      </c>
      <c r="V41" s="41">
        <f>ROUNDUP((U18-(U18*$V$20)),0)</f>
        <v>146</v>
      </c>
      <c r="W41" s="42">
        <f>ROUNDUP((V18-(V18*$W$20)),0)</f>
        <v>116</v>
      </c>
      <c r="X41" s="101">
        <f t="shared" ref="X41:X54" si="17">SUM(R41:W41)</f>
        <v>910</v>
      </c>
    </row>
    <row r="42" spans="1:24" x14ac:dyDescent="0.25">
      <c r="A42" s="25">
        <f t="shared" ref="A42:A54" si="18">A25</f>
        <v>2020</v>
      </c>
      <c r="B42" s="37">
        <f>B25+VLOOKUP($A$1,'Pri Housing Generation'!$A$96:$DQ$118, 18, FALSE)</f>
        <v>188</v>
      </c>
      <c r="C42" s="34">
        <f>C25+VLOOKUP($A$1,'Pri Housing Generation'!$A$96:$DQ$118, 19, FALSE)</f>
        <v>204</v>
      </c>
      <c r="D42" s="34">
        <f>D25+VLOOKUP($A$1,'Pri Housing Generation'!$A$96:$DQ$118, 20, FALSE)</f>
        <v>189</v>
      </c>
      <c r="E42" s="42">
        <f>E25+VLOOKUP($A$1,'Pri Housing Generation'!$A$96:$DQ$118, 21, FALSE)</f>
        <v>167</v>
      </c>
      <c r="F42" s="43">
        <f>F25+VLOOKUP($A$1,'Pri Housing Generation'!$A$96:$DQ$118, 22, FALSE)</f>
        <v>152</v>
      </c>
      <c r="G42" s="41">
        <f>G25+VLOOKUP($A$1,'Pri Housing Generation'!$A$96:$DQ$118, 23, FALSE)</f>
        <v>178</v>
      </c>
      <c r="H42" s="42">
        <f>H25+VLOOKUP($A$1,'Pri Housing Generation'!$A$96:$DQ$118, 24, FALSE)</f>
        <v>187</v>
      </c>
      <c r="I42" s="99">
        <f t="shared" ref="I42:I54" si="19">ROUNDUP((H41-(H41*$I$20)),0)</f>
        <v>200</v>
      </c>
      <c r="K42" s="35">
        <f>'Sec Housing Generation'!P16</f>
        <v>1</v>
      </c>
      <c r="L42" s="83"/>
      <c r="M42" s="107">
        <f t="shared" si="14"/>
        <v>0.77077369016958996</v>
      </c>
      <c r="O42" s="35">
        <f t="shared" si="15"/>
        <v>155</v>
      </c>
      <c r="Q42" s="25">
        <f t="shared" ref="Q42:Q54" si="20">A42</f>
        <v>2020</v>
      </c>
      <c r="R42" s="20">
        <f t="shared" si="16"/>
        <v>180</v>
      </c>
      <c r="S42" s="53">
        <f t="shared" ref="S42:U54" si="21">R41</f>
        <v>180</v>
      </c>
      <c r="T42" s="53">
        <f t="shared" si="21"/>
        <v>165</v>
      </c>
      <c r="U42" s="67">
        <f t="shared" si="21"/>
        <v>155</v>
      </c>
      <c r="V42" s="43">
        <f t="shared" ref="V42:V54" si="22">ROUNDUP((U41-(U41*$V$20)),0)</f>
        <v>139</v>
      </c>
      <c r="W42" s="41">
        <f t="shared" ref="W42:W54" si="23">ROUNDUP((V41-(V41*$W$20)),0)</f>
        <v>113</v>
      </c>
      <c r="X42" s="101">
        <f t="shared" si="17"/>
        <v>932</v>
      </c>
    </row>
    <row r="43" spans="1:24" x14ac:dyDescent="0.25">
      <c r="A43" s="25">
        <f t="shared" si="18"/>
        <v>2021</v>
      </c>
      <c r="B43" s="37">
        <f>B26+VLOOKUP($A$1,'Pri Housing Generation'!$A$96:$DQ$118, 26, FALSE)</f>
        <v>195</v>
      </c>
      <c r="C43" s="34">
        <f>C26+VLOOKUP($A$1,'Pri Housing Generation'!$A$96:$DQ$118, 27, FALSE)</f>
        <v>181</v>
      </c>
      <c r="D43" s="34">
        <f>D26+VLOOKUP($A$1,'Pri Housing Generation'!$A$96:$DQ$118, 28, FALSE)</f>
        <v>189</v>
      </c>
      <c r="E43" s="34">
        <f>E26+VLOOKUP($A$1,'Pri Housing Generation'!$A$96:$DQ$118, 29, FALSE)</f>
        <v>183</v>
      </c>
      <c r="F43" s="42">
        <f>F26+VLOOKUP($A$1,'Pri Housing Generation'!$A$96:$DQ$118, 30, FALSE)</f>
        <v>165</v>
      </c>
      <c r="G43" s="43">
        <f>G26+VLOOKUP($A$1,'Pri Housing Generation'!$A$96:$DQ$118, 31, FALSE)</f>
        <v>154</v>
      </c>
      <c r="H43" s="41">
        <f>H26+VLOOKUP($A$1,'Pri Housing Generation'!$A$96:$DQ$118, 32, FALSE)</f>
        <v>177</v>
      </c>
      <c r="I43" s="99">
        <f t="shared" si="19"/>
        <v>201</v>
      </c>
      <c r="K43" s="35">
        <f>'Sec Housing Generation'!W16</f>
        <v>2</v>
      </c>
      <c r="L43" s="83"/>
      <c r="M43" s="107">
        <f t="shared" si="14"/>
        <v>0.77077369016958996</v>
      </c>
      <c r="O43" s="35">
        <f t="shared" si="15"/>
        <v>157</v>
      </c>
      <c r="Q43" s="25">
        <f t="shared" si="20"/>
        <v>2021</v>
      </c>
      <c r="R43" s="20">
        <f t="shared" si="16"/>
        <v>180</v>
      </c>
      <c r="S43" s="53">
        <f t="shared" si="21"/>
        <v>180</v>
      </c>
      <c r="T43" s="53">
        <f t="shared" si="21"/>
        <v>180</v>
      </c>
      <c r="U43" s="53">
        <f t="shared" si="21"/>
        <v>165</v>
      </c>
      <c r="V43" s="42">
        <f t="shared" si="22"/>
        <v>145</v>
      </c>
      <c r="W43" s="43">
        <f t="shared" si="23"/>
        <v>108</v>
      </c>
      <c r="X43" s="101">
        <f t="shared" si="17"/>
        <v>958</v>
      </c>
    </row>
    <row r="44" spans="1:24" x14ac:dyDescent="0.25">
      <c r="A44" s="25">
        <f t="shared" si="18"/>
        <v>2022</v>
      </c>
      <c r="B44" s="37">
        <f>B27+VLOOKUP($A$1,'Pri Housing Generation'!$A$96:$DQ$118, 34, FALSE)</f>
        <v>181</v>
      </c>
      <c r="C44" s="34">
        <f>C27+VLOOKUP($A$1,'Pri Housing Generation'!$A$96:$DQ$118, 35, FALSE)</f>
        <v>188</v>
      </c>
      <c r="D44" s="34">
        <f>D27+VLOOKUP($A$1,'Pri Housing Generation'!$A$96:$DQ$118, 36, FALSE)</f>
        <v>168</v>
      </c>
      <c r="E44" s="34">
        <f>E27+VLOOKUP($A$1,'Pri Housing Generation'!$A$96:$DQ$118, 37, FALSE)</f>
        <v>183</v>
      </c>
      <c r="F44" s="34">
        <f>F27+VLOOKUP($A$1,'Pri Housing Generation'!$A$96:$DQ$118, 38, FALSE)</f>
        <v>180</v>
      </c>
      <c r="G44" s="42">
        <f>G27+VLOOKUP($A$1,'Pri Housing Generation'!$A$96:$DQ$118, 39, FALSE)</f>
        <v>167</v>
      </c>
      <c r="H44" s="43">
        <f>H27+VLOOKUP($A$1,'Pri Housing Generation'!$A$96:$DQ$118, 40, FALSE)</f>
        <v>153</v>
      </c>
      <c r="I44" s="99">
        <f t="shared" si="19"/>
        <v>190</v>
      </c>
      <c r="K44" s="35">
        <f>'Sec Housing Generation'!AD16</f>
        <v>3</v>
      </c>
      <c r="L44" s="83"/>
      <c r="M44" s="107">
        <f t="shared" si="14"/>
        <v>0.77077369016958996</v>
      </c>
      <c r="O44" s="35">
        <f t="shared" si="15"/>
        <v>149</v>
      </c>
      <c r="Q44" s="25">
        <f t="shared" si="20"/>
        <v>2022</v>
      </c>
      <c r="R44" s="20">
        <f t="shared" si="16"/>
        <v>178</v>
      </c>
      <c r="S44" s="53">
        <f t="shared" si="21"/>
        <v>180</v>
      </c>
      <c r="T44" s="53">
        <f t="shared" si="21"/>
        <v>180</v>
      </c>
      <c r="U44" s="53">
        <f t="shared" si="21"/>
        <v>180</v>
      </c>
      <c r="V44" s="34">
        <f t="shared" si="22"/>
        <v>154</v>
      </c>
      <c r="W44" s="42">
        <f t="shared" si="23"/>
        <v>112</v>
      </c>
      <c r="X44" s="101">
        <f t="shared" si="17"/>
        <v>984</v>
      </c>
    </row>
    <row r="45" spans="1:24" x14ac:dyDescent="0.25">
      <c r="A45" s="25">
        <f t="shared" si="18"/>
        <v>2023</v>
      </c>
      <c r="B45" s="37">
        <f>B28+VLOOKUP($A$1,'Pri Housing Generation'!$A$96:$DQ$118, 42, FALSE)</f>
        <v>194</v>
      </c>
      <c r="C45" s="34">
        <f>C28+VLOOKUP($A$1,'Pri Housing Generation'!$A$96:$DQ$118, 43, FALSE)</f>
        <v>175</v>
      </c>
      <c r="D45" s="34">
        <f>D28+VLOOKUP($A$1,'Pri Housing Generation'!$A$96:$DQ$118, 44, FALSE)</f>
        <v>175</v>
      </c>
      <c r="E45" s="34">
        <f>E28+VLOOKUP($A$1,'Pri Housing Generation'!$A$96:$DQ$118, 45, FALSE)</f>
        <v>163</v>
      </c>
      <c r="F45" s="34">
        <f>F28+VLOOKUP($A$1,'Pri Housing Generation'!$A$96:$DQ$118, 46, FALSE)</f>
        <v>180</v>
      </c>
      <c r="G45" s="34">
        <f>G28+VLOOKUP($A$1,'Pri Housing Generation'!$A$96:$DQ$118, 47, FALSE)</f>
        <v>181</v>
      </c>
      <c r="H45" s="42">
        <f>H28+VLOOKUP($A$1,'Pri Housing Generation'!$A$96:$DQ$118, 48, FALSE)</f>
        <v>166</v>
      </c>
      <c r="I45" s="99">
        <f t="shared" si="19"/>
        <v>165</v>
      </c>
      <c r="J45" s="181"/>
      <c r="K45" s="35">
        <f>'Sec Housing Generation'!AK16</f>
        <v>4</v>
      </c>
      <c r="L45" s="83"/>
      <c r="M45" s="107">
        <f t="shared" si="14"/>
        <v>0.77077369016958996</v>
      </c>
      <c r="O45" s="35">
        <f t="shared" si="15"/>
        <v>131</v>
      </c>
      <c r="Q45" s="25">
        <f t="shared" si="20"/>
        <v>2023</v>
      </c>
      <c r="R45" s="20">
        <f t="shared" si="16"/>
        <v>160</v>
      </c>
      <c r="S45" s="53">
        <f t="shared" si="21"/>
        <v>178</v>
      </c>
      <c r="T45" s="53">
        <f t="shared" si="21"/>
        <v>180</v>
      </c>
      <c r="U45" s="53">
        <f t="shared" si="21"/>
        <v>180</v>
      </c>
      <c r="V45" s="34">
        <f t="shared" si="22"/>
        <v>168</v>
      </c>
      <c r="W45" s="34">
        <f t="shared" si="23"/>
        <v>119</v>
      </c>
      <c r="X45" s="101">
        <f t="shared" si="17"/>
        <v>985</v>
      </c>
    </row>
    <row r="46" spans="1:24" x14ac:dyDescent="0.25">
      <c r="A46" s="25">
        <f t="shared" si="18"/>
        <v>2024</v>
      </c>
      <c r="B46" s="37">
        <f>B29+VLOOKUP($A$1,'Pri Housing Generation'!$A$96:$DQ$118, 50, FALSE)</f>
        <v>200</v>
      </c>
      <c r="C46" s="34">
        <f>C29+VLOOKUP($A$1,'Pri Housing Generation'!$A$96:$DQ$118, 51, FALSE)</f>
        <v>188</v>
      </c>
      <c r="D46" s="34">
        <f>D29+VLOOKUP($A$1,'Pri Housing Generation'!$A$96:$DQ$118, 52, FALSE)</f>
        <v>163</v>
      </c>
      <c r="E46" s="34">
        <f>E29+VLOOKUP($A$1,'Pri Housing Generation'!$A$96:$DQ$118, 53, FALSE)</f>
        <v>171</v>
      </c>
      <c r="F46" s="34">
        <f>F29+VLOOKUP($A$1,'Pri Housing Generation'!$A$96:$DQ$118, 54, FALSE)</f>
        <v>163</v>
      </c>
      <c r="G46" s="34">
        <f>G29+VLOOKUP($A$1,'Pri Housing Generation'!$A$96:$DQ$118, 55, FALSE)</f>
        <v>183</v>
      </c>
      <c r="H46" s="34">
        <f>H29+VLOOKUP($A$1,'Pri Housing Generation'!$A$96:$DQ$118, 56, FALSE)</f>
        <v>181</v>
      </c>
      <c r="I46" s="99">
        <f t="shared" si="19"/>
        <v>179</v>
      </c>
      <c r="J46" s="181"/>
      <c r="K46" s="35">
        <f>'Sec Housing Generation'!AR16</f>
        <v>5</v>
      </c>
      <c r="L46" s="83"/>
      <c r="M46" s="107">
        <f>K20</f>
        <v>0.77077369016958996</v>
      </c>
      <c r="O46" s="35">
        <f t="shared" si="15"/>
        <v>142</v>
      </c>
      <c r="Q46" s="25">
        <f t="shared" si="20"/>
        <v>2024</v>
      </c>
      <c r="R46" s="20">
        <f t="shared" si="16"/>
        <v>171</v>
      </c>
      <c r="S46" s="53">
        <f t="shared" si="21"/>
        <v>160</v>
      </c>
      <c r="T46" s="53">
        <f t="shared" si="21"/>
        <v>178</v>
      </c>
      <c r="U46" s="53">
        <f t="shared" si="21"/>
        <v>180</v>
      </c>
      <c r="V46" s="34">
        <f t="shared" si="22"/>
        <v>168</v>
      </c>
      <c r="W46" s="34">
        <f t="shared" si="23"/>
        <v>130</v>
      </c>
      <c r="X46" s="101">
        <f t="shared" si="17"/>
        <v>987</v>
      </c>
    </row>
    <row r="47" spans="1:24" x14ac:dyDescent="0.25">
      <c r="A47" s="25">
        <f t="shared" si="18"/>
        <v>2025</v>
      </c>
      <c r="B47" s="37">
        <f>B30+VLOOKUP($A$1,'Pri Housing Generation'!$A$96:$DQ$118, 58, FALSE)</f>
        <v>203</v>
      </c>
      <c r="C47" s="34">
        <f>C30+VLOOKUP($A$1,'Pri Housing Generation'!$A$96:$DQ$118, 59, FALSE)</f>
        <v>195</v>
      </c>
      <c r="D47" s="34">
        <f>D30+VLOOKUP($A$1,'Pri Housing Generation'!$A$96:$DQ$118, 60, FALSE)</f>
        <v>175</v>
      </c>
      <c r="E47" s="34">
        <f>E30+VLOOKUP($A$1,'Pri Housing Generation'!$A$96:$DQ$118, 61, FALSE)</f>
        <v>160</v>
      </c>
      <c r="F47" s="34">
        <f>F30+VLOOKUP($A$1,'Pri Housing Generation'!$A$96:$DQ$118, 62, FALSE)</f>
        <v>170</v>
      </c>
      <c r="G47" s="34">
        <f>G30+VLOOKUP($A$1,'Pri Housing Generation'!$A$96:$DQ$118, 63, FALSE)</f>
        <v>165</v>
      </c>
      <c r="H47" s="34">
        <f>H30+VLOOKUP($A$1,'Pri Housing Generation'!$A$96:$DQ$118, 64, FALSE)</f>
        <v>183</v>
      </c>
      <c r="I47" s="99">
        <f t="shared" si="19"/>
        <v>195</v>
      </c>
      <c r="J47" s="181"/>
      <c r="K47" s="235"/>
      <c r="L47" s="83"/>
      <c r="M47" s="107">
        <f t="shared" si="14"/>
        <v>0.77077369016958996</v>
      </c>
      <c r="O47" s="35">
        <f t="shared" si="15"/>
        <v>151</v>
      </c>
      <c r="Q47" s="25">
        <f t="shared" si="20"/>
        <v>2025</v>
      </c>
      <c r="R47" s="20">
        <f t="shared" si="16"/>
        <v>180</v>
      </c>
      <c r="S47" s="53">
        <f t="shared" si="21"/>
        <v>171</v>
      </c>
      <c r="T47" s="53">
        <f t="shared" si="21"/>
        <v>160</v>
      </c>
      <c r="U47" s="53">
        <f t="shared" si="21"/>
        <v>178</v>
      </c>
      <c r="V47" s="34">
        <f t="shared" si="22"/>
        <v>168</v>
      </c>
      <c r="W47" s="34">
        <f t="shared" si="23"/>
        <v>130</v>
      </c>
      <c r="X47" s="101">
        <f t="shared" si="17"/>
        <v>987</v>
      </c>
    </row>
    <row r="48" spans="1:24" x14ac:dyDescent="0.25">
      <c r="A48" s="25">
        <f t="shared" si="18"/>
        <v>2026</v>
      </c>
      <c r="B48" s="37">
        <f>B31+VLOOKUP($A$1,'Pri Housing Generation'!$A$96:$DQ$118, 66, FALSE)</f>
        <v>208</v>
      </c>
      <c r="C48" s="34">
        <f>C31+VLOOKUP($A$1,'Pri Housing Generation'!$A$96:$DQ$118, 67, FALSE)</f>
        <v>197</v>
      </c>
      <c r="D48" s="34">
        <f>D31+VLOOKUP($A$1,'Pri Housing Generation'!$A$96:$DQ$118, 68, FALSE)</f>
        <v>182</v>
      </c>
      <c r="E48" s="34">
        <f>E31+VLOOKUP($A$1,'Pri Housing Generation'!$A$96:$DQ$118, 69, FALSE)</f>
        <v>172</v>
      </c>
      <c r="F48" s="34">
        <f>F31+VLOOKUP($A$1,'Pri Housing Generation'!$A$96:$DQ$118, 70, FALSE)</f>
        <v>160</v>
      </c>
      <c r="G48" s="34">
        <f>G31+VLOOKUP($A$1,'Pri Housing Generation'!$A$96:$DQ$118, 71, FALSE)</f>
        <v>173</v>
      </c>
      <c r="H48" s="34">
        <f>H31+VLOOKUP($A$1,'Pri Housing Generation'!$A$96:$DQ$118, 72, FALSE)</f>
        <v>165</v>
      </c>
      <c r="I48" s="99">
        <f t="shared" si="19"/>
        <v>197</v>
      </c>
      <c r="J48" s="181"/>
      <c r="K48" s="83"/>
      <c r="L48" s="83"/>
      <c r="M48" s="107">
        <f t="shared" si="14"/>
        <v>0.77077369016958996</v>
      </c>
      <c r="O48" s="35">
        <f t="shared" si="15"/>
        <v>152</v>
      </c>
      <c r="Q48" s="25">
        <f t="shared" si="20"/>
        <v>2026</v>
      </c>
      <c r="R48" s="20">
        <f t="shared" si="16"/>
        <v>180</v>
      </c>
      <c r="S48" s="53">
        <f t="shared" si="21"/>
        <v>180</v>
      </c>
      <c r="T48" s="53">
        <f t="shared" si="21"/>
        <v>171</v>
      </c>
      <c r="U48" s="53">
        <f t="shared" si="21"/>
        <v>160</v>
      </c>
      <c r="V48" s="34">
        <f t="shared" si="22"/>
        <v>167</v>
      </c>
      <c r="W48" s="34">
        <f t="shared" si="23"/>
        <v>130</v>
      </c>
      <c r="X48" s="101">
        <f t="shared" si="17"/>
        <v>988</v>
      </c>
    </row>
    <row r="49" spans="1:24" x14ac:dyDescent="0.25">
      <c r="A49" s="25">
        <f t="shared" si="18"/>
        <v>2027</v>
      </c>
      <c r="B49" s="37">
        <f>B32+VLOOKUP($A$1,'Pri Housing Generation'!$A$96:$DQ$118, 74, FALSE)</f>
        <v>213</v>
      </c>
      <c r="C49" s="34">
        <f>C32+VLOOKUP($A$1,'Pri Housing Generation'!$A$96:$DQ$118, 75, FALSE)</f>
        <v>203</v>
      </c>
      <c r="D49" s="34">
        <f>D32+VLOOKUP($A$1,'Pri Housing Generation'!$A$96:$DQ$118, 76, FALSE)</f>
        <v>184</v>
      </c>
      <c r="E49" s="34">
        <f>E32+VLOOKUP($A$1,'Pri Housing Generation'!$A$96:$DQ$118, 77, FALSE)</f>
        <v>178</v>
      </c>
      <c r="F49" s="34">
        <f>F32+VLOOKUP($A$1,'Pri Housing Generation'!$A$96:$DQ$118, 78, FALSE)</f>
        <v>171</v>
      </c>
      <c r="G49" s="34">
        <f>G32+VLOOKUP($A$1,'Pri Housing Generation'!$A$96:$DQ$118, 79, FALSE)</f>
        <v>162</v>
      </c>
      <c r="H49" s="34">
        <f>H32+VLOOKUP($A$1,'Pri Housing Generation'!$A$96:$DQ$118, 80, FALSE)</f>
        <v>174</v>
      </c>
      <c r="I49" s="99">
        <f t="shared" si="19"/>
        <v>177</v>
      </c>
      <c r="J49" s="181"/>
      <c r="K49" s="83"/>
      <c r="L49" s="83"/>
      <c r="M49" s="107">
        <f t="shared" si="14"/>
        <v>0.77077369016958996</v>
      </c>
      <c r="O49" s="35">
        <f t="shared" si="15"/>
        <v>137</v>
      </c>
      <c r="Q49" s="25">
        <f t="shared" si="20"/>
        <v>2027</v>
      </c>
      <c r="R49" s="20">
        <f t="shared" si="16"/>
        <v>166</v>
      </c>
      <c r="S49" s="53">
        <f t="shared" si="21"/>
        <v>180</v>
      </c>
      <c r="T49" s="53">
        <f t="shared" si="21"/>
        <v>180</v>
      </c>
      <c r="U49" s="53">
        <f t="shared" si="21"/>
        <v>171</v>
      </c>
      <c r="V49" s="34">
        <f t="shared" si="22"/>
        <v>150</v>
      </c>
      <c r="W49" s="34">
        <f t="shared" si="23"/>
        <v>129</v>
      </c>
      <c r="X49" s="101">
        <f t="shared" si="17"/>
        <v>976</v>
      </c>
    </row>
    <row r="50" spans="1:24" x14ac:dyDescent="0.25">
      <c r="A50" s="25">
        <f t="shared" si="18"/>
        <v>2028</v>
      </c>
      <c r="B50" s="37">
        <f>B33+VLOOKUP($A$1,'Pri Housing Generation'!$A$96:$DQ$118, 82, FALSE)</f>
        <v>215</v>
      </c>
      <c r="C50" s="34">
        <f>C33+VLOOKUP($A$1,'Pri Housing Generation'!$A$96:$DQ$118, 83, FALSE)</f>
        <v>206</v>
      </c>
      <c r="D50" s="34">
        <f>D33+VLOOKUP($A$1,'Pri Housing Generation'!$A$96:$DQ$118, 84, FALSE)</f>
        <v>189</v>
      </c>
      <c r="E50" s="34">
        <f>E33+VLOOKUP($A$1,'Pri Housing Generation'!$A$96:$DQ$118, 85, FALSE)</f>
        <v>180</v>
      </c>
      <c r="F50" s="34">
        <f>F33+VLOOKUP($A$1,'Pri Housing Generation'!$A$96:$DQ$118, 86, FALSE)</f>
        <v>177</v>
      </c>
      <c r="G50" s="34">
        <f>G33+VLOOKUP($A$1,'Pri Housing Generation'!$A$96:$DQ$118, 87, FALSE)</f>
        <v>173</v>
      </c>
      <c r="H50" s="34">
        <f>H33+VLOOKUP($A$1,'Pri Housing Generation'!$A$96:$DQ$118, 88, FALSE)</f>
        <v>162</v>
      </c>
      <c r="I50" s="99">
        <f t="shared" si="19"/>
        <v>187</v>
      </c>
      <c r="J50" s="181"/>
      <c r="K50" s="83"/>
      <c r="L50" s="83"/>
      <c r="M50" s="107">
        <f t="shared" si="14"/>
        <v>0.77077369016958996</v>
      </c>
      <c r="O50" s="35">
        <f t="shared" si="15"/>
        <v>145</v>
      </c>
      <c r="Q50" s="25">
        <f t="shared" si="20"/>
        <v>2028</v>
      </c>
      <c r="R50" s="20">
        <f t="shared" si="16"/>
        <v>174</v>
      </c>
      <c r="S50" s="53">
        <f t="shared" si="21"/>
        <v>166</v>
      </c>
      <c r="T50" s="53">
        <f t="shared" si="21"/>
        <v>180</v>
      </c>
      <c r="U50" s="53">
        <f t="shared" si="21"/>
        <v>180</v>
      </c>
      <c r="V50" s="34">
        <f t="shared" si="22"/>
        <v>160</v>
      </c>
      <c r="W50" s="34">
        <f t="shared" si="23"/>
        <v>116</v>
      </c>
      <c r="X50" s="101">
        <f t="shared" si="17"/>
        <v>976</v>
      </c>
    </row>
    <row r="51" spans="1:24" x14ac:dyDescent="0.25">
      <c r="A51" s="25">
        <f t="shared" si="18"/>
        <v>2029</v>
      </c>
      <c r="B51" s="37">
        <f>B34+VLOOKUP($A$1,'Pri Housing Generation'!$A$96:$DQ$118, 90, FALSE)</f>
        <v>217</v>
      </c>
      <c r="C51" s="34">
        <f>C34+VLOOKUP($A$1,'Pri Housing Generation'!$A$96:$DQ$118, 91, FALSE)</f>
        <v>207</v>
      </c>
      <c r="D51" s="34">
        <f>D34+VLOOKUP($A$1,'Pri Housing Generation'!$A$96:$DQ$118, 92, FALSE)</f>
        <v>191</v>
      </c>
      <c r="E51" s="34">
        <f>E34+VLOOKUP($A$1,'Pri Housing Generation'!$A$96:$DQ$118, 93, FALSE)</f>
        <v>184</v>
      </c>
      <c r="F51" s="34">
        <f>F34+VLOOKUP($A$1,'Pri Housing Generation'!$A$96:$DQ$118, 94, FALSE)</f>
        <v>179</v>
      </c>
      <c r="G51" s="34">
        <f>G34+VLOOKUP($A$1,'Pri Housing Generation'!$A$96:$DQ$118, 95, FALSE)</f>
        <v>179</v>
      </c>
      <c r="H51" s="34">
        <f>H34+VLOOKUP($A$1,'Pri Housing Generation'!$A$96:$DQ$118, 96, FALSE)</f>
        <v>173</v>
      </c>
      <c r="I51" s="99">
        <f t="shared" si="19"/>
        <v>174</v>
      </c>
      <c r="J51" s="181"/>
      <c r="K51" s="83"/>
      <c r="L51" s="83"/>
      <c r="M51" s="107">
        <f t="shared" si="14"/>
        <v>0.77077369016958996</v>
      </c>
      <c r="O51" s="35">
        <f t="shared" si="15"/>
        <v>135</v>
      </c>
      <c r="Q51" s="25">
        <f t="shared" si="20"/>
        <v>2029</v>
      </c>
      <c r="R51" s="20">
        <f t="shared" si="16"/>
        <v>164</v>
      </c>
      <c r="S51" s="53">
        <f t="shared" si="21"/>
        <v>174</v>
      </c>
      <c r="T51" s="53">
        <f t="shared" si="21"/>
        <v>166</v>
      </c>
      <c r="U51" s="53">
        <f t="shared" si="21"/>
        <v>180</v>
      </c>
      <c r="V51" s="34">
        <f t="shared" si="22"/>
        <v>168</v>
      </c>
      <c r="W51" s="34">
        <f t="shared" si="23"/>
        <v>124</v>
      </c>
      <c r="X51" s="101">
        <f t="shared" si="17"/>
        <v>976</v>
      </c>
    </row>
    <row r="52" spans="1:24" x14ac:dyDescent="0.25">
      <c r="A52" s="25">
        <f t="shared" si="18"/>
        <v>2030</v>
      </c>
      <c r="B52" s="37">
        <f>B35+VLOOKUP($A$1,'Pri Housing Generation'!$A$96:$DQ$118, 98, FALSE)</f>
        <v>217</v>
      </c>
      <c r="C52" s="34">
        <f>C35+VLOOKUP($A$1,'Pri Housing Generation'!$A$96:$DQ$118, 99, FALSE)</f>
        <v>208</v>
      </c>
      <c r="D52" s="34">
        <f>D35+VLOOKUP($A$1,'Pri Housing Generation'!$A$96:$DQ$118, 100, FALSE)</f>
        <v>193</v>
      </c>
      <c r="E52" s="34">
        <f>E35+VLOOKUP($A$1,'Pri Housing Generation'!$A$96:$DQ$118, 101, FALSE)</f>
        <v>186</v>
      </c>
      <c r="F52" s="34">
        <f>F35+VLOOKUP($A$1,'Pri Housing Generation'!$A$96:$DQ$118, 102, FALSE)</f>
        <v>183</v>
      </c>
      <c r="G52" s="34">
        <f>G35+VLOOKUP($A$1,'Pri Housing Generation'!$A$96:$DQ$118, 103, FALSE)</f>
        <v>181</v>
      </c>
      <c r="H52" s="34">
        <f>H35+VLOOKUP($A$1,'Pri Housing Generation'!$A$96:$DQ$118, 104, FALSE)</f>
        <v>178</v>
      </c>
      <c r="I52" s="99">
        <f t="shared" si="19"/>
        <v>186</v>
      </c>
      <c r="J52" s="54"/>
      <c r="K52" s="83"/>
      <c r="L52" s="83"/>
      <c r="M52" s="107">
        <f t="shared" si="14"/>
        <v>0.77077369016958996</v>
      </c>
      <c r="O52" s="35">
        <f t="shared" si="15"/>
        <v>144</v>
      </c>
      <c r="Q52" s="25">
        <f t="shared" si="20"/>
        <v>2030</v>
      </c>
      <c r="R52" s="20">
        <f t="shared" si="16"/>
        <v>173</v>
      </c>
      <c r="S52" s="53">
        <f t="shared" si="21"/>
        <v>164</v>
      </c>
      <c r="T52" s="53">
        <f t="shared" si="21"/>
        <v>174</v>
      </c>
      <c r="U52" s="53">
        <f t="shared" si="21"/>
        <v>166</v>
      </c>
      <c r="V52" s="34">
        <f t="shared" si="22"/>
        <v>168</v>
      </c>
      <c r="W52" s="34">
        <f t="shared" si="23"/>
        <v>130</v>
      </c>
      <c r="X52" s="101">
        <f t="shared" si="17"/>
        <v>975</v>
      </c>
    </row>
    <row r="53" spans="1:24" x14ac:dyDescent="0.25">
      <c r="A53" s="25">
        <f t="shared" si="18"/>
        <v>2031</v>
      </c>
      <c r="B53" s="37">
        <f>B36+VLOOKUP($A$1,'Pri Housing Generation'!$A$96:$DQ$118, 106, FALSE)</f>
        <v>219</v>
      </c>
      <c r="C53" s="34">
        <f>C36+VLOOKUP($A$1,'Pri Housing Generation'!$A$96:$DQ$118, 107, FALSE)</f>
        <v>210</v>
      </c>
      <c r="D53" s="34">
        <f>D36+VLOOKUP($A$1,'Pri Housing Generation'!$A$96:$DQ$118, 108, FALSE)</f>
        <v>195</v>
      </c>
      <c r="E53" s="34">
        <f>E36+VLOOKUP($A$1,'Pri Housing Generation'!$A$96:$DQ$118, 109, FALSE)</f>
        <v>188</v>
      </c>
      <c r="F53" s="34">
        <f>F36+VLOOKUP($A$1,'Pri Housing Generation'!$A$96:$DQ$118, 110, FALSE)</f>
        <v>184</v>
      </c>
      <c r="G53" s="34">
        <f>G36+VLOOKUP($A$1,'Pri Housing Generation'!$A$96:$DQ$118, 111, FALSE)</f>
        <v>184</v>
      </c>
      <c r="H53" s="34">
        <f>H36+VLOOKUP($A$1,'Pri Housing Generation'!$A$96:$DQ$118, 112, FALSE)</f>
        <v>180</v>
      </c>
      <c r="I53" s="99">
        <f t="shared" si="19"/>
        <v>191</v>
      </c>
      <c r="J53" s="54"/>
      <c r="K53" s="83"/>
      <c r="L53" s="83"/>
      <c r="M53" s="107">
        <f t="shared" si="14"/>
        <v>0.77077369016958996</v>
      </c>
      <c r="O53" s="35">
        <f t="shared" si="15"/>
        <v>148</v>
      </c>
      <c r="Q53" s="25">
        <f t="shared" si="20"/>
        <v>2031</v>
      </c>
      <c r="R53" s="20">
        <f t="shared" si="16"/>
        <v>177</v>
      </c>
      <c r="S53" s="53">
        <f t="shared" si="21"/>
        <v>173</v>
      </c>
      <c r="T53" s="53">
        <f t="shared" si="21"/>
        <v>164</v>
      </c>
      <c r="U53" s="53">
        <f t="shared" si="21"/>
        <v>174</v>
      </c>
      <c r="V53" s="34">
        <f t="shared" si="22"/>
        <v>155</v>
      </c>
      <c r="W53" s="34">
        <f t="shared" si="23"/>
        <v>130</v>
      </c>
      <c r="X53" s="101">
        <f t="shared" si="17"/>
        <v>973</v>
      </c>
    </row>
    <row r="54" spans="1:24" x14ac:dyDescent="0.25">
      <c r="A54" s="25">
        <f t="shared" si="18"/>
        <v>2032</v>
      </c>
      <c r="B54" s="37">
        <f>B37+VLOOKUP($A$1,'Pri Housing Generation'!$A$96:$DQ$118, 114, FALSE)</f>
        <v>221</v>
      </c>
      <c r="C54" s="34">
        <f>C37+VLOOKUP($A$1,'Pri Housing Generation'!$A$96:$DQ$118, 115, FALSE)</f>
        <v>212</v>
      </c>
      <c r="D54" s="34">
        <f>D37+VLOOKUP($A$1,'Pri Housing Generation'!$A$96:$DQ$118, 116, FALSE)</f>
        <v>196</v>
      </c>
      <c r="E54" s="34">
        <f>E37+VLOOKUP($A$1,'Pri Housing Generation'!$A$96:$DQ$118, 117, FALSE)</f>
        <v>189</v>
      </c>
      <c r="F54" s="34">
        <f>F37+VLOOKUP($A$1,'Pri Housing Generation'!$A$96:$DQ$118, 118, FALSE)</f>
        <v>186</v>
      </c>
      <c r="G54" s="34">
        <f>G37+VLOOKUP($A$1,'Pri Housing Generation'!$A$96:$DQ$118, 119, FALSE)</f>
        <v>186</v>
      </c>
      <c r="H54" s="34">
        <f>H37+VLOOKUP($A$1,'Pri Housing Generation'!$A$96:$DQ$118, 120, FALSE)</f>
        <v>184</v>
      </c>
      <c r="I54" s="99">
        <f t="shared" si="19"/>
        <v>194</v>
      </c>
      <c r="K54" s="83"/>
      <c r="L54" s="83"/>
      <c r="M54" s="107">
        <f t="shared" si="14"/>
        <v>0.77077369016958996</v>
      </c>
      <c r="O54" s="35">
        <f t="shared" si="15"/>
        <v>150</v>
      </c>
      <c r="Q54" s="25">
        <f t="shared" si="20"/>
        <v>2032</v>
      </c>
      <c r="R54" s="20">
        <f t="shared" si="16"/>
        <v>179</v>
      </c>
      <c r="S54" s="53">
        <f t="shared" si="21"/>
        <v>177</v>
      </c>
      <c r="T54" s="53">
        <f t="shared" si="21"/>
        <v>173</v>
      </c>
      <c r="U54" s="53">
        <f t="shared" si="21"/>
        <v>164</v>
      </c>
      <c r="V54" s="34">
        <f t="shared" si="22"/>
        <v>163</v>
      </c>
      <c r="W54" s="34">
        <f t="shared" si="23"/>
        <v>120</v>
      </c>
      <c r="X54" s="101">
        <f t="shared" si="17"/>
        <v>976</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G58" s="181"/>
      <c r="J58" s="131"/>
    </row>
    <row r="59" spans="1:24" x14ac:dyDescent="0.25">
      <c r="A59" s="21"/>
      <c r="G59" s="181"/>
      <c r="J59" s="131"/>
    </row>
    <row r="60" spans="1:24" ht="33" customHeight="1" x14ac:dyDescent="0.25">
      <c r="A60" s="136"/>
      <c r="B60" s="138" t="s">
        <v>225</v>
      </c>
      <c r="C60" s="413" t="s">
        <v>226</v>
      </c>
      <c r="D60" s="414"/>
      <c r="G60" s="181"/>
      <c r="I60" s="130"/>
    </row>
    <row r="61" spans="1:24" x14ac:dyDescent="0.25">
      <c r="A61" s="25">
        <v>2011</v>
      </c>
      <c r="B61" s="128">
        <v>28</v>
      </c>
      <c r="C61" s="415">
        <f t="shared" ref="C61:C66" si="24">1-(I13/(I13+B61))</f>
        <v>0.1333333333333333</v>
      </c>
      <c r="D61" s="388"/>
      <c r="G61" s="181"/>
      <c r="I61" s="142"/>
    </row>
    <row r="62" spans="1:24" x14ac:dyDescent="0.25">
      <c r="A62" s="25">
        <v>2012</v>
      </c>
      <c r="B62" s="128">
        <v>41</v>
      </c>
      <c r="C62" s="415">
        <f t="shared" si="24"/>
        <v>0.20297029702970293</v>
      </c>
      <c r="D62" s="388"/>
      <c r="G62" s="181"/>
      <c r="I62" s="142"/>
      <c r="K62" s="181"/>
      <c r="N62" s="109"/>
      <c r="S62" s="82"/>
    </row>
    <row r="63" spans="1:24" x14ac:dyDescent="0.25">
      <c r="A63" s="25">
        <v>2013</v>
      </c>
      <c r="B63" s="128">
        <v>38</v>
      </c>
      <c r="C63" s="415">
        <f t="shared" si="24"/>
        <v>0.17592592592592593</v>
      </c>
      <c r="D63" s="388"/>
      <c r="G63" s="181"/>
      <c r="I63" s="142"/>
      <c r="K63" s="181"/>
      <c r="N63" s="109"/>
      <c r="S63" s="82"/>
    </row>
    <row r="64" spans="1:24" x14ac:dyDescent="0.25">
      <c r="A64" s="25">
        <v>2014</v>
      </c>
      <c r="B64" s="128">
        <v>36</v>
      </c>
      <c r="C64" s="415">
        <f t="shared" si="24"/>
        <v>0.18556701030927836</v>
      </c>
      <c r="D64" s="388"/>
      <c r="G64" s="181"/>
      <c r="I64" s="142"/>
      <c r="K64" s="181"/>
      <c r="N64" s="109"/>
      <c r="S64" s="82"/>
    </row>
    <row r="65" spans="1:19" x14ac:dyDescent="0.25">
      <c r="A65" s="25">
        <v>2015</v>
      </c>
      <c r="B65" s="128">
        <v>36</v>
      </c>
      <c r="C65" s="415">
        <f t="shared" si="24"/>
        <v>0.18848167539267013</v>
      </c>
      <c r="D65" s="388"/>
      <c r="G65" s="181"/>
      <c r="I65" s="142"/>
      <c r="K65" s="181"/>
      <c r="N65" s="109"/>
      <c r="S65" s="82"/>
    </row>
    <row r="66" spans="1:19" x14ac:dyDescent="0.25">
      <c r="A66" s="25">
        <v>2016</v>
      </c>
      <c r="B66" s="128"/>
      <c r="C66" s="415">
        <f t="shared" si="24"/>
        <v>0</v>
      </c>
      <c r="D66" s="388"/>
      <c r="G66" s="181"/>
      <c r="I66" s="142"/>
      <c r="K66" s="181"/>
      <c r="N66" s="109"/>
      <c r="S66" s="82"/>
    </row>
    <row r="67" spans="1:19" x14ac:dyDescent="0.25">
      <c r="A67" s="21"/>
      <c r="I67" s="142"/>
      <c r="K67" s="181"/>
      <c r="N67" s="109"/>
      <c r="S67" s="82"/>
    </row>
    <row r="68" spans="1:19" x14ac:dyDescent="0.25">
      <c r="A68" s="21" t="s">
        <v>213</v>
      </c>
      <c r="K68" s="181"/>
      <c r="N68" s="109"/>
      <c r="S68" s="82"/>
    </row>
    <row r="69" spans="1:19" x14ac:dyDescent="0.25">
      <c r="A69" t="s">
        <v>332</v>
      </c>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C62:D62"/>
    <mergeCell ref="C63:D63"/>
    <mergeCell ref="C64:D64"/>
    <mergeCell ref="C65:D65"/>
    <mergeCell ref="K39:K40"/>
    <mergeCell ref="M39:M40"/>
    <mergeCell ref="O39:O40"/>
    <mergeCell ref="C60:D60"/>
    <mergeCell ref="C61:D61"/>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72">
    <cfRule type="cellIs" dxfId="21" priority="8" operator="greaterThan">
      <formula>$C$7</formula>
    </cfRule>
  </conditionalFormatting>
  <conditionalFormatting sqref="X41:X72">
    <cfRule type="cellIs" dxfId="20" priority="7"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Y84"/>
  <sheetViews>
    <sheetView topLeftCell="L25" workbookViewId="0">
      <selection activeCell="Z56" sqref="Z56"/>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105</v>
      </c>
    </row>
    <row r="2" spans="1:24" x14ac:dyDescent="0.25">
      <c r="A2" t="s">
        <v>400</v>
      </c>
    </row>
    <row r="4" spans="1:24" x14ac:dyDescent="0.25">
      <c r="A4" s="21" t="s">
        <v>192</v>
      </c>
    </row>
    <row r="5" spans="1:24" x14ac:dyDescent="0.25">
      <c r="A5" s="21"/>
    </row>
    <row r="6" spans="1:24" x14ac:dyDescent="0.25">
      <c r="A6" s="21" t="s">
        <v>193</v>
      </c>
      <c r="C6" s="100">
        <f>VLOOKUP(A1,'Projection Summary'!A5:C50,3,FALSE)</f>
        <v>850</v>
      </c>
    </row>
    <row r="7" spans="1:24" x14ac:dyDescent="0.25">
      <c r="A7" s="21" t="s">
        <v>191</v>
      </c>
      <c r="B7" s="21"/>
      <c r="C7" s="100">
        <f>VLOOKUP(A1,'Projection Summary'!A5:C50,2,FALSE)</f>
        <v>160</v>
      </c>
    </row>
    <row r="9" spans="1:24" ht="15.75" x14ac:dyDescent="0.25">
      <c r="A9" s="129" t="s">
        <v>197</v>
      </c>
      <c r="R9" s="129" t="s">
        <v>198</v>
      </c>
      <c r="T9" s="173"/>
    </row>
    <row r="10" spans="1:24" x14ac:dyDescent="0.25">
      <c r="A10" s="21"/>
    </row>
    <row r="11" spans="1:24" x14ac:dyDescent="0.25">
      <c r="A11" s="21" t="s">
        <v>281</v>
      </c>
      <c r="K11" s="406" t="s">
        <v>137</v>
      </c>
      <c r="L11" s="407"/>
      <c r="M11" s="412" t="s">
        <v>139</v>
      </c>
      <c r="N11" s="49"/>
      <c r="O11" s="394" t="s">
        <v>136</v>
      </c>
      <c r="R11" s="21" t="s">
        <v>384</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271</v>
      </c>
      <c r="C13" s="19">
        <f>VLOOKUP($A$1,'Primary Catchment Analysis'!$A$3:$BE$25, 38, FALSE)</f>
        <v>229</v>
      </c>
      <c r="D13" s="27">
        <f>VLOOKUP($A$1,'Primary Catchment Analysis'!$A$3:$BE$25, 39, FALSE)</f>
        <v>210</v>
      </c>
      <c r="E13" s="27">
        <f>VLOOKUP($A$1,'Primary Catchment Analysis'!$A$3:$BE$25, 40, FALSE)</f>
        <v>197</v>
      </c>
      <c r="F13" s="27">
        <f>VLOOKUP($A$1,'Primary Catchment Analysis'!$A$3:$BE$25, 41, FALSE)</f>
        <v>178</v>
      </c>
      <c r="G13" s="126">
        <f>VLOOKUP($A$1,'Primary Catchment Analysis'!$A$3:$BE$25, 42, FALSE)</f>
        <v>182</v>
      </c>
      <c r="H13" s="28">
        <f>VLOOKUP($A$1,'Primary Catchment Analysis'!$A$3:$BE$25, 43, FALSE)</f>
        <v>145</v>
      </c>
      <c r="I13" s="28">
        <f>VLOOKUP($A$1,'S1 Catchment Analysis'!A3:I25, 7, FALSE)</f>
        <v>163</v>
      </c>
      <c r="J13" s="23"/>
      <c r="K13" s="410"/>
      <c r="L13" s="411"/>
      <c r="M13" s="399"/>
      <c r="N13" s="50"/>
      <c r="O13" s="399"/>
      <c r="P13" s="50"/>
      <c r="Q13" s="25">
        <f>A13</f>
        <v>2013</v>
      </c>
      <c r="R13" s="69">
        <f>VLOOKUP($A$1,'Secondary Rolls'!$A$3:$BE$25, 37, FALSE)</f>
        <v>105</v>
      </c>
      <c r="S13" s="53">
        <f>VLOOKUP($A$1,'Secondary Rolls'!$A$3:$BE$25, 38, FALSE)</f>
        <v>100</v>
      </c>
      <c r="T13" s="53">
        <f>VLOOKUP($A$1,'Secondary Rolls'!$A$3:$BE$25, 39, FALSE)</f>
        <v>120</v>
      </c>
      <c r="U13" s="122">
        <f>VLOOKUP($A$1,'Secondary Rolls'!$A$3:$BE$25, 40, FALSE)</f>
        <v>115</v>
      </c>
      <c r="V13" s="63">
        <f>VLOOKUP($A$1,'Secondary Rolls'!$A$3:$BE$25, 41, FALSE)</f>
        <v>94</v>
      </c>
      <c r="W13" s="53">
        <f>VLOOKUP($A$1,'Secondary Rolls'!$A$3:$BE$25, 42, FALSE)</f>
        <v>71</v>
      </c>
      <c r="X13" s="62">
        <f t="shared" ref="X13:X17" si="0">SUM(R13:W13)</f>
        <v>605</v>
      </c>
    </row>
    <row r="14" spans="1:24" ht="15.75" thickBot="1" x14ac:dyDescent="0.3">
      <c r="A14" s="25">
        <f>VLOOKUP($A$12,'S1 Catchment Analysis'!A2:I2, 6, FALSE)</f>
        <v>2014</v>
      </c>
      <c r="B14" s="45">
        <f>VLOOKUP($A$1,'Primary Catchment Analysis'!$A$3:$BE$25, 30, FALSE)</f>
        <v>252</v>
      </c>
      <c r="C14" s="44">
        <f>VLOOKUP($A$1,'Primary Catchment Analysis'!$A$3:$BE$25, 31, FALSE)</f>
        <v>264</v>
      </c>
      <c r="D14" s="19">
        <f>VLOOKUP($A$1,'Primary Catchment Analysis'!$A$3:$BE$25, 32, FALSE)</f>
        <v>216</v>
      </c>
      <c r="E14" s="27">
        <f>VLOOKUP($A$1,'Primary Catchment Analysis'!$A$3:$BE$25, 33, FALSE)</f>
        <v>209</v>
      </c>
      <c r="F14" s="27">
        <f>VLOOKUP($A$1,'Primary Catchment Analysis'!$A$3:$BE$25, 34, FALSE)</f>
        <v>199</v>
      </c>
      <c r="G14" s="126">
        <f>VLOOKUP($A$1,'Primary Catchment Analysis'!$A$3:$BE$25, 35, FALSE)</f>
        <v>170</v>
      </c>
      <c r="H14" s="28">
        <f>VLOOKUP($A$1,'Primary Catchment Analysis'!$A$3:$BE$25, 36, FALSE)</f>
        <v>182</v>
      </c>
      <c r="I14" s="27">
        <f>VLOOKUP($A$1,'S1 Catchment Analysis'!A3:I25, 6, FALSE)</f>
        <v>121</v>
      </c>
      <c r="J14" s="23"/>
      <c r="K14" s="400">
        <f>VLOOKUP($A$1,'S1 Catchment Retained'!A2:I25, 6, FALSE)</f>
        <v>61</v>
      </c>
      <c r="L14" s="423"/>
      <c r="M14" s="110">
        <f t="shared" ref="M14:M18" si="1">(K14/I14)</f>
        <v>0.50413223140495866</v>
      </c>
      <c r="N14" s="50"/>
      <c r="O14" s="111">
        <f t="shared" ref="O14:O18" si="2">R14-K14</f>
        <v>0</v>
      </c>
      <c r="P14" s="50"/>
      <c r="Q14" s="25">
        <f t="shared" ref="Q14:Q18" si="3">A14</f>
        <v>2014</v>
      </c>
      <c r="R14" s="67">
        <f>VLOOKUP($A$1,'Secondary Rolls'!$A$3:$BE$25, 30, FALSE)</f>
        <v>61</v>
      </c>
      <c r="S14" s="69">
        <f>VLOOKUP($A$1,'Secondary Rolls'!$A$3:$BE$25, 31, FALSE)</f>
        <v>110</v>
      </c>
      <c r="T14" s="61">
        <f>VLOOKUP($A$1,'Secondary Rolls'!$A$3:$BE$25, 32, FALSE)</f>
        <v>99</v>
      </c>
      <c r="U14" s="61">
        <f>VLOOKUP($A$1,'Secondary Rolls'!$A$3:$BE$25, 33, FALSE)</f>
        <v>115</v>
      </c>
      <c r="V14" s="64">
        <f>VLOOKUP($A$1,'Secondary Rolls'!$A$3:$BE$25, 34, FALSE)</f>
        <v>101</v>
      </c>
      <c r="W14" s="116">
        <f>VLOOKUP($A$1,'Secondary Rolls'!$A$3:$BE$25, 35, FALSE)</f>
        <v>70</v>
      </c>
      <c r="X14" s="62">
        <f t="shared" si="0"/>
        <v>556</v>
      </c>
    </row>
    <row r="15" spans="1:24" ht="15.75" thickBot="1" x14ac:dyDescent="0.3">
      <c r="A15" s="25">
        <f>VLOOKUP($A$12,'S1 Catchment Analysis'!A2:I2, 5, FALSE)</f>
        <v>2015</v>
      </c>
      <c r="B15" s="19">
        <f>VLOOKUP($A$1,'Primary Catchment Analysis'!$A$3:$BE$25, 23, FALSE)</f>
        <v>266</v>
      </c>
      <c r="C15" s="45">
        <f>VLOOKUP($A$1,'Primary Catchment Analysis'!$A$3:$BE$25, 24, FALSE)</f>
        <v>251</v>
      </c>
      <c r="D15" s="44">
        <f>VLOOKUP($A$1,'Primary Catchment Analysis'!$A$3:$BE$25, 25, FALSE)</f>
        <v>267</v>
      </c>
      <c r="E15" s="19">
        <f>VLOOKUP($A$1,'Primary Catchment Analysis'!$A$3:$BE$25, 26, FALSE)</f>
        <v>223</v>
      </c>
      <c r="F15" s="27">
        <f>VLOOKUP($A$1,'Primary Catchment Analysis'!$A$3:$BE$25, 27, FALSE)</f>
        <v>201</v>
      </c>
      <c r="G15" s="126">
        <f>VLOOKUP($A$1,'Primary Catchment Analysis'!$A$3:$BE$25, 28, FALSE)</f>
        <v>198</v>
      </c>
      <c r="H15" s="30">
        <f>VLOOKUP($A$1,'Primary Catchment Analysis'!$A$3:$BE$25, 29, FALSE)</f>
        <v>163</v>
      </c>
      <c r="I15" s="29">
        <f>VLOOKUP($A$1,'S1 Catchment Analysis'!A3:I25, 5, FALSE)</f>
        <v>171</v>
      </c>
      <c r="J15" s="23"/>
      <c r="K15" s="400">
        <f>VLOOKUP($A$1,'S1 Catchment Retained'!A2:I25, 5, FALSE)</f>
        <v>101</v>
      </c>
      <c r="L15" s="423"/>
      <c r="M15" s="110">
        <f t="shared" si="1"/>
        <v>0.59064327485380119</v>
      </c>
      <c r="N15" s="50"/>
      <c r="O15" s="111">
        <f t="shared" si="2"/>
        <v>10</v>
      </c>
      <c r="P15" s="50"/>
      <c r="Q15" s="25">
        <f t="shared" si="3"/>
        <v>2015</v>
      </c>
      <c r="R15" s="68">
        <f>VLOOKUP($A$1,'Secondary Rolls'!$A$3:$BE$25, 23, FALSE)</f>
        <v>111</v>
      </c>
      <c r="S15" s="67">
        <f>VLOOKUP($A$1,'Secondary Rolls'!$A$3:$BE$25, 24, FALSE)</f>
        <v>64</v>
      </c>
      <c r="T15" s="71">
        <f>VLOOKUP($A$1,'Secondary Rolls'!$A$3:$BE$25, 25, FALSE)</f>
        <v>112</v>
      </c>
      <c r="U15" s="61">
        <f>VLOOKUP($A$1,'Secondary Rolls'!$A$3:$BE$25, 26, FALSE)</f>
        <v>98</v>
      </c>
      <c r="V15" s="123">
        <f>VLOOKUP($A$1,'Secondary Rolls'!$A$3:$BE$25, 27, FALSE)</f>
        <v>95</v>
      </c>
      <c r="W15" s="64">
        <f>VLOOKUP($A$1,'Secondary Rolls'!$A$3:$BE$25, 28, FALSE)</f>
        <v>71</v>
      </c>
      <c r="X15" s="62">
        <f t="shared" si="0"/>
        <v>551</v>
      </c>
    </row>
    <row r="16" spans="1:24" ht="15.75" thickBot="1" x14ac:dyDescent="0.3">
      <c r="A16" s="25">
        <f>VLOOKUP($A$12,'S1 Catchment Analysis'!A2:I2, 4, FALSE)</f>
        <v>2016</v>
      </c>
      <c r="B16" s="44">
        <f>VLOOKUP($A$1,'Primary Catchment Analysis'!$A$3:$BE$25, 16, FALSE)</f>
        <v>234</v>
      </c>
      <c r="C16" s="19">
        <f>VLOOKUP($A$1,'Primary Catchment Analysis'!$A$3:$BE$25, 17, FALSE)</f>
        <v>250</v>
      </c>
      <c r="D16" s="45">
        <f>VLOOKUP($A$1,'Primary Catchment Analysis'!$A$3:$BE$25, 18, FALSE)</f>
        <v>237</v>
      </c>
      <c r="E16" s="44">
        <f>VLOOKUP($A$1,'Primary Catchment Analysis'!$A$3:$BE$25, 19, FALSE)</f>
        <v>264</v>
      </c>
      <c r="F16" s="19">
        <f>VLOOKUP($A$1,'Primary Catchment Analysis'!$A$3:$BE$25, 20, FALSE)</f>
        <v>215</v>
      </c>
      <c r="G16" s="126">
        <f>VLOOKUP($A$1,'Primary Catchment Analysis'!$A$3:$BE$25, 21, FALSE)</f>
        <v>198</v>
      </c>
      <c r="H16" s="112">
        <f>VLOOKUP($A$1,'Primary Catchment Analysis'!$A$3:$BE$25, 22, FALSE)</f>
        <v>187</v>
      </c>
      <c r="I16" s="30">
        <f>VLOOKUP($A$1,'S1 Catchment Analysis'!A3:I25, 4, FALSE)</f>
        <v>132</v>
      </c>
      <c r="J16" s="23"/>
      <c r="K16" s="400">
        <f>VLOOKUP($A$1,'S1 Catchment Retained'!A2:I25, 4, FALSE)</f>
        <v>85</v>
      </c>
      <c r="L16" s="424"/>
      <c r="M16" s="56">
        <f t="shared" si="1"/>
        <v>0.64393939393939392</v>
      </c>
      <c r="N16" s="50"/>
      <c r="O16" s="103">
        <f t="shared" si="2"/>
        <v>5</v>
      </c>
      <c r="P16" s="50"/>
      <c r="Q16" s="25">
        <f t="shared" si="3"/>
        <v>2016</v>
      </c>
      <c r="R16" s="69">
        <f>VLOOKUP($A$1,'Secondary Rolls'!$A$3:$BE$25, 16, FALSE)</f>
        <v>90</v>
      </c>
      <c r="S16" s="68">
        <f>VLOOKUP($A$1,'Secondary Rolls'!$A$3:$BE$25, 17, FALSE)</f>
        <v>111</v>
      </c>
      <c r="T16" s="70">
        <f>VLOOKUP($A$1,'Secondary Rolls'!$A$3:$BE$25, 18, FALSE)</f>
        <v>66</v>
      </c>
      <c r="U16" s="71">
        <f>VLOOKUP($A$1,'Secondary Rolls'!$A$3:$BE$25, 19, FALSE)</f>
        <v>117</v>
      </c>
      <c r="V16" s="66">
        <f>VLOOKUP($A$1,'Secondary Rolls'!$A$3:$BE$25, 20, FALSE)</f>
        <v>77</v>
      </c>
      <c r="W16" s="65">
        <f>VLOOKUP($A$1,'Secondary Rolls'!$A$3:$BE$25, 21, FALSE)</f>
        <v>59</v>
      </c>
      <c r="X16" s="62">
        <f t="shared" si="0"/>
        <v>520</v>
      </c>
    </row>
    <row r="17" spans="1:25" ht="15.75" thickBot="1" x14ac:dyDescent="0.3">
      <c r="A17" s="258">
        <f>VLOOKUP($A$12,'S1 Catchment Analysis'!A2:I2, 3, FALSE)</f>
        <v>2017</v>
      </c>
      <c r="B17" s="259">
        <f>VLOOKUP($A$1,'Primary Catchment Analysis'!$A$3:$BE$25, 9, FALSE)</f>
        <v>233</v>
      </c>
      <c r="C17" s="260">
        <f>VLOOKUP($A$1,'Primary Catchment Analysis'!$A$3:$BE$25, 10, FALSE)</f>
        <v>250</v>
      </c>
      <c r="D17" s="261">
        <f>VLOOKUP($A$1,'Primary Catchment Analysis'!$A$3:$BE$25, 11, FALSE)</f>
        <v>243</v>
      </c>
      <c r="E17" s="259">
        <f>VLOOKUP($A$1,'Primary Catchment Analysis'!$A$3:$BE$25, 12, FALSE)</f>
        <v>239</v>
      </c>
      <c r="F17" s="260">
        <f>VLOOKUP($A$1,'Primary Catchment Analysis'!$A$3:$BE$25, 13, FALSE)</f>
        <v>262</v>
      </c>
      <c r="G17" s="262">
        <f>VLOOKUP($A$1,'Primary Catchment Analysis'!$A$3:$BE$25, 14, FALSE)</f>
        <v>215</v>
      </c>
      <c r="H17" s="113">
        <f>VLOOKUP($A$1,'Primary Catchment Analysis'!$A$3:$BE$25, 15, FALSE)</f>
        <v>201</v>
      </c>
      <c r="I17" s="31">
        <f>VLOOKUP($A$1,'S1 Catchment Analysis'!A3:I25, 3, FALSE)</f>
        <v>186</v>
      </c>
      <c r="J17" s="23"/>
      <c r="K17" s="400">
        <f>VLOOKUP($A$1,'S1 Catchment Retained'!A2:I25, 3, FALSE)</f>
        <v>123</v>
      </c>
      <c r="L17" s="424"/>
      <c r="M17" s="57">
        <f t="shared" si="1"/>
        <v>0.66129032258064513</v>
      </c>
      <c r="N17" s="50"/>
      <c r="O17" s="104">
        <f t="shared" si="2"/>
        <v>7</v>
      </c>
      <c r="P17" s="50"/>
      <c r="Q17" s="25">
        <f t="shared" si="3"/>
        <v>2017</v>
      </c>
      <c r="R17" s="264">
        <f>VLOOKUP($A$1,'Secondary Rolls'!$A$3:$BE$25, 9, FALSE)</f>
        <v>130</v>
      </c>
      <c r="S17" s="265">
        <f>VLOOKUP($A$1,'Secondary Rolls'!$A$3:$BE$25, 10, FALSE)</f>
        <v>96</v>
      </c>
      <c r="T17" s="266">
        <f>VLOOKUP($A$1,'Secondary Rolls'!$A$3:$BE$25, 11, FALSE)</f>
        <v>110</v>
      </c>
      <c r="U17" s="270">
        <f>VLOOKUP($A$1,'Secondary Rolls'!$A$3:$BE$25, 12, FALSE)</f>
        <v>81</v>
      </c>
      <c r="V17" s="271">
        <f>VLOOKUP($A$1,'Secondary Rolls'!$A$3:$BE$25, 13, FALSE)</f>
        <v>92</v>
      </c>
      <c r="W17" s="272">
        <f>VLOOKUP($A$1,'Secondary Rolls'!$A$3:$BE$25, 14, FALSE)</f>
        <v>58</v>
      </c>
      <c r="X17" s="116">
        <f t="shared" si="0"/>
        <v>567</v>
      </c>
    </row>
    <row r="18" spans="1:25" ht="15.75" thickBot="1" x14ac:dyDescent="0.3">
      <c r="A18" s="25">
        <f>VLOOKUP($A$12,'S1 Catchment Analysis'!A2:I2, 2, FALSE)</f>
        <v>2018</v>
      </c>
      <c r="B18" s="19">
        <f>VLOOKUP($A$1,'Primary Catchment Analysis'!$A$3:$BE$25, 2, FALSE)</f>
        <v>226</v>
      </c>
      <c r="C18" s="45">
        <f>VLOOKUP($A$1,'Primary Catchment Analysis'!$A$3:$BE$25, 3, FALSE)</f>
        <v>233</v>
      </c>
      <c r="D18" s="44">
        <f>VLOOKUP($A$1,'Primary Catchment Analysis'!$A$3:$BE$25, 4, FALSE)</f>
        <v>241</v>
      </c>
      <c r="E18" s="19">
        <f>VLOOKUP($A$1,'Primary Catchment Analysis'!$A$3:$BE$25, 5, FALSE)</f>
        <v>230</v>
      </c>
      <c r="F18" s="45">
        <f>VLOOKUP($A$1,'Primary Catchment Analysis'!$A$3:$BE$25, 6, FALSE)</f>
        <v>233</v>
      </c>
      <c r="G18" s="273">
        <f>VLOOKUP($A$1,'Primary Catchment Analysis'!$A$3:$BE$25, 7, FALSE)</f>
        <v>248</v>
      </c>
      <c r="H18" s="274">
        <f>VLOOKUP($A$1,'Primary Catchment Analysis'!$A$3:$BE$25, 8, FALSE)</f>
        <v>203</v>
      </c>
      <c r="I18" s="32">
        <f>VLOOKUP($A$1,'S1 Catchment Analysis'!A3:I25, 2, FALSE)</f>
        <v>187</v>
      </c>
      <c r="J18" s="23"/>
      <c r="K18" s="400">
        <f>VLOOKUP($A$1,'S1 Catchment Retained'!A2:I25, 2, FALSE)</f>
        <v>126</v>
      </c>
      <c r="L18" s="424"/>
      <c r="M18" s="58">
        <f t="shared" si="1"/>
        <v>0.6737967914438503</v>
      </c>
      <c r="N18" s="50"/>
      <c r="O18" s="105">
        <f t="shared" si="2"/>
        <v>16</v>
      </c>
      <c r="P18" s="50"/>
      <c r="Q18" s="25">
        <f t="shared" si="3"/>
        <v>2018</v>
      </c>
      <c r="R18" s="68">
        <f>VLOOKUP($A$1,'Secondary Rolls'!$A$3:$BE$25, 2, FALSE)</f>
        <v>142</v>
      </c>
      <c r="S18" s="67">
        <f>VLOOKUP($A$1,'Secondary Rolls'!$A$3:$BE$25, 3, FALSE)</f>
        <v>127</v>
      </c>
      <c r="T18" s="69">
        <f>VLOOKUP($A$1,'Secondary Rolls'!$A$3:$BE$25, 4, FALSE)</f>
        <v>97</v>
      </c>
      <c r="U18" s="68">
        <f>VLOOKUP($A$1,'Secondary Rolls'!$A$3:$BE$25, 5, FALSE)</f>
        <v>115</v>
      </c>
      <c r="V18" s="67">
        <f>VLOOKUP($A$1,'Secondary Rolls'!$A$3:$BE$25, 6, FALSE)</f>
        <v>64</v>
      </c>
      <c r="W18" s="69">
        <f>VLOOKUP($A$1,'Secondary Rolls'!$A$3:$BE$25, 7, FALSE)</f>
        <v>55</v>
      </c>
      <c r="X18" s="53">
        <f t="shared" ref="X18" si="4">SUM(R18:W18)</f>
        <v>600</v>
      </c>
    </row>
    <row r="19" spans="1:25" ht="15" customHeight="1" x14ac:dyDescent="0.25">
      <c r="A19" s="386" t="s">
        <v>380</v>
      </c>
      <c r="B19" s="387"/>
      <c r="C19" s="118" t="s">
        <v>129</v>
      </c>
      <c r="D19" s="118" t="s">
        <v>130</v>
      </c>
      <c r="E19" s="118" t="s">
        <v>131</v>
      </c>
      <c r="F19" s="118" t="s">
        <v>132</v>
      </c>
      <c r="G19" s="118" t="s">
        <v>133</v>
      </c>
      <c r="H19" s="118" t="s">
        <v>134</v>
      </c>
      <c r="I19" s="121" t="s">
        <v>135</v>
      </c>
      <c r="K19" s="386" t="s">
        <v>329</v>
      </c>
      <c r="L19" s="386"/>
      <c r="M19" s="387"/>
      <c r="O19" s="127" t="s">
        <v>211</v>
      </c>
      <c r="P19" s="117"/>
      <c r="Q19" s="131"/>
      <c r="R19" s="131"/>
      <c r="T19" s="386" t="s">
        <v>212</v>
      </c>
      <c r="U19" s="387"/>
      <c r="V19" s="118" t="s">
        <v>140</v>
      </c>
      <c r="W19" s="119" t="s">
        <v>141</v>
      </c>
    </row>
    <row r="20" spans="1:25" x14ac:dyDescent="0.25">
      <c r="A20" s="388"/>
      <c r="B20" s="388"/>
      <c r="C20" s="40">
        <f>AVERAGE(((B15-C16)/B15),((B16-C17)/B16),((B17-C18)/B17))</f>
        <v>-2.7418974787395876E-3</v>
      </c>
      <c r="D20" s="40">
        <f t="shared" ref="D20:I20" si="5">AVERAGE(((C15-D16)/C15),((C16-D17)/C16),((C17-D18)/C17))</f>
        <v>3.9925630810092962E-2</v>
      </c>
      <c r="E20" s="40">
        <f t="shared" si="5"/>
        <v>1.8765026292536735E-2</v>
      </c>
      <c r="F20" s="40">
        <f t="shared" si="5"/>
        <v>2.2851599849367077E-2</v>
      </c>
      <c r="G20" s="40">
        <f t="shared" si="5"/>
        <v>2.2786829212715048E-2</v>
      </c>
      <c r="H20" s="40">
        <f t="shared" si="5"/>
        <v>3.2072664630804167E-2</v>
      </c>
      <c r="I20" s="40">
        <f t="shared" si="5"/>
        <v>8.8394461318724873E-2</v>
      </c>
      <c r="K20" s="389">
        <f>AVERAGE(M16:M18)</f>
        <v>0.65967550265462982</v>
      </c>
      <c r="L20" s="390"/>
      <c r="M20" s="391"/>
      <c r="O20" s="51">
        <f>ROUNDUP((AVERAGE(O16:O18)),0)</f>
        <v>10</v>
      </c>
      <c r="T20" s="388"/>
      <c r="U20" s="388"/>
      <c r="V20" s="40">
        <f>AVERAGE(((U15-V16)/U15),((U16-V17)/U16),((U17-V18)/U17))</f>
        <v>0.21261249039026817</v>
      </c>
      <c r="W20" s="40">
        <f>AVERAGE(((V15-W16)/V15),((V16-W17)/V16),((V17-W18)/V17))</f>
        <v>0.34262484273925925</v>
      </c>
    </row>
    <row r="21" spans="1:25" x14ac:dyDescent="0.25">
      <c r="A21" s="21"/>
      <c r="K21" s="59"/>
      <c r="L21" s="59"/>
    </row>
    <row r="22" spans="1:25" x14ac:dyDescent="0.25">
      <c r="A22" s="21" t="s">
        <v>282</v>
      </c>
      <c r="K22" s="59"/>
      <c r="L22" s="59"/>
    </row>
    <row r="23" spans="1:25" x14ac:dyDescent="0.25">
      <c r="A23" s="22" t="s">
        <v>114</v>
      </c>
      <c r="B23" s="24" t="s">
        <v>1</v>
      </c>
      <c r="C23" s="24" t="s">
        <v>115</v>
      </c>
      <c r="D23" s="24" t="s">
        <v>116</v>
      </c>
      <c r="E23" s="24" t="s">
        <v>117</v>
      </c>
      <c r="F23" s="24" t="s">
        <v>118</v>
      </c>
      <c r="G23" s="24" t="s">
        <v>119</v>
      </c>
      <c r="H23" s="24" t="s">
        <v>120</v>
      </c>
      <c r="I23" s="26" t="s">
        <v>121</v>
      </c>
      <c r="K23" s="59"/>
      <c r="L23" s="59"/>
    </row>
    <row r="24" spans="1:25" x14ac:dyDescent="0.25">
      <c r="A24" s="25">
        <f>A18+1</f>
        <v>2019</v>
      </c>
      <c r="B24" s="37">
        <f>'P1 Catchment Projections'!C57+'P1 Catchment Projections'!C58+'P1 Catchment Projections'!C59+'P1 Catchment Projections'!C60</f>
        <v>252</v>
      </c>
      <c r="C24" s="34">
        <f>ROUNDUP((B18-(B18*$C$20)),0)</f>
        <v>227</v>
      </c>
      <c r="D24" s="42">
        <f>ROUNDUP((C18-(C18*$D$20)),0)</f>
        <v>224</v>
      </c>
      <c r="E24" s="43">
        <f>ROUNDUP((D18-(D18*$E$20)),0)</f>
        <v>237</v>
      </c>
      <c r="F24" s="41">
        <f>ROUNDUP((E18-(E18*$F$20)),0)</f>
        <v>225</v>
      </c>
      <c r="G24" s="42">
        <f>ROUNDUP((F18-(F18*$G$20)),0)</f>
        <v>228</v>
      </c>
      <c r="H24" s="43">
        <f>ROUNDUP((G18-(G18*$H$20)),0)</f>
        <v>241</v>
      </c>
      <c r="I24" s="99">
        <f>ROUNDUP((H18-(H18*$I$20)),0)</f>
        <v>186</v>
      </c>
      <c r="J24" s="23"/>
      <c r="K24" s="59"/>
      <c r="L24" s="59"/>
      <c r="Y24" s="109"/>
    </row>
    <row r="25" spans="1:25" x14ac:dyDescent="0.25">
      <c r="A25" s="25">
        <f>A24+1</f>
        <v>2020</v>
      </c>
      <c r="B25" s="37">
        <f>'P1 Catchment Projections'!D57+'P1 Catchment Projections'!D58+'P1 Catchment Projections'!D59+'P1 Catchment Projections'!D60</f>
        <v>254</v>
      </c>
      <c r="C25" s="34">
        <f t="shared" ref="C25:C33" si="6">ROUNDUP((B24-(B24*$C$20)),0)</f>
        <v>253</v>
      </c>
      <c r="D25" s="34">
        <f t="shared" ref="D25:D33" si="7">ROUNDUP((C24-(C24*$D$20)),0)</f>
        <v>218</v>
      </c>
      <c r="E25" s="42">
        <f t="shared" ref="E25:E33" si="8">ROUNDUP((D24-(D24*$E$20)),0)</f>
        <v>220</v>
      </c>
      <c r="F25" s="43">
        <f t="shared" ref="F25:F33" si="9">ROUNDUP((E24-(E24*$F$20)),0)</f>
        <v>232</v>
      </c>
      <c r="G25" s="41">
        <f t="shared" ref="G25:G33" si="10">ROUNDUP((F24-(F24*$G$20)),0)</f>
        <v>220</v>
      </c>
      <c r="H25" s="42">
        <f t="shared" ref="H25:H33" si="11">ROUNDUP((G24-(G24*$H$20)),0)</f>
        <v>221</v>
      </c>
      <c r="I25" s="99">
        <f t="shared" ref="I25:I33" si="12">ROUNDUP((H24-(H24*$I$20)),0)</f>
        <v>220</v>
      </c>
      <c r="J25" s="23"/>
      <c r="K25" s="59"/>
      <c r="L25" s="59"/>
      <c r="Y25" s="109"/>
    </row>
    <row r="26" spans="1:25" x14ac:dyDescent="0.25">
      <c r="A26" s="25">
        <f>A25+1</f>
        <v>2021</v>
      </c>
      <c r="B26" s="37">
        <f>'P1 Catchment Projections'!E57+'P1 Catchment Projections'!E58+'P1 Catchment Projections'!E59+'P1 Catchment Projections'!E60</f>
        <v>235</v>
      </c>
      <c r="C26" s="34">
        <f t="shared" si="6"/>
        <v>255</v>
      </c>
      <c r="D26" s="34">
        <f t="shared" si="7"/>
        <v>243</v>
      </c>
      <c r="E26" s="34">
        <f t="shared" si="8"/>
        <v>214</v>
      </c>
      <c r="F26" s="42">
        <f t="shared" si="9"/>
        <v>215</v>
      </c>
      <c r="G26" s="43">
        <f t="shared" si="10"/>
        <v>227</v>
      </c>
      <c r="H26" s="41">
        <f t="shared" si="11"/>
        <v>213</v>
      </c>
      <c r="I26" s="99">
        <f t="shared" si="12"/>
        <v>202</v>
      </c>
      <c r="J26" s="23"/>
      <c r="K26" s="59"/>
      <c r="L26" s="59"/>
      <c r="Y26" s="109"/>
    </row>
    <row r="27" spans="1:25" x14ac:dyDescent="0.25">
      <c r="A27" s="25">
        <f>A26+1</f>
        <v>2022</v>
      </c>
      <c r="B27" s="37">
        <f>'P1 Catchment Projections'!F57+'P1 Catchment Projections'!F58+'P1 Catchment Projections'!F59+'P1 Catchment Projections'!F60</f>
        <v>223</v>
      </c>
      <c r="C27" s="34">
        <f t="shared" si="6"/>
        <v>236</v>
      </c>
      <c r="D27" s="34">
        <f t="shared" si="7"/>
        <v>245</v>
      </c>
      <c r="E27" s="34">
        <f t="shared" si="8"/>
        <v>239</v>
      </c>
      <c r="F27" s="34">
        <f t="shared" si="9"/>
        <v>210</v>
      </c>
      <c r="G27" s="42">
        <f t="shared" si="10"/>
        <v>211</v>
      </c>
      <c r="H27" s="43">
        <f t="shared" si="11"/>
        <v>220</v>
      </c>
      <c r="I27" s="99">
        <f t="shared" si="12"/>
        <v>195</v>
      </c>
      <c r="J27" s="23"/>
      <c r="K27" s="59"/>
      <c r="L27" s="59"/>
      <c r="Y27" s="109"/>
    </row>
    <row r="28" spans="1:25" x14ac:dyDescent="0.25">
      <c r="A28" s="25">
        <f t="shared" ref="A28:A37" si="13">A27+1</f>
        <v>2023</v>
      </c>
      <c r="B28" s="37">
        <f>'P1 Catchment Projections'!G57+'P1 Catchment Projections'!G58+'P1 Catchment Projections'!G59+'P1 Catchment Projections'!G60</f>
        <v>241</v>
      </c>
      <c r="C28" s="34">
        <f t="shared" si="6"/>
        <v>224</v>
      </c>
      <c r="D28" s="34">
        <f t="shared" si="7"/>
        <v>227</v>
      </c>
      <c r="E28" s="34">
        <f t="shared" si="8"/>
        <v>241</v>
      </c>
      <c r="F28" s="34">
        <f t="shared" si="9"/>
        <v>234</v>
      </c>
      <c r="G28" s="34">
        <f t="shared" si="10"/>
        <v>206</v>
      </c>
      <c r="H28" s="42">
        <f t="shared" si="11"/>
        <v>205</v>
      </c>
      <c r="I28" s="99">
        <f t="shared" si="12"/>
        <v>201</v>
      </c>
      <c r="J28" s="23"/>
      <c r="K28" s="59"/>
      <c r="L28" s="59"/>
      <c r="Y28" s="109"/>
    </row>
    <row r="29" spans="1:25" x14ac:dyDescent="0.25">
      <c r="A29" s="25">
        <f t="shared" si="13"/>
        <v>2024</v>
      </c>
      <c r="B29" s="37">
        <f>'P1 Catchment Projections'!H57+'P1 Catchment Projections'!H58+'P1 Catchment Projections'!H59+'P1 Catchment Projections'!H60</f>
        <v>244</v>
      </c>
      <c r="C29" s="34">
        <f t="shared" si="6"/>
        <v>242</v>
      </c>
      <c r="D29" s="34">
        <f t="shared" si="7"/>
        <v>216</v>
      </c>
      <c r="E29" s="34">
        <f t="shared" si="8"/>
        <v>223</v>
      </c>
      <c r="F29" s="34">
        <f t="shared" si="9"/>
        <v>236</v>
      </c>
      <c r="G29" s="34">
        <f t="shared" si="10"/>
        <v>229</v>
      </c>
      <c r="H29" s="34">
        <f t="shared" si="11"/>
        <v>200</v>
      </c>
      <c r="I29" s="99">
        <f t="shared" si="12"/>
        <v>187</v>
      </c>
      <c r="K29" s="59"/>
      <c r="L29" s="59"/>
      <c r="Y29" s="109"/>
    </row>
    <row r="30" spans="1:25" x14ac:dyDescent="0.25">
      <c r="A30" s="25">
        <f t="shared" si="13"/>
        <v>2025</v>
      </c>
      <c r="B30" s="37">
        <f>'P1 Catchment Projections'!I57+'P1 Catchment Projections'!I58+'P1 Catchment Projections'!I59+'P1 Catchment Projections'!I60</f>
        <v>248</v>
      </c>
      <c r="C30" s="34">
        <f t="shared" si="6"/>
        <v>245</v>
      </c>
      <c r="D30" s="34">
        <f t="shared" si="7"/>
        <v>233</v>
      </c>
      <c r="E30" s="34">
        <f t="shared" si="8"/>
        <v>212</v>
      </c>
      <c r="F30" s="34">
        <f t="shared" si="9"/>
        <v>218</v>
      </c>
      <c r="G30" s="34">
        <f t="shared" si="10"/>
        <v>231</v>
      </c>
      <c r="H30" s="34">
        <f t="shared" si="11"/>
        <v>222</v>
      </c>
      <c r="I30" s="99">
        <f t="shared" si="12"/>
        <v>183</v>
      </c>
      <c r="K30" s="59"/>
      <c r="L30" s="59"/>
      <c r="Y30" s="109"/>
    </row>
    <row r="31" spans="1:25" x14ac:dyDescent="0.25">
      <c r="A31" s="25">
        <f t="shared" si="13"/>
        <v>2026</v>
      </c>
      <c r="B31" s="37">
        <f>'P1 Catchment Projections'!J57+'P1 Catchment Projections'!J58+'P1 Catchment Projections'!J59+'P1 Catchment Projections'!J60</f>
        <v>249</v>
      </c>
      <c r="C31" s="34">
        <f t="shared" si="6"/>
        <v>249</v>
      </c>
      <c r="D31" s="34">
        <f t="shared" si="7"/>
        <v>236</v>
      </c>
      <c r="E31" s="34">
        <f t="shared" si="8"/>
        <v>229</v>
      </c>
      <c r="F31" s="34">
        <f t="shared" si="9"/>
        <v>208</v>
      </c>
      <c r="G31" s="34">
        <f t="shared" si="10"/>
        <v>214</v>
      </c>
      <c r="H31" s="34">
        <f t="shared" si="11"/>
        <v>224</v>
      </c>
      <c r="I31" s="99">
        <f t="shared" si="12"/>
        <v>203</v>
      </c>
      <c r="K31" s="59"/>
      <c r="L31" s="59"/>
      <c r="Y31" s="109"/>
    </row>
    <row r="32" spans="1:25" x14ac:dyDescent="0.25">
      <c r="A32" s="25">
        <f t="shared" si="13"/>
        <v>2027</v>
      </c>
      <c r="B32" s="37">
        <f>'P1 Catchment Projections'!K57+'P1 Catchment Projections'!K58+'P1 Catchment Projections'!K59+'P1 Catchment Projections'!K60</f>
        <v>250</v>
      </c>
      <c r="C32" s="34">
        <f t="shared" si="6"/>
        <v>250</v>
      </c>
      <c r="D32" s="34">
        <f t="shared" si="7"/>
        <v>240</v>
      </c>
      <c r="E32" s="34">
        <f t="shared" si="8"/>
        <v>232</v>
      </c>
      <c r="F32" s="34">
        <f t="shared" si="9"/>
        <v>224</v>
      </c>
      <c r="G32" s="34">
        <f t="shared" si="10"/>
        <v>204</v>
      </c>
      <c r="H32" s="34">
        <f t="shared" si="11"/>
        <v>208</v>
      </c>
      <c r="I32" s="99">
        <f t="shared" si="12"/>
        <v>205</v>
      </c>
      <c r="K32" s="59"/>
      <c r="L32" s="59"/>
      <c r="Y32" s="109"/>
    </row>
    <row r="33" spans="1:24" x14ac:dyDescent="0.25">
      <c r="A33" s="25">
        <f t="shared" si="13"/>
        <v>2028</v>
      </c>
      <c r="B33" s="37">
        <f>'P1 Catchment Projections'!$L$57+'P1 Catchment Projections'!$L$58+'P1 Catchment Projections'!$L$59+'P1 Catchment Projections'!$L$60</f>
        <v>252</v>
      </c>
      <c r="C33" s="34">
        <f t="shared" si="6"/>
        <v>251</v>
      </c>
      <c r="D33" s="34">
        <f t="shared" si="7"/>
        <v>241</v>
      </c>
      <c r="E33" s="34">
        <f t="shared" si="8"/>
        <v>236</v>
      </c>
      <c r="F33" s="34">
        <f t="shared" si="9"/>
        <v>227</v>
      </c>
      <c r="G33" s="34">
        <f t="shared" si="10"/>
        <v>219</v>
      </c>
      <c r="H33" s="34">
        <f t="shared" si="11"/>
        <v>198</v>
      </c>
      <c r="I33" s="99">
        <f t="shared" si="12"/>
        <v>190</v>
      </c>
      <c r="K33" s="59"/>
      <c r="L33" s="59"/>
    </row>
    <row r="34" spans="1:24" x14ac:dyDescent="0.25">
      <c r="A34" s="25">
        <f t="shared" si="13"/>
        <v>2029</v>
      </c>
      <c r="B34" s="37">
        <f>'P1 Catchment Projections'!$M$57+'P1 Catchment Projections'!$M$58+'P1 Catchment Projections'!$M$59+'P1 Catchment Projections'!$M$60</f>
        <v>253</v>
      </c>
      <c r="C34" s="34">
        <f t="shared" ref="C34:C37" si="14">ROUNDUP((B33-(B33*$C$20)),0)</f>
        <v>253</v>
      </c>
      <c r="D34" s="34">
        <f t="shared" ref="D34:D37" si="15">ROUNDUP((C33-(C33*$D$20)),0)</f>
        <v>241</v>
      </c>
      <c r="E34" s="34">
        <f t="shared" ref="E34:E37" si="16">ROUNDUP((D33-(D33*$E$20)),0)</f>
        <v>237</v>
      </c>
      <c r="F34" s="34">
        <f t="shared" ref="F34:F37" si="17">ROUNDUP((E33-(E33*$F$20)),0)</f>
        <v>231</v>
      </c>
      <c r="G34" s="34">
        <f t="shared" ref="G34:G37" si="18">ROUNDUP((F33-(F33*$G$20)),0)</f>
        <v>222</v>
      </c>
      <c r="H34" s="34">
        <f t="shared" ref="H34:H37" si="19">ROUNDUP((G33-(G33*$H$20)),0)</f>
        <v>212</v>
      </c>
      <c r="I34" s="99">
        <f t="shared" ref="I34:I37" si="20">ROUNDUP((H33-(H33*$I$20)),0)</f>
        <v>181</v>
      </c>
      <c r="K34" s="59"/>
      <c r="L34" s="59"/>
    </row>
    <row r="35" spans="1:24" x14ac:dyDescent="0.25">
      <c r="A35" s="25">
        <f t="shared" si="13"/>
        <v>2030</v>
      </c>
      <c r="B35" s="37">
        <f>'P1 Catchment Projections'!$N$57+'P1 Catchment Projections'!$N$58+'P1 Catchment Projections'!$N$59+'P1 Catchment Projections'!$N$60</f>
        <v>253</v>
      </c>
      <c r="C35" s="34">
        <f t="shared" si="14"/>
        <v>254</v>
      </c>
      <c r="D35" s="34">
        <f t="shared" si="15"/>
        <v>243</v>
      </c>
      <c r="E35" s="34">
        <f t="shared" si="16"/>
        <v>237</v>
      </c>
      <c r="F35" s="34">
        <f t="shared" si="17"/>
        <v>232</v>
      </c>
      <c r="G35" s="34">
        <f t="shared" si="18"/>
        <v>226</v>
      </c>
      <c r="H35" s="34">
        <f t="shared" si="19"/>
        <v>215</v>
      </c>
      <c r="I35" s="99">
        <f t="shared" si="20"/>
        <v>194</v>
      </c>
      <c r="K35" s="59"/>
      <c r="L35" s="59"/>
    </row>
    <row r="36" spans="1:24" x14ac:dyDescent="0.25">
      <c r="A36" s="25">
        <f t="shared" si="13"/>
        <v>2031</v>
      </c>
      <c r="B36" s="37">
        <f>'P1 Catchment Projections'!$O$57+'P1 Catchment Projections'!$O$58+'P1 Catchment Projections'!$O$59+'P1 Catchment Projections'!$O$60</f>
        <v>253</v>
      </c>
      <c r="C36" s="34">
        <f t="shared" si="14"/>
        <v>254</v>
      </c>
      <c r="D36" s="34">
        <f t="shared" si="15"/>
        <v>244</v>
      </c>
      <c r="E36" s="34">
        <f t="shared" si="16"/>
        <v>239</v>
      </c>
      <c r="F36" s="34">
        <f t="shared" si="17"/>
        <v>232</v>
      </c>
      <c r="G36" s="34">
        <f t="shared" si="18"/>
        <v>227</v>
      </c>
      <c r="H36" s="34">
        <f t="shared" si="19"/>
        <v>219</v>
      </c>
      <c r="I36" s="99">
        <f t="shared" si="20"/>
        <v>196</v>
      </c>
      <c r="K36" s="59"/>
      <c r="L36" s="59"/>
    </row>
    <row r="37" spans="1:24" x14ac:dyDescent="0.25">
      <c r="A37" s="25">
        <f t="shared" si="13"/>
        <v>2032</v>
      </c>
      <c r="B37" s="37">
        <f>'P1 Catchment Projections'!$P$57+'P1 Catchment Projections'!$P$58+'P1 Catchment Projections'!$P$59+'P1 Catchment Projections'!$P$60</f>
        <v>253</v>
      </c>
      <c r="C37" s="34">
        <f t="shared" si="14"/>
        <v>254</v>
      </c>
      <c r="D37" s="34">
        <f t="shared" si="15"/>
        <v>244</v>
      </c>
      <c r="E37" s="34">
        <f t="shared" si="16"/>
        <v>240</v>
      </c>
      <c r="F37" s="34">
        <f t="shared" si="17"/>
        <v>234</v>
      </c>
      <c r="G37" s="34">
        <f t="shared" si="18"/>
        <v>227</v>
      </c>
      <c r="H37" s="34">
        <f t="shared" si="19"/>
        <v>220</v>
      </c>
      <c r="I37" s="99">
        <f t="shared" si="20"/>
        <v>200</v>
      </c>
      <c r="K37" s="59"/>
      <c r="L37" s="59"/>
    </row>
    <row r="38" spans="1:24" x14ac:dyDescent="0.25">
      <c r="K38" s="59"/>
      <c r="L38" s="59"/>
    </row>
    <row r="39" spans="1:24" x14ac:dyDescent="0.25">
      <c r="A39" s="21" t="s">
        <v>282</v>
      </c>
      <c r="K39" s="394" t="s">
        <v>190</v>
      </c>
      <c r="L39" s="55"/>
      <c r="M39" s="394" t="s">
        <v>203</v>
      </c>
      <c r="N39" s="106"/>
      <c r="O39" s="395" t="s">
        <v>204</v>
      </c>
      <c r="R39" s="21" t="s">
        <v>385</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257</v>
      </c>
      <c r="C41" s="34">
        <f>C24+VLOOKUP($A$1,'Pri Housing Generation'!$A$96:$DQ$118, 11, FALSE)</f>
        <v>232</v>
      </c>
      <c r="D41" s="42">
        <f>D24+VLOOKUP($A$1,'Pri Housing Generation'!$A$96:$DQ$118, 12, FALSE)</f>
        <v>229</v>
      </c>
      <c r="E41" s="43">
        <f>E24+VLOOKUP($A$1,'Pri Housing Generation'!$A$96:$DQ$118, 13, FALSE)</f>
        <v>242</v>
      </c>
      <c r="F41" s="41">
        <f>F24+VLOOKUP($A$1,'Pri Housing Generation'!$A$96:$DQ$118, 14, FALSE)</f>
        <v>229</v>
      </c>
      <c r="G41" s="42">
        <f>G24+VLOOKUP($A$1,'Pri Housing Generation'!$A$96:$DQ$118, 15, FALSE)</f>
        <v>232</v>
      </c>
      <c r="H41" s="43">
        <f>H24+VLOOKUP($A$1,'Pri Housing Generation'!$A$96:$DQ$118, 16, FALSE)</f>
        <v>245</v>
      </c>
      <c r="I41" s="99">
        <f>ROUNDUP((H18-(H18*$I$20)),0)</f>
        <v>186</v>
      </c>
      <c r="K41" s="35">
        <f>'Sec Housing Generation'!I17</f>
        <v>2</v>
      </c>
      <c r="L41" s="83"/>
      <c r="M41" s="107">
        <f>K20+0.0215</f>
        <v>0.68117550265462978</v>
      </c>
      <c r="O41" s="35">
        <f t="shared" ref="O41:O54" si="21">ROUNDUP(((I41+K41)*M41),0)</f>
        <v>129</v>
      </c>
      <c r="Q41" s="25">
        <f>A41</f>
        <v>2019</v>
      </c>
      <c r="R41" s="20">
        <f t="shared" ref="R41:R54" si="22">IF(O41&lt;$C$7,(IF((O41+$O$20)&gt;$C$7,$C$7,(O41+$O$20))),(IF((O41+$O$20)&lt;(CEILING((O41),20)),(O41+$O$20),(CEILING((O41),20)))))</f>
        <v>139</v>
      </c>
      <c r="S41" s="53">
        <f>R18</f>
        <v>142</v>
      </c>
      <c r="T41" s="67">
        <f>S18</f>
        <v>127</v>
      </c>
      <c r="U41" s="69">
        <f>T18</f>
        <v>97</v>
      </c>
      <c r="V41" s="41">
        <f>ROUNDUP((U18-(U18*$V$20)),0)</f>
        <v>91</v>
      </c>
      <c r="W41" s="42">
        <f>ROUNDUP((V18-(V18*$W$20)),0)</f>
        <v>43</v>
      </c>
      <c r="X41" s="101">
        <f t="shared" ref="X41:X50" si="23">SUM(R41:W41)</f>
        <v>639</v>
      </c>
    </row>
    <row r="42" spans="1:24" x14ac:dyDescent="0.25">
      <c r="A42" s="25">
        <f t="shared" ref="A42:A54" si="24">A25</f>
        <v>2020</v>
      </c>
      <c r="B42" s="37">
        <f>B25+VLOOKUP($A$1,'Pri Housing Generation'!$A$96:$DQ$118, 18, FALSE)</f>
        <v>271</v>
      </c>
      <c r="C42" s="34">
        <f>C25+VLOOKUP($A$1,'Pri Housing Generation'!$A$96:$DQ$118, 19, FALSE)</f>
        <v>269</v>
      </c>
      <c r="D42" s="34">
        <f>D25+VLOOKUP($A$1,'Pri Housing Generation'!$A$96:$DQ$118, 20, FALSE)</f>
        <v>234</v>
      </c>
      <c r="E42" s="42">
        <f>E25+VLOOKUP($A$1,'Pri Housing Generation'!$A$96:$DQ$118, 21, FALSE)</f>
        <v>235</v>
      </c>
      <c r="F42" s="43">
        <f>F25+VLOOKUP($A$1,'Pri Housing Generation'!$A$96:$DQ$118, 22, FALSE)</f>
        <v>247</v>
      </c>
      <c r="G42" s="41">
        <f>G25+VLOOKUP($A$1,'Pri Housing Generation'!$A$96:$DQ$118, 23, FALSE)</f>
        <v>234</v>
      </c>
      <c r="H42" s="42">
        <f>H25+VLOOKUP($A$1,'Pri Housing Generation'!$A$96:$DQ$118, 24, FALSE)</f>
        <v>234</v>
      </c>
      <c r="I42" s="99">
        <f t="shared" ref="I42:I54" si="25">ROUNDUP((H41-(H41*$I$20)),0)</f>
        <v>224</v>
      </c>
      <c r="K42" s="35">
        <f>'Sec Housing Generation'!P17</f>
        <v>5</v>
      </c>
      <c r="L42" s="83"/>
      <c r="M42" s="107">
        <f>M41+0.0215</f>
        <v>0.70267550265462975</v>
      </c>
      <c r="O42" s="35">
        <f t="shared" si="21"/>
        <v>161</v>
      </c>
      <c r="Q42" s="25">
        <f t="shared" ref="Q42:Q54" si="26">A42</f>
        <v>2020</v>
      </c>
      <c r="R42" s="20">
        <f t="shared" si="22"/>
        <v>171</v>
      </c>
      <c r="S42" s="53">
        <f t="shared" ref="S42:U50" si="27">R41</f>
        <v>139</v>
      </c>
      <c r="T42" s="53">
        <f t="shared" si="27"/>
        <v>142</v>
      </c>
      <c r="U42" s="67">
        <f t="shared" si="27"/>
        <v>127</v>
      </c>
      <c r="V42" s="43">
        <f t="shared" ref="V42:V50" si="28">ROUNDUP((U41-(U41*$V$20)),0)</f>
        <v>77</v>
      </c>
      <c r="W42" s="41">
        <f t="shared" ref="W42:W50" si="29">ROUNDUP((V41-(V41*$W$20)),0)</f>
        <v>60</v>
      </c>
      <c r="X42" s="101">
        <f t="shared" si="23"/>
        <v>716</v>
      </c>
    </row>
    <row r="43" spans="1:24" x14ac:dyDescent="0.25">
      <c r="A43" s="25">
        <f t="shared" si="24"/>
        <v>2021</v>
      </c>
      <c r="B43" s="37">
        <f>B26+VLOOKUP($A$1,'Pri Housing Generation'!$A$96:$DQ$118, 26, FALSE)</f>
        <v>266</v>
      </c>
      <c r="C43" s="34">
        <f>C26+VLOOKUP($A$1,'Pri Housing Generation'!$A$96:$DQ$118, 27, FALSE)</f>
        <v>286</v>
      </c>
      <c r="D43" s="34">
        <f>D26+VLOOKUP($A$1,'Pri Housing Generation'!$A$96:$DQ$118, 28, FALSE)</f>
        <v>273</v>
      </c>
      <c r="E43" s="34">
        <f>E26+VLOOKUP($A$1,'Pri Housing Generation'!$A$96:$DQ$118, 29, FALSE)</f>
        <v>242</v>
      </c>
      <c r="F43" s="42">
        <f>F26+VLOOKUP($A$1,'Pri Housing Generation'!$A$96:$DQ$118, 30, FALSE)</f>
        <v>243</v>
      </c>
      <c r="G43" s="43">
        <f>G26+VLOOKUP($A$1,'Pri Housing Generation'!$A$96:$DQ$118, 31, FALSE)</f>
        <v>255</v>
      </c>
      <c r="H43" s="41">
        <f>H26+VLOOKUP($A$1,'Pri Housing Generation'!$A$96:$DQ$118, 32, FALSE)</f>
        <v>240</v>
      </c>
      <c r="I43" s="99">
        <f t="shared" si="25"/>
        <v>214</v>
      </c>
      <c r="K43" s="35">
        <f>'Sec Housing Generation'!W17</f>
        <v>10</v>
      </c>
      <c r="L43" s="83"/>
      <c r="M43" s="107">
        <f t="shared" ref="M43:M48" si="30">M42+0.0215</f>
        <v>0.72417550265462971</v>
      </c>
      <c r="O43" s="35">
        <f t="shared" si="21"/>
        <v>163</v>
      </c>
      <c r="Q43" s="25">
        <f t="shared" si="26"/>
        <v>2021</v>
      </c>
      <c r="R43" s="20">
        <f t="shared" si="22"/>
        <v>173</v>
      </c>
      <c r="S43" s="53">
        <f t="shared" si="27"/>
        <v>171</v>
      </c>
      <c r="T43" s="53">
        <f t="shared" si="27"/>
        <v>139</v>
      </c>
      <c r="U43" s="53">
        <f t="shared" si="27"/>
        <v>142</v>
      </c>
      <c r="V43" s="42">
        <f t="shared" si="28"/>
        <v>100</v>
      </c>
      <c r="W43" s="43">
        <f t="shared" si="29"/>
        <v>51</v>
      </c>
      <c r="X43" s="101">
        <f t="shared" si="23"/>
        <v>776</v>
      </c>
    </row>
    <row r="44" spans="1:24" x14ac:dyDescent="0.25">
      <c r="A44" s="25">
        <f t="shared" si="24"/>
        <v>2022</v>
      </c>
      <c r="B44" s="37">
        <f>B27+VLOOKUP($A$1,'Pri Housing Generation'!$A$96:$DQ$118, 34, FALSE)</f>
        <v>268</v>
      </c>
      <c r="C44" s="34">
        <f>C27+VLOOKUP($A$1,'Pri Housing Generation'!$A$96:$DQ$118, 35, FALSE)</f>
        <v>281</v>
      </c>
      <c r="D44" s="34">
        <f>D27+VLOOKUP($A$1,'Pri Housing Generation'!$A$96:$DQ$118, 36, FALSE)</f>
        <v>289</v>
      </c>
      <c r="E44" s="34">
        <f>E27+VLOOKUP($A$1,'Pri Housing Generation'!$A$96:$DQ$118, 37, FALSE)</f>
        <v>280</v>
      </c>
      <c r="F44" s="34">
        <f>F27+VLOOKUP($A$1,'Pri Housing Generation'!$A$96:$DQ$118, 38, FALSE)</f>
        <v>251</v>
      </c>
      <c r="G44" s="42">
        <f>G27+VLOOKUP($A$1,'Pri Housing Generation'!$A$96:$DQ$118, 39, FALSE)</f>
        <v>252</v>
      </c>
      <c r="H44" s="43">
        <f>H27+VLOOKUP($A$1,'Pri Housing Generation'!$A$96:$DQ$118, 40, FALSE)</f>
        <v>261</v>
      </c>
      <c r="I44" s="99">
        <f t="shared" si="25"/>
        <v>219</v>
      </c>
      <c r="K44" s="35">
        <f>'Sec Housing Generation'!AD17</f>
        <v>16</v>
      </c>
      <c r="L44" s="83"/>
      <c r="M44" s="107">
        <f t="shared" si="30"/>
        <v>0.74567550265462967</v>
      </c>
      <c r="O44" s="35">
        <f t="shared" si="21"/>
        <v>176</v>
      </c>
      <c r="Q44" s="25">
        <f t="shared" si="26"/>
        <v>2022</v>
      </c>
      <c r="R44" s="20">
        <f t="shared" si="22"/>
        <v>180</v>
      </c>
      <c r="S44" s="53">
        <f t="shared" si="27"/>
        <v>173</v>
      </c>
      <c r="T44" s="53">
        <f t="shared" si="27"/>
        <v>171</v>
      </c>
      <c r="U44" s="53">
        <f t="shared" si="27"/>
        <v>139</v>
      </c>
      <c r="V44" s="34">
        <f t="shared" si="28"/>
        <v>112</v>
      </c>
      <c r="W44" s="42">
        <f t="shared" si="29"/>
        <v>66</v>
      </c>
      <c r="X44" s="101">
        <f t="shared" si="23"/>
        <v>841</v>
      </c>
    </row>
    <row r="45" spans="1:24" x14ac:dyDescent="0.25">
      <c r="A45" s="25">
        <f t="shared" si="24"/>
        <v>2023</v>
      </c>
      <c r="B45" s="37">
        <f>B28+VLOOKUP($A$1,'Pri Housing Generation'!$A$96:$DQ$118, 42, FALSE)</f>
        <v>295</v>
      </c>
      <c r="C45" s="34">
        <f>C28+VLOOKUP($A$1,'Pri Housing Generation'!$A$96:$DQ$118, 43, FALSE)</f>
        <v>278</v>
      </c>
      <c r="D45" s="34">
        <f>D28+VLOOKUP($A$1,'Pri Housing Generation'!$A$96:$DQ$118, 44, FALSE)</f>
        <v>281</v>
      </c>
      <c r="E45" s="34">
        <f>E28+VLOOKUP($A$1,'Pri Housing Generation'!$A$96:$DQ$118, 45, FALSE)</f>
        <v>292</v>
      </c>
      <c r="F45" s="34">
        <f>F28+VLOOKUP($A$1,'Pri Housing Generation'!$A$96:$DQ$118, 46, FALSE)</f>
        <v>285</v>
      </c>
      <c r="G45" s="34">
        <f>G28+VLOOKUP($A$1,'Pri Housing Generation'!$A$96:$DQ$118, 47, FALSE)</f>
        <v>256</v>
      </c>
      <c r="H45" s="42">
        <f>H28+VLOOKUP($A$1,'Pri Housing Generation'!$A$96:$DQ$118, 48, FALSE)</f>
        <v>255</v>
      </c>
      <c r="I45" s="99">
        <f t="shared" si="25"/>
        <v>238</v>
      </c>
      <c r="J45" s="181"/>
      <c r="K45" s="35">
        <f>'Sec Housing Generation'!AK17</f>
        <v>21</v>
      </c>
      <c r="L45" s="83"/>
      <c r="M45" s="107">
        <f t="shared" si="30"/>
        <v>0.76717550265462964</v>
      </c>
      <c r="O45" s="35">
        <f t="shared" si="21"/>
        <v>199</v>
      </c>
      <c r="Q45" s="25">
        <f t="shared" si="26"/>
        <v>2023</v>
      </c>
      <c r="R45" s="20">
        <f t="shared" si="22"/>
        <v>200</v>
      </c>
      <c r="S45" s="53">
        <f t="shared" si="27"/>
        <v>180</v>
      </c>
      <c r="T45" s="53">
        <f t="shared" si="27"/>
        <v>173</v>
      </c>
      <c r="U45" s="53">
        <f t="shared" si="27"/>
        <v>171</v>
      </c>
      <c r="V45" s="34">
        <f t="shared" si="28"/>
        <v>110</v>
      </c>
      <c r="W45" s="34">
        <f t="shared" si="29"/>
        <v>74</v>
      </c>
      <c r="X45" s="101">
        <f t="shared" si="23"/>
        <v>908</v>
      </c>
    </row>
    <row r="46" spans="1:24" x14ac:dyDescent="0.25">
      <c r="A46" s="25">
        <f t="shared" si="24"/>
        <v>2024</v>
      </c>
      <c r="B46" s="37">
        <f>B29+VLOOKUP($A$1,'Pri Housing Generation'!$A$96:$DQ$118, 50, FALSE)</f>
        <v>308</v>
      </c>
      <c r="C46" s="34">
        <f>C29+VLOOKUP($A$1,'Pri Housing Generation'!$A$96:$DQ$118, 51, FALSE)</f>
        <v>305</v>
      </c>
      <c r="D46" s="34">
        <f>D29+VLOOKUP($A$1,'Pri Housing Generation'!$A$96:$DQ$118, 52, FALSE)</f>
        <v>279</v>
      </c>
      <c r="E46" s="34">
        <f>E29+VLOOKUP($A$1,'Pri Housing Generation'!$A$96:$DQ$118, 53, FALSE)</f>
        <v>285</v>
      </c>
      <c r="F46" s="34">
        <f>F29+VLOOKUP($A$1,'Pri Housing Generation'!$A$96:$DQ$118, 54, FALSE)</f>
        <v>296</v>
      </c>
      <c r="G46" s="34">
        <f>G29+VLOOKUP($A$1,'Pri Housing Generation'!$A$96:$DQ$118, 55, FALSE)</f>
        <v>289</v>
      </c>
      <c r="H46" s="34">
        <f>H29+VLOOKUP($A$1,'Pri Housing Generation'!$A$96:$DQ$118, 56, FALSE)</f>
        <v>260</v>
      </c>
      <c r="I46" s="99">
        <f t="shared" si="25"/>
        <v>233</v>
      </c>
      <c r="J46" s="181"/>
      <c r="K46" s="35">
        <f>'Sec Housing Generation'!AR17</f>
        <v>27</v>
      </c>
      <c r="L46" s="83"/>
      <c r="M46" s="107">
        <f t="shared" si="30"/>
        <v>0.7886755026546296</v>
      </c>
      <c r="O46" s="35">
        <f t="shared" si="21"/>
        <v>206</v>
      </c>
      <c r="Q46" s="25">
        <f t="shared" si="26"/>
        <v>2024</v>
      </c>
      <c r="R46" s="20">
        <f t="shared" si="22"/>
        <v>216</v>
      </c>
      <c r="S46" s="53">
        <f t="shared" si="27"/>
        <v>200</v>
      </c>
      <c r="T46" s="53">
        <f t="shared" si="27"/>
        <v>180</v>
      </c>
      <c r="U46" s="53">
        <f t="shared" si="27"/>
        <v>173</v>
      </c>
      <c r="V46" s="34">
        <f t="shared" si="28"/>
        <v>135</v>
      </c>
      <c r="W46" s="34">
        <f t="shared" si="29"/>
        <v>73</v>
      </c>
      <c r="X46" s="101">
        <f t="shared" si="23"/>
        <v>977</v>
      </c>
    </row>
    <row r="47" spans="1:24" x14ac:dyDescent="0.25">
      <c r="A47" s="25">
        <f t="shared" si="24"/>
        <v>2025</v>
      </c>
      <c r="B47" s="37">
        <f>B30+VLOOKUP($A$1,'Pri Housing Generation'!$A$96:$DQ$118, 58, FALSE)</f>
        <v>320</v>
      </c>
      <c r="C47" s="34">
        <f>C30+VLOOKUP($A$1,'Pri Housing Generation'!$A$96:$DQ$118, 59, FALSE)</f>
        <v>317</v>
      </c>
      <c r="D47" s="34">
        <f>D30+VLOOKUP($A$1,'Pri Housing Generation'!$A$96:$DQ$118, 60, FALSE)</f>
        <v>304</v>
      </c>
      <c r="E47" s="34">
        <f>E30+VLOOKUP($A$1,'Pri Housing Generation'!$A$96:$DQ$118, 61, FALSE)</f>
        <v>282</v>
      </c>
      <c r="F47" s="34">
        <f>F30+VLOOKUP($A$1,'Pri Housing Generation'!$A$96:$DQ$118, 62, FALSE)</f>
        <v>287</v>
      </c>
      <c r="G47" s="34">
        <f>G30+VLOOKUP($A$1,'Pri Housing Generation'!$A$96:$DQ$118, 63, FALSE)</f>
        <v>300</v>
      </c>
      <c r="H47" s="34">
        <f>H30+VLOOKUP($A$1,'Pri Housing Generation'!$A$96:$DQ$118, 64, FALSE)</f>
        <v>290</v>
      </c>
      <c r="I47" s="99">
        <f t="shared" si="25"/>
        <v>238</v>
      </c>
      <c r="J47" s="181"/>
      <c r="K47" s="235"/>
      <c r="L47" s="83"/>
      <c r="M47" s="107">
        <f t="shared" si="30"/>
        <v>0.81017550265462956</v>
      </c>
      <c r="O47" s="35">
        <f t="shared" si="21"/>
        <v>193</v>
      </c>
      <c r="Q47" s="25">
        <f t="shared" si="26"/>
        <v>2025</v>
      </c>
      <c r="R47" s="20">
        <f t="shared" si="22"/>
        <v>200</v>
      </c>
      <c r="S47" s="53">
        <f t="shared" si="27"/>
        <v>216</v>
      </c>
      <c r="T47" s="53">
        <f t="shared" si="27"/>
        <v>200</v>
      </c>
      <c r="U47" s="53">
        <f t="shared" si="27"/>
        <v>180</v>
      </c>
      <c r="V47" s="34">
        <f t="shared" si="28"/>
        <v>137</v>
      </c>
      <c r="W47" s="34">
        <f t="shared" si="29"/>
        <v>89</v>
      </c>
      <c r="X47" s="101">
        <f t="shared" si="23"/>
        <v>1022</v>
      </c>
    </row>
    <row r="48" spans="1:24" x14ac:dyDescent="0.25">
      <c r="A48" s="25">
        <f t="shared" si="24"/>
        <v>2026</v>
      </c>
      <c r="B48" s="37">
        <f>B31+VLOOKUP($A$1,'Pri Housing Generation'!$A$96:$DQ$118, 66, FALSE)</f>
        <v>329</v>
      </c>
      <c r="C48" s="34">
        <f>C31+VLOOKUP($A$1,'Pri Housing Generation'!$A$96:$DQ$118, 67, FALSE)</f>
        <v>328</v>
      </c>
      <c r="D48" s="34">
        <f>D31+VLOOKUP($A$1,'Pri Housing Generation'!$A$96:$DQ$118, 68, FALSE)</f>
        <v>315</v>
      </c>
      <c r="E48" s="34">
        <f>E31+VLOOKUP($A$1,'Pri Housing Generation'!$A$96:$DQ$118, 69, FALSE)</f>
        <v>307</v>
      </c>
      <c r="F48" s="34">
        <f>F31+VLOOKUP($A$1,'Pri Housing Generation'!$A$96:$DQ$118, 70, FALSE)</f>
        <v>285</v>
      </c>
      <c r="G48" s="34">
        <f>G31+VLOOKUP($A$1,'Pri Housing Generation'!$A$96:$DQ$118, 71, FALSE)</f>
        <v>291</v>
      </c>
      <c r="H48" s="34">
        <f>H31+VLOOKUP($A$1,'Pri Housing Generation'!$A$96:$DQ$118, 72, FALSE)</f>
        <v>300</v>
      </c>
      <c r="I48" s="99">
        <f t="shared" si="25"/>
        <v>265</v>
      </c>
      <c r="J48" s="181"/>
      <c r="K48" s="83"/>
      <c r="L48" s="83"/>
      <c r="M48" s="107">
        <f t="shared" si="30"/>
        <v>0.83167550265462953</v>
      </c>
      <c r="O48" s="35">
        <f t="shared" si="21"/>
        <v>221</v>
      </c>
      <c r="Q48" s="25">
        <f t="shared" si="26"/>
        <v>2026</v>
      </c>
      <c r="R48" s="20">
        <f t="shared" si="22"/>
        <v>231</v>
      </c>
      <c r="S48" s="53">
        <f t="shared" si="27"/>
        <v>200</v>
      </c>
      <c r="T48" s="53">
        <f t="shared" si="27"/>
        <v>216</v>
      </c>
      <c r="U48" s="53">
        <f t="shared" si="27"/>
        <v>200</v>
      </c>
      <c r="V48" s="34">
        <f t="shared" si="28"/>
        <v>142</v>
      </c>
      <c r="W48" s="34">
        <f t="shared" si="29"/>
        <v>91</v>
      </c>
      <c r="X48" s="101">
        <f t="shared" si="23"/>
        <v>1080</v>
      </c>
    </row>
    <row r="49" spans="1:24" x14ac:dyDescent="0.25">
      <c r="A49" s="25">
        <f t="shared" si="24"/>
        <v>2027</v>
      </c>
      <c r="B49" s="37">
        <f>B32+VLOOKUP($A$1,'Pri Housing Generation'!$A$96:$DQ$118, 74, FALSE)</f>
        <v>335</v>
      </c>
      <c r="C49" s="34">
        <f>C32+VLOOKUP($A$1,'Pri Housing Generation'!$A$96:$DQ$118, 75, FALSE)</f>
        <v>335</v>
      </c>
      <c r="D49" s="34">
        <f>D32+VLOOKUP($A$1,'Pri Housing Generation'!$A$96:$DQ$118, 76, FALSE)</f>
        <v>324</v>
      </c>
      <c r="E49" s="34">
        <f>E32+VLOOKUP($A$1,'Pri Housing Generation'!$A$96:$DQ$118, 77, FALSE)</f>
        <v>315</v>
      </c>
      <c r="F49" s="34">
        <f>F32+VLOOKUP($A$1,'Pri Housing Generation'!$A$96:$DQ$118, 78, FALSE)</f>
        <v>307</v>
      </c>
      <c r="G49" s="34">
        <f>G32+VLOOKUP($A$1,'Pri Housing Generation'!$A$96:$DQ$118, 79, FALSE)</f>
        <v>287</v>
      </c>
      <c r="H49" s="34">
        <f>H32+VLOOKUP($A$1,'Pri Housing Generation'!$A$96:$DQ$118, 80, FALSE)</f>
        <v>290</v>
      </c>
      <c r="I49" s="99">
        <f t="shared" si="25"/>
        <v>274</v>
      </c>
      <c r="J49" s="181"/>
      <c r="K49" s="83"/>
      <c r="L49" s="83"/>
      <c r="M49" s="107">
        <v>0.83199999999999996</v>
      </c>
      <c r="O49" s="35">
        <f t="shared" si="21"/>
        <v>228</v>
      </c>
      <c r="Q49" s="25">
        <f t="shared" si="26"/>
        <v>2027</v>
      </c>
      <c r="R49" s="20">
        <f t="shared" si="22"/>
        <v>238</v>
      </c>
      <c r="S49" s="53">
        <f t="shared" si="27"/>
        <v>231</v>
      </c>
      <c r="T49" s="53">
        <f t="shared" si="27"/>
        <v>200</v>
      </c>
      <c r="U49" s="53">
        <f t="shared" si="27"/>
        <v>216</v>
      </c>
      <c r="V49" s="34">
        <f t="shared" si="28"/>
        <v>158</v>
      </c>
      <c r="W49" s="34">
        <f t="shared" si="29"/>
        <v>94</v>
      </c>
      <c r="X49" s="101">
        <f t="shared" si="23"/>
        <v>1137</v>
      </c>
    </row>
    <row r="50" spans="1:24" x14ac:dyDescent="0.25">
      <c r="A50" s="25">
        <f t="shared" si="24"/>
        <v>2028</v>
      </c>
      <c r="B50" s="37">
        <f>B33+VLOOKUP($A$1,'Pri Housing Generation'!$A$96:$DQ$118, 82, FALSE)</f>
        <v>337</v>
      </c>
      <c r="C50" s="34">
        <f>C33+VLOOKUP($A$1,'Pri Housing Generation'!$A$96:$DQ$118, 83, FALSE)</f>
        <v>336</v>
      </c>
      <c r="D50" s="34">
        <f>D33+VLOOKUP($A$1,'Pri Housing Generation'!$A$96:$DQ$118, 84, FALSE)</f>
        <v>325</v>
      </c>
      <c r="E50" s="34">
        <f>E33+VLOOKUP($A$1,'Pri Housing Generation'!$A$96:$DQ$118, 85, FALSE)</f>
        <v>319</v>
      </c>
      <c r="F50" s="34">
        <f>F33+VLOOKUP($A$1,'Pri Housing Generation'!$A$96:$DQ$118, 86, FALSE)</f>
        <v>310</v>
      </c>
      <c r="G50" s="34">
        <f>G33+VLOOKUP($A$1,'Pri Housing Generation'!$A$96:$DQ$118, 87, FALSE)</f>
        <v>302</v>
      </c>
      <c r="H50" s="34">
        <f>H33+VLOOKUP($A$1,'Pri Housing Generation'!$A$96:$DQ$118, 88, FALSE)</f>
        <v>280</v>
      </c>
      <c r="I50" s="99">
        <f t="shared" si="25"/>
        <v>265</v>
      </c>
      <c r="J50" s="181"/>
      <c r="K50" s="83"/>
      <c r="L50" s="83"/>
      <c r="M50" s="107">
        <v>0.83199999999999996</v>
      </c>
      <c r="O50" s="35">
        <f t="shared" si="21"/>
        <v>221</v>
      </c>
      <c r="Q50" s="25">
        <f t="shared" si="26"/>
        <v>2028</v>
      </c>
      <c r="R50" s="20">
        <f t="shared" si="22"/>
        <v>231</v>
      </c>
      <c r="S50" s="53">
        <f t="shared" si="27"/>
        <v>238</v>
      </c>
      <c r="T50" s="53">
        <f t="shared" si="27"/>
        <v>231</v>
      </c>
      <c r="U50" s="53">
        <f t="shared" si="27"/>
        <v>200</v>
      </c>
      <c r="V50" s="34">
        <f t="shared" si="28"/>
        <v>171</v>
      </c>
      <c r="W50" s="34">
        <f t="shared" si="29"/>
        <v>104</v>
      </c>
      <c r="X50" s="101">
        <f t="shared" si="23"/>
        <v>1175</v>
      </c>
    </row>
    <row r="51" spans="1:24" x14ac:dyDescent="0.25">
      <c r="A51" s="25">
        <f t="shared" si="24"/>
        <v>2029</v>
      </c>
      <c r="B51" s="37">
        <f>B34+VLOOKUP($A$1,'Pri Housing Generation'!$A$96:$DQ$118, 90, FALSE)</f>
        <v>338</v>
      </c>
      <c r="C51" s="34">
        <f>C34+VLOOKUP($A$1,'Pri Housing Generation'!$A$96:$DQ$118, 91, FALSE)</f>
        <v>338</v>
      </c>
      <c r="D51" s="34">
        <f>D34+VLOOKUP($A$1,'Pri Housing Generation'!$A$96:$DQ$118, 92, FALSE)</f>
        <v>325</v>
      </c>
      <c r="E51" s="34">
        <f>E34+VLOOKUP($A$1,'Pri Housing Generation'!$A$96:$DQ$118, 93, FALSE)</f>
        <v>320</v>
      </c>
      <c r="F51" s="34">
        <f>F34+VLOOKUP($A$1,'Pri Housing Generation'!$A$96:$DQ$118, 94, FALSE)</f>
        <v>314</v>
      </c>
      <c r="G51" s="34">
        <f>G34+VLOOKUP($A$1,'Pri Housing Generation'!$A$96:$DQ$118, 95, FALSE)</f>
        <v>305</v>
      </c>
      <c r="H51" s="34">
        <f>H34+VLOOKUP($A$1,'Pri Housing Generation'!$A$96:$DQ$118, 96, FALSE)</f>
        <v>294</v>
      </c>
      <c r="I51" s="99">
        <f t="shared" si="25"/>
        <v>256</v>
      </c>
      <c r="J51" s="181"/>
      <c r="K51" s="83"/>
      <c r="L51" s="83"/>
      <c r="M51" s="107">
        <v>0.83199999999999996</v>
      </c>
      <c r="O51" s="35">
        <f t="shared" si="21"/>
        <v>213</v>
      </c>
      <c r="Q51" s="25">
        <f t="shared" si="26"/>
        <v>2029</v>
      </c>
      <c r="R51" s="20">
        <f t="shared" si="22"/>
        <v>220</v>
      </c>
      <c r="S51" s="53">
        <f t="shared" ref="S51:S54" si="31">R50</f>
        <v>231</v>
      </c>
      <c r="T51" s="53">
        <f t="shared" ref="T51:T54" si="32">S50</f>
        <v>238</v>
      </c>
      <c r="U51" s="53">
        <f t="shared" ref="U51:U54" si="33">T50</f>
        <v>231</v>
      </c>
      <c r="V51" s="34">
        <f t="shared" ref="V51:V54" si="34">ROUNDUP((U50-(U50*$V$20)),0)</f>
        <v>158</v>
      </c>
      <c r="W51" s="34">
        <f t="shared" ref="W51:W54" si="35">ROUNDUP((V50-(V50*$W$20)),0)</f>
        <v>113</v>
      </c>
      <c r="X51" s="101">
        <f t="shared" ref="X51:X54" si="36">SUM(R51:W51)</f>
        <v>1191</v>
      </c>
    </row>
    <row r="52" spans="1:24" x14ac:dyDescent="0.25">
      <c r="A52" s="25">
        <f t="shared" si="24"/>
        <v>2030</v>
      </c>
      <c r="B52" s="37">
        <f>B35+VLOOKUP($A$1,'Pri Housing Generation'!$A$96:$DQ$118, 98, FALSE)</f>
        <v>338</v>
      </c>
      <c r="C52" s="34">
        <f>C35+VLOOKUP($A$1,'Pri Housing Generation'!$A$96:$DQ$118, 99, FALSE)</f>
        <v>339</v>
      </c>
      <c r="D52" s="34">
        <f>D35+VLOOKUP($A$1,'Pri Housing Generation'!$A$96:$DQ$118, 100, FALSE)</f>
        <v>327</v>
      </c>
      <c r="E52" s="34">
        <f>E35+VLOOKUP($A$1,'Pri Housing Generation'!$A$96:$DQ$118, 101, FALSE)</f>
        <v>320</v>
      </c>
      <c r="F52" s="34">
        <f>F35+VLOOKUP($A$1,'Pri Housing Generation'!$A$96:$DQ$118, 102, FALSE)</f>
        <v>315</v>
      </c>
      <c r="G52" s="34">
        <f>G35+VLOOKUP($A$1,'Pri Housing Generation'!$A$96:$DQ$118, 103, FALSE)</f>
        <v>309</v>
      </c>
      <c r="H52" s="34">
        <f>H35+VLOOKUP($A$1,'Pri Housing Generation'!$A$96:$DQ$118, 104, FALSE)</f>
        <v>297</v>
      </c>
      <c r="I52" s="99">
        <f t="shared" si="25"/>
        <v>269</v>
      </c>
      <c r="J52" s="54"/>
      <c r="K52" s="83"/>
      <c r="L52" s="83"/>
      <c r="M52" s="107">
        <v>0.83199999999999996</v>
      </c>
      <c r="O52" s="35">
        <f t="shared" si="21"/>
        <v>224</v>
      </c>
      <c r="Q52" s="25">
        <f t="shared" si="26"/>
        <v>2030</v>
      </c>
      <c r="R52" s="20">
        <f t="shared" si="22"/>
        <v>234</v>
      </c>
      <c r="S52" s="53">
        <f t="shared" si="31"/>
        <v>220</v>
      </c>
      <c r="T52" s="53">
        <f t="shared" si="32"/>
        <v>231</v>
      </c>
      <c r="U52" s="53">
        <f t="shared" si="33"/>
        <v>238</v>
      </c>
      <c r="V52" s="34">
        <f t="shared" si="34"/>
        <v>182</v>
      </c>
      <c r="W52" s="34">
        <f t="shared" si="35"/>
        <v>104</v>
      </c>
      <c r="X52" s="101">
        <f t="shared" si="36"/>
        <v>1209</v>
      </c>
    </row>
    <row r="53" spans="1:24" x14ac:dyDescent="0.25">
      <c r="A53" s="25">
        <f t="shared" si="24"/>
        <v>2031</v>
      </c>
      <c r="B53" s="37">
        <f>B36+VLOOKUP($A$1,'Pri Housing Generation'!$A$96:$DQ$118, 106, FALSE)</f>
        <v>338</v>
      </c>
      <c r="C53" s="34">
        <f>C36+VLOOKUP($A$1,'Pri Housing Generation'!$A$96:$DQ$118, 107, FALSE)</f>
        <v>339</v>
      </c>
      <c r="D53" s="34">
        <f>D36+VLOOKUP($A$1,'Pri Housing Generation'!$A$96:$DQ$118, 108, FALSE)</f>
        <v>328</v>
      </c>
      <c r="E53" s="34">
        <f>E36+VLOOKUP($A$1,'Pri Housing Generation'!$A$96:$DQ$118, 109, FALSE)</f>
        <v>322</v>
      </c>
      <c r="F53" s="34">
        <f>F36+VLOOKUP($A$1,'Pri Housing Generation'!$A$96:$DQ$118, 110, FALSE)</f>
        <v>315</v>
      </c>
      <c r="G53" s="34">
        <f>G36+VLOOKUP($A$1,'Pri Housing Generation'!$A$96:$DQ$118, 111, FALSE)</f>
        <v>310</v>
      </c>
      <c r="H53" s="34">
        <f>H36+VLOOKUP($A$1,'Pri Housing Generation'!$A$96:$DQ$118, 112, FALSE)</f>
        <v>301</v>
      </c>
      <c r="I53" s="99">
        <f t="shared" si="25"/>
        <v>271</v>
      </c>
      <c r="J53" s="54"/>
      <c r="K53" s="83"/>
      <c r="L53" s="83"/>
      <c r="M53" s="107">
        <v>0.83199999999999996</v>
      </c>
      <c r="O53" s="35">
        <f t="shared" si="21"/>
        <v>226</v>
      </c>
      <c r="Q53" s="25">
        <f t="shared" si="26"/>
        <v>2031</v>
      </c>
      <c r="R53" s="20">
        <f t="shared" si="22"/>
        <v>236</v>
      </c>
      <c r="S53" s="53">
        <f t="shared" si="31"/>
        <v>234</v>
      </c>
      <c r="T53" s="53">
        <f t="shared" si="32"/>
        <v>220</v>
      </c>
      <c r="U53" s="53">
        <f t="shared" si="33"/>
        <v>231</v>
      </c>
      <c r="V53" s="34">
        <f t="shared" si="34"/>
        <v>188</v>
      </c>
      <c r="W53" s="34">
        <f t="shared" si="35"/>
        <v>120</v>
      </c>
      <c r="X53" s="101">
        <f t="shared" si="36"/>
        <v>1229</v>
      </c>
    </row>
    <row r="54" spans="1:24" x14ac:dyDescent="0.25">
      <c r="A54" s="25">
        <f t="shared" si="24"/>
        <v>2032</v>
      </c>
      <c r="B54" s="37">
        <f>B37+VLOOKUP($A$1,'Pri Housing Generation'!$A$96:$DQ$118, 114, FALSE)</f>
        <v>338</v>
      </c>
      <c r="C54" s="34">
        <f>C37+VLOOKUP($A$1,'Pri Housing Generation'!$A$96:$DQ$118, 115, FALSE)</f>
        <v>339</v>
      </c>
      <c r="D54" s="34">
        <f>D37+VLOOKUP($A$1,'Pri Housing Generation'!$A$96:$DQ$118, 116, FALSE)</f>
        <v>328</v>
      </c>
      <c r="E54" s="34">
        <f>E37+VLOOKUP($A$1,'Pri Housing Generation'!$A$96:$DQ$118, 117, FALSE)</f>
        <v>323</v>
      </c>
      <c r="F54" s="34">
        <f>F37+VLOOKUP($A$1,'Pri Housing Generation'!$A$96:$DQ$118, 118, FALSE)</f>
        <v>317</v>
      </c>
      <c r="G54" s="34">
        <f>G37+VLOOKUP($A$1,'Pri Housing Generation'!$A$96:$DQ$118, 119, FALSE)</f>
        <v>310</v>
      </c>
      <c r="H54" s="34">
        <f>H37+VLOOKUP($A$1,'Pri Housing Generation'!$A$96:$DQ$118, 120, FALSE)</f>
        <v>302</v>
      </c>
      <c r="I54" s="99">
        <f t="shared" si="25"/>
        <v>275</v>
      </c>
      <c r="K54" s="83"/>
      <c r="L54" s="83"/>
      <c r="M54" s="107">
        <v>0.83199999999999996</v>
      </c>
      <c r="O54" s="35">
        <f t="shared" si="21"/>
        <v>229</v>
      </c>
      <c r="Q54" s="25">
        <f t="shared" si="26"/>
        <v>2032</v>
      </c>
      <c r="R54" s="20">
        <f t="shared" si="22"/>
        <v>239</v>
      </c>
      <c r="S54" s="53">
        <f t="shared" si="31"/>
        <v>236</v>
      </c>
      <c r="T54" s="53">
        <f t="shared" si="32"/>
        <v>234</v>
      </c>
      <c r="U54" s="53">
        <f t="shared" si="33"/>
        <v>220</v>
      </c>
      <c r="V54" s="34">
        <f t="shared" si="34"/>
        <v>182</v>
      </c>
      <c r="W54" s="34">
        <f t="shared" si="35"/>
        <v>124</v>
      </c>
      <c r="X54" s="101">
        <f t="shared" si="36"/>
        <v>1235</v>
      </c>
    </row>
    <row r="56" spans="1:24" ht="15.75" x14ac:dyDescent="0.25">
      <c r="A56" s="129" t="s">
        <v>223</v>
      </c>
      <c r="F56" s="131"/>
      <c r="G56" s="131"/>
      <c r="H56" s="131"/>
      <c r="I56" s="131"/>
      <c r="J56" s="131"/>
    </row>
    <row r="57" spans="1:24" x14ac:dyDescent="0.25">
      <c r="F57" s="131"/>
      <c r="G57" s="131"/>
      <c r="H57" s="131"/>
      <c r="I57" s="131"/>
      <c r="J57" s="131"/>
    </row>
    <row r="58" spans="1:24" x14ac:dyDescent="0.25">
      <c r="A58" s="21" t="s">
        <v>224</v>
      </c>
      <c r="F58" s="21" t="s">
        <v>255</v>
      </c>
      <c r="I58" s="131"/>
      <c r="J58" s="131"/>
    </row>
    <row r="59" spans="1:24" x14ac:dyDescent="0.25">
      <c r="A59" s="21"/>
      <c r="F59" s="21"/>
      <c r="I59" s="131"/>
      <c r="J59" s="131"/>
    </row>
    <row r="60" spans="1:24" ht="33" customHeight="1" x14ac:dyDescent="0.25">
      <c r="A60" s="136"/>
      <c r="B60" s="138" t="s">
        <v>225</v>
      </c>
      <c r="C60" s="413" t="s">
        <v>226</v>
      </c>
      <c r="D60" s="414"/>
      <c r="F60" s="136"/>
      <c r="G60" s="138" t="s">
        <v>225</v>
      </c>
      <c r="H60" s="130"/>
      <c r="I60" s="130"/>
      <c r="J60" s="130"/>
    </row>
    <row r="61" spans="1:24" x14ac:dyDescent="0.25">
      <c r="A61" s="25">
        <v>2011</v>
      </c>
      <c r="B61" s="128">
        <v>55</v>
      </c>
      <c r="C61" s="415">
        <f t="shared" ref="C61:C66" si="37">1-(I13/(I13+B61))</f>
        <v>0.25229357798165142</v>
      </c>
      <c r="D61" s="388"/>
      <c r="F61" s="25">
        <v>2011</v>
      </c>
      <c r="G61" s="128">
        <v>23</v>
      </c>
      <c r="H61" s="54"/>
      <c r="I61" s="142"/>
      <c r="J61" s="54"/>
    </row>
    <row r="62" spans="1:24" x14ac:dyDescent="0.25">
      <c r="A62" s="25">
        <v>2012</v>
      </c>
      <c r="B62" s="128">
        <v>52</v>
      </c>
      <c r="C62" s="415">
        <f t="shared" si="37"/>
        <v>0.30057803468208089</v>
      </c>
      <c r="D62" s="388"/>
      <c r="F62" s="25">
        <v>2012</v>
      </c>
      <c r="G62" s="128">
        <v>23</v>
      </c>
      <c r="H62" s="54"/>
      <c r="I62" s="142"/>
      <c r="J62" s="54"/>
      <c r="K62" s="181"/>
      <c r="N62" s="109"/>
      <c r="S62" s="82"/>
    </row>
    <row r="63" spans="1:24" x14ac:dyDescent="0.25">
      <c r="A63" s="25">
        <v>2013</v>
      </c>
      <c r="B63" s="128">
        <v>49</v>
      </c>
      <c r="C63" s="415">
        <f t="shared" si="37"/>
        <v>0.22272727272727277</v>
      </c>
      <c r="D63" s="388"/>
      <c r="F63" s="25">
        <v>2013</v>
      </c>
      <c r="G63" s="128">
        <v>22</v>
      </c>
      <c r="H63" s="54"/>
      <c r="I63" s="142"/>
      <c r="J63" s="54"/>
      <c r="K63" s="181"/>
      <c r="N63" s="109"/>
      <c r="S63" s="82"/>
    </row>
    <row r="64" spans="1:24" x14ac:dyDescent="0.25">
      <c r="A64" s="25">
        <v>2014</v>
      </c>
      <c r="B64" s="128">
        <v>59</v>
      </c>
      <c r="C64" s="415">
        <f t="shared" si="37"/>
        <v>0.30890052356020947</v>
      </c>
      <c r="D64" s="388"/>
      <c r="F64" s="25">
        <v>2014</v>
      </c>
      <c r="G64" s="128">
        <v>25</v>
      </c>
      <c r="H64" s="54"/>
      <c r="I64" s="142"/>
      <c r="J64" s="54"/>
      <c r="K64" s="181"/>
      <c r="N64" s="109"/>
      <c r="S64" s="82"/>
    </row>
    <row r="65" spans="1:19" x14ac:dyDescent="0.25">
      <c r="A65" s="25">
        <v>2015</v>
      </c>
      <c r="B65" s="128">
        <v>47</v>
      </c>
      <c r="C65" s="415">
        <f t="shared" si="37"/>
        <v>0.20171673819742486</v>
      </c>
      <c r="D65" s="388"/>
      <c r="F65" s="25">
        <v>2015</v>
      </c>
      <c r="G65" s="128">
        <v>33</v>
      </c>
      <c r="H65" s="54"/>
      <c r="I65" s="142"/>
      <c r="J65" s="54"/>
      <c r="K65" s="181"/>
      <c r="N65" s="109"/>
      <c r="S65" s="82"/>
    </row>
    <row r="66" spans="1:19" x14ac:dyDescent="0.25">
      <c r="A66" s="25">
        <v>2016</v>
      </c>
      <c r="B66" s="128"/>
      <c r="C66" s="415">
        <f t="shared" si="37"/>
        <v>0</v>
      </c>
      <c r="D66" s="388"/>
      <c r="F66" s="25">
        <v>2016</v>
      </c>
      <c r="G66" s="128"/>
      <c r="H66" s="54"/>
      <c r="I66" s="142"/>
      <c r="J66" s="54"/>
      <c r="K66" s="181"/>
      <c r="N66" s="109"/>
      <c r="S66" s="82"/>
    </row>
    <row r="67" spans="1:19" x14ac:dyDescent="0.25">
      <c r="A67" s="21"/>
      <c r="F67" s="140" t="s">
        <v>256</v>
      </c>
      <c r="G67" s="141">
        <f>ROUNDUP((AVERAGE(G63:G65)),0)</f>
        <v>27</v>
      </c>
      <c r="I67" s="142"/>
      <c r="K67" s="181"/>
      <c r="N67" s="109"/>
      <c r="S67" s="82"/>
    </row>
    <row r="68" spans="1:19" x14ac:dyDescent="0.25">
      <c r="A68" s="21" t="s">
        <v>213</v>
      </c>
      <c r="I68" s="142"/>
      <c r="K68" s="181"/>
      <c r="N68" s="109"/>
      <c r="S68" s="82"/>
    </row>
    <row r="69" spans="1:19" x14ac:dyDescent="0.25">
      <c r="A69" t="s">
        <v>257</v>
      </c>
      <c r="I69" s="142"/>
      <c r="K69" s="54"/>
      <c r="N69" s="109"/>
      <c r="S69" s="82"/>
    </row>
    <row r="70" spans="1:19" x14ac:dyDescent="0.25">
      <c r="A70" t="s">
        <v>333</v>
      </c>
      <c r="I70" s="142"/>
      <c r="K70" s="54"/>
      <c r="N70" s="109"/>
      <c r="S70" s="82"/>
    </row>
    <row r="71" spans="1:19" x14ac:dyDescent="0.25">
      <c r="A71" t="s">
        <v>334</v>
      </c>
      <c r="I71" s="142"/>
      <c r="K71" s="54"/>
      <c r="N71" s="109"/>
    </row>
    <row r="72" spans="1:19" x14ac:dyDescent="0.25">
      <c r="A72" t="s">
        <v>381</v>
      </c>
    </row>
    <row r="73" spans="1:19" x14ac:dyDescent="0.25">
      <c r="A73" t="s">
        <v>382</v>
      </c>
    </row>
    <row r="74" spans="1:19" x14ac:dyDescent="0.25">
      <c r="K74" s="131"/>
      <c r="N74" s="109"/>
      <c r="O74" s="109"/>
    </row>
    <row r="75" spans="1:19" ht="38.25" customHeight="1" x14ac:dyDescent="0.25">
      <c r="A75" s="417" t="s">
        <v>407</v>
      </c>
      <c r="B75" s="417"/>
      <c r="C75" s="417"/>
      <c r="D75" s="417"/>
      <c r="E75" s="417"/>
      <c r="F75" s="417"/>
      <c r="G75" s="417"/>
      <c r="H75" s="417"/>
      <c r="I75" s="417"/>
      <c r="J75" s="417"/>
      <c r="K75" s="417"/>
      <c r="L75" s="417"/>
      <c r="M75" s="417"/>
      <c r="N75" s="417"/>
      <c r="O75" s="417"/>
      <c r="P75" s="417"/>
      <c r="Q75" s="417"/>
    </row>
    <row r="76" spans="1:19" x14ac:dyDescent="0.25">
      <c r="K76" s="131"/>
      <c r="N76" s="109"/>
      <c r="O76" s="109"/>
    </row>
    <row r="77" spans="1:19" x14ac:dyDescent="0.25">
      <c r="K77" s="131"/>
      <c r="N77" s="109"/>
      <c r="O77" s="109"/>
    </row>
    <row r="78" spans="1:19" x14ac:dyDescent="0.25">
      <c r="K78" s="130"/>
      <c r="N78" s="109"/>
      <c r="O78" s="109"/>
      <c r="Q78" s="130"/>
    </row>
    <row r="79" spans="1:19" x14ac:dyDescent="0.25">
      <c r="K79" s="54"/>
      <c r="N79" s="109"/>
      <c r="O79" s="109"/>
      <c r="Q79" s="54"/>
    </row>
    <row r="80" spans="1:19" x14ac:dyDescent="0.25">
      <c r="K80" s="54"/>
      <c r="N80" s="109"/>
      <c r="O80" s="109"/>
      <c r="Q80" s="54"/>
    </row>
    <row r="81" spans="11:17" x14ac:dyDescent="0.25">
      <c r="K81" s="54"/>
      <c r="N81" s="109"/>
      <c r="O81" s="109"/>
      <c r="Q81" s="54"/>
    </row>
    <row r="82" spans="11:17" x14ac:dyDescent="0.25">
      <c r="K82" s="54"/>
      <c r="N82" s="109"/>
      <c r="O82" s="109"/>
      <c r="Q82" s="54"/>
    </row>
    <row r="83" spans="11:17" x14ac:dyDescent="0.25">
      <c r="K83" s="54"/>
      <c r="N83" s="109"/>
      <c r="O83" s="109"/>
      <c r="Q83" s="54"/>
    </row>
    <row r="84" spans="11:17" x14ac:dyDescent="0.25">
      <c r="K84" s="54"/>
      <c r="N84" s="109"/>
      <c r="O84" s="109"/>
      <c r="Q84" s="54"/>
    </row>
  </sheetData>
  <mergeCells count="23">
    <mergeCell ref="C65:D65"/>
    <mergeCell ref="T19:U20"/>
    <mergeCell ref="K20:M20"/>
    <mergeCell ref="K18:L18"/>
    <mergeCell ref="K39:K40"/>
    <mergeCell ref="M39:M40"/>
    <mergeCell ref="O39:O40"/>
    <mergeCell ref="A75:Q75"/>
    <mergeCell ref="K15:L15"/>
    <mergeCell ref="K14:L14"/>
    <mergeCell ref="K11:L13"/>
    <mergeCell ref="M11:M13"/>
    <mergeCell ref="O11:O13"/>
    <mergeCell ref="K16:L16"/>
    <mergeCell ref="K17:L17"/>
    <mergeCell ref="A19:B20"/>
    <mergeCell ref="K19:M19"/>
    <mergeCell ref="C60:D60"/>
    <mergeCell ref="C61:D61"/>
    <mergeCell ref="C66:D66"/>
    <mergeCell ref="C62:D62"/>
    <mergeCell ref="C63:D63"/>
    <mergeCell ref="C64:D64"/>
  </mergeCells>
  <conditionalFormatting sqref="R41:R54">
    <cfRule type="cellIs" dxfId="19" priority="3" operator="greaterThan">
      <formula>$C$7</formula>
    </cfRule>
  </conditionalFormatting>
  <conditionalFormatting sqref="X41:X54">
    <cfRule type="cellIs" dxfId="18" priority="2"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AA84"/>
  <sheetViews>
    <sheetView topLeftCell="L16" workbookViewId="0">
      <selection activeCell="M29" sqref="M29:Y29"/>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106</v>
      </c>
    </row>
    <row r="2" spans="1:24" x14ac:dyDescent="0.25">
      <c r="A2" t="s">
        <v>400</v>
      </c>
    </row>
    <row r="4" spans="1:24" x14ac:dyDescent="0.25">
      <c r="A4" s="21" t="s">
        <v>192</v>
      </c>
    </row>
    <row r="5" spans="1:24" x14ac:dyDescent="0.25">
      <c r="A5" s="21"/>
    </row>
    <row r="6" spans="1:24" x14ac:dyDescent="0.25">
      <c r="A6" s="21" t="s">
        <v>193</v>
      </c>
      <c r="C6" s="100">
        <f>VLOOKUP(A1,'Projection Summary'!A5:C50,3,FALSE)</f>
        <v>1400</v>
      </c>
    </row>
    <row r="7" spans="1:24" x14ac:dyDescent="0.25">
      <c r="A7" s="21" t="s">
        <v>191</v>
      </c>
      <c r="B7" s="21"/>
      <c r="C7" s="100">
        <f>VLOOKUP(A1,'Projection Summary'!A5:C50,2,FALSE)</f>
        <v>260</v>
      </c>
    </row>
    <row r="9" spans="1:24" ht="15.75" x14ac:dyDescent="0.25">
      <c r="A9" s="129" t="s">
        <v>197</v>
      </c>
      <c r="R9" s="129" t="s">
        <v>198</v>
      </c>
      <c r="T9" s="173"/>
    </row>
    <row r="10" spans="1:24" x14ac:dyDescent="0.25">
      <c r="A10" s="21"/>
    </row>
    <row r="11" spans="1:24" x14ac:dyDescent="0.25">
      <c r="A11" s="21" t="s">
        <v>284</v>
      </c>
      <c r="K11" s="406" t="s">
        <v>137</v>
      </c>
      <c r="L11" s="407"/>
      <c r="M11" s="412" t="s">
        <v>139</v>
      </c>
      <c r="N11" s="49"/>
      <c r="O11" s="394" t="s">
        <v>136</v>
      </c>
      <c r="R11" s="21" t="s">
        <v>285</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244</v>
      </c>
      <c r="C13" s="19">
        <f>VLOOKUP($A$1,'Primary Catchment Analysis'!$A$3:$BE$25, 38, FALSE)</f>
        <v>255</v>
      </c>
      <c r="D13" s="27">
        <f>VLOOKUP($A$1,'Primary Catchment Analysis'!$A$3:$BE$25, 39, FALSE)</f>
        <v>217</v>
      </c>
      <c r="E13" s="27">
        <f>VLOOKUP($A$1,'Primary Catchment Analysis'!$A$3:$BE$25, 40, FALSE)</f>
        <v>226</v>
      </c>
      <c r="F13" s="27">
        <f>VLOOKUP($A$1,'Primary Catchment Analysis'!$A$3:$BE$25, 41, FALSE)</f>
        <v>207</v>
      </c>
      <c r="G13" s="126">
        <f>VLOOKUP($A$1,'Primary Catchment Analysis'!$A$3:$BE$25, 42, FALSE)</f>
        <v>200</v>
      </c>
      <c r="H13" s="28">
        <f>VLOOKUP($A$1,'Primary Catchment Analysis'!$A$3:$BE$25, 43, FALSE)</f>
        <v>185</v>
      </c>
      <c r="I13" s="28">
        <f>VLOOKUP($A$1,'S1 Catchment Analysis'!A3:I25, 7, FALSE)</f>
        <v>213</v>
      </c>
      <c r="J13" s="23"/>
      <c r="K13" s="410"/>
      <c r="L13" s="411"/>
      <c r="M13" s="399"/>
      <c r="N13" s="50"/>
      <c r="O13" s="399"/>
      <c r="P13" s="50"/>
      <c r="Q13" s="25">
        <f>A13</f>
        <v>2013</v>
      </c>
      <c r="R13" s="69">
        <f>VLOOKUP($A$1,'Secondary Rolls'!$A$3:$BE$25, 37, FALSE)</f>
        <v>248</v>
      </c>
      <c r="S13" s="53">
        <f>VLOOKUP($A$1,'Secondary Rolls'!$A$3:$BE$25, 38, FALSE)</f>
        <v>219</v>
      </c>
      <c r="T13" s="53">
        <f>VLOOKUP($A$1,'Secondary Rolls'!$A$3:$BE$25, 39, FALSE)</f>
        <v>224</v>
      </c>
      <c r="U13" s="122">
        <f>VLOOKUP($A$1,'Secondary Rolls'!$A$3:$BE$25, 40, FALSE)</f>
        <v>244</v>
      </c>
      <c r="V13" s="63">
        <f>VLOOKUP($A$1,'Secondary Rolls'!$A$3:$BE$25, 41, FALSE)</f>
        <v>225</v>
      </c>
      <c r="W13" s="53">
        <f>VLOOKUP($A$1,'Secondary Rolls'!$A$3:$BE$25, 42, FALSE)</f>
        <v>174</v>
      </c>
      <c r="X13" s="62">
        <f t="shared" ref="X13:X17" si="0">SUM(R13:W13)</f>
        <v>1334</v>
      </c>
    </row>
    <row r="14" spans="1:24" ht="15.75" thickBot="1" x14ac:dyDescent="0.3">
      <c r="A14" s="25">
        <f>VLOOKUP($A$12,'S1 Catchment Analysis'!A2:I2, 6, FALSE)</f>
        <v>2014</v>
      </c>
      <c r="B14" s="45">
        <f>VLOOKUP($A$1,'Primary Catchment Analysis'!$A$3:$BE$25, 30, FALSE)</f>
        <v>254</v>
      </c>
      <c r="C14" s="44">
        <f>VLOOKUP($A$1,'Primary Catchment Analysis'!$A$3:$BE$25, 31, FALSE)</f>
        <v>246</v>
      </c>
      <c r="D14" s="19">
        <f>VLOOKUP($A$1,'Primary Catchment Analysis'!$A$3:$BE$25, 32, FALSE)</f>
        <v>256</v>
      </c>
      <c r="E14" s="27">
        <f>VLOOKUP($A$1,'Primary Catchment Analysis'!$A$3:$BE$25, 33, FALSE)</f>
        <v>219</v>
      </c>
      <c r="F14" s="27">
        <f>VLOOKUP($A$1,'Primary Catchment Analysis'!$A$3:$BE$25, 34, FALSE)</f>
        <v>218</v>
      </c>
      <c r="G14" s="126">
        <f>VLOOKUP($A$1,'Primary Catchment Analysis'!$A$3:$BE$25, 35, FALSE)</f>
        <v>198</v>
      </c>
      <c r="H14" s="28">
        <f>VLOOKUP($A$1,'Primary Catchment Analysis'!$A$3:$BE$25, 36, FALSE)</f>
        <v>188</v>
      </c>
      <c r="I14" s="27">
        <f>VLOOKUP($A$1,'S1 Catchment Analysis'!A3:I25, 6, FALSE)</f>
        <v>188</v>
      </c>
      <c r="J14" s="23"/>
      <c r="K14" s="400">
        <f>VLOOKUP($A$1,'S1 Catchment Retained'!A2:I25, 6, FALSE)</f>
        <v>172</v>
      </c>
      <c r="L14" s="423"/>
      <c r="M14" s="110">
        <f t="shared" ref="M14:M18" si="1">(K14/I14)</f>
        <v>0.91489361702127658</v>
      </c>
      <c r="N14" s="50"/>
      <c r="O14" s="111">
        <f t="shared" ref="O14:O18" si="2">R14-K14</f>
        <v>57</v>
      </c>
      <c r="P14" s="50"/>
      <c r="Q14" s="25">
        <f t="shared" ref="Q14:Q18" si="3">A14</f>
        <v>2014</v>
      </c>
      <c r="R14" s="67">
        <f>VLOOKUP($A$1,'Secondary Rolls'!$A$3:$BE$25, 30, FALSE)</f>
        <v>229</v>
      </c>
      <c r="S14" s="69">
        <f>VLOOKUP($A$1,'Secondary Rolls'!$A$3:$BE$25, 31, FALSE)</f>
        <v>245</v>
      </c>
      <c r="T14" s="61">
        <f>VLOOKUP($A$1,'Secondary Rolls'!$A$3:$BE$25, 32, FALSE)</f>
        <v>215</v>
      </c>
      <c r="U14" s="61">
        <f>VLOOKUP($A$1,'Secondary Rolls'!$A$3:$BE$25, 33, FALSE)</f>
        <v>221</v>
      </c>
      <c r="V14" s="64">
        <f>VLOOKUP($A$1,'Secondary Rolls'!$A$3:$BE$25, 34, FALSE)</f>
        <v>214</v>
      </c>
      <c r="W14" s="116">
        <f>VLOOKUP($A$1,'Secondary Rolls'!$A$3:$BE$25, 35, FALSE)</f>
        <v>174</v>
      </c>
      <c r="X14" s="62">
        <f t="shared" si="0"/>
        <v>1298</v>
      </c>
    </row>
    <row r="15" spans="1:24" ht="15.75" thickBot="1" x14ac:dyDescent="0.3">
      <c r="A15" s="25">
        <f>VLOOKUP($A$12,'S1 Catchment Analysis'!A2:I2, 5, FALSE)</f>
        <v>2015</v>
      </c>
      <c r="B15" s="19">
        <f>VLOOKUP($A$1,'Primary Catchment Analysis'!$A$3:$BE$25, 23, FALSE)</f>
        <v>262</v>
      </c>
      <c r="C15" s="45">
        <f>VLOOKUP($A$1,'Primary Catchment Analysis'!$A$3:$BE$25, 24, FALSE)</f>
        <v>247</v>
      </c>
      <c r="D15" s="44">
        <f>VLOOKUP($A$1,'Primary Catchment Analysis'!$A$3:$BE$25, 25, FALSE)</f>
        <v>248</v>
      </c>
      <c r="E15" s="19">
        <f>VLOOKUP($A$1,'Primary Catchment Analysis'!$A$3:$BE$25, 26, FALSE)</f>
        <v>259</v>
      </c>
      <c r="F15" s="27">
        <f>VLOOKUP($A$1,'Primary Catchment Analysis'!$A$3:$BE$25, 27, FALSE)</f>
        <v>221</v>
      </c>
      <c r="G15" s="126">
        <f>VLOOKUP($A$1,'Primary Catchment Analysis'!$A$3:$BE$25, 28, FALSE)</f>
        <v>217</v>
      </c>
      <c r="H15" s="30">
        <f>VLOOKUP($A$1,'Primary Catchment Analysis'!$A$3:$BE$25, 29, FALSE)</f>
        <v>205</v>
      </c>
      <c r="I15" s="29">
        <f>VLOOKUP($A$1,'S1 Catchment Analysis'!A3:I25, 5, FALSE)</f>
        <v>193</v>
      </c>
      <c r="J15" s="23"/>
      <c r="K15" s="400">
        <f>VLOOKUP($A$1,'S1 Catchment Retained'!A2:I25, 5, FALSE)</f>
        <v>186</v>
      </c>
      <c r="L15" s="423"/>
      <c r="M15" s="110">
        <f t="shared" si="1"/>
        <v>0.96373056994818651</v>
      </c>
      <c r="N15" s="50"/>
      <c r="O15" s="111">
        <f t="shared" si="2"/>
        <v>52</v>
      </c>
      <c r="P15" s="50"/>
      <c r="Q15" s="25">
        <f t="shared" si="3"/>
        <v>2015</v>
      </c>
      <c r="R15" s="68">
        <f>VLOOKUP($A$1,'Secondary Rolls'!$A$3:$BE$25, 23, FALSE)</f>
        <v>238</v>
      </c>
      <c r="S15" s="67">
        <f>VLOOKUP($A$1,'Secondary Rolls'!$A$3:$BE$25, 24, FALSE)</f>
        <v>235</v>
      </c>
      <c r="T15" s="71">
        <f>VLOOKUP($A$1,'Secondary Rolls'!$A$3:$BE$25, 25, FALSE)</f>
        <v>245</v>
      </c>
      <c r="U15" s="61">
        <f>VLOOKUP($A$1,'Secondary Rolls'!$A$3:$BE$25, 26, FALSE)</f>
        <v>208</v>
      </c>
      <c r="V15" s="123">
        <f>VLOOKUP($A$1,'Secondary Rolls'!$A$3:$BE$25, 27, FALSE)</f>
        <v>199</v>
      </c>
      <c r="W15" s="64">
        <f>VLOOKUP($A$1,'Secondary Rolls'!$A$3:$BE$25, 28, FALSE)</f>
        <v>170</v>
      </c>
      <c r="X15" s="62">
        <f t="shared" si="0"/>
        <v>1295</v>
      </c>
    </row>
    <row r="16" spans="1:24" ht="15.75" thickBot="1" x14ac:dyDescent="0.3">
      <c r="A16" s="25">
        <f>VLOOKUP($A$12,'S1 Catchment Analysis'!A2:I2, 4, FALSE)</f>
        <v>2016</v>
      </c>
      <c r="B16" s="44">
        <f>VLOOKUP($A$1,'Primary Catchment Analysis'!$A$3:$BE$25, 16, FALSE)</f>
        <v>246</v>
      </c>
      <c r="C16" s="19">
        <f>VLOOKUP($A$1,'Primary Catchment Analysis'!$A$3:$BE$25, 17, FALSE)</f>
        <v>255</v>
      </c>
      <c r="D16" s="45">
        <f>VLOOKUP($A$1,'Primary Catchment Analysis'!$A$3:$BE$25, 18, FALSE)</f>
        <v>252</v>
      </c>
      <c r="E16" s="44">
        <f>VLOOKUP($A$1,'Primary Catchment Analysis'!$A$3:$BE$25, 19, FALSE)</f>
        <v>237</v>
      </c>
      <c r="F16" s="19">
        <f>VLOOKUP($A$1,'Primary Catchment Analysis'!$A$3:$BE$25, 20, FALSE)</f>
        <v>274</v>
      </c>
      <c r="G16" s="126">
        <f>VLOOKUP($A$1,'Primary Catchment Analysis'!$A$3:$BE$25, 21, FALSE)</f>
        <v>219</v>
      </c>
      <c r="H16" s="112">
        <f>VLOOKUP($A$1,'Primary Catchment Analysis'!$A$3:$BE$25, 22, FALSE)</f>
        <v>213</v>
      </c>
      <c r="I16" s="30">
        <f>VLOOKUP($A$1,'S1 Catchment Analysis'!A3:I25, 4, FALSE)</f>
        <v>215</v>
      </c>
      <c r="J16" s="23"/>
      <c r="K16" s="400">
        <f>VLOOKUP($A$1,'S1 Catchment Retained'!A2:I25, 4, FALSE)</f>
        <v>209</v>
      </c>
      <c r="L16" s="424"/>
      <c r="M16" s="56">
        <f t="shared" si="1"/>
        <v>0.97209302325581393</v>
      </c>
      <c r="N16" s="50"/>
      <c r="O16" s="103">
        <f t="shared" si="2"/>
        <v>49</v>
      </c>
      <c r="P16" s="50"/>
      <c r="Q16" s="25">
        <f t="shared" si="3"/>
        <v>2016</v>
      </c>
      <c r="R16" s="69">
        <f>VLOOKUP($A$1,'Secondary Rolls'!$A$3:$BE$25, 16, FALSE)</f>
        <v>258</v>
      </c>
      <c r="S16" s="68">
        <f>VLOOKUP($A$1,'Secondary Rolls'!$A$3:$BE$25, 17, FALSE)</f>
        <v>238</v>
      </c>
      <c r="T16" s="70">
        <f>VLOOKUP($A$1,'Secondary Rolls'!$A$3:$BE$25, 18, FALSE)</f>
        <v>238</v>
      </c>
      <c r="U16" s="71">
        <f>VLOOKUP($A$1,'Secondary Rolls'!$A$3:$BE$25, 19, FALSE)</f>
        <v>244</v>
      </c>
      <c r="V16" s="66">
        <f>VLOOKUP($A$1,'Secondary Rolls'!$A$3:$BE$25, 20, FALSE)</f>
        <v>190</v>
      </c>
      <c r="W16" s="65">
        <f>VLOOKUP($A$1,'Secondary Rolls'!$A$3:$BE$25, 21, FALSE)</f>
        <v>155</v>
      </c>
      <c r="X16" s="62">
        <f t="shared" si="0"/>
        <v>1323</v>
      </c>
    </row>
    <row r="17" spans="1:27" ht="15.75" thickBot="1" x14ac:dyDescent="0.3">
      <c r="A17" s="258">
        <f>VLOOKUP($A$12,'S1 Catchment Analysis'!A2:I2, 3, FALSE)</f>
        <v>2017</v>
      </c>
      <c r="B17" s="259">
        <f>VLOOKUP($A$1,'Primary Catchment Analysis'!$A$3:$BE$25, 9, FALSE)</f>
        <v>250</v>
      </c>
      <c r="C17" s="260">
        <f>VLOOKUP($A$1,'Primary Catchment Analysis'!$A$3:$BE$25, 10, FALSE)</f>
        <v>244</v>
      </c>
      <c r="D17" s="261">
        <f>VLOOKUP($A$1,'Primary Catchment Analysis'!$A$3:$BE$25, 11, FALSE)</f>
        <v>253</v>
      </c>
      <c r="E17" s="259">
        <f>VLOOKUP($A$1,'Primary Catchment Analysis'!$A$3:$BE$25, 12, FALSE)</f>
        <v>241</v>
      </c>
      <c r="F17" s="260">
        <f>VLOOKUP($A$1,'Primary Catchment Analysis'!$A$3:$BE$25, 13, FALSE)</f>
        <v>240</v>
      </c>
      <c r="G17" s="262">
        <f>VLOOKUP($A$1,'Primary Catchment Analysis'!$A$3:$BE$25, 14, FALSE)</f>
        <v>272</v>
      </c>
      <c r="H17" s="113">
        <f>VLOOKUP($A$1,'Primary Catchment Analysis'!$A$3:$BE$25, 15, FALSE)</f>
        <v>223</v>
      </c>
      <c r="I17" s="31">
        <f>VLOOKUP($A$1,'S1 Catchment Analysis'!A3:I25, 3, FALSE)</f>
        <v>228</v>
      </c>
      <c r="J17" s="23"/>
      <c r="K17" s="400">
        <f>VLOOKUP($A$1,'S1 Catchment Retained'!A2:I25, 3, FALSE)</f>
        <v>223</v>
      </c>
      <c r="L17" s="424"/>
      <c r="M17" s="57">
        <f t="shared" si="1"/>
        <v>0.97807017543859653</v>
      </c>
      <c r="N17" s="50"/>
      <c r="O17" s="104">
        <f t="shared" si="2"/>
        <v>33</v>
      </c>
      <c r="P17" s="50"/>
      <c r="Q17" s="25">
        <f t="shared" si="3"/>
        <v>2017</v>
      </c>
      <c r="R17" s="264">
        <f>VLOOKUP($A$1,'Secondary Rolls'!$A$3:$BE$25, 9, FALSE)</f>
        <v>256</v>
      </c>
      <c r="S17" s="265">
        <f>VLOOKUP($A$1,'Secondary Rolls'!$A$3:$BE$25, 10, FALSE)</f>
        <v>255</v>
      </c>
      <c r="T17" s="266">
        <f>VLOOKUP($A$1,'Secondary Rolls'!$A$3:$BE$25, 11, FALSE)</f>
        <v>238</v>
      </c>
      <c r="U17" s="270">
        <f>VLOOKUP($A$1,'Secondary Rolls'!$A$3:$BE$25, 12, FALSE)</f>
        <v>239</v>
      </c>
      <c r="V17" s="271">
        <f>VLOOKUP($A$1,'Secondary Rolls'!$A$3:$BE$25, 13, FALSE)</f>
        <v>219</v>
      </c>
      <c r="W17" s="272">
        <f>VLOOKUP($A$1,'Secondary Rolls'!$A$3:$BE$25, 14, FALSE)</f>
        <v>144</v>
      </c>
      <c r="X17" s="116">
        <f t="shared" si="0"/>
        <v>1351</v>
      </c>
    </row>
    <row r="18" spans="1:27" ht="15.75" thickBot="1" x14ac:dyDescent="0.3">
      <c r="A18" s="25">
        <f>VLOOKUP($A$12,'S1 Catchment Analysis'!A2:I2, 2, FALSE)</f>
        <v>2018</v>
      </c>
      <c r="B18" s="19">
        <f>VLOOKUP($A$1,'Primary Catchment Analysis'!$A$3:$BE$25, 2, FALSE)</f>
        <v>247</v>
      </c>
      <c r="C18" s="45">
        <f>VLOOKUP($A$1,'Primary Catchment Analysis'!$A$3:$BE$25, 3, FALSE)</f>
        <v>255</v>
      </c>
      <c r="D18" s="44">
        <f>VLOOKUP($A$1,'Primary Catchment Analysis'!$A$3:$BE$25, 4, FALSE)</f>
        <v>244</v>
      </c>
      <c r="E18" s="19">
        <f>VLOOKUP($A$1,'Primary Catchment Analysis'!$A$3:$BE$25, 5, FALSE)</f>
        <v>245</v>
      </c>
      <c r="F18" s="45">
        <f>VLOOKUP($A$1,'Primary Catchment Analysis'!$A$3:$BE$25, 6, FALSE)</f>
        <v>241</v>
      </c>
      <c r="G18" s="273">
        <f>VLOOKUP($A$1,'Primary Catchment Analysis'!$A$3:$BE$25, 7, FALSE)</f>
        <v>226</v>
      </c>
      <c r="H18" s="274">
        <f>VLOOKUP($A$1,'Primary Catchment Analysis'!$A$3:$BE$25, 8, FALSE)</f>
        <v>272</v>
      </c>
      <c r="I18" s="32">
        <f>VLOOKUP($A$1,'S1 Catchment Analysis'!A3:I25, 2, FALSE)</f>
        <v>235</v>
      </c>
      <c r="J18" s="23"/>
      <c r="K18" s="400">
        <f>VLOOKUP($A$1,'S1 Catchment Retained'!A2:I25, 2, FALSE)</f>
        <v>219</v>
      </c>
      <c r="L18" s="424"/>
      <c r="M18" s="58">
        <f t="shared" si="1"/>
        <v>0.93191489361702129</v>
      </c>
      <c r="N18" s="50"/>
      <c r="O18" s="105">
        <f t="shared" si="2"/>
        <v>38</v>
      </c>
      <c r="P18" s="50"/>
      <c r="Q18" s="25">
        <f t="shared" si="3"/>
        <v>2018</v>
      </c>
      <c r="R18" s="68">
        <f>VLOOKUP($A$1,'Secondary Rolls'!$A$3:$BE$25, 2, FALSE)</f>
        <v>257</v>
      </c>
      <c r="S18" s="67">
        <f>VLOOKUP($A$1,'Secondary Rolls'!$A$3:$BE$25, 3, FALSE)</f>
        <v>257</v>
      </c>
      <c r="T18" s="69">
        <f>VLOOKUP($A$1,'Secondary Rolls'!$A$3:$BE$25, 4, FALSE)</f>
        <v>247</v>
      </c>
      <c r="U18" s="68">
        <f>VLOOKUP($A$1,'Secondary Rolls'!$A$3:$BE$25, 5, FALSE)</f>
        <v>234</v>
      </c>
      <c r="V18" s="67">
        <f>VLOOKUP($A$1,'Secondary Rolls'!$A$3:$BE$25, 6, FALSE)</f>
        <v>215</v>
      </c>
      <c r="W18" s="69">
        <f>VLOOKUP($A$1,'Secondary Rolls'!$A$3:$BE$25, 7, FALSE)</f>
        <v>165</v>
      </c>
      <c r="X18" s="53">
        <f t="shared" ref="X18" si="4">SUM(R18:W18)</f>
        <v>1375</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4.9492128509071344E-3</v>
      </c>
      <c r="D20" s="40">
        <f t="shared" ref="D20:I20" si="5">AVERAGE(((C15-D16)/C15),((C16-D17)/C16),((C17-D18)/C17))</f>
        <v>-4.1332592416183749E-3</v>
      </c>
      <c r="E20" s="40">
        <f t="shared" si="5"/>
        <v>3.9875395240051618E-2</v>
      </c>
      <c r="F20" s="40">
        <f t="shared" si="5"/>
        <v>-2.3524428587719731E-2</v>
      </c>
      <c r="G20" s="40">
        <f t="shared" si="5"/>
        <v>2.4894125720660715E-2</v>
      </c>
      <c r="H20" s="40">
        <f t="shared" si="5"/>
        <v>5.611318028463444E-5</v>
      </c>
      <c r="I20" s="40">
        <f t="shared" si="5"/>
        <v>-5.7671560736323589E-2</v>
      </c>
      <c r="K20" s="389">
        <f>AVERAGE(M16:M18)</f>
        <v>0.96069269743714392</v>
      </c>
      <c r="L20" s="390"/>
      <c r="M20" s="391"/>
      <c r="O20" s="51">
        <f>ROUNDUP((AVERAGE(O16:O18)),0)</f>
        <v>40</v>
      </c>
      <c r="T20" s="388"/>
      <c r="U20" s="388"/>
      <c r="V20" s="40">
        <f>AVERAGE(((U15-V16)/U15),((U16-V17)/U16),((U17-V18)/U17))</f>
        <v>9.6471962657915064E-2</v>
      </c>
      <c r="W20" s="40">
        <f>AVERAGE(((V15-W16)/V15),((V16-W17)/V16),((V17-W18)/V17))</f>
        <v>0.23659537775394637</v>
      </c>
    </row>
    <row r="21" spans="1:27" x14ac:dyDescent="0.25">
      <c r="A21" s="21"/>
      <c r="K21" s="59"/>
      <c r="L21" s="59"/>
    </row>
    <row r="22" spans="1:27" x14ac:dyDescent="0.25">
      <c r="A22" s="21" t="s">
        <v>286</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Projections'!C61+'P1 Catchment Projections'!C62+'P1 Catchment Projections'!C63+'P1 Catchment Projections'!C64+'P1 Catchment Projections'!C65</f>
        <v>230</v>
      </c>
      <c r="C24" s="34">
        <f>ROUNDUP((B18-(B18*$C$20)),0)</f>
        <v>246</v>
      </c>
      <c r="D24" s="42">
        <f>ROUNDUP((C18-(C18*$D$20)),0)</f>
        <v>257</v>
      </c>
      <c r="E24" s="43">
        <f>ROUNDUP((D18-(D18*$E$20)),0)</f>
        <v>235</v>
      </c>
      <c r="F24" s="41">
        <f>ROUNDUP((E18-(E18*$F$20)),0)</f>
        <v>251</v>
      </c>
      <c r="G24" s="42">
        <f>ROUNDUP((F18-(F18*$G$20)),0)</f>
        <v>236</v>
      </c>
      <c r="H24" s="43">
        <f>ROUNDUP((G18-(G18*$H$20)),0)</f>
        <v>226</v>
      </c>
      <c r="I24" s="99">
        <f>ROUNDUP((H18-(H18*$I$20)),0)</f>
        <v>288</v>
      </c>
      <c r="J24" s="23"/>
      <c r="K24" s="59"/>
      <c r="L24" s="59"/>
      <c r="Z24" s="109"/>
      <c r="AA24" s="109"/>
    </row>
    <row r="25" spans="1:27" x14ac:dyDescent="0.25">
      <c r="A25" s="25">
        <f>A24+1</f>
        <v>2020</v>
      </c>
      <c r="B25" s="37">
        <f>'P1 Catchment Projections'!D61+'P1 Catchment Projections'!D62+'P1 Catchment Projections'!D63+'P1 Catchment Projections'!D64+'P1 Catchment Projections'!D65</f>
        <v>214</v>
      </c>
      <c r="C25" s="34">
        <f t="shared" ref="C25:C37" si="6">ROUNDUP((B24-(B24*$C$20)),0)</f>
        <v>229</v>
      </c>
      <c r="D25" s="34">
        <f t="shared" ref="D25:D37" si="7">ROUNDUP((C24-(C24*$D$20)),0)</f>
        <v>248</v>
      </c>
      <c r="E25" s="42">
        <f t="shared" ref="E25:E37" si="8">ROUNDUP((D24-(D24*$E$20)),0)</f>
        <v>247</v>
      </c>
      <c r="F25" s="43">
        <f t="shared" ref="F25:F37" si="9">ROUNDUP((E24-(E24*$F$20)),0)</f>
        <v>241</v>
      </c>
      <c r="G25" s="41">
        <f t="shared" ref="G25:G37" si="10">ROUNDUP((F24-(F24*$G$20)),0)</f>
        <v>245</v>
      </c>
      <c r="H25" s="42">
        <f t="shared" ref="H25:H37" si="11">ROUNDUP((G24-(G24*$H$20)),0)</f>
        <v>236</v>
      </c>
      <c r="I25" s="99">
        <f t="shared" ref="I25:I37" si="12">ROUNDUP((H24-(H24*$I$20)),0)</f>
        <v>240</v>
      </c>
      <c r="J25" s="23"/>
      <c r="K25" s="59"/>
      <c r="L25" s="59"/>
      <c r="Z25" s="109"/>
      <c r="AA25" s="109"/>
    </row>
    <row r="26" spans="1:27" x14ac:dyDescent="0.25">
      <c r="A26" s="25">
        <f>A25+1</f>
        <v>2021</v>
      </c>
      <c r="B26" s="37">
        <f>'P1 Catchment Projections'!E61+'P1 Catchment Projections'!E62+'P1 Catchment Projections'!E63+'P1 Catchment Projections'!E64+'P1 Catchment Projections'!E65</f>
        <v>239</v>
      </c>
      <c r="C26" s="34">
        <f t="shared" si="6"/>
        <v>213</v>
      </c>
      <c r="D26" s="34">
        <f t="shared" si="7"/>
        <v>230</v>
      </c>
      <c r="E26" s="34">
        <f t="shared" si="8"/>
        <v>239</v>
      </c>
      <c r="F26" s="42">
        <f t="shared" si="9"/>
        <v>253</v>
      </c>
      <c r="G26" s="43">
        <f t="shared" si="10"/>
        <v>236</v>
      </c>
      <c r="H26" s="41">
        <f t="shared" si="11"/>
        <v>245</v>
      </c>
      <c r="I26" s="99">
        <f t="shared" si="12"/>
        <v>250</v>
      </c>
      <c r="J26" s="23"/>
      <c r="K26" s="59"/>
      <c r="L26" s="59"/>
      <c r="Z26" s="109"/>
      <c r="AA26" s="109"/>
    </row>
    <row r="27" spans="1:27" x14ac:dyDescent="0.25">
      <c r="A27" s="25">
        <f>A26+1</f>
        <v>2022</v>
      </c>
      <c r="B27" s="37">
        <f>'P1 Catchment Projections'!F61+'P1 Catchment Projections'!F62+'P1 Catchment Projections'!F63+'P1 Catchment Projections'!F64+'P1 Catchment Projections'!F65</f>
        <v>238</v>
      </c>
      <c r="C27" s="34">
        <f t="shared" si="6"/>
        <v>238</v>
      </c>
      <c r="D27" s="34">
        <f t="shared" si="7"/>
        <v>214</v>
      </c>
      <c r="E27" s="34">
        <f t="shared" si="8"/>
        <v>221</v>
      </c>
      <c r="F27" s="34">
        <f t="shared" si="9"/>
        <v>245</v>
      </c>
      <c r="G27" s="42">
        <f t="shared" si="10"/>
        <v>247</v>
      </c>
      <c r="H27" s="43">
        <f t="shared" si="11"/>
        <v>236</v>
      </c>
      <c r="I27" s="99">
        <f t="shared" si="12"/>
        <v>260</v>
      </c>
      <c r="J27" s="23"/>
      <c r="K27" s="59"/>
      <c r="L27" s="59"/>
      <c r="Z27" s="109"/>
      <c r="AA27" s="109"/>
    </row>
    <row r="28" spans="1:27" x14ac:dyDescent="0.25">
      <c r="A28" s="25">
        <f t="shared" ref="A28:A37" si="13">A27+1</f>
        <v>2023</v>
      </c>
      <c r="B28" s="37">
        <f>'P1 Catchment Projections'!G61+'P1 Catchment Projections'!G62+'P1 Catchment Projections'!G63+'P1 Catchment Projections'!G64+'P1 Catchment Projections'!G65</f>
        <v>233</v>
      </c>
      <c r="C28" s="34">
        <f t="shared" si="6"/>
        <v>237</v>
      </c>
      <c r="D28" s="34">
        <f t="shared" si="7"/>
        <v>239</v>
      </c>
      <c r="E28" s="34">
        <f t="shared" si="8"/>
        <v>206</v>
      </c>
      <c r="F28" s="34">
        <f t="shared" si="9"/>
        <v>227</v>
      </c>
      <c r="G28" s="34">
        <f t="shared" si="10"/>
        <v>239</v>
      </c>
      <c r="H28" s="42">
        <f t="shared" si="11"/>
        <v>247</v>
      </c>
      <c r="I28" s="99">
        <f t="shared" si="12"/>
        <v>250</v>
      </c>
      <c r="J28" s="23"/>
      <c r="K28" s="59"/>
      <c r="L28" s="59"/>
      <c r="Z28" s="109"/>
      <c r="AA28" s="109"/>
    </row>
    <row r="29" spans="1:27" x14ac:dyDescent="0.25">
      <c r="A29" s="25">
        <f t="shared" si="13"/>
        <v>2024</v>
      </c>
      <c r="B29" s="37">
        <f>'P1 Catchment Projections'!H61+'P1 Catchment Projections'!H62+'P1 Catchment Projections'!H63+'P1 Catchment Projections'!H64+'P1 Catchment Projections'!H65</f>
        <v>235</v>
      </c>
      <c r="C29" s="34">
        <f t="shared" si="6"/>
        <v>232</v>
      </c>
      <c r="D29" s="34">
        <f t="shared" si="7"/>
        <v>238</v>
      </c>
      <c r="E29" s="34">
        <f t="shared" si="8"/>
        <v>230</v>
      </c>
      <c r="F29" s="34">
        <f t="shared" si="9"/>
        <v>211</v>
      </c>
      <c r="G29" s="34">
        <f t="shared" si="10"/>
        <v>222</v>
      </c>
      <c r="H29" s="34">
        <f t="shared" si="11"/>
        <v>239</v>
      </c>
      <c r="I29" s="99">
        <f t="shared" si="12"/>
        <v>262</v>
      </c>
      <c r="K29" s="59"/>
      <c r="L29" s="59"/>
      <c r="Z29" s="109"/>
      <c r="AA29" s="109"/>
    </row>
    <row r="30" spans="1:27" x14ac:dyDescent="0.25">
      <c r="A30" s="25">
        <f t="shared" si="13"/>
        <v>2025</v>
      </c>
      <c r="B30" s="37">
        <f>'P1 Catchment Projections'!I61+'P1 Catchment Projections'!I62+'P1 Catchment Projections'!I63+'P1 Catchment Projections'!I64+'P1 Catchment Projections'!I65</f>
        <v>238</v>
      </c>
      <c r="C30" s="34">
        <f t="shared" si="6"/>
        <v>234</v>
      </c>
      <c r="D30" s="34">
        <f t="shared" si="7"/>
        <v>233</v>
      </c>
      <c r="E30" s="34">
        <f t="shared" si="8"/>
        <v>229</v>
      </c>
      <c r="F30" s="34">
        <f t="shared" si="9"/>
        <v>236</v>
      </c>
      <c r="G30" s="34">
        <f t="shared" si="10"/>
        <v>206</v>
      </c>
      <c r="H30" s="34">
        <f t="shared" si="11"/>
        <v>222</v>
      </c>
      <c r="I30" s="99">
        <f t="shared" si="12"/>
        <v>253</v>
      </c>
      <c r="K30" s="59"/>
      <c r="L30" s="59"/>
      <c r="Z30" s="109"/>
      <c r="AA30" s="109"/>
    </row>
    <row r="31" spans="1:27" x14ac:dyDescent="0.25">
      <c r="A31" s="25">
        <f t="shared" si="13"/>
        <v>2026</v>
      </c>
      <c r="B31" s="37">
        <f>'P1 Catchment Projections'!J61+'P1 Catchment Projections'!J62+'P1 Catchment Projections'!J63+'P1 Catchment Projections'!J64+'P1 Catchment Projections'!J65</f>
        <v>243</v>
      </c>
      <c r="C31" s="34">
        <f t="shared" si="6"/>
        <v>237</v>
      </c>
      <c r="D31" s="34">
        <f t="shared" si="7"/>
        <v>235</v>
      </c>
      <c r="E31" s="34">
        <f t="shared" si="8"/>
        <v>224</v>
      </c>
      <c r="F31" s="34">
        <f t="shared" si="9"/>
        <v>235</v>
      </c>
      <c r="G31" s="34">
        <f t="shared" si="10"/>
        <v>231</v>
      </c>
      <c r="H31" s="34">
        <f t="shared" si="11"/>
        <v>206</v>
      </c>
      <c r="I31" s="99">
        <f t="shared" si="12"/>
        <v>235</v>
      </c>
      <c r="K31" s="59"/>
      <c r="L31" s="59"/>
      <c r="Z31" s="109"/>
      <c r="AA31" s="109"/>
    </row>
    <row r="32" spans="1:27" x14ac:dyDescent="0.25">
      <c r="A32" s="25">
        <f t="shared" si="13"/>
        <v>2027</v>
      </c>
      <c r="B32" s="37">
        <f>'P1 Catchment Projections'!K61+'P1 Catchment Projections'!K62+'P1 Catchment Projections'!K63+'P1 Catchment Projections'!K64+'P1 Catchment Projections'!K65</f>
        <v>243</v>
      </c>
      <c r="C32" s="34">
        <f t="shared" si="6"/>
        <v>242</v>
      </c>
      <c r="D32" s="34">
        <f t="shared" si="7"/>
        <v>238</v>
      </c>
      <c r="E32" s="34">
        <f t="shared" si="8"/>
        <v>226</v>
      </c>
      <c r="F32" s="34">
        <f t="shared" si="9"/>
        <v>230</v>
      </c>
      <c r="G32" s="34">
        <f t="shared" si="10"/>
        <v>230</v>
      </c>
      <c r="H32" s="34">
        <f t="shared" si="11"/>
        <v>231</v>
      </c>
      <c r="I32" s="99">
        <f t="shared" si="12"/>
        <v>218</v>
      </c>
      <c r="K32" s="59"/>
      <c r="L32" s="59"/>
      <c r="Z32" s="109"/>
      <c r="AA32" s="109"/>
    </row>
    <row r="33" spans="1:24" x14ac:dyDescent="0.25">
      <c r="A33" s="25">
        <f t="shared" si="13"/>
        <v>2028</v>
      </c>
      <c r="B33" s="37">
        <f>'P1 Catchment Projections'!L61+'P1 Catchment Projections'!L62+'P1 Catchment Projections'!L63+'P1 Catchment Projections'!L64+'P1 Catchment Projections'!L65</f>
        <v>243</v>
      </c>
      <c r="C33" s="34">
        <f t="shared" si="6"/>
        <v>242</v>
      </c>
      <c r="D33" s="34">
        <f t="shared" si="7"/>
        <v>244</v>
      </c>
      <c r="E33" s="34">
        <f t="shared" si="8"/>
        <v>229</v>
      </c>
      <c r="F33" s="34">
        <f t="shared" si="9"/>
        <v>232</v>
      </c>
      <c r="G33" s="34">
        <f t="shared" si="10"/>
        <v>225</v>
      </c>
      <c r="H33" s="34">
        <f t="shared" si="11"/>
        <v>230</v>
      </c>
      <c r="I33" s="99">
        <f t="shared" si="12"/>
        <v>245</v>
      </c>
      <c r="K33" s="59"/>
      <c r="L33" s="59"/>
    </row>
    <row r="34" spans="1:24" x14ac:dyDescent="0.25">
      <c r="A34" s="25">
        <f t="shared" si="13"/>
        <v>2029</v>
      </c>
      <c r="B34" s="37">
        <f>'P1 Catchment Projections'!M61+'P1 Catchment Projections'!M62+'P1 Catchment Projections'!M63+'P1 Catchment Projections'!M64+'P1 Catchment Projections'!M65</f>
        <v>244</v>
      </c>
      <c r="C34" s="34">
        <f t="shared" si="6"/>
        <v>242</v>
      </c>
      <c r="D34" s="34">
        <f t="shared" si="7"/>
        <v>244</v>
      </c>
      <c r="E34" s="34">
        <f t="shared" si="8"/>
        <v>235</v>
      </c>
      <c r="F34" s="34">
        <f t="shared" si="9"/>
        <v>235</v>
      </c>
      <c r="G34" s="34">
        <f t="shared" si="10"/>
        <v>227</v>
      </c>
      <c r="H34" s="34">
        <f t="shared" si="11"/>
        <v>225</v>
      </c>
      <c r="I34" s="99">
        <f t="shared" si="12"/>
        <v>244</v>
      </c>
      <c r="K34" s="59"/>
      <c r="L34" s="59"/>
    </row>
    <row r="35" spans="1:24" x14ac:dyDescent="0.25">
      <c r="A35" s="25">
        <f t="shared" si="13"/>
        <v>2030</v>
      </c>
      <c r="B35" s="37">
        <f>'P1 Catchment Projections'!N61+'P1 Catchment Projections'!N62+'P1 Catchment Projections'!N63+'P1 Catchment Projections'!N64+'P1 Catchment Projections'!N65</f>
        <v>247</v>
      </c>
      <c r="C35" s="34">
        <f t="shared" si="6"/>
        <v>243</v>
      </c>
      <c r="D35" s="34">
        <f t="shared" si="7"/>
        <v>244</v>
      </c>
      <c r="E35" s="34">
        <f t="shared" si="8"/>
        <v>235</v>
      </c>
      <c r="F35" s="34">
        <f t="shared" si="9"/>
        <v>241</v>
      </c>
      <c r="G35" s="34">
        <f t="shared" si="10"/>
        <v>230</v>
      </c>
      <c r="H35" s="34">
        <f t="shared" si="11"/>
        <v>227</v>
      </c>
      <c r="I35" s="99">
        <f t="shared" si="12"/>
        <v>238</v>
      </c>
      <c r="K35" s="59"/>
      <c r="L35" s="59"/>
    </row>
    <row r="36" spans="1:24" x14ac:dyDescent="0.25">
      <c r="A36" s="25">
        <f t="shared" si="13"/>
        <v>2031</v>
      </c>
      <c r="B36" s="37">
        <f>'P1 Catchment Projections'!O61+'P1 Catchment Projections'!O62+'P1 Catchment Projections'!O63+'P1 Catchment Projections'!O64+'P1 Catchment Projections'!O65</f>
        <v>247</v>
      </c>
      <c r="C36" s="34">
        <f t="shared" si="6"/>
        <v>246</v>
      </c>
      <c r="D36" s="34">
        <f t="shared" si="7"/>
        <v>245</v>
      </c>
      <c r="E36" s="34">
        <f t="shared" si="8"/>
        <v>235</v>
      </c>
      <c r="F36" s="34">
        <f t="shared" si="9"/>
        <v>241</v>
      </c>
      <c r="G36" s="34">
        <f t="shared" si="10"/>
        <v>236</v>
      </c>
      <c r="H36" s="34">
        <f t="shared" si="11"/>
        <v>230</v>
      </c>
      <c r="I36" s="99">
        <f t="shared" si="12"/>
        <v>241</v>
      </c>
      <c r="K36" s="59"/>
      <c r="L36" s="59"/>
    </row>
    <row r="37" spans="1:24" x14ac:dyDescent="0.25">
      <c r="A37" s="25">
        <f t="shared" si="13"/>
        <v>2032</v>
      </c>
      <c r="B37" s="37">
        <f>'P1 Catchment Projections'!P61+'P1 Catchment Projections'!P62+'P1 Catchment Projections'!P63+'P1 Catchment Projections'!P64+'P1 Catchment Projections'!P65</f>
        <v>247</v>
      </c>
      <c r="C37" s="34">
        <f t="shared" si="6"/>
        <v>246</v>
      </c>
      <c r="D37" s="34">
        <f t="shared" si="7"/>
        <v>248</v>
      </c>
      <c r="E37" s="34">
        <f t="shared" si="8"/>
        <v>236</v>
      </c>
      <c r="F37" s="34">
        <f t="shared" si="9"/>
        <v>241</v>
      </c>
      <c r="G37" s="34">
        <f t="shared" si="10"/>
        <v>236</v>
      </c>
      <c r="H37" s="34">
        <f t="shared" si="11"/>
        <v>236</v>
      </c>
      <c r="I37" s="99">
        <f t="shared" si="12"/>
        <v>244</v>
      </c>
      <c r="K37" s="59"/>
      <c r="L37" s="59"/>
    </row>
    <row r="38" spans="1:24" x14ac:dyDescent="0.25">
      <c r="K38" s="59"/>
      <c r="L38" s="59"/>
    </row>
    <row r="39" spans="1:24" x14ac:dyDescent="0.25">
      <c r="A39" s="21" t="s">
        <v>282</v>
      </c>
      <c r="K39" s="394" t="s">
        <v>190</v>
      </c>
      <c r="L39" s="55"/>
      <c r="M39" s="394" t="s">
        <v>203</v>
      </c>
      <c r="N39" s="106"/>
      <c r="O39" s="395" t="s">
        <v>204</v>
      </c>
      <c r="R39" s="21" t="s">
        <v>287</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233</v>
      </c>
      <c r="C41" s="34">
        <f>C24+VLOOKUP($A$1,'Pri Housing Generation'!$A$96:$DQ$118, 11, FALSE)</f>
        <v>248</v>
      </c>
      <c r="D41" s="42">
        <f>D24+VLOOKUP($A$1,'Pri Housing Generation'!$A$96:$DQ$118, 12, FALSE)</f>
        <v>259</v>
      </c>
      <c r="E41" s="43">
        <f>E24+VLOOKUP($A$1,'Pri Housing Generation'!$A$96:$DQ$118, 13, FALSE)</f>
        <v>237</v>
      </c>
      <c r="F41" s="41">
        <f>F24+VLOOKUP($A$1,'Pri Housing Generation'!$A$96:$DQ$118, 14, FALSE)</f>
        <v>253</v>
      </c>
      <c r="G41" s="42">
        <f>G24+VLOOKUP($A$1,'Pri Housing Generation'!$A$96:$DQ$118, 15, FALSE)</f>
        <v>238</v>
      </c>
      <c r="H41" s="43">
        <f>H24+VLOOKUP($A$1,'Pri Housing Generation'!$A$96:$DQ$118, 16, FALSE)</f>
        <v>228</v>
      </c>
      <c r="I41" s="99">
        <f>ROUNDUP((H18-(H18*$I$20)),0)</f>
        <v>288</v>
      </c>
      <c r="K41" s="35">
        <f>'Sec Housing Generation'!I18</f>
        <v>2</v>
      </c>
      <c r="L41" s="83"/>
      <c r="M41" s="107">
        <f t="shared" ref="M41:M54" si="14">$K$20</f>
        <v>0.96069269743714392</v>
      </c>
      <c r="O41" s="35">
        <f t="shared" ref="O41:O54" si="15">ROUNDUP(((I41+K41)*M41),0)</f>
        <v>279</v>
      </c>
      <c r="Q41" s="25">
        <f>A41</f>
        <v>2019</v>
      </c>
      <c r="R41" s="20">
        <f t="shared" ref="R41:R54" si="16">IF(O41&lt;$C$7,(IF((O41+$O$20)&gt;$C$7,$C$7,(O41+$O$20))),(IF((O41+$O$20)&lt;(CEILING((O41),20)),(O41+$O$20),(CEILING((O41),20)))))</f>
        <v>280</v>
      </c>
      <c r="S41" s="53">
        <f>R18</f>
        <v>257</v>
      </c>
      <c r="T41" s="67">
        <f>S18</f>
        <v>257</v>
      </c>
      <c r="U41" s="69">
        <f>T18</f>
        <v>247</v>
      </c>
      <c r="V41" s="41">
        <f>ROUNDUP((U18-(U18*$V$20)),0)</f>
        <v>212</v>
      </c>
      <c r="W41" s="42">
        <f>ROUNDUP((V18-(V18*$W$20)),0)</f>
        <v>165</v>
      </c>
      <c r="X41" s="101">
        <f t="shared" ref="X41:X54" si="17">SUM(R41:W41)</f>
        <v>1418</v>
      </c>
    </row>
    <row r="42" spans="1:24" x14ac:dyDescent="0.25">
      <c r="A42" s="25">
        <f t="shared" ref="A42:A54" si="18">A25</f>
        <v>2020</v>
      </c>
      <c r="B42" s="37">
        <f>B25+VLOOKUP($A$1,'Pri Housing Generation'!$A$96:$DQ$118, 18, FALSE)</f>
        <v>217</v>
      </c>
      <c r="C42" s="34">
        <f>C25+VLOOKUP($A$1,'Pri Housing Generation'!$A$96:$DQ$118, 19, FALSE)</f>
        <v>232</v>
      </c>
      <c r="D42" s="34">
        <f>D25+VLOOKUP($A$1,'Pri Housing Generation'!$A$96:$DQ$118, 20, FALSE)</f>
        <v>251</v>
      </c>
      <c r="E42" s="42">
        <f>E25+VLOOKUP($A$1,'Pri Housing Generation'!$A$96:$DQ$118, 21, FALSE)</f>
        <v>250</v>
      </c>
      <c r="F42" s="43">
        <f>F25+VLOOKUP($A$1,'Pri Housing Generation'!$A$96:$DQ$118, 22, FALSE)</f>
        <v>244</v>
      </c>
      <c r="G42" s="41">
        <f>G25+VLOOKUP($A$1,'Pri Housing Generation'!$A$96:$DQ$118, 23, FALSE)</f>
        <v>247</v>
      </c>
      <c r="H42" s="42">
        <f>H25+VLOOKUP($A$1,'Pri Housing Generation'!$A$96:$DQ$118, 24, FALSE)</f>
        <v>238</v>
      </c>
      <c r="I42" s="99">
        <f t="shared" ref="I42:I54" si="19">ROUNDUP((H41-(H41*$I$20)),0)</f>
        <v>242</v>
      </c>
      <c r="K42" s="35">
        <f>'Sec Housing Generation'!P18</f>
        <v>2</v>
      </c>
      <c r="L42" s="83"/>
      <c r="M42" s="107">
        <f t="shared" si="14"/>
        <v>0.96069269743714392</v>
      </c>
      <c r="O42" s="35">
        <f t="shared" si="15"/>
        <v>235</v>
      </c>
      <c r="Q42" s="25">
        <f t="shared" ref="Q42:Q54" si="20">A42</f>
        <v>2020</v>
      </c>
      <c r="R42" s="20">
        <f t="shared" si="16"/>
        <v>260</v>
      </c>
      <c r="S42" s="53">
        <f t="shared" ref="S42:U54" si="21">R41</f>
        <v>280</v>
      </c>
      <c r="T42" s="53">
        <f t="shared" si="21"/>
        <v>257</v>
      </c>
      <c r="U42" s="67">
        <f t="shared" si="21"/>
        <v>257</v>
      </c>
      <c r="V42" s="43">
        <f t="shared" ref="V42:V54" si="22">ROUNDUP((U41-(U41*$V$20)),0)</f>
        <v>224</v>
      </c>
      <c r="W42" s="41">
        <f t="shared" ref="W42:W54" si="23">ROUNDUP((V41-(V41*$W$20)),0)</f>
        <v>162</v>
      </c>
      <c r="X42" s="101">
        <f t="shared" si="17"/>
        <v>1440</v>
      </c>
    </row>
    <row r="43" spans="1:24" x14ac:dyDescent="0.25">
      <c r="A43" s="25">
        <f t="shared" si="18"/>
        <v>2021</v>
      </c>
      <c r="B43" s="37">
        <f>B26+VLOOKUP($A$1,'Pri Housing Generation'!$A$96:$DQ$118, 26, FALSE)</f>
        <v>243</v>
      </c>
      <c r="C43" s="34">
        <f>C26+VLOOKUP($A$1,'Pri Housing Generation'!$A$96:$DQ$118, 27, FALSE)</f>
        <v>217</v>
      </c>
      <c r="D43" s="34">
        <f>D26+VLOOKUP($A$1,'Pri Housing Generation'!$A$96:$DQ$118, 28, FALSE)</f>
        <v>234</v>
      </c>
      <c r="E43" s="34">
        <f>E26+VLOOKUP($A$1,'Pri Housing Generation'!$A$96:$DQ$118, 29, FALSE)</f>
        <v>243</v>
      </c>
      <c r="F43" s="42">
        <f>F26+VLOOKUP($A$1,'Pri Housing Generation'!$A$96:$DQ$118, 30, FALSE)</f>
        <v>257</v>
      </c>
      <c r="G43" s="43">
        <f>G26+VLOOKUP($A$1,'Pri Housing Generation'!$A$96:$DQ$118, 31, FALSE)</f>
        <v>239</v>
      </c>
      <c r="H43" s="41">
        <f>H26+VLOOKUP($A$1,'Pri Housing Generation'!$A$96:$DQ$118, 32, FALSE)</f>
        <v>248</v>
      </c>
      <c r="I43" s="99">
        <f t="shared" si="19"/>
        <v>252</v>
      </c>
      <c r="K43" s="35">
        <f>'Sec Housing Generation'!W18</f>
        <v>2</v>
      </c>
      <c r="L43" s="83"/>
      <c r="M43" s="107">
        <f t="shared" si="14"/>
        <v>0.96069269743714392</v>
      </c>
      <c r="O43" s="35">
        <f t="shared" si="15"/>
        <v>245</v>
      </c>
      <c r="Q43" s="25">
        <f t="shared" si="20"/>
        <v>2021</v>
      </c>
      <c r="R43" s="20">
        <f t="shared" si="16"/>
        <v>260</v>
      </c>
      <c r="S43" s="53">
        <f t="shared" si="21"/>
        <v>260</v>
      </c>
      <c r="T43" s="53">
        <f t="shared" si="21"/>
        <v>280</v>
      </c>
      <c r="U43" s="53">
        <f t="shared" si="21"/>
        <v>257</v>
      </c>
      <c r="V43" s="42">
        <f t="shared" si="22"/>
        <v>233</v>
      </c>
      <c r="W43" s="43">
        <f t="shared" si="23"/>
        <v>172</v>
      </c>
      <c r="X43" s="101">
        <f t="shared" si="17"/>
        <v>1462</v>
      </c>
    </row>
    <row r="44" spans="1:24" x14ac:dyDescent="0.25">
      <c r="A44" s="25">
        <f t="shared" si="18"/>
        <v>2022</v>
      </c>
      <c r="B44" s="37">
        <f>B27+VLOOKUP($A$1,'Pri Housing Generation'!$A$96:$DQ$118, 34, FALSE)</f>
        <v>244</v>
      </c>
      <c r="C44" s="34">
        <f>C27+VLOOKUP($A$1,'Pri Housing Generation'!$A$96:$DQ$118, 35, FALSE)</f>
        <v>243</v>
      </c>
      <c r="D44" s="34">
        <f>D27+VLOOKUP($A$1,'Pri Housing Generation'!$A$96:$DQ$118, 36, FALSE)</f>
        <v>219</v>
      </c>
      <c r="E44" s="34">
        <f>E27+VLOOKUP($A$1,'Pri Housing Generation'!$A$96:$DQ$118, 37, FALSE)</f>
        <v>226</v>
      </c>
      <c r="F44" s="34">
        <f>F27+VLOOKUP($A$1,'Pri Housing Generation'!$A$96:$DQ$118, 38, FALSE)</f>
        <v>250</v>
      </c>
      <c r="G44" s="42">
        <f>G27+VLOOKUP($A$1,'Pri Housing Generation'!$A$96:$DQ$118, 39, FALSE)</f>
        <v>251</v>
      </c>
      <c r="H44" s="43">
        <f>H27+VLOOKUP($A$1,'Pri Housing Generation'!$A$96:$DQ$118, 40, FALSE)</f>
        <v>240</v>
      </c>
      <c r="I44" s="99">
        <f t="shared" si="19"/>
        <v>263</v>
      </c>
      <c r="K44" s="35">
        <f>'Sec Housing Generation'!AD18</f>
        <v>3</v>
      </c>
      <c r="L44" s="83"/>
      <c r="M44" s="107">
        <f t="shared" si="14"/>
        <v>0.96069269743714392</v>
      </c>
      <c r="O44" s="35">
        <f t="shared" si="15"/>
        <v>256</v>
      </c>
      <c r="Q44" s="25">
        <f t="shared" si="20"/>
        <v>2022</v>
      </c>
      <c r="R44" s="20">
        <f t="shared" si="16"/>
        <v>260</v>
      </c>
      <c r="S44" s="53">
        <f t="shared" si="21"/>
        <v>260</v>
      </c>
      <c r="T44" s="53">
        <f t="shared" si="21"/>
        <v>260</v>
      </c>
      <c r="U44" s="53">
        <f t="shared" si="21"/>
        <v>280</v>
      </c>
      <c r="V44" s="34">
        <f t="shared" si="22"/>
        <v>233</v>
      </c>
      <c r="W44" s="42">
        <f t="shared" si="23"/>
        <v>178</v>
      </c>
      <c r="X44" s="101">
        <f t="shared" si="17"/>
        <v>1471</v>
      </c>
    </row>
    <row r="45" spans="1:24" x14ac:dyDescent="0.25">
      <c r="A45" s="25">
        <f t="shared" si="18"/>
        <v>2023</v>
      </c>
      <c r="B45" s="37">
        <f>B28+VLOOKUP($A$1,'Pri Housing Generation'!$A$96:$DQ$118, 42, FALSE)</f>
        <v>240</v>
      </c>
      <c r="C45" s="34">
        <f>C28+VLOOKUP($A$1,'Pri Housing Generation'!$A$96:$DQ$118, 43, FALSE)</f>
        <v>244</v>
      </c>
      <c r="D45" s="34">
        <f>D28+VLOOKUP($A$1,'Pri Housing Generation'!$A$96:$DQ$118, 44, FALSE)</f>
        <v>246</v>
      </c>
      <c r="E45" s="34">
        <f>E28+VLOOKUP($A$1,'Pri Housing Generation'!$A$96:$DQ$118, 45, FALSE)</f>
        <v>213</v>
      </c>
      <c r="F45" s="34">
        <f>F28+VLOOKUP($A$1,'Pri Housing Generation'!$A$96:$DQ$118, 46, FALSE)</f>
        <v>233</v>
      </c>
      <c r="G45" s="34">
        <f>G28+VLOOKUP($A$1,'Pri Housing Generation'!$A$96:$DQ$118, 47, FALSE)</f>
        <v>245</v>
      </c>
      <c r="H45" s="42">
        <f>H28+VLOOKUP($A$1,'Pri Housing Generation'!$A$96:$DQ$118, 48, FALSE)</f>
        <v>253</v>
      </c>
      <c r="I45" s="99">
        <f t="shared" si="19"/>
        <v>254</v>
      </c>
      <c r="J45" s="181"/>
      <c r="K45" s="35">
        <f>'Sec Housing Generation'!AK18</f>
        <v>4</v>
      </c>
      <c r="L45" s="83"/>
      <c r="M45" s="107">
        <f t="shared" si="14"/>
        <v>0.96069269743714392</v>
      </c>
      <c r="O45" s="35">
        <f t="shared" si="15"/>
        <v>248</v>
      </c>
      <c r="Q45" s="25">
        <f t="shared" si="20"/>
        <v>2023</v>
      </c>
      <c r="R45" s="20">
        <f t="shared" si="16"/>
        <v>260</v>
      </c>
      <c r="S45" s="53">
        <f t="shared" si="21"/>
        <v>260</v>
      </c>
      <c r="T45" s="53">
        <f t="shared" si="21"/>
        <v>260</v>
      </c>
      <c r="U45" s="53">
        <f t="shared" si="21"/>
        <v>260</v>
      </c>
      <c r="V45" s="34">
        <f t="shared" si="22"/>
        <v>253</v>
      </c>
      <c r="W45" s="34">
        <f t="shared" si="23"/>
        <v>178</v>
      </c>
      <c r="X45" s="101">
        <f t="shared" si="17"/>
        <v>1471</v>
      </c>
    </row>
    <row r="46" spans="1:24" x14ac:dyDescent="0.25">
      <c r="A46" s="25">
        <f t="shared" si="18"/>
        <v>2024</v>
      </c>
      <c r="B46" s="37">
        <f>B29+VLOOKUP($A$1,'Pri Housing Generation'!$A$96:$DQ$118, 50, FALSE)</f>
        <v>245</v>
      </c>
      <c r="C46" s="34">
        <f>C29+VLOOKUP($A$1,'Pri Housing Generation'!$A$96:$DQ$118, 51, FALSE)</f>
        <v>241</v>
      </c>
      <c r="D46" s="34">
        <f>D29+VLOOKUP($A$1,'Pri Housing Generation'!$A$96:$DQ$118, 52, FALSE)</f>
        <v>247</v>
      </c>
      <c r="E46" s="34">
        <f>E29+VLOOKUP($A$1,'Pri Housing Generation'!$A$96:$DQ$118, 53, FALSE)</f>
        <v>238</v>
      </c>
      <c r="F46" s="34">
        <f>F29+VLOOKUP($A$1,'Pri Housing Generation'!$A$96:$DQ$118, 54, FALSE)</f>
        <v>219</v>
      </c>
      <c r="G46" s="34">
        <f>G29+VLOOKUP($A$1,'Pri Housing Generation'!$A$96:$DQ$118, 55, FALSE)</f>
        <v>230</v>
      </c>
      <c r="H46" s="34">
        <f>H29+VLOOKUP($A$1,'Pri Housing Generation'!$A$96:$DQ$118, 56, FALSE)</f>
        <v>247</v>
      </c>
      <c r="I46" s="99">
        <f t="shared" si="19"/>
        <v>268</v>
      </c>
      <c r="J46" s="181"/>
      <c r="K46" s="35">
        <f>'Sec Housing Generation'!AR18</f>
        <v>5</v>
      </c>
      <c r="L46" s="83"/>
      <c r="M46" s="107">
        <f>K20</f>
        <v>0.96069269743714392</v>
      </c>
      <c r="O46" s="35">
        <f t="shared" si="15"/>
        <v>263</v>
      </c>
      <c r="Q46" s="25">
        <f t="shared" si="20"/>
        <v>2024</v>
      </c>
      <c r="R46" s="20">
        <f t="shared" si="16"/>
        <v>280</v>
      </c>
      <c r="S46" s="53">
        <f t="shared" si="21"/>
        <v>260</v>
      </c>
      <c r="T46" s="53">
        <f t="shared" si="21"/>
        <v>260</v>
      </c>
      <c r="U46" s="53">
        <f t="shared" si="21"/>
        <v>260</v>
      </c>
      <c r="V46" s="34">
        <f t="shared" si="22"/>
        <v>235</v>
      </c>
      <c r="W46" s="34">
        <f t="shared" si="23"/>
        <v>194</v>
      </c>
      <c r="X46" s="101">
        <f t="shared" si="17"/>
        <v>1489</v>
      </c>
    </row>
    <row r="47" spans="1:24" x14ac:dyDescent="0.25">
      <c r="A47" s="25">
        <f t="shared" si="18"/>
        <v>2025</v>
      </c>
      <c r="B47" s="37">
        <f>B30+VLOOKUP($A$1,'Pri Housing Generation'!$A$96:$DQ$118, 58, FALSE)</f>
        <v>249</v>
      </c>
      <c r="C47" s="34">
        <f>C30+VLOOKUP($A$1,'Pri Housing Generation'!$A$96:$DQ$118, 59, FALSE)</f>
        <v>245</v>
      </c>
      <c r="D47" s="34">
        <f>D30+VLOOKUP($A$1,'Pri Housing Generation'!$A$96:$DQ$118, 60, FALSE)</f>
        <v>244</v>
      </c>
      <c r="E47" s="34">
        <f>E30+VLOOKUP($A$1,'Pri Housing Generation'!$A$96:$DQ$118, 61, FALSE)</f>
        <v>240</v>
      </c>
      <c r="F47" s="34">
        <f>F30+VLOOKUP($A$1,'Pri Housing Generation'!$A$96:$DQ$118, 62, FALSE)</f>
        <v>246</v>
      </c>
      <c r="G47" s="34">
        <f>G30+VLOOKUP($A$1,'Pri Housing Generation'!$A$96:$DQ$118, 63, FALSE)</f>
        <v>215</v>
      </c>
      <c r="H47" s="34">
        <f>H30+VLOOKUP($A$1,'Pri Housing Generation'!$A$96:$DQ$118, 64, FALSE)</f>
        <v>231</v>
      </c>
      <c r="I47" s="99">
        <f t="shared" si="19"/>
        <v>262</v>
      </c>
      <c r="J47" s="181"/>
      <c r="K47" s="235"/>
      <c r="L47" s="83"/>
      <c r="M47" s="107">
        <f t="shared" si="14"/>
        <v>0.96069269743714392</v>
      </c>
      <c r="O47" s="35">
        <f t="shared" si="15"/>
        <v>252</v>
      </c>
      <c r="Q47" s="25">
        <f t="shared" si="20"/>
        <v>2025</v>
      </c>
      <c r="R47" s="20">
        <f t="shared" si="16"/>
        <v>260</v>
      </c>
      <c r="S47" s="53">
        <f t="shared" si="21"/>
        <v>280</v>
      </c>
      <c r="T47" s="53">
        <f t="shared" si="21"/>
        <v>260</v>
      </c>
      <c r="U47" s="53">
        <f t="shared" si="21"/>
        <v>260</v>
      </c>
      <c r="V47" s="34">
        <f t="shared" si="22"/>
        <v>235</v>
      </c>
      <c r="W47" s="34">
        <f t="shared" si="23"/>
        <v>180</v>
      </c>
      <c r="X47" s="101">
        <f t="shared" si="17"/>
        <v>1475</v>
      </c>
    </row>
    <row r="48" spans="1:24" x14ac:dyDescent="0.25">
      <c r="A48" s="25">
        <f t="shared" si="18"/>
        <v>2026</v>
      </c>
      <c r="B48" s="37">
        <f>B31+VLOOKUP($A$1,'Pri Housing Generation'!$A$96:$DQ$118, 66, FALSE)</f>
        <v>255</v>
      </c>
      <c r="C48" s="34">
        <f>C31+VLOOKUP($A$1,'Pri Housing Generation'!$A$96:$DQ$118, 67, FALSE)</f>
        <v>249</v>
      </c>
      <c r="D48" s="34">
        <f>D31+VLOOKUP($A$1,'Pri Housing Generation'!$A$96:$DQ$118, 68, FALSE)</f>
        <v>247</v>
      </c>
      <c r="E48" s="34">
        <f>E31+VLOOKUP($A$1,'Pri Housing Generation'!$A$96:$DQ$118, 69, FALSE)</f>
        <v>236</v>
      </c>
      <c r="F48" s="34">
        <f>F31+VLOOKUP($A$1,'Pri Housing Generation'!$A$96:$DQ$118, 70, FALSE)</f>
        <v>247</v>
      </c>
      <c r="G48" s="34">
        <f>G31+VLOOKUP($A$1,'Pri Housing Generation'!$A$96:$DQ$118, 71, FALSE)</f>
        <v>243</v>
      </c>
      <c r="H48" s="34">
        <f>H31+VLOOKUP($A$1,'Pri Housing Generation'!$A$96:$DQ$118, 72, FALSE)</f>
        <v>218</v>
      </c>
      <c r="I48" s="99">
        <f t="shared" si="19"/>
        <v>245</v>
      </c>
      <c r="J48" s="181"/>
      <c r="K48" s="83"/>
      <c r="L48" s="83"/>
      <c r="M48" s="107">
        <f t="shared" si="14"/>
        <v>0.96069269743714392</v>
      </c>
      <c r="O48" s="35">
        <f t="shared" si="15"/>
        <v>236</v>
      </c>
      <c r="Q48" s="25">
        <f t="shared" si="20"/>
        <v>2026</v>
      </c>
      <c r="R48" s="20">
        <f t="shared" si="16"/>
        <v>260</v>
      </c>
      <c r="S48" s="53">
        <f t="shared" si="21"/>
        <v>260</v>
      </c>
      <c r="T48" s="53">
        <f t="shared" si="21"/>
        <v>280</v>
      </c>
      <c r="U48" s="53">
        <f t="shared" si="21"/>
        <v>260</v>
      </c>
      <c r="V48" s="34">
        <f t="shared" si="22"/>
        <v>235</v>
      </c>
      <c r="W48" s="34">
        <f t="shared" si="23"/>
        <v>180</v>
      </c>
      <c r="X48" s="101">
        <f t="shared" si="17"/>
        <v>1475</v>
      </c>
    </row>
    <row r="49" spans="1:24" x14ac:dyDescent="0.25">
      <c r="A49" s="25">
        <f t="shared" si="18"/>
        <v>2027</v>
      </c>
      <c r="B49" s="37">
        <f>B32+VLOOKUP($A$1,'Pri Housing Generation'!$A$96:$DQ$118, 74, FALSE)</f>
        <v>257</v>
      </c>
      <c r="C49" s="34">
        <f>C32+VLOOKUP($A$1,'Pri Housing Generation'!$A$96:$DQ$118, 75, FALSE)</f>
        <v>254</v>
      </c>
      <c r="D49" s="34">
        <f>D32+VLOOKUP($A$1,'Pri Housing Generation'!$A$96:$DQ$118, 76, FALSE)</f>
        <v>250</v>
      </c>
      <c r="E49" s="34">
        <f>E32+VLOOKUP($A$1,'Pri Housing Generation'!$A$96:$DQ$118, 77, FALSE)</f>
        <v>238</v>
      </c>
      <c r="F49" s="34">
        <f>F32+VLOOKUP($A$1,'Pri Housing Generation'!$A$96:$DQ$118, 78, FALSE)</f>
        <v>242</v>
      </c>
      <c r="G49" s="34">
        <f>G32+VLOOKUP($A$1,'Pri Housing Generation'!$A$96:$DQ$118, 79, FALSE)</f>
        <v>242</v>
      </c>
      <c r="H49" s="34">
        <f>H32+VLOOKUP($A$1,'Pri Housing Generation'!$A$96:$DQ$118, 80, FALSE)</f>
        <v>243</v>
      </c>
      <c r="I49" s="99">
        <f t="shared" si="19"/>
        <v>231</v>
      </c>
      <c r="J49" s="181"/>
      <c r="K49" s="83"/>
      <c r="L49" s="83"/>
      <c r="M49" s="107">
        <f t="shared" si="14"/>
        <v>0.96069269743714392</v>
      </c>
      <c r="O49" s="35">
        <f t="shared" si="15"/>
        <v>222</v>
      </c>
      <c r="Q49" s="25">
        <f t="shared" si="20"/>
        <v>2027</v>
      </c>
      <c r="R49" s="20">
        <f t="shared" si="16"/>
        <v>260</v>
      </c>
      <c r="S49" s="53">
        <f t="shared" si="21"/>
        <v>260</v>
      </c>
      <c r="T49" s="53">
        <f t="shared" si="21"/>
        <v>260</v>
      </c>
      <c r="U49" s="53">
        <f t="shared" si="21"/>
        <v>280</v>
      </c>
      <c r="V49" s="34">
        <f t="shared" si="22"/>
        <v>235</v>
      </c>
      <c r="W49" s="34">
        <f t="shared" si="23"/>
        <v>180</v>
      </c>
      <c r="X49" s="101">
        <f t="shared" si="17"/>
        <v>1475</v>
      </c>
    </row>
    <row r="50" spans="1:24" x14ac:dyDescent="0.25">
      <c r="A50" s="25">
        <f t="shared" si="18"/>
        <v>2028</v>
      </c>
      <c r="B50" s="37">
        <f>B33+VLOOKUP($A$1,'Pri Housing Generation'!$A$96:$DQ$118, 82, FALSE)</f>
        <v>257</v>
      </c>
      <c r="C50" s="34">
        <f>C33+VLOOKUP($A$1,'Pri Housing Generation'!$A$96:$DQ$118, 83, FALSE)</f>
        <v>254</v>
      </c>
      <c r="D50" s="34">
        <f>D33+VLOOKUP($A$1,'Pri Housing Generation'!$A$96:$DQ$118, 84, FALSE)</f>
        <v>256</v>
      </c>
      <c r="E50" s="34">
        <f>E33+VLOOKUP($A$1,'Pri Housing Generation'!$A$96:$DQ$118, 85, FALSE)</f>
        <v>241</v>
      </c>
      <c r="F50" s="34">
        <f>F33+VLOOKUP($A$1,'Pri Housing Generation'!$A$96:$DQ$118, 86, FALSE)</f>
        <v>244</v>
      </c>
      <c r="G50" s="34">
        <f>G33+VLOOKUP($A$1,'Pri Housing Generation'!$A$96:$DQ$118, 87, FALSE)</f>
        <v>237</v>
      </c>
      <c r="H50" s="34">
        <f>H33+VLOOKUP($A$1,'Pri Housing Generation'!$A$96:$DQ$118, 88, FALSE)</f>
        <v>242</v>
      </c>
      <c r="I50" s="99">
        <f t="shared" si="19"/>
        <v>258</v>
      </c>
      <c r="J50" s="181"/>
      <c r="K50" s="83"/>
      <c r="L50" s="83"/>
      <c r="M50" s="107">
        <f t="shared" si="14"/>
        <v>0.96069269743714392</v>
      </c>
      <c r="O50" s="35">
        <f t="shared" si="15"/>
        <v>248</v>
      </c>
      <c r="Q50" s="25">
        <f t="shared" si="20"/>
        <v>2028</v>
      </c>
      <c r="R50" s="20">
        <f t="shared" si="16"/>
        <v>260</v>
      </c>
      <c r="S50" s="53">
        <f t="shared" si="21"/>
        <v>260</v>
      </c>
      <c r="T50" s="53">
        <f t="shared" si="21"/>
        <v>260</v>
      </c>
      <c r="U50" s="53">
        <f t="shared" si="21"/>
        <v>260</v>
      </c>
      <c r="V50" s="34">
        <f t="shared" si="22"/>
        <v>253</v>
      </c>
      <c r="W50" s="34">
        <f t="shared" si="23"/>
        <v>180</v>
      </c>
      <c r="X50" s="101">
        <f t="shared" si="17"/>
        <v>1473</v>
      </c>
    </row>
    <row r="51" spans="1:24" x14ac:dyDescent="0.25">
      <c r="A51" s="25">
        <f t="shared" si="18"/>
        <v>2029</v>
      </c>
      <c r="B51" s="37">
        <f>B34+VLOOKUP($A$1,'Pri Housing Generation'!$A$96:$DQ$118, 90, FALSE)</f>
        <v>258</v>
      </c>
      <c r="C51" s="34">
        <f>C34+VLOOKUP($A$1,'Pri Housing Generation'!$A$96:$DQ$118, 91, FALSE)</f>
        <v>254</v>
      </c>
      <c r="D51" s="34">
        <f>D34+VLOOKUP($A$1,'Pri Housing Generation'!$A$96:$DQ$118, 92, FALSE)</f>
        <v>256</v>
      </c>
      <c r="E51" s="34">
        <f>E34+VLOOKUP($A$1,'Pri Housing Generation'!$A$96:$DQ$118, 93, FALSE)</f>
        <v>247</v>
      </c>
      <c r="F51" s="34">
        <f>F34+VLOOKUP($A$1,'Pri Housing Generation'!$A$96:$DQ$118, 94, FALSE)</f>
        <v>247</v>
      </c>
      <c r="G51" s="34">
        <f>G34+VLOOKUP($A$1,'Pri Housing Generation'!$A$96:$DQ$118, 95, FALSE)</f>
        <v>239</v>
      </c>
      <c r="H51" s="34">
        <f>H34+VLOOKUP($A$1,'Pri Housing Generation'!$A$96:$DQ$118, 96, FALSE)</f>
        <v>237</v>
      </c>
      <c r="I51" s="99">
        <f t="shared" si="19"/>
        <v>256</v>
      </c>
      <c r="J51" s="181"/>
      <c r="K51" s="83"/>
      <c r="L51" s="83"/>
      <c r="M51" s="107">
        <f t="shared" si="14"/>
        <v>0.96069269743714392</v>
      </c>
      <c r="O51" s="35">
        <f t="shared" si="15"/>
        <v>246</v>
      </c>
      <c r="Q51" s="25">
        <f t="shared" si="20"/>
        <v>2029</v>
      </c>
      <c r="R51" s="20">
        <f t="shared" si="16"/>
        <v>260</v>
      </c>
      <c r="S51" s="53">
        <f t="shared" si="21"/>
        <v>260</v>
      </c>
      <c r="T51" s="53">
        <f t="shared" si="21"/>
        <v>260</v>
      </c>
      <c r="U51" s="53">
        <f t="shared" si="21"/>
        <v>260</v>
      </c>
      <c r="V51" s="34">
        <f t="shared" si="22"/>
        <v>235</v>
      </c>
      <c r="W51" s="34">
        <f t="shared" si="23"/>
        <v>194</v>
      </c>
      <c r="X51" s="101">
        <f t="shared" si="17"/>
        <v>1469</v>
      </c>
    </row>
    <row r="52" spans="1:24" x14ac:dyDescent="0.25">
      <c r="A52" s="25">
        <f t="shared" si="18"/>
        <v>2030</v>
      </c>
      <c r="B52" s="37">
        <f>B35+VLOOKUP($A$1,'Pri Housing Generation'!$A$96:$DQ$118, 98, FALSE)</f>
        <v>261</v>
      </c>
      <c r="C52" s="34">
        <f>C35+VLOOKUP($A$1,'Pri Housing Generation'!$A$96:$DQ$118, 99, FALSE)</f>
        <v>255</v>
      </c>
      <c r="D52" s="34">
        <f>D35+VLOOKUP($A$1,'Pri Housing Generation'!$A$96:$DQ$118, 100, FALSE)</f>
        <v>256</v>
      </c>
      <c r="E52" s="34">
        <f>E35+VLOOKUP($A$1,'Pri Housing Generation'!$A$96:$DQ$118, 101, FALSE)</f>
        <v>247</v>
      </c>
      <c r="F52" s="34">
        <f>F35+VLOOKUP($A$1,'Pri Housing Generation'!$A$96:$DQ$118, 102, FALSE)</f>
        <v>253</v>
      </c>
      <c r="G52" s="34">
        <f>G35+VLOOKUP($A$1,'Pri Housing Generation'!$A$96:$DQ$118, 103, FALSE)</f>
        <v>242</v>
      </c>
      <c r="H52" s="34">
        <f>H35+VLOOKUP($A$1,'Pri Housing Generation'!$A$96:$DQ$118, 104, FALSE)</f>
        <v>239</v>
      </c>
      <c r="I52" s="99">
        <f t="shared" si="19"/>
        <v>251</v>
      </c>
      <c r="J52" s="54"/>
      <c r="K52" s="83"/>
      <c r="L52" s="83"/>
      <c r="M52" s="107">
        <f t="shared" si="14"/>
        <v>0.96069269743714392</v>
      </c>
      <c r="O52" s="35">
        <f t="shared" si="15"/>
        <v>242</v>
      </c>
      <c r="Q52" s="25">
        <f t="shared" si="20"/>
        <v>2030</v>
      </c>
      <c r="R52" s="20">
        <f t="shared" si="16"/>
        <v>260</v>
      </c>
      <c r="S52" s="53">
        <f t="shared" si="21"/>
        <v>260</v>
      </c>
      <c r="T52" s="53">
        <f t="shared" si="21"/>
        <v>260</v>
      </c>
      <c r="U52" s="53">
        <f t="shared" si="21"/>
        <v>260</v>
      </c>
      <c r="V52" s="34">
        <f t="shared" si="22"/>
        <v>235</v>
      </c>
      <c r="W52" s="34">
        <f t="shared" si="23"/>
        <v>180</v>
      </c>
      <c r="X52" s="101">
        <f t="shared" si="17"/>
        <v>1455</v>
      </c>
    </row>
    <row r="53" spans="1:24" x14ac:dyDescent="0.25">
      <c r="A53" s="25">
        <f t="shared" si="18"/>
        <v>2031</v>
      </c>
      <c r="B53" s="37">
        <f>B36+VLOOKUP($A$1,'Pri Housing Generation'!$A$96:$DQ$118, 106, FALSE)</f>
        <v>261</v>
      </c>
      <c r="C53" s="34">
        <f>C36+VLOOKUP($A$1,'Pri Housing Generation'!$A$96:$DQ$118, 107, FALSE)</f>
        <v>258</v>
      </c>
      <c r="D53" s="34">
        <f>D36+VLOOKUP($A$1,'Pri Housing Generation'!$A$96:$DQ$118, 108, FALSE)</f>
        <v>257</v>
      </c>
      <c r="E53" s="34">
        <f>E36+VLOOKUP($A$1,'Pri Housing Generation'!$A$96:$DQ$118, 109, FALSE)</f>
        <v>247</v>
      </c>
      <c r="F53" s="34">
        <f>F36+VLOOKUP($A$1,'Pri Housing Generation'!$A$96:$DQ$118, 110, FALSE)</f>
        <v>253</v>
      </c>
      <c r="G53" s="34">
        <f>G36+VLOOKUP($A$1,'Pri Housing Generation'!$A$96:$DQ$118, 111, FALSE)</f>
        <v>248</v>
      </c>
      <c r="H53" s="34">
        <f>H36+VLOOKUP($A$1,'Pri Housing Generation'!$A$96:$DQ$118, 112, FALSE)</f>
        <v>242</v>
      </c>
      <c r="I53" s="99">
        <f t="shared" si="19"/>
        <v>253</v>
      </c>
      <c r="J53" s="54"/>
      <c r="K53" s="83"/>
      <c r="L53" s="83"/>
      <c r="M53" s="107">
        <f t="shared" si="14"/>
        <v>0.96069269743714392</v>
      </c>
      <c r="O53" s="35">
        <f t="shared" si="15"/>
        <v>244</v>
      </c>
      <c r="Q53" s="25">
        <f t="shared" si="20"/>
        <v>2031</v>
      </c>
      <c r="R53" s="20">
        <f t="shared" si="16"/>
        <v>260</v>
      </c>
      <c r="S53" s="53">
        <f t="shared" si="21"/>
        <v>260</v>
      </c>
      <c r="T53" s="53">
        <f t="shared" si="21"/>
        <v>260</v>
      </c>
      <c r="U53" s="53">
        <f t="shared" si="21"/>
        <v>260</v>
      </c>
      <c r="V53" s="34">
        <f t="shared" si="22"/>
        <v>235</v>
      </c>
      <c r="W53" s="34">
        <f t="shared" si="23"/>
        <v>180</v>
      </c>
      <c r="X53" s="101">
        <f t="shared" si="17"/>
        <v>1455</v>
      </c>
    </row>
    <row r="54" spans="1:24" x14ac:dyDescent="0.25">
      <c r="A54" s="25">
        <f t="shared" si="18"/>
        <v>2032</v>
      </c>
      <c r="B54" s="37">
        <f>B37+VLOOKUP($A$1,'Pri Housing Generation'!$A$96:$DQ$118, 114, FALSE)</f>
        <v>261</v>
      </c>
      <c r="C54" s="34">
        <f>C37+VLOOKUP($A$1,'Pri Housing Generation'!$A$96:$DQ$118, 115, FALSE)</f>
        <v>258</v>
      </c>
      <c r="D54" s="34">
        <f>D37+VLOOKUP($A$1,'Pri Housing Generation'!$A$96:$DQ$118, 116, FALSE)</f>
        <v>260</v>
      </c>
      <c r="E54" s="34">
        <f>E37+VLOOKUP($A$1,'Pri Housing Generation'!$A$96:$DQ$118, 117, FALSE)</f>
        <v>248</v>
      </c>
      <c r="F54" s="34">
        <f>F37+VLOOKUP($A$1,'Pri Housing Generation'!$A$96:$DQ$118, 118, FALSE)</f>
        <v>253</v>
      </c>
      <c r="G54" s="34">
        <f>G37+VLOOKUP($A$1,'Pri Housing Generation'!$A$96:$DQ$118, 119, FALSE)</f>
        <v>248</v>
      </c>
      <c r="H54" s="34">
        <f>H37+VLOOKUP($A$1,'Pri Housing Generation'!$A$96:$DQ$118, 120, FALSE)</f>
        <v>248</v>
      </c>
      <c r="I54" s="99">
        <f t="shared" si="19"/>
        <v>256</v>
      </c>
      <c r="K54" s="83"/>
      <c r="L54" s="83"/>
      <c r="M54" s="107">
        <f t="shared" si="14"/>
        <v>0.96069269743714392</v>
      </c>
      <c r="O54" s="35">
        <f t="shared" si="15"/>
        <v>246</v>
      </c>
      <c r="Q54" s="25">
        <f t="shared" si="20"/>
        <v>2032</v>
      </c>
      <c r="R54" s="20">
        <f t="shared" si="16"/>
        <v>260</v>
      </c>
      <c r="S54" s="53">
        <f t="shared" si="21"/>
        <v>260</v>
      </c>
      <c r="T54" s="53">
        <f t="shared" si="21"/>
        <v>260</v>
      </c>
      <c r="U54" s="53">
        <f t="shared" si="21"/>
        <v>260</v>
      </c>
      <c r="V54" s="34">
        <f t="shared" si="22"/>
        <v>235</v>
      </c>
      <c r="W54" s="34">
        <f t="shared" si="23"/>
        <v>180</v>
      </c>
      <c r="X54" s="101">
        <f t="shared" si="17"/>
        <v>1455</v>
      </c>
    </row>
    <row r="56" spans="1:24" ht="15.75" x14ac:dyDescent="0.25">
      <c r="A56" s="129" t="s">
        <v>223</v>
      </c>
      <c r="F56" s="131"/>
      <c r="G56" s="131"/>
      <c r="H56" s="181"/>
      <c r="I56" s="131"/>
      <c r="J56" s="131"/>
    </row>
    <row r="57" spans="1:24" x14ac:dyDescent="0.25">
      <c r="F57" s="131"/>
      <c r="G57" s="131"/>
      <c r="H57" s="181"/>
      <c r="I57" s="131"/>
      <c r="J57" s="131"/>
    </row>
    <row r="58" spans="1:24" x14ac:dyDescent="0.25">
      <c r="A58" s="21" t="s">
        <v>224</v>
      </c>
      <c r="F58" s="132"/>
      <c r="G58" s="131"/>
      <c r="H58" s="181"/>
      <c r="I58" s="131"/>
      <c r="J58" s="131"/>
    </row>
    <row r="59" spans="1:24" x14ac:dyDescent="0.25">
      <c r="A59" s="21"/>
      <c r="F59" s="132"/>
      <c r="G59" s="131"/>
      <c r="H59" s="181"/>
      <c r="I59" s="131"/>
      <c r="J59" s="131"/>
    </row>
    <row r="60" spans="1:24" ht="33" customHeight="1" x14ac:dyDescent="0.25">
      <c r="A60" s="136"/>
      <c r="B60" s="138" t="s">
        <v>225</v>
      </c>
      <c r="C60" s="413" t="s">
        <v>226</v>
      </c>
      <c r="D60" s="414"/>
      <c r="F60" s="132"/>
      <c r="G60" s="130"/>
      <c r="H60" s="181"/>
      <c r="I60" s="130"/>
      <c r="J60" s="130"/>
    </row>
    <row r="61" spans="1:24" x14ac:dyDescent="0.25">
      <c r="A61" s="25">
        <v>2011</v>
      </c>
      <c r="B61" s="128">
        <v>42</v>
      </c>
      <c r="C61" s="415">
        <f t="shared" ref="C61:C66" si="24">1-(I13/(I13+B61))</f>
        <v>0.16470588235294115</v>
      </c>
      <c r="D61" s="388"/>
      <c r="F61" s="133"/>
      <c r="G61" s="54"/>
      <c r="H61" s="181"/>
      <c r="I61" s="54"/>
      <c r="J61" s="54"/>
    </row>
    <row r="62" spans="1:24" x14ac:dyDescent="0.25">
      <c r="A62" s="25">
        <v>2012</v>
      </c>
      <c r="B62" s="128">
        <v>45</v>
      </c>
      <c r="C62" s="415">
        <f t="shared" si="24"/>
        <v>0.19313304721030045</v>
      </c>
      <c r="D62" s="388"/>
      <c r="F62" s="133"/>
      <c r="G62" s="54"/>
      <c r="H62" s="181"/>
      <c r="I62" s="54"/>
      <c r="J62" s="54"/>
      <c r="K62" s="181"/>
      <c r="N62" s="109"/>
      <c r="S62" s="82"/>
    </row>
    <row r="63" spans="1:24" x14ac:dyDescent="0.25">
      <c r="A63" s="25">
        <v>2013</v>
      </c>
      <c r="B63" s="128">
        <v>41</v>
      </c>
      <c r="C63" s="415">
        <f t="shared" si="24"/>
        <v>0.17521367521367526</v>
      </c>
      <c r="D63" s="388"/>
      <c r="F63" s="133"/>
      <c r="G63" s="54"/>
      <c r="H63" s="181"/>
      <c r="I63" s="54"/>
      <c r="J63" s="54"/>
      <c r="K63" s="181"/>
      <c r="N63" s="109"/>
      <c r="S63" s="82"/>
    </row>
    <row r="64" spans="1:24" x14ac:dyDescent="0.25">
      <c r="A64" s="25">
        <v>2014</v>
      </c>
      <c r="B64" s="128">
        <v>37</v>
      </c>
      <c r="C64" s="415">
        <f t="shared" si="24"/>
        <v>0.14682539682539686</v>
      </c>
      <c r="D64" s="388"/>
      <c r="F64" s="133"/>
      <c r="G64" s="54"/>
      <c r="H64" s="181"/>
      <c r="I64" s="54"/>
      <c r="J64" s="54"/>
      <c r="K64" s="181"/>
      <c r="N64" s="109"/>
      <c r="S64" s="82"/>
    </row>
    <row r="65" spans="1:19" x14ac:dyDescent="0.25">
      <c r="A65" s="25">
        <v>2015</v>
      </c>
      <c r="B65" s="128">
        <v>21</v>
      </c>
      <c r="C65" s="415">
        <f t="shared" si="24"/>
        <v>8.4337349397590411E-2</v>
      </c>
      <c r="D65" s="388"/>
      <c r="F65" s="133"/>
      <c r="G65" s="54"/>
      <c r="H65" s="181"/>
      <c r="I65" s="54"/>
      <c r="J65" s="54"/>
      <c r="K65" s="181"/>
      <c r="N65" s="109"/>
      <c r="S65" s="82"/>
    </row>
    <row r="66" spans="1:19" x14ac:dyDescent="0.25">
      <c r="A66" s="25">
        <v>2016</v>
      </c>
      <c r="B66" s="128"/>
      <c r="C66" s="415">
        <f t="shared" si="24"/>
        <v>0</v>
      </c>
      <c r="D66" s="388"/>
      <c r="F66" s="133"/>
      <c r="G66" s="54"/>
      <c r="H66" s="181"/>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C62:D62"/>
    <mergeCell ref="C63:D63"/>
    <mergeCell ref="C64:D64"/>
    <mergeCell ref="C65:D65"/>
    <mergeCell ref="K39:K40"/>
    <mergeCell ref="M39:M40"/>
    <mergeCell ref="O39:O40"/>
    <mergeCell ref="C60:D60"/>
    <mergeCell ref="C61:D61"/>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72">
    <cfRule type="cellIs" dxfId="17" priority="5" operator="greaterThan">
      <formula>$C$7</formula>
    </cfRule>
  </conditionalFormatting>
  <conditionalFormatting sqref="X41:X72">
    <cfRule type="cellIs" dxfId="16" priority="4"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V81"/>
  <sheetViews>
    <sheetView topLeftCell="I1" zoomScale="90" zoomScaleNormal="90" workbookViewId="0">
      <selection activeCell="V18" sqref="V18"/>
    </sheetView>
  </sheetViews>
  <sheetFormatPr defaultRowHeight="15" x14ac:dyDescent="0.25"/>
  <cols>
    <col min="1" max="1" width="36" customWidth="1"/>
    <col min="2" max="2" width="9.42578125" customWidth="1"/>
    <col min="3" max="3" width="9.28515625" customWidth="1"/>
    <col min="4" max="4" width="11.140625" style="158" customWidth="1"/>
    <col min="5" max="14" width="9.140625" style="39"/>
    <col min="22" max="22" width="12.42578125" customWidth="1"/>
  </cols>
  <sheetData>
    <row r="1" spans="1:22" ht="18.75" x14ac:dyDescent="0.3">
      <c r="A1" s="102" t="str">
        <f>CONCATENATE("CITY OF EDINBURGH COUNCIL - Secondary School S1 Intake and Roll Projections ", E4, "-",R4)</f>
        <v>CITY OF EDINBURGH COUNCIL - Secondary School S1 Intake and Roll Projections 2019-2032</v>
      </c>
      <c r="B1" s="102"/>
      <c r="C1" s="102"/>
      <c r="J1" s="108"/>
    </row>
    <row r="2" spans="1:22" ht="18.75" customHeight="1" x14ac:dyDescent="0.3">
      <c r="A2" s="255">
        <v>43412</v>
      </c>
      <c r="B2" s="102"/>
      <c r="C2" s="102"/>
      <c r="T2" s="365" t="s">
        <v>419</v>
      </c>
      <c r="U2" s="366"/>
      <c r="V2" t="s">
        <v>345</v>
      </c>
    </row>
    <row r="3" spans="1:22" ht="15.75" thickBot="1" x14ac:dyDescent="0.3">
      <c r="T3" s="367"/>
      <c r="U3" s="368"/>
      <c r="V3" t="s">
        <v>409</v>
      </c>
    </row>
    <row r="4" spans="1:22" ht="32.25" customHeight="1" thickBot="1" x14ac:dyDescent="0.3">
      <c r="A4" s="151" t="s">
        <v>2</v>
      </c>
      <c r="B4" s="157" t="s">
        <v>191</v>
      </c>
      <c r="C4" s="157" t="s">
        <v>193</v>
      </c>
      <c r="D4" s="159"/>
      <c r="E4" s="152">
        <f>VLOOKUP("Year",'S1 Catchment Analysis'!$A$2:$B$2, 2, FALSE)+1</f>
        <v>2019</v>
      </c>
      <c r="F4" s="152">
        <f>E4+1</f>
        <v>2020</v>
      </c>
      <c r="G4" s="152">
        <f t="shared" ref="G4:R4" si="0">F4+1</f>
        <v>2021</v>
      </c>
      <c r="H4" s="152">
        <f t="shared" si="0"/>
        <v>2022</v>
      </c>
      <c r="I4" s="152">
        <f t="shared" si="0"/>
        <v>2023</v>
      </c>
      <c r="J4" s="152">
        <f t="shared" si="0"/>
        <v>2024</v>
      </c>
      <c r="K4" s="152">
        <f t="shared" si="0"/>
        <v>2025</v>
      </c>
      <c r="L4" s="152">
        <f t="shared" si="0"/>
        <v>2026</v>
      </c>
      <c r="M4" s="152">
        <f t="shared" si="0"/>
        <v>2027</v>
      </c>
      <c r="N4" s="152">
        <f t="shared" si="0"/>
        <v>2028</v>
      </c>
      <c r="O4" s="152">
        <f t="shared" si="0"/>
        <v>2029</v>
      </c>
      <c r="P4" s="152">
        <f t="shared" si="0"/>
        <v>2030</v>
      </c>
      <c r="Q4" s="152">
        <f t="shared" si="0"/>
        <v>2031</v>
      </c>
      <c r="R4" s="152">
        <f t="shared" si="0"/>
        <v>2032</v>
      </c>
      <c r="T4" s="367"/>
      <c r="U4" s="368"/>
      <c r="V4" t="s">
        <v>410</v>
      </c>
    </row>
    <row r="5" spans="1:22" ht="18" customHeight="1" x14ac:dyDescent="0.25">
      <c r="A5" s="383" t="s">
        <v>97</v>
      </c>
      <c r="B5" s="380">
        <v>160</v>
      </c>
      <c r="C5" s="377">
        <v>850</v>
      </c>
      <c r="D5" s="160" t="s">
        <v>312</v>
      </c>
      <c r="E5" s="153">
        <f>BALERNO!$R$41</f>
        <v>160</v>
      </c>
      <c r="F5" s="153">
        <f>BALERNO!$R$42</f>
        <v>160</v>
      </c>
      <c r="G5" s="153">
        <f>BALERNO!$R$43</f>
        <v>160</v>
      </c>
      <c r="H5" s="153">
        <f>BALERNO!$R$44</f>
        <v>160</v>
      </c>
      <c r="I5" s="153">
        <f>BALERNO!$R$45</f>
        <v>160</v>
      </c>
      <c r="J5" s="153">
        <f>BALERNO!$R$46</f>
        <v>160</v>
      </c>
      <c r="K5" s="153">
        <f>BALERNO!$R$47</f>
        <v>160</v>
      </c>
      <c r="L5" s="153">
        <f>BALERNO!$R$48</f>
        <v>180</v>
      </c>
      <c r="M5" s="153">
        <f>BALERNO!$R$49</f>
        <v>160</v>
      </c>
      <c r="N5" s="250">
        <f>BALERNO!$R$50</f>
        <v>160</v>
      </c>
      <c r="O5" s="242">
        <f>BALERNO!$R$51</f>
        <v>160</v>
      </c>
      <c r="P5" s="242">
        <f>BALERNO!$R$52</f>
        <v>160</v>
      </c>
      <c r="Q5" s="242">
        <f>BALERNO!$R$53</f>
        <v>160</v>
      </c>
      <c r="R5" s="154">
        <f>BALERNO!$R$54</f>
        <v>160</v>
      </c>
      <c r="T5" s="369"/>
      <c r="U5" s="370"/>
      <c r="V5" t="s">
        <v>411</v>
      </c>
    </row>
    <row r="6" spans="1:22" ht="18" customHeight="1" thickBot="1" x14ac:dyDescent="0.3">
      <c r="A6" s="385"/>
      <c r="B6" s="381"/>
      <c r="C6" s="378"/>
      <c r="D6" s="161" t="s">
        <v>313</v>
      </c>
      <c r="E6" s="155">
        <f>BALERNO!$X$41</f>
        <v>764</v>
      </c>
      <c r="F6" s="155">
        <f>BALERNO!$X$42</f>
        <v>815</v>
      </c>
      <c r="G6" s="155">
        <f>BALERNO!$X$43</f>
        <v>844</v>
      </c>
      <c r="H6" s="155">
        <f>BALERNO!$X$44</f>
        <v>865</v>
      </c>
      <c r="I6" s="155">
        <f>BALERNO!$X$45</f>
        <v>887</v>
      </c>
      <c r="J6" s="155">
        <f>BALERNO!$X$46</f>
        <v>907</v>
      </c>
      <c r="K6" s="155">
        <f>BALERNO!$X$47</f>
        <v>907</v>
      </c>
      <c r="L6" s="155">
        <f>BALERNO!$X$48</f>
        <v>927</v>
      </c>
      <c r="M6" s="155">
        <f>BALERNO!$X$49</f>
        <v>927</v>
      </c>
      <c r="N6" s="240">
        <f>BALERNO!$X$50</f>
        <v>927</v>
      </c>
      <c r="O6" s="243">
        <f>BALERNO!$X$51</f>
        <v>927</v>
      </c>
      <c r="P6" s="243">
        <f>BALERNO!$X$52</f>
        <v>925</v>
      </c>
      <c r="Q6" s="243">
        <f>BALERNO!$X$53</f>
        <v>921</v>
      </c>
      <c r="R6" s="156">
        <f>BALERNO!$X$54</f>
        <v>907</v>
      </c>
      <c r="V6" t="s">
        <v>412</v>
      </c>
    </row>
    <row r="7" spans="1:22" ht="18" customHeight="1" x14ac:dyDescent="0.25">
      <c r="A7" s="383" t="s">
        <v>92</v>
      </c>
      <c r="B7" s="380">
        <v>200</v>
      </c>
      <c r="C7" s="377">
        <v>1200</v>
      </c>
      <c r="D7" s="160" t="s">
        <v>312</v>
      </c>
      <c r="E7" s="153">
        <f>BOROUGH!$R$41</f>
        <v>240</v>
      </c>
      <c r="F7" s="153">
        <f>BOROUGH!$R$42</f>
        <v>253</v>
      </c>
      <c r="G7" s="153">
        <f>BOROUGH!$R$43</f>
        <v>271</v>
      </c>
      <c r="H7" s="153">
        <f>BOROUGH!$R$44</f>
        <v>292</v>
      </c>
      <c r="I7" s="153">
        <f>BOROUGH!$R$45</f>
        <v>277</v>
      </c>
      <c r="J7" s="153">
        <f>BOROUGH!$R$46</f>
        <v>260</v>
      </c>
      <c r="K7" s="153">
        <f>BOROUGH!$R$47</f>
        <v>289</v>
      </c>
      <c r="L7" s="153">
        <f>BOROUGH!$R$48</f>
        <v>280</v>
      </c>
      <c r="M7" s="153">
        <f>BOROUGH!$R$49</f>
        <v>331</v>
      </c>
      <c r="N7" s="250">
        <f>BOROUGH!$R$50</f>
        <v>276</v>
      </c>
      <c r="O7" s="242">
        <f>BOROUGH!$R$51</f>
        <v>276</v>
      </c>
      <c r="P7" s="242">
        <f>BOROUGH!$R$52</f>
        <v>277</v>
      </c>
      <c r="Q7" s="242">
        <f>BOROUGH!$R$53</f>
        <v>280</v>
      </c>
      <c r="R7" s="154">
        <f>BOROUGH!$R$54</f>
        <v>280</v>
      </c>
      <c r="V7" t="s">
        <v>413</v>
      </c>
    </row>
    <row r="8" spans="1:22" ht="18" customHeight="1" thickBot="1" x14ac:dyDescent="0.3">
      <c r="A8" s="385"/>
      <c r="B8" s="381"/>
      <c r="C8" s="378"/>
      <c r="D8" s="161" t="s">
        <v>313</v>
      </c>
      <c r="E8" s="155">
        <f>BOROUGH!$X$41</f>
        <v>1294</v>
      </c>
      <c r="F8" s="155">
        <f>BOROUGH!$X$42</f>
        <v>1346</v>
      </c>
      <c r="G8" s="155">
        <f>BOROUGH!$X$43</f>
        <v>1405</v>
      </c>
      <c r="H8" s="155">
        <f>BOROUGH!$X$44</f>
        <v>1493</v>
      </c>
      <c r="I8" s="155">
        <f>BOROUGH!$X$45</f>
        <v>1545</v>
      </c>
      <c r="J8" s="155">
        <f>BOROUGH!$X$46</f>
        <v>1551</v>
      </c>
      <c r="K8" s="155">
        <f>BOROUGH!$X$47</f>
        <v>1598</v>
      </c>
      <c r="L8" s="155">
        <f>BOROUGH!$X$48</f>
        <v>1621</v>
      </c>
      <c r="M8" s="155">
        <f>BOROUGH!$X$49</f>
        <v>1679</v>
      </c>
      <c r="N8" s="240">
        <f>BOROUGH!$X$50</f>
        <v>1666</v>
      </c>
      <c r="O8" s="243">
        <f>BOROUGH!$X$51</f>
        <v>1667</v>
      </c>
      <c r="P8" s="243">
        <f>BOROUGH!$X$52</f>
        <v>1679</v>
      </c>
      <c r="Q8" s="243">
        <f>BOROUGH!$X$53</f>
        <v>1670</v>
      </c>
      <c r="R8" s="156">
        <f>BOROUGH!$X$54</f>
        <v>1664</v>
      </c>
      <c r="V8" t="s">
        <v>351</v>
      </c>
    </row>
    <row r="9" spans="1:22" ht="18" customHeight="1" x14ac:dyDescent="0.25">
      <c r="A9" s="383" t="s">
        <v>93</v>
      </c>
      <c r="B9" s="380">
        <v>220</v>
      </c>
      <c r="C9" s="377">
        <v>1200</v>
      </c>
      <c r="D9" s="160" t="s">
        <v>312</v>
      </c>
      <c r="E9" s="153">
        <f>BROUGHT!$R$41</f>
        <v>220</v>
      </c>
      <c r="F9" s="153">
        <f>BROUGHT!$R$42</f>
        <v>220</v>
      </c>
      <c r="G9" s="153">
        <f>BROUGHT!$R$43</f>
        <v>220</v>
      </c>
      <c r="H9" s="153">
        <f>BROUGHT!$R$44</f>
        <v>220</v>
      </c>
      <c r="I9" s="153">
        <f>BROUGHT!$R$45</f>
        <v>240</v>
      </c>
      <c r="J9" s="153">
        <f>BROUGHT!$R$46</f>
        <v>240</v>
      </c>
      <c r="K9" s="153">
        <f>BROUGHT!$R$47</f>
        <v>220</v>
      </c>
      <c r="L9" s="153">
        <f>BROUGHT!$R$48</f>
        <v>220</v>
      </c>
      <c r="M9" s="153">
        <f>BROUGHT!$R$49</f>
        <v>240</v>
      </c>
      <c r="N9" s="250">
        <f>BROUGHT!$R$50</f>
        <v>240</v>
      </c>
      <c r="O9" s="242">
        <f>BROUGHT!$R$51</f>
        <v>220</v>
      </c>
      <c r="P9" s="242">
        <f>BROUGHT!$R$52</f>
        <v>240</v>
      </c>
      <c r="Q9" s="242">
        <f>BROUGHT!$R$53</f>
        <v>240</v>
      </c>
      <c r="R9" s="154">
        <f>BROUGHT!$R$54</f>
        <v>240</v>
      </c>
      <c r="V9" t="s">
        <v>414</v>
      </c>
    </row>
    <row r="10" spans="1:22" ht="18" customHeight="1" thickBot="1" x14ac:dyDescent="0.3">
      <c r="A10" s="385"/>
      <c r="B10" s="381"/>
      <c r="C10" s="378"/>
      <c r="D10" s="161" t="s">
        <v>313</v>
      </c>
      <c r="E10" s="155">
        <f>BROUGHT!$X$41</f>
        <v>1131</v>
      </c>
      <c r="F10" s="155">
        <f>BROUGHT!$X$42</f>
        <v>1145</v>
      </c>
      <c r="G10" s="155">
        <f>BROUGHT!$X$43</f>
        <v>1153</v>
      </c>
      <c r="H10" s="155">
        <f>BROUGHT!$X$44</f>
        <v>1168</v>
      </c>
      <c r="I10" s="155">
        <f>BROUGHT!$X$45</f>
        <v>1206</v>
      </c>
      <c r="J10" s="155">
        <f>BROUGHT!$X$46</f>
        <v>1235</v>
      </c>
      <c r="K10" s="155">
        <f>BROUGHT!$X$47</f>
        <v>1235</v>
      </c>
      <c r="L10" s="155">
        <f>BROUGHT!$X$48</f>
        <v>1235</v>
      </c>
      <c r="M10" s="155">
        <f>BROUGHT!$X$49</f>
        <v>1252</v>
      </c>
      <c r="N10" s="240">
        <f>BROUGHT!$X$50</f>
        <v>1263</v>
      </c>
      <c r="O10" s="243">
        <f>BROUGHT!$X$51</f>
        <v>1246</v>
      </c>
      <c r="P10" s="243">
        <f>BROUGHT!$X$52</f>
        <v>1255</v>
      </c>
      <c r="Q10" s="243">
        <f>BROUGHT!$X$53</f>
        <v>1272</v>
      </c>
      <c r="R10" s="156">
        <f>BROUGHT!$X$54</f>
        <v>1283</v>
      </c>
      <c r="V10" t="s">
        <v>415</v>
      </c>
    </row>
    <row r="11" spans="1:22" ht="18" customHeight="1" x14ac:dyDescent="0.25">
      <c r="A11" s="383" t="s">
        <v>98</v>
      </c>
      <c r="B11" s="380">
        <v>120</v>
      </c>
      <c r="C11" s="377">
        <v>600</v>
      </c>
      <c r="D11" s="160" t="s">
        <v>312</v>
      </c>
      <c r="E11" s="153">
        <f>CASTLEB!$R$41</f>
        <v>79</v>
      </c>
      <c r="F11" s="153">
        <f>CASTLEB!$R$42</f>
        <v>98</v>
      </c>
      <c r="G11" s="153">
        <f>CASTLEB!$R$43</f>
        <v>109</v>
      </c>
      <c r="H11" s="153">
        <f>CASTLEB!$R$44</f>
        <v>114</v>
      </c>
      <c r="I11" s="153">
        <f>CASTLEB!$R$45</f>
        <v>138</v>
      </c>
      <c r="J11" s="153">
        <f>CASTLEB!$R$46</f>
        <v>140</v>
      </c>
      <c r="K11" s="153">
        <f>CASTLEB!$R$47</f>
        <v>117</v>
      </c>
      <c r="L11" s="153">
        <f>CASTLEB!$R$48</f>
        <v>107</v>
      </c>
      <c r="M11" s="153">
        <f>CASTLEB!$R$49</f>
        <v>119</v>
      </c>
      <c r="N11" s="250">
        <f>CASTLEB!$R$50</f>
        <v>135</v>
      </c>
      <c r="O11" s="242">
        <f>CASTLEB!$R$51</f>
        <v>148</v>
      </c>
      <c r="P11" s="242">
        <f>CASTLEB!$R$52</f>
        <v>145</v>
      </c>
      <c r="Q11" s="242">
        <f>CASTLEB!$R$53</f>
        <v>152</v>
      </c>
      <c r="R11" s="154">
        <f>CASTLEB!$R$54</f>
        <v>157</v>
      </c>
      <c r="V11" t="s">
        <v>416</v>
      </c>
    </row>
    <row r="12" spans="1:22" ht="18" customHeight="1" thickBot="1" x14ac:dyDescent="0.3">
      <c r="A12" s="385"/>
      <c r="B12" s="381"/>
      <c r="C12" s="378"/>
      <c r="D12" s="161" t="s">
        <v>313</v>
      </c>
      <c r="E12" s="155">
        <f>CASTLEB!$X$41</f>
        <v>236</v>
      </c>
      <c r="F12" s="155">
        <f>CASTLEB!$X$42</f>
        <v>305</v>
      </c>
      <c r="G12" s="155">
        <f>CASTLEB!$X$43</f>
        <v>378</v>
      </c>
      <c r="H12" s="155">
        <f>CASTLEB!$X$44</f>
        <v>452</v>
      </c>
      <c r="I12" s="155">
        <f>CASTLEB!$X$45</f>
        <v>539</v>
      </c>
      <c r="J12" s="155">
        <f>CASTLEB!$X$46</f>
        <v>609</v>
      </c>
      <c r="K12" s="155">
        <f>CASTLEB!$X$47</f>
        <v>633</v>
      </c>
      <c r="L12" s="155">
        <f>CASTLEB!$X$48</f>
        <v>634</v>
      </c>
      <c r="M12" s="155">
        <f>CASTLEB!$X$49</f>
        <v>635</v>
      </c>
      <c r="N12" s="240">
        <f>CASTLEB!$X$50</f>
        <v>642</v>
      </c>
      <c r="O12" s="243">
        <f>CASTLEB!$X$51</f>
        <v>656</v>
      </c>
      <c r="P12" s="243">
        <f>CASTLEB!$X$52</f>
        <v>677</v>
      </c>
      <c r="Q12" s="243">
        <f>CASTLEB!$X$53</f>
        <v>715</v>
      </c>
      <c r="R12" s="156">
        <f>CASTLEB!$X$54</f>
        <v>753</v>
      </c>
      <c r="V12" t="s">
        <v>417</v>
      </c>
    </row>
    <row r="13" spans="1:22" ht="18" customHeight="1" x14ac:dyDescent="0.25">
      <c r="A13" s="383" t="s">
        <v>94</v>
      </c>
      <c r="B13" s="380">
        <v>260</v>
      </c>
      <c r="C13" s="377">
        <v>1400</v>
      </c>
      <c r="D13" s="160" t="s">
        <v>312</v>
      </c>
      <c r="E13" s="153">
        <f>CMOUNT!$R$41</f>
        <v>233</v>
      </c>
      <c r="F13" s="153">
        <f>CMOUNT!$R$42</f>
        <v>244</v>
      </c>
      <c r="G13" s="153">
        <f>CMOUNT!$R$43</f>
        <v>238</v>
      </c>
      <c r="H13" s="153">
        <f>CMOUNT!$R$44</f>
        <v>260</v>
      </c>
      <c r="I13" s="153">
        <f>CMOUNT!$R$45</f>
        <v>260</v>
      </c>
      <c r="J13" s="153">
        <f>CMOUNT!$R$46</f>
        <v>256</v>
      </c>
      <c r="K13" s="153">
        <f>CMOUNT!$R$47</f>
        <v>260</v>
      </c>
      <c r="L13" s="153">
        <f>CMOUNT!$R$48</f>
        <v>260</v>
      </c>
      <c r="M13" s="153">
        <f>CMOUNT!$R$49</f>
        <v>260</v>
      </c>
      <c r="N13" s="250">
        <f>CMOUNT!$R$50</f>
        <v>260</v>
      </c>
      <c r="O13" s="242">
        <f>CMOUNT!$R$51</f>
        <v>260</v>
      </c>
      <c r="P13" s="242">
        <f>CMOUNT!$R$52</f>
        <v>260</v>
      </c>
      <c r="Q13" s="242">
        <f>CMOUNT!$R$53</f>
        <v>260</v>
      </c>
      <c r="R13" s="154">
        <f>CMOUNT!$R$54</f>
        <v>260</v>
      </c>
      <c r="V13" t="s">
        <v>418</v>
      </c>
    </row>
    <row r="14" spans="1:22" ht="18" customHeight="1" thickBot="1" x14ac:dyDescent="0.3">
      <c r="A14" s="385"/>
      <c r="B14" s="381"/>
      <c r="C14" s="378"/>
      <c r="D14" s="161" t="s">
        <v>313</v>
      </c>
      <c r="E14" s="155">
        <f>CMOUNT!$X$41</f>
        <v>1210</v>
      </c>
      <c r="F14" s="155">
        <f>CMOUNT!$X$42</f>
        <v>1266</v>
      </c>
      <c r="G14" s="155">
        <f>CMOUNT!$X$43</f>
        <v>1283</v>
      </c>
      <c r="H14" s="155">
        <f>CMOUNT!$X$44</f>
        <v>1339</v>
      </c>
      <c r="I14" s="155">
        <f>CMOUNT!$X$45</f>
        <v>1397</v>
      </c>
      <c r="J14" s="155">
        <f>CMOUNT!$X$46</f>
        <v>1423</v>
      </c>
      <c r="K14" s="155">
        <f>CMOUNT!$X$47</f>
        <v>1448</v>
      </c>
      <c r="L14" s="155">
        <f>CMOUNT!$X$48</f>
        <v>1464</v>
      </c>
      <c r="M14" s="155">
        <f>CMOUNT!$X$49</f>
        <v>1481</v>
      </c>
      <c r="N14" s="240">
        <f>CMOUNT!$X$50</f>
        <v>1481</v>
      </c>
      <c r="O14" s="243">
        <f>CMOUNT!$X$51</f>
        <v>1481</v>
      </c>
      <c r="P14" s="243">
        <f>CMOUNT!$X$52</f>
        <v>1485</v>
      </c>
      <c r="Q14" s="243">
        <f>CMOUNT!$X$53</f>
        <v>1485</v>
      </c>
      <c r="R14" s="156">
        <f>CMOUNT!$X$54</f>
        <v>1485</v>
      </c>
      <c r="V14" t="s">
        <v>420</v>
      </c>
    </row>
    <row r="15" spans="1:22" ht="18" customHeight="1" x14ac:dyDescent="0.25">
      <c r="A15" s="383" t="s">
        <v>95</v>
      </c>
      <c r="B15" s="380">
        <v>120</v>
      </c>
      <c r="C15" s="377">
        <v>600</v>
      </c>
      <c r="D15" s="160" t="s">
        <v>312</v>
      </c>
      <c r="E15" s="153">
        <f>CROYSTON!$R$41</f>
        <v>112</v>
      </c>
      <c r="F15" s="153">
        <f>CROYSTON!$R$42</f>
        <v>117</v>
      </c>
      <c r="G15" s="153">
        <f>CROYSTON!$R$43</f>
        <v>112</v>
      </c>
      <c r="H15" s="153">
        <f>CROYSTON!$R$44</f>
        <v>109</v>
      </c>
      <c r="I15" s="153">
        <f>CROYSTON!$R$45</f>
        <v>120</v>
      </c>
      <c r="J15" s="153">
        <f>CROYSTON!$R$46</f>
        <v>115</v>
      </c>
      <c r="K15" s="153">
        <f>CROYSTON!$R$47</f>
        <v>120</v>
      </c>
      <c r="L15" s="153">
        <f>CROYSTON!$R$48</f>
        <v>120</v>
      </c>
      <c r="M15" s="153">
        <f>CROYSTON!$R$49</f>
        <v>137</v>
      </c>
      <c r="N15" s="250">
        <f>CROYSTON!$R$50</f>
        <v>132</v>
      </c>
      <c r="O15" s="242">
        <f>CROYSTON!$R$51</f>
        <v>152</v>
      </c>
      <c r="P15" s="242">
        <f>CROYSTON!$R$52</f>
        <v>140</v>
      </c>
      <c r="Q15" s="242">
        <f>CROYSTON!$R$53</f>
        <v>140</v>
      </c>
      <c r="R15" s="154">
        <f>CROYSTON!$R$54</f>
        <v>140</v>
      </c>
      <c r="V15" t="s">
        <v>421</v>
      </c>
    </row>
    <row r="16" spans="1:22" ht="18" customHeight="1" thickBot="1" x14ac:dyDescent="0.3">
      <c r="A16" s="385"/>
      <c r="B16" s="381"/>
      <c r="C16" s="378"/>
      <c r="D16" s="161" t="s">
        <v>313</v>
      </c>
      <c r="E16" s="155">
        <f>CROYSTON!$X$41</f>
        <v>561</v>
      </c>
      <c r="F16" s="155">
        <f>CROYSTON!$X$42</f>
        <v>580</v>
      </c>
      <c r="G16" s="155">
        <f>CROYSTON!$X$43</f>
        <v>593</v>
      </c>
      <c r="H16" s="155">
        <f>CROYSTON!$X$44</f>
        <v>609</v>
      </c>
      <c r="I16" s="155">
        <f>CROYSTON!$X$45</f>
        <v>632</v>
      </c>
      <c r="J16" s="155">
        <f>CROYSTON!$X$46</f>
        <v>632</v>
      </c>
      <c r="K16" s="155">
        <f>CROYSTON!$X$47</f>
        <v>639</v>
      </c>
      <c r="L16" s="155">
        <f>CROYSTON!$X$48</f>
        <v>644</v>
      </c>
      <c r="M16" s="155">
        <f>CROYSTON!$X$49</f>
        <v>670</v>
      </c>
      <c r="N16" s="240">
        <f>CROYSTON!$X$50</f>
        <v>689</v>
      </c>
      <c r="O16" s="243">
        <f>CROYSTON!$X$51</f>
        <v>722</v>
      </c>
      <c r="P16" s="243">
        <f>CROYSTON!$X$52</f>
        <v>746</v>
      </c>
      <c r="Q16" s="243">
        <f>CROYSTON!$X$53</f>
        <v>764</v>
      </c>
      <c r="R16" s="156">
        <f>CROYSTON!$X$54</f>
        <v>777</v>
      </c>
      <c r="V16" t="s">
        <v>422</v>
      </c>
    </row>
    <row r="17" spans="1:22" ht="18" customHeight="1" x14ac:dyDescent="0.25">
      <c r="A17" s="383" t="s">
        <v>99</v>
      </c>
      <c r="B17" s="380">
        <v>180</v>
      </c>
      <c r="C17" s="377">
        <v>900</v>
      </c>
      <c r="D17" s="160" t="s">
        <v>312</v>
      </c>
      <c r="E17" s="153">
        <f>CURRIE!$R$41</f>
        <v>142</v>
      </c>
      <c r="F17" s="153">
        <f>CURRIE!$R$42</f>
        <v>150</v>
      </c>
      <c r="G17" s="153">
        <f>CURRIE!$R$43</f>
        <v>151</v>
      </c>
      <c r="H17" s="153">
        <f>CURRIE!$R$44</f>
        <v>169</v>
      </c>
      <c r="I17" s="153">
        <f>CURRIE!$R$45</f>
        <v>154</v>
      </c>
      <c r="J17" s="153">
        <f>CURRIE!$R$46</f>
        <v>171</v>
      </c>
      <c r="K17" s="153">
        <f>CURRIE!$R$47</f>
        <v>172</v>
      </c>
      <c r="L17" s="153">
        <f>CURRIE!$R$48</f>
        <v>180</v>
      </c>
      <c r="M17" s="153">
        <f>CURRIE!$R$49</f>
        <v>180</v>
      </c>
      <c r="N17" s="250">
        <f>CURRIE!$R$50</f>
        <v>174</v>
      </c>
      <c r="O17" s="242">
        <f>CURRIE!$R$51</f>
        <v>180</v>
      </c>
      <c r="P17" s="242">
        <f>CURRIE!$R$52</f>
        <v>180</v>
      </c>
      <c r="Q17" s="242">
        <f>CURRIE!$R$53</f>
        <v>180</v>
      </c>
      <c r="R17" s="154">
        <f>CURRIE!$R$54</f>
        <v>180</v>
      </c>
      <c r="V17" t="s">
        <v>423</v>
      </c>
    </row>
    <row r="18" spans="1:22" ht="18" customHeight="1" thickBot="1" x14ac:dyDescent="0.3">
      <c r="A18" s="385"/>
      <c r="B18" s="381"/>
      <c r="C18" s="378"/>
      <c r="D18" s="161" t="s">
        <v>313</v>
      </c>
      <c r="E18" s="155">
        <f>CURRIE!$X$41</f>
        <v>729</v>
      </c>
      <c r="F18" s="155">
        <f>CURRIE!$X$42</f>
        <v>748</v>
      </c>
      <c r="G18" s="155">
        <f>CURRIE!$X$43</f>
        <v>781</v>
      </c>
      <c r="H18" s="155">
        <f>CURRIE!$X$44</f>
        <v>831</v>
      </c>
      <c r="I18" s="155">
        <f>CURRIE!$X$45</f>
        <v>844</v>
      </c>
      <c r="J18" s="155">
        <f>CURRIE!$X$46</f>
        <v>879</v>
      </c>
      <c r="K18" s="155">
        <f>CURRIE!$X$47</f>
        <v>907</v>
      </c>
      <c r="L18" s="155">
        <f>CURRIE!$X$48</f>
        <v>935</v>
      </c>
      <c r="M18" s="155">
        <f>CURRIE!$X$49</f>
        <v>961</v>
      </c>
      <c r="N18" s="240">
        <f>CURRIE!$X$50</f>
        <v>967</v>
      </c>
      <c r="O18" s="243">
        <f>CURRIE!$X$51</f>
        <v>988</v>
      </c>
      <c r="P18" s="243">
        <f>CURRIE!$X$52</f>
        <v>995</v>
      </c>
      <c r="Q18" s="243">
        <f>CURRIE!$X$53</f>
        <v>1001</v>
      </c>
      <c r="R18" s="156">
        <f>CURRIE!$X$54</f>
        <v>1002</v>
      </c>
      <c r="V18" t="s">
        <v>424</v>
      </c>
    </row>
    <row r="19" spans="1:22" ht="18" customHeight="1" x14ac:dyDescent="0.25">
      <c r="A19" s="383" t="s">
        <v>96</v>
      </c>
      <c r="B19" s="380">
        <v>120</v>
      </c>
      <c r="C19" s="377">
        <v>600</v>
      </c>
      <c r="D19" s="160" t="s">
        <v>312</v>
      </c>
      <c r="E19" s="153">
        <f>DRUMM!$R$41</f>
        <v>74</v>
      </c>
      <c r="F19" s="153">
        <f>DRUMM!$R$42</f>
        <v>82</v>
      </c>
      <c r="G19" s="153">
        <f>DRUMM!$R$43</f>
        <v>91</v>
      </c>
      <c r="H19" s="153">
        <f>DRUMM!$R$44</f>
        <v>91</v>
      </c>
      <c r="I19" s="153">
        <f>DRUMM!$R$45</f>
        <v>81</v>
      </c>
      <c r="J19" s="153">
        <f>DRUMM!$R$46</f>
        <v>87</v>
      </c>
      <c r="K19" s="153">
        <f>DRUMM!$R$47</f>
        <v>79</v>
      </c>
      <c r="L19" s="153">
        <f>DRUMM!$R$48</f>
        <v>81</v>
      </c>
      <c r="M19" s="153">
        <f>DRUMM!$R$49</f>
        <v>81</v>
      </c>
      <c r="N19" s="250">
        <f>DRUMM!$R$50</f>
        <v>81</v>
      </c>
      <c r="O19" s="242">
        <f>DRUMM!$R$51</f>
        <v>78</v>
      </c>
      <c r="P19" s="242">
        <f>DRUMM!$R$52</f>
        <v>80</v>
      </c>
      <c r="Q19" s="242">
        <f>DRUMM!$R$53</f>
        <v>82</v>
      </c>
      <c r="R19" s="154">
        <f>DRUMM!$R$54</f>
        <v>82</v>
      </c>
      <c r="V19" s="39" t="s">
        <v>365</v>
      </c>
    </row>
    <row r="20" spans="1:22" ht="18" customHeight="1" thickBot="1" x14ac:dyDescent="0.3">
      <c r="A20" s="385"/>
      <c r="B20" s="381"/>
      <c r="C20" s="378"/>
      <c r="D20" s="161" t="s">
        <v>313</v>
      </c>
      <c r="E20" s="155">
        <f>DRUMM!$X$41</f>
        <v>360</v>
      </c>
      <c r="F20" s="155">
        <f>DRUMM!$X$42</f>
        <v>383</v>
      </c>
      <c r="G20" s="155">
        <f>DRUMM!$X$43</f>
        <v>416</v>
      </c>
      <c r="H20" s="155">
        <f>DRUMM!$X$44</f>
        <v>448</v>
      </c>
      <c r="I20" s="155">
        <f>DRUMM!$X$45</f>
        <v>465</v>
      </c>
      <c r="J20" s="155">
        <f>DRUMM!$X$46</f>
        <v>473</v>
      </c>
      <c r="K20" s="155">
        <f>DRUMM!$X$47</f>
        <v>475</v>
      </c>
      <c r="L20" s="155">
        <f>DRUMM!$X$48</f>
        <v>470</v>
      </c>
      <c r="M20" s="155">
        <f>DRUMM!$X$49</f>
        <v>461</v>
      </c>
      <c r="N20" s="240">
        <f>DRUMM!$X$50</f>
        <v>454</v>
      </c>
      <c r="O20" s="243">
        <f>DRUMM!$X$51</f>
        <v>449</v>
      </c>
      <c r="P20" s="243">
        <f>DRUMM!$X$52</f>
        <v>446</v>
      </c>
      <c r="Q20" s="243">
        <f>DRUMM!$X$53</f>
        <v>448</v>
      </c>
      <c r="R20" s="156">
        <f>DRUMM!$X$54</f>
        <v>449</v>
      </c>
      <c r="V20" s="39" t="s">
        <v>425</v>
      </c>
    </row>
    <row r="21" spans="1:22" ht="18" customHeight="1" x14ac:dyDescent="0.25">
      <c r="A21" s="383" t="s">
        <v>314</v>
      </c>
      <c r="B21" s="380">
        <v>220</v>
      </c>
      <c r="C21" s="377">
        <v>1150</v>
      </c>
      <c r="D21" s="160" t="s">
        <v>312</v>
      </c>
      <c r="E21" s="153">
        <f>FIRRH!$R$41</f>
        <v>240</v>
      </c>
      <c r="F21" s="153">
        <f>FIRRH!$R$42</f>
        <v>219</v>
      </c>
      <c r="G21" s="153">
        <f>FIRRH!$R$43</f>
        <v>220</v>
      </c>
      <c r="H21" s="153">
        <f>FIRRH!$R$44</f>
        <v>220</v>
      </c>
      <c r="I21" s="153">
        <f>FIRRH!$R$45</f>
        <v>220</v>
      </c>
      <c r="J21" s="153">
        <f>FIRRH!$R$46</f>
        <v>220</v>
      </c>
      <c r="K21" s="153">
        <f>FIRRH!$R$47</f>
        <v>220</v>
      </c>
      <c r="L21" s="153">
        <f>FIRRH!$R$48</f>
        <v>216</v>
      </c>
      <c r="M21" s="153">
        <f>FIRRH!$R$49</f>
        <v>212</v>
      </c>
      <c r="N21" s="250">
        <f>FIRRH!$R$50</f>
        <v>220</v>
      </c>
      <c r="O21" s="242">
        <f>FIRRH!$R$51</f>
        <v>196</v>
      </c>
      <c r="P21" s="242">
        <f>FIRRH!$R$52</f>
        <v>215</v>
      </c>
      <c r="Q21" s="242">
        <f>FIRRH!$R$53</f>
        <v>218</v>
      </c>
      <c r="R21" s="154">
        <f>FIRRH!$R$54</f>
        <v>220</v>
      </c>
      <c r="V21" s="39" t="s">
        <v>426</v>
      </c>
    </row>
    <row r="22" spans="1:22" ht="18" customHeight="1" thickBot="1" x14ac:dyDescent="0.3">
      <c r="A22" s="385"/>
      <c r="B22" s="381"/>
      <c r="C22" s="378"/>
      <c r="D22" s="161" t="s">
        <v>313</v>
      </c>
      <c r="E22" s="155">
        <f>FIRRH!$X$41</f>
        <v>1222</v>
      </c>
      <c r="F22" s="155">
        <f>FIRRH!$X$42</f>
        <v>1246</v>
      </c>
      <c r="G22" s="155">
        <f>FIRRH!$X$43</f>
        <v>1255</v>
      </c>
      <c r="H22" s="155">
        <f>FIRRH!$X$44</f>
        <v>1263</v>
      </c>
      <c r="I22" s="155">
        <f>FIRRH!$X$45</f>
        <v>1264</v>
      </c>
      <c r="J22" s="155">
        <f>FIRRH!$X$46</f>
        <v>1263</v>
      </c>
      <c r="K22" s="155">
        <f>FIRRH!$X$47</f>
        <v>1248</v>
      </c>
      <c r="L22" s="155">
        <f>FIRRH!$X$48</f>
        <v>1244</v>
      </c>
      <c r="M22" s="155">
        <f>FIRRH!$X$49</f>
        <v>1236</v>
      </c>
      <c r="N22" s="240">
        <f>FIRRH!$X$50</f>
        <v>1236</v>
      </c>
      <c r="O22" s="243">
        <f>FIRRH!$X$51</f>
        <v>1212</v>
      </c>
      <c r="P22" s="243">
        <f>FIRRH!$X$52</f>
        <v>1208</v>
      </c>
      <c r="Q22" s="243">
        <f>FIRRH!$X$53</f>
        <v>1208</v>
      </c>
      <c r="R22" s="156">
        <f>FIRRH!$X$54</f>
        <v>1211</v>
      </c>
    </row>
    <row r="23" spans="1:22" ht="18" customHeight="1" x14ac:dyDescent="0.25">
      <c r="A23" s="383" t="s">
        <v>100</v>
      </c>
      <c r="B23" s="380">
        <v>180</v>
      </c>
      <c r="C23" s="377">
        <v>900</v>
      </c>
      <c r="D23" s="160" t="s">
        <v>312</v>
      </c>
      <c r="E23" s="153">
        <f>FORRES!$R$41</f>
        <v>152</v>
      </c>
      <c r="F23" s="153">
        <f>FORRES!$R$42</f>
        <v>156</v>
      </c>
      <c r="G23" s="153">
        <f>FORRES!$R$43</f>
        <v>180</v>
      </c>
      <c r="H23" s="153">
        <f>FORRES!$R$44</f>
        <v>158</v>
      </c>
      <c r="I23" s="153">
        <f>FORRES!$R$45</f>
        <v>148</v>
      </c>
      <c r="J23" s="153">
        <f>FORRES!$R$46</f>
        <v>164</v>
      </c>
      <c r="K23" s="153">
        <f>FORRES!$R$47</f>
        <v>161</v>
      </c>
      <c r="L23" s="153">
        <f>FORRES!$R$48</f>
        <v>160</v>
      </c>
      <c r="M23" s="153">
        <f>FORRES!$R$49</f>
        <v>147</v>
      </c>
      <c r="N23" s="250">
        <f>FORRES!$R$50</f>
        <v>147</v>
      </c>
      <c r="O23" s="242">
        <f>FORRES!$R$51</f>
        <v>159</v>
      </c>
      <c r="P23" s="242">
        <f>FORRES!$R$52</f>
        <v>152</v>
      </c>
      <c r="Q23" s="242">
        <f>FORRES!$R$53</f>
        <v>154</v>
      </c>
      <c r="R23" s="154">
        <f>FORRES!$R$54</f>
        <v>156</v>
      </c>
    </row>
    <row r="24" spans="1:22" ht="18" customHeight="1" thickBot="1" x14ac:dyDescent="0.3">
      <c r="A24" s="385"/>
      <c r="B24" s="381"/>
      <c r="C24" s="378"/>
      <c r="D24" s="161" t="s">
        <v>313</v>
      </c>
      <c r="E24" s="155">
        <f>FORRES!$X$41</f>
        <v>715</v>
      </c>
      <c r="F24" s="155">
        <f>FORRES!$X$42</f>
        <v>745</v>
      </c>
      <c r="G24" s="155">
        <f>FORRES!$X$43</f>
        <v>790</v>
      </c>
      <c r="H24" s="155">
        <f>FORRES!$X$44</f>
        <v>817</v>
      </c>
      <c r="I24" s="155">
        <f>FORRES!$X$45</f>
        <v>813</v>
      </c>
      <c r="J24" s="155">
        <f>FORRES!$X$46</f>
        <v>828</v>
      </c>
      <c r="K24" s="155">
        <f>FORRES!$X$47</f>
        <v>827</v>
      </c>
      <c r="L24" s="155">
        <f>FORRES!$X$48</f>
        <v>824</v>
      </c>
      <c r="M24" s="155">
        <f>FORRES!$X$49</f>
        <v>807</v>
      </c>
      <c r="N24" s="240">
        <f>FORRES!$X$50</f>
        <v>796</v>
      </c>
      <c r="O24" s="243">
        <f>FORRES!$X$51</f>
        <v>799</v>
      </c>
      <c r="P24" s="243">
        <f>FORRES!$X$52</f>
        <v>790</v>
      </c>
      <c r="Q24" s="243">
        <f>FORRES!$X$53</f>
        <v>788</v>
      </c>
      <c r="R24" s="156">
        <f>FORRES!$X$54</f>
        <v>791</v>
      </c>
    </row>
    <row r="25" spans="1:22" ht="18" customHeight="1" x14ac:dyDescent="0.25">
      <c r="A25" s="383" t="s">
        <v>101</v>
      </c>
      <c r="B25" s="380">
        <v>120</v>
      </c>
      <c r="C25" s="377">
        <v>650</v>
      </c>
      <c r="D25" s="160" t="s">
        <v>312</v>
      </c>
      <c r="E25" s="153">
        <f>GRACEM!$R$41</f>
        <v>120</v>
      </c>
      <c r="F25" s="153">
        <f>GRACEM!$R$42</f>
        <v>140</v>
      </c>
      <c r="G25" s="153">
        <f>GRACEM!$R$43</f>
        <v>140</v>
      </c>
      <c r="H25" s="153">
        <f>GRACEM!$R$44</f>
        <v>140</v>
      </c>
      <c r="I25" s="153">
        <f>GRACEM!$R$45</f>
        <v>140</v>
      </c>
      <c r="J25" s="153">
        <f>GRACEM!$R$46</f>
        <v>160</v>
      </c>
      <c r="K25" s="153">
        <f>GRACEM!$R$47</f>
        <v>120</v>
      </c>
      <c r="L25" s="153">
        <f>GRACEM!$R$48</f>
        <v>140</v>
      </c>
      <c r="M25" s="153">
        <f>GRACEM!$R$49</f>
        <v>140</v>
      </c>
      <c r="N25" s="250">
        <f>GRACEM!$R$50</f>
        <v>160</v>
      </c>
      <c r="O25" s="242">
        <f>GRACEM!$R$51</f>
        <v>160</v>
      </c>
      <c r="P25" s="242">
        <f>GRACEM!$R$52</f>
        <v>160</v>
      </c>
      <c r="Q25" s="242">
        <f>GRACEM!$R$53</f>
        <v>160</v>
      </c>
      <c r="R25" s="154">
        <f>GRACEM!$R$54</f>
        <v>180</v>
      </c>
    </row>
    <row r="26" spans="1:22" ht="18" customHeight="1" thickBot="1" x14ac:dyDescent="0.3">
      <c r="A26" s="385"/>
      <c r="B26" s="381"/>
      <c r="C26" s="378"/>
      <c r="D26" s="161" t="s">
        <v>313</v>
      </c>
      <c r="E26" s="155">
        <f>GRACEM!$X$41</f>
        <v>608</v>
      </c>
      <c r="F26" s="155">
        <f>GRACEM!$X$42</f>
        <v>637</v>
      </c>
      <c r="G26" s="155">
        <f>GRACEM!$X$43</f>
        <v>664</v>
      </c>
      <c r="H26" s="155">
        <f>GRACEM!$X$44</f>
        <v>694</v>
      </c>
      <c r="I26" s="155">
        <f>GRACEM!$X$45</f>
        <v>718</v>
      </c>
      <c r="J26" s="155">
        <f>GRACEM!$X$46</f>
        <v>759</v>
      </c>
      <c r="K26" s="155">
        <f>GRACEM!$X$47</f>
        <v>750</v>
      </c>
      <c r="L26" s="155">
        <f>GRACEM!$X$48</f>
        <v>750</v>
      </c>
      <c r="M26" s="155">
        <f>GRACEM!$X$49</f>
        <v>750</v>
      </c>
      <c r="N26" s="240">
        <f>GRACEM!$X$50</f>
        <v>766</v>
      </c>
      <c r="O26" s="243">
        <f>GRACEM!$X$51</f>
        <v>782</v>
      </c>
      <c r="P26" s="243">
        <f>GRACEM!$X$52</f>
        <v>799</v>
      </c>
      <c r="Q26" s="243">
        <f>GRACEM!$X$53</f>
        <v>830</v>
      </c>
      <c r="R26" s="156">
        <f>GRACEM!$X$54</f>
        <v>866</v>
      </c>
    </row>
    <row r="27" spans="1:22" ht="18" customHeight="1" x14ac:dyDescent="0.25">
      <c r="A27" s="383" t="s">
        <v>102</v>
      </c>
      <c r="B27" s="380">
        <v>220</v>
      </c>
      <c r="C27" s="377">
        <v>1200</v>
      </c>
      <c r="D27" s="160" t="s">
        <v>312</v>
      </c>
      <c r="E27" s="153">
        <f>HOLY_R!$R$41</f>
        <v>247</v>
      </c>
      <c r="F27" s="153">
        <f>HOLY_R!$R$42</f>
        <v>254</v>
      </c>
      <c r="G27" s="153">
        <f>HOLY_R!$R$43</f>
        <v>240</v>
      </c>
      <c r="H27" s="153">
        <f>HOLY_R!$R$44</f>
        <v>240</v>
      </c>
      <c r="I27" s="153">
        <f>HOLY_R!$R$45</f>
        <v>255</v>
      </c>
      <c r="J27" s="153">
        <f>HOLY_R!$R$46</f>
        <v>256</v>
      </c>
      <c r="K27" s="153">
        <f>HOLY_R!$R$47</f>
        <v>267</v>
      </c>
      <c r="L27" s="153">
        <f>HOLY_R!$R$48</f>
        <v>252</v>
      </c>
      <c r="M27" s="153">
        <f>HOLY_R!$R$49</f>
        <v>240</v>
      </c>
      <c r="N27" s="250">
        <f>HOLY_R!$R$50</f>
        <v>260</v>
      </c>
      <c r="O27" s="242">
        <f>HOLY_R!$R$51</f>
        <v>255</v>
      </c>
      <c r="P27" s="242">
        <f>HOLY_R!$R$52</f>
        <v>260</v>
      </c>
      <c r="Q27" s="242">
        <f>HOLY_R!$R$53</f>
        <v>260</v>
      </c>
      <c r="R27" s="154">
        <f>HOLY_R!$R$54</f>
        <v>269</v>
      </c>
    </row>
    <row r="28" spans="1:22" ht="18" customHeight="1" thickBot="1" x14ac:dyDescent="0.3">
      <c r="A28" s="385"/>
      <c r="B28" s="381"/>
      <c r="C28" s="378"/>
      <c r="D28" s="161" t="s">
        <v>313</v>
      </c>
      <c r="E28" s="155">
        <f>HOLY_R!$X$41</f>
        <v>1098</v>
      </c>
      <c r="F28" s="155">
        <f>HOLY_R!$X$42</f>
        <v>1161</v>
      </c>
      <c r="G28" s="155">
        <f>HOLY_R!$X$43</f>
        <v>1221</v>
      </c>
      <c r="H28" s="155">
        <f>HOLY_R!$X$44</f>
        <v>1258</v>
      </c>
      <c r="I28" s="155">
        <f>HOLY_R!$X$45</f>
        <v>1300</v>
      </c>
      <c r="J28" s="155">
        <f>HOLY_R!$X$46</f>
        <v>1337</v>
      </c>
      <c r="K28" s="155">
        <f>HOLY_R!$X$47</f>
        <v>1357</v>
      </c>
      <c r="L28" s="155">
        <f>HOLY_R!$X$48</f>
        <v>1361</v>
      </c>
      <c r="M28" s="155">
        <f>HOLY_R!$X$49</f>
        <v>1358</v>
      </c>
      <c r="N28" s="240">
        <f>HOLY_R!$X$50</f>
        <v>1371</v>
      </c>
      <c r="O28" s="243">
        <f>HOLY_R!$X$51</f>
        <v>1368</v>
      </c>
      <c r="P28" s="243">
        <f>HOLY_R!$X$52</f>
        <v>1371</v>
      </c>
      <c r="Q28" s="243">
        <f>HOLY_R!$X$53</f>
        <v>1373</v>
      </c>
      <c r="R28" s="156">
        <f>HOLY_R!$X$54</f>
        <v>1390</v>
      </c>
    </row>
    <row r="29" spans="1:22" ht="18" customHeight="1" x14ac:dyDescent="0.25">
      <c r="A29" s="383" t="s">
        <v>103</v>
      </c>
      <c r="B29" s="380">
        <v>220</v>
      </c>
      <c r="C29" s="377">
        <v>1300</v>
      </c>
      <c r="D29" s="160" t="s">
        <v>312</v>
      </c>
      <c r="E29" s="162">
        <f>JAMESG!$T$41</f>
        <v>255</v>
      </c>
      <c r="F29" s="162">
        <f>JAMESG!$T$42</f>
        <v>280</v>
      </c>
      <c r="G29" s="162">
        <f>JAMESG!$T$43</f>
        <v>300</v>
      </c>
      <c r="H29" s="162">
        <f>JAMESG!$T$44</f>
        <v>293</v>
      </c>
      <c r="I29" s="162">
        <f>JAMESG!$T$45</f>
        <v>280</v>
      </c>
      <c r="J29" s="162">
        <f>JAMESG!$T$46</f>
        <v>340</v>
      </c>
      <c r="K29" s="162">
        <f>JAMESG!$T$47</f>
        <v>319</v>
      </c>
      <c r="L29" s="162">
        <f>JAMESG!$T$48</f>
        <v>320</v>
      </c>
      <c r="M29" s="162">
        <f>JAMESG!$T$49</f>
        <v>295</v>
      </c>
      <c r="N29" s="251">
        <f>JAMESG!$T$50</f>
        <v>270</v>
      </c>
      <c r="O29" s="162">
        <f>JAMESG!$T$51</f>
        <v>257</v>
      </c>
      <c r="P29" s="162">
        <f>JAMESG!$T$52</f>
        <v>280</v>
      </c>
      <c r="Q29" s="162">
        <f>JAMESG!$T$53</f>
        <v>280</v>
      </c>
      <c r="R29" s="163">
        <f>JAMESG!$T$54</f>
        <v>280</v>
      </c>
    </row>
    <row r="30" spans="1:22" ht="18" customHeight="1" thickBot="1" x14ac:dyDescent="0.3">
      <c r="A30" s="385"/>
      <c r="B30" s="381"/>
      <c r="C30" s="378"/>
      <c r="D30" s="161" t="s">
        <v>313</v>
      </c>
      <c r="E30" s="164">
        <f>JAMESG!$Z$41</f>
        <v>1347</v>
      </c>
      <c r="F30" s="164">
        <f>JAMESG!$Z$42</f>
        <v>1435</v>
      </c>
      <c r="G30" s="164">
        <f>JAMESG!$Z$43</f>
        <v>1539</v>
      </c>
      <c r="H30" s="164">
        <f>JAMESG!$Z$44</f>
        <v>1618</v>
      </c>
      <c r="I30" s="164">
        <f>JAMESG!$Z$45</f>
        <v>1660</v>
      </c>
      <c r="J30" s="164">
        <f>JAMESG!$Z$46</f>
        <v>1767</v>
      </c>
      <c r="K30" s="164">
        <f>JAMESG!$Z$47</f>
        <v>1832</v>
      </c>
      <c r="L30" s="164">
        <f>JAMESG!$Z$48</f>
        <v>1872</v>
      </c>
      <c r="M30" s="164">
        <f>JAMESG!$Z$49</f>
        <v>1867</v>
      </c>
      <c r="N30" s="252">
        <f>JAMESG!$Z$50</f>
        <v>1845</v>
      </c>
      <c r="O30" s="164">
        <f>JAMESG!$Z$51</f>
        <v>1823</v>
      </c>
      <c r="P30" s="164">
        <f>JAMESG!$Z$52</f>
        <v>1763</v>
      </c>
      <c r="Q30" s="164">
        <f>JAMESG!$Z$53</f>
        <v>1723</v>
      </c>
      <c r="R30" s="165">
        <f>JAMESG!$Z$54</f>
        <v>1681</v>
      </c>
    </row>
    <row r="31" spans="1:22" ht="18" customHeight="1" x14ac:dyDescent="0.25">
      <c r="A31" s="383" t="s">
        <v>104</v>
      </c>
      <c r="B31" s="380">
        <v>180</v>
      </c>
      <c r="C31" s="377">
        <v>950</v>
      </c>
      <c r="D31" s="160" t="s">
        <v>312</v>
      </c>
      <c r="E31" s="153">
        <f>LEITH_A!$R$41</f>
        <v>180</v>
      </c>
      <c r="F31" s="153">
        <f>LEITH_A!$R$42</f>
        <v>180</v>
      </c>
      <c r="G31" s="153">
        <f>LEITH_A!$R$43</f>
        <v>180</v>
      </c>
      <c r="H31" s="153">
        <f>LEITH_A!$R$44</f>
        <v>178</v>
      </c>
      <c r="I31" s="153">
        <f>LEITH_A!$R$45</f>
        <v>160</v>
      </c>
      <c r="J31" s="153">
        <f>LEITH_A!$R$46</f>
        <v>171</v>
      </c>
      <c r="K31" s="153">
        <f>LEITH_A!$R$47</f>
        <v>180</v>
      </c>
      <c r="L31" s="153">
        <f>LEITH_A!$R$48</f>
        <v>180</v>
      </c>
      <c r="M31" s="153">
        <f>LEITH_A!$R$49</f>
        <v>166</v>
      </c>
      <c r="N31" s="250">
        <f>LEITH_A!$R$50</f>
        <v>174</v>
      </c>
      <c r="O31" s="242">
        <f>LEITH_A!$R$51</f>
        <v>164</v>
      </c>
      <c r="P31" s="242">
        <f>LEITH_A!$R$52</f>
        <v>173</v>
      </c>
      <c r="Q31" s="242">
        <f>LEITH_A!$R$53</f>
        <v>177</v>
      </c>
      <c r="R31" s="154">
        <f>LEITH_A!$R$54</f>
        <v>179</v>
      </c>
    </row>
    <row r="32" spans="1:22" ht="18" customHeight="1" thickBot="1" x14ac:dyDescent="0.3">
      <c r="A32" s="385"/>
      <c r="B32" s="381"/>
      <c r="C32" s="378"/>
      <c r="D32" s="161" t="s">
        <v>313</v>
      </c>
      <c r="E32" s="155">
        <f>LEITH_A!$X$41</f>
        <v>910</v>
      </c>
      <c r="F32" s="155">
        <f>LEITH_A!$X$42</f>
        <v>932</v>
      </c>
      <c r="G32" s="155">
        <f>LEITH_A!$X$43</f>
        <v>958</v>
      </c>
      <c r="H32" s="155">
        <f>LEITH_A!$X$44</f>
        <v>984</v>
      </c>
      <c r="I32" s="155">
        <f>LEITH_A!$X$45</f>
        <v>985</v>
      </c>
      <c r="J32" s="155">
        <f>LEITH_A!$X$46</f>
        <v>987</v>
      </c>
      <c r="K32" s="155">
        <f>LEITH_A!$X$47</f>
        <v>987</v>
      </c>
      <c r="L32" s="155">
        <f>LEITH_A!$X$48</f>
        <v>988</v>
      </c>
      <c r="M32" s="155">
        <f>LEITH_A!$X$49</f>
        <v>976</v>
      </c>
      <c r="N32" s="240">
        <f>LEITH_A!$X$50</f>
        <v>976</v>
      </c>
      <c r="O32" s="243">
        <f>LEITH_A!$X$51</f>
        <v>976</v>
      </c>
      <c r="P32" s="243">
        <f>LEITH_A!$X$52</f>
        <v>975</v>
      </c>
      <c r="Q32" s="243">
        <f>LEITH_A!$X$53</f>
        <v>973</v>
      </c>
      <c r="R32" s="156">
        <f>LEITH_A!$X$54</f>
        <v>976</v>
      </c>
    </row>
    <row r="33" spans="1:18" ht="18" customHeight="1" x14ac:dyDescent="0.25">
      <c r="A33" s="383" t="s">
        <v>105</v>
      </c>
      <c r="B33" s="380">
        <v>160</v>
      </c>
      <c r="C33" s="377">
        <v>850</v>
      </c>
      <c r="D33" s="160" t="s">
        <v>312</v>
      </c>
      <c r="E33" s="153">
        <f>LIBERT!$R$41</f>
        <v>139</v>
      </c>
      <c r="F33" s="153">
        <f>LIBERT!$R$42</f>
        <v>171</v>
      </c>
      <c r="G33" s="153">
        <f>LIBERT!$R$43</f>
        <v>173</v>
      </c>
      <c r="H33" s="153">
        <f>LIBERT!$R$44</f>
        <v>180</v>
      </c>
      <c r="I33" s="153">
        <f>LIBERT!$R$45</f>
        <v>200</v>
      </c>
      <c r="J33" s="153">
        <f>LIBERT!$R$46</f>
        <v>216</v>
      </c>
      <c r="K33" s="153">
        <f>LIBERT!$R$47</f>
        <v>200</v>
      </c>
      <c r="L33" s="153">
        <f>LIBERT!$R$48</f>
        <v>231</v>
      </c>
      <c r="M33" s="153">
        <f>LIBERT!$R$49</f>
        <v>238</v>
      </c>
      <c r="N33" s="250">
        <f>LIBERT!$R$50</f>
        <v>231</v>
      </c>
      <c r="O33" s="242">
        <f>LIBERT!$R$51</f>
        <v>220</v>
      </c>
      <c r="P33" s="242">
        <f>LIBERT!$R$52</f>
        <v>234</v>
      </c>
      <c r="Q33" s="242">
        <f>LIBERT!$R$53</f>
        <v>236</v>
      </c>
      <c r="R33" s="154">
        <f>LIBERT!$R$54</f>
        <v>239</v>
      </c>
    </row>
    <row r="34" spans="1:18" ht="18" customHeight="1" thickBot="1" x14ac:dyDescent="0.3">
      <c r="A34" s="385"/>
      <c r="B34" s="381"/>
      <c r="C34" s="378"/>
      <c r="D34" s="161" t="s">
        <v>313</v>
      </c>
      <c r="E34" s="155">
        <f>LIBERT!$X$41</f>
        <v>639</v>
      </c>
      <c r="F34" s="155">
        <f>LIBERT!$X$42</f>
        <v>716</v>
      </c>
      <c r="G34" s="155">
        <f>LIBERT!$X$43</f>
        <v>776</v>
      </c>
      <c r="H34" s="155">
        <f>LIBERT!$X$44</f>
        <v>841</v>
      </c>
      <c r="I34" s="155">
        <f>LIBERT!$X$45</f>
        <v>908</v>
      </c>
      <c r="J34" s="155">
        <f>LIBERT!$X$46</f>
        <v>977</v>
      </c>
      <c r="K34" s="155">
        <f>LIBERT!$X$47</f>
        <v>1022</v>
      </c>
      <c r="L34" s="155">
        <f>LIBERT!$X$48</f>
        <v>1080</v>
      </c>
      <c r="M34" s="155">
        <f>LIBERT!$X$49</f>
        <v>1137</v>
      </c>
      <c r="N34" s="240">
        <f>LIBERT!$X$50</f>
        <v>1175</v>
      </c>
      <c r="O34" s="243">
        <f>LIBERT!$X$51</f>
        <v>1191</v>
      </c>
      <c r="P34" s="243">
        <f>LIBERT!$X$52</f>
        <v>1209</v>
      </c>
      <c r="Q34" s="243">
        <f>LIBERT!$X$53</f>
        <v>1229</v>
      </c>
      <c r="R34" s="156">
        <f>LIBERT!$X$54</f>
        <v>1235</v>
      </c>
    </row>
    <row r="35" spans="1:18" ht="18" customHeight="1" x14ac:dyDescent="0.25">
      <c r="A35" s="383" t="s">
        <v>106</v>
      </c>
      <c r="B35" s="380">
        <v>260</v>
      </c>
      <c r="C35" s="377">
        <v>1400</v>
      </c>
      <c r="D35" s="160" t="s">
        <v>312</v>
      </c>
      <c r="E35" s="153">
        <f>PORTOB!$R$41</f>
        <v>280</v>
      </c>
      <c r="F35" s="153">
        <f>PORTOB!$R$42</f>
        <v>260</v>
      </c>
      <c r="G35" s="153">
        <f>PORTOB!$R$43</f>
        <v>260</v>
      </c>
      <c r="H35" s="153">
        <f>PORTOB!$R$44</f>
        <v>260</v>
      </c>
      <c r="I35" s="153">
        <f>PORTOB!$R$45</f>
        <v>260</v>
      </c>
      <c r="J35" s="153">
        <f>PORTOB!$R$46</f>
        <v>280</v>
      </c>
      <c r="K35" s="153">
        <f>PORTOB!$R$47</f>
        <v>260</v>
      </c>
      <c r="L35" s="153">
        <f>PORTOB!$R$48</f>
        <v>260</v>
      </c>
      <c r="M35" s="153">
        <f>PORTOB!$R$49</f>
        <v>260</v>
      </c>
      <c r="N35" s="250">
        <f>PORTOB!$R$50</f>
        <v>260</v>
      </c>
      <c r="O35" s="242">
        <f>PORTOB!$R$51</f>
        <v>260</v>
      </c>
      <c r="P35" s="242">
        <f>PORTOB!$R$52</f>
        <v>260</v>
      </c>
      <c r="Q35" s="242">
        <f>PORTOB!$R$53</f>
        <v>260</v>
      </c>
      <c r="R35" s="154">
        <f>PORTOB!$R$54</f>
        <v>260</v>
      </c>
    </row>
    <row r="36" spans="1:18" ht="18" customHeight="1" thickBot="1" x14ac:dyDescent="0.3">
      <c r="A36" s="385"/>
      <c r="B36" s="381"/>
      <c r="C36" s="378"/>
      <c r="D36" s="161" t="s">
        <v>313</v>
      </c>
      <c r="E36" s="155">
        <f>PORTOB!$X$41</f>
        <v>1418</v>
      </c>
      <c r="F36" s="155">
        <f>PORTOB!$X$42</f>
        <v>1440</v>
      </c>
      <c r="G36" s="155">
        <f>PORTOB!$X$43</f>
        <v>1462</v>
      </c>
      <c r="H36" s="155">
        <f>PORTOB!$X$44</f>
        <v>1471</v>
      </c>
      <c r="I36" s="155">
        <f>PORTOB!$X$45</f>
        <v>1471</v>
      </c>
      <c r="J36" s="155">
        <f>PORTOB!$X$46</f>
        <v>1489</v>
      </c>
      <c r="K36" s="155">
        <f>PORTOB!$X$47</f>
        <v>1475</v>
      </c>
      <c r="L36" s="155">
        <f>PORTOB!$X$48</f>
        <v>1475</v>
      </c>
      <c r="M36" s="155">
        <f>PORTOB!$X$49</f>
        <v>1475</v>
      </c>
      <c r="N36" s="240">
        <f>PORTOB!$X$50</f>
        <v>1473</v>
      </c>
      <c r="O36" s="243">
        <f>PORTOB!$X$51</f>
        <v>1469</v>
      </c>
      <c r="P36" s="243">
        <f>PORTOB!$X$52</f>
        <v>1455</v>
      </c>
      <c r="Q36" s="243">
        <f>PORTOB!$X$53</f>
        <v>1455</v>
      </c>
      <c r="R36" s="156">
        <f>PORTOB!$X$54</f>
        <v>1455</v>
      </c>
    </row>
    <row r="37" spans="1:18" ht="18" customHeight="1" x14ac:dyDescent="0.25">
      <c r="A37" s="383" t="s">
        <v>107</v>
      </c>
      <c r="B37" s="380">
        <v>180</v>
      </c>
      <c r="C37" s="377">
        <v>1000</v>
      </c>
      <c r="D37" s="160" t="s">
        <v>312</v>
      </c>
      <c r="E37" s="153">
        <f>QUEENSF!$R$41</f>
        <v>192</v>
      </c>
      <c r="F37" s="153">
        <f>QUEENSF!$R$42</f>
        <v>188</v>
      </c>
      <c r="G37" s="153">
        <f>QUEENSF!$R$43</f>
        <v>216</v>
      </c>
      <c r="H37" s="153">
        <f>QUEENSF!$R$44</f>
        <v>190</v>
      </c>
      <c r="I37" s="153">
        <f>QUEENSF!$R$45</f>
        <v>245</v>
      </c>
      <c r="J37" s="153">
        <f>QUEENSF!$R$46</f>
        <v>265</v>
      </c>
      <c r="K37" s="153">
        <f>QUEENSF!$R$47</f>
        <v>271</v>
      </c>
      <c r="L37" s="153">
        <f>QUEENSF!$R$48</f>
        <v>280</v>
      </c>
      <c r="M37" s="153">
        <f>QUEENSF!$R$49</f>
        <v>308</v>
      </c>
      <c r="N37" s="250">
        <f>QUEENSF!$R$50</f>
        <v>327</v>
      </c>
      <c r="O37" s="242">
        <f>QUEENSF!$R$51</f>
        <v>373</v>
      </c>
      <c r="P37" s="242">
        <f>QUEENSF!$R$52</f>
        <v>350</v>
      </c>
      <c r="Q37" s="242">
        <f>QUEENSF!$R$53</f>
        <v>357</v>
      </c>
      <c r="R37" s="154">
        <f>QUEENSF!$R$54</f>
        <v>365</v>
      </c>
    </row>
    <row r="38" spans="1:18" ht="18" customHeight="1" thickBot="1" x14ac:dyDescent="0.3">
      <c r="A38" s="385"/>
      <c r="B38" s="381"/>
      <c r="C38" s="378"/>
      <c r="D38" s="161" t="s">
        <v>313</v>
      </c>
      <c r="E38" s="155">
        <f>QUEENSF!$X$41</f>
        <v>907</v>
      </c>
      <c r="F38" s="155">
        <f>QUEENSF!$X$42</f>
        <v>957</v>
      </c>
      <c r="G38" s="155">
        <f>QUEENSF!$X$43</f>
        <v>1028</v>
      </c>
      <c r="H38" s="155">
        <f>QUEENSF!$X$44</f>
        <v>1062</v>
      </c>
      <c r="I38" s="155">
        <f>QUEENSF!$X$45</f>
        <v>1137</v>
      </c>
      <c r="J38" s="155">
        <f>QUEENSF!$X$46</f>
        <v>1228</v>
      </c>
      <c r="K38" s="155">
        <f>QUEENSF!$X$47</f>
        <v>1305</v>
      </c>
      <c r="L38" s="155">
        <f>QUEENSF!$X$48</f>
        <v>1392</v>
      </c>
      <c r="M38" s="155">
        <f>QUEENSF!$X$49</f>
        <v>1487</v>
      </c>
      <c r="N38" s="240">
        <f>QUEENSF!$X$50</f>
        <v>1607</v>
      </c>
      <c r="O38" s="243">
        <f>QUEENSF!$X$51</f>
        <v>1729</v>
      </c>
      <c r="P38" s="243">
        <f>QUEENSF!$X$52</f>
        <v>1812</v>
      </c>
      <c r="Q38" s="243">
        <f>QUEENSF!$X$53</f>
        <v>1892</v>
      </c>
      <c r="R38" s="156">
        <f>QUEENSF!$X$54</f>
        <v>1968</v>
      </c>
    </row>
    <row r="39" spans="1:18" ht="18" customHeight="1" x14ac:dyDescent="0.25">
      <c r="A39" s="383" t="s">
        <v>108</v>
      </c>
      <c r="B39" s="380">
        <v>180</v>
      </c>
      <c r="C39" s="377">
        <v>900</v>
      </c>
      <c r="D39" s="160" t="s">
        <v>312</v>
      </c>
      <c r="E39" s="153">
        <f>ST_AUGU!$R$41</f>
        <v>170</v>
      </c>
      <c r="F39" s="153">
        <f>ST_AUGU!$R$42</f>
        <v>188</v>
      </c>
      <c r="G39" s="153">
        <f>ST_AUGU!$R$43</f>
        <v>145</v>
      </c>
      <c r="H39" s="153">
        <f>ST_AUGU!$R$44</f>
        <v>187</v>
      </c>
      <c r="I39" s="153">
        <f>ST_AUGU!$R$45</f>
        <v>187</v>
      </c>
      <c r="J39" s="153">
        <f>ST_AUGU!$R$46</f>
        <v>200</v>
      </c>
      <c r="K39" s="153">
        <f>ST_AUGU!$R$47</f>
        <v>180</v>
      </c>
      <c r="L39" s="153">
        <f>ST_AUGU!$R$48</f>
        <v>190</v>
      </c>
      <c r="M39" s="153">
        <f>ST_AUGU!$R$49</f>
        <v>196</v>
      </c>
      <c r="N39" s="250">
        <f>ST_AUGU!$R$50</f>
        <v>188</v>
      </c>
      <c r="O39" s="242">
        <f>ST_AUGU!$R$51</f>
        <v>198</v>
      </c>
      <c r="P39" s="242">
        <f>ST_AUGU!$R$52</f>
        <v>199</v>
      </c>
      <c r="Q39" s="242">
        <f>ST_AUGU!$R$53</f>
        <v>200</v>
      </c>
      <c r="R39" s="154">
        <f>ST_AUGU!$R$54</f>
        <v>207</v>
      </c>
    </row>
    <row r="40" spans="1:18" ht="18" customHeight="1" thickBot="1" x14ac:dyDescent="0.3">
      <c r="A40" s="385"/>
      <c r="B40" s="381"/>
      <c r="C40" s="378"/>
      <c r="D40" s="161" t="s">
        <v>313</v>
      </c>
      <c r="E40" s="155">
        <f>ST_AUGU!$X$41</f>
        <v>777</v>
      </c>
      <c r="F40" s="155">
        <f>ST_AUGU!$X$42</f>
        <v>844</v>
      </c>
      <c r="G40" s="155">
        <f>ST_AUGU!$X$43</f>
        <v>863</v>
      </c>
      <c r="H40" s="155">
        <f>ST_AUGU!$X$44</f>
        <v>921</v>
      </c>
      <c r="I40" s="155">
        <f>ST_AUGU!$X$45</f>
        <v>955</v>
      </c>
      <c r="J40" s="155">
        <f>ST_AUGU!$X$46</f>
        <v>980</v>
      </c>
      <c r="K40" s="155">
        <f>ST_AUGU!$X$47</f>
        <v>989</v>
      </c>
      <c r="L40" s="155">
        <f>ST_AUGU!$X$48</f>
        <v>1004</v>
      </c>
      <c r="M40" s="155">
        <f>ST_AUGU!$X$49</f>
        <v>1037</v>
      </c>
      <c r="N40" s="240">
        <f>ST_AUGU!$X$50</f>
        <v>1036</v>
      </c>
      <c r="O40" s="243">
        <f>ST_AUGU!$X$51</f>
        <v>1045</v>
      </c>
      <c r="P40" s="243">
        <f>ST_AUGU!$X$52</f>
        <v>1050</v>
      </c>
      <c r="Q40" s="243">
        <f>ST_AUGU!$X$53</f>
        <v>1065</v>
      </c>
      <c r="R40" s="156">
        <f>ST_AUGU!$X$54</f>
        <v>1080</v>
      </c>
    </row>
    <row r="41" spans="1:18" ht="18" customHeight="1" x14ac:dyDescent="0.25">
      <c r="A41" s="383" t="s">
        <v>109</v>
      </c>
      <c r="B41" s="380">
        <v>140</v>
      </c>
      <c r="C41" s="377">
        <v>750</v>
      </c>
      <c r="D41" s="160" t="s">
        <v>312</v>
      </c>
      <c r="E41" s="153">
        <f>ST_THOM!$R$41</f>
        <v>156</v>
      </c>
      <c r="F41" s="153">
        <f>ST_THOM!$R$42</f>
        <v>160</v>
      </c>
      <c r="G41" s="153">
        <f>ST_THOM!$R$43</f>
        <v>140</v>
      </c>
      <c r="H41" s="153">
        <f>ST_THOM!$R$44</f>
        <v>160</v>
      </c>
      <c r="I41" s="153">
        <f>ST_THOM!$R$45</f>
        <v>140</v>
      </c>
      <c r="J41" s="153">
        <f>ST_THOM!$R$46</f>
        <v>175</v>
      </c>
      <c r="K41" s="153">
        <f>ST_THOM!$R$47</f>
        <v>140</v>
      </c>
      <c r="L41" s="153">
        <f>ST_THOM!$R$48</f>
        <v>155</v>
      </c>
      <c r="M41" s="153">
        <f>ST_THOM!$R$49</f>
        <v>140</v>
      </c>
      <c r="N41" s="250">
        <f>ST_THOM!$R$50</f>
        <v>140</v>
      </c>
      <c r="O41" s="242">
        <f>ST_THOM!$R$51</f>
        <v>140</v>
      </c>
      <c r="P41" s="242">
        <f>ST_THOM!$R$52</f>
        <v>140</v>
      </c>
      <c r="Q41" s="242">
        <f>ST_THOM!$R$53</f>
        <v>140</v>
      </c>
      <c r="R41" s="154">
        <f>ST_THOM!$R$54</f>
        <v>155</v>
      </c>
    </row>
    <row r="42" spans="1:18" ht="18" customHeight="1" thickBot="1" x14ac:dyDescent="0.3">
      <c r="A42" s="385"/>
      <c r="B42" s="381"/>
      <c r="C42" s="378"/>
      <c r="D42" s="161" t="s">
        <v>313</v>
      </c>
      <c r="E42" s="155">
        <f>ST_THOM!$X$41</f>
        <v>794</v>
      </c>
      <c r="F42" s="155">
        <f>ST_THOM!$X$42</f>
        <v>823</v>
      </c>
      <c r="G42" s="155">
        <f>ST_THOM!$X$43</f>
        <v>825</v>
      </c>
      <c r="H42" s="155">
        <f>ST_THOM!$X$44</f>
        <v>848</v>
      </c>
      <c r="I42" s="155">
        <f>ST_THOM!$X$45</f>
        <v>848</v>
      </c>
      <c r="J42" s="155">
        <f>ST_THOM!$X$46</f>
        <v>880</v>
      </c>
      <c r="K42" s="155">
        <f>ST_THOM!$X$47</f>
        <v>864</v>
      </c>
      <c r="L42" s="155">
        <f>ST_THOM!$X$48</f>
        <v>862</v>
      </c>
      <c r="M42" s="155">
        <f>ST_THOM!$X$49</f>
        <v>859</v>
      </c>
      <c r="N42" s="240">
        <f>ST_THOM!$X$50</f>
        <v>841</v>
      </c>
      <c r="O42" s="243">
        <f>ST_THOM!$X$51</f>
        <v>836</v>
      </c>
      <c r="P42" s="243">
        <f>ST_THOM!$X$52</f>
        <v>808</v>
      </c>
      <c r="Q42" s="243">
        <f>ST_THOM!$X$53</f>
        <v>806</v>
      </c>
      <c r="R42" s="156">
        <f>ST_THOM!$X$54</f>
        <v>809</v>
      </c>
    </row>
    <row r="43" spans="1:18" ht="18" customHeight="1" x14ac:dyDescent="0.25">
      <c r="A43" s="383" t="s">
        <v>110</v>
      </c>
      <c r="B43" s="380">
        <v>220</v>
      </c>
      <c r="C43" s="377">
        <v>1200</v>
      </c>
      <c r="D43" s="160" t="s">
        <v>312</v>
      </c>
      <c r="E43" s="153">
        <f>THE_ROYAL!$R$41</f>
        <v>240</v>
      </c>
      <c r="F43" s="153">
        <f>THE_ROYAL!$R$42</f>
        <v>260</v>
      </c>
      <c r="G43" s="153">
        <f>THE_ROYAL!$R$43</f>
        <v>220</v>
      </c>
      <c r="H43" s="153">
        <f>THE_ROYAL!$R$44</f>
        <v>260</v>
      </c>
      <c r="I43" s="153">
        <f>THE_ROYAL!$R$45</f>
        <v>260</v>
      </c>
      <c r="J43" s="153">
        <f>THE_ROYAL!$R$46</f>
        <v>280</v>
      </c>
      <c r="K43" s="153">
        <f>THE_ROYAL!$R$47</f>
        <v>260</v>
      </c>
      <c r="L43" s="153">
        <f>THE_ROYAL!$R$48</f>
        <v>260</v>
      </c>
      <c r="M43" s="153">
        <f>THE_ROYAL!$R$49</f>
        <v>260</v>
      </c>
      <c r="N43" s="250">
        <f>THE_ROYAL!$R$50</f>
        <v>240</v>
      </c>
      <c r="O43" s="242">
        <f>THE_ROYAL!$R$51</f>
        <v>240</v>
      </c>
      <c r="P43" s="242">
        <f>THE_ROYAL!$R$52</f>
        <v>260</v>
      </c>
      <c r="Q43" s="242">
        <f>THE_ROYAL!$R$53</f>
        <v>260</v>
      </c>
      <c r="R43" s="154">
        <f>THE_ROYAL!$R$54</f>
        <v>260</v>
      </c>
    </row>
    <row r="44" spans="1:18" ht="18" customHeight="1" thickBot="1" x14ac:dyDescent="0.3">
      <c r="A44" s="385"/>
      <c r="B44" s="381"/>
      <c r="C44" s="378"/>
      <c r="D44" s="161" t="s">
        <v>313</v>
      </c>
      <c r="E44" s="155">
        <f>THE_ROYAL!$X$41</f>
        <v>1288</v>
      </c>
      <c r="F44" s="155">
        <f>THE_ROYAL!$X$42</f>
        <v>1325</v>
      </c>
      <c r="G44" s="155">
        <f>THE_ROYAL!$X$43</f>
        <v>1327</v>
      </c>
      <c r="H44" s="155">
        <f>THE_ROYAL!$X$44</f>
        <v>1368</v>
      </c>
      <c r="I44" s="155">
        <f>THE_ROYAL!$X$45</f>
        <v>1410</v>
      </c>
      <c r="J44" s="155">
        <f>THE_ROYAL!$X$46</f>
        <v>1467</v>
      </c>
      <c r="K44" s="155">
        <f>THE_ROYAL!$X$47</f>
        <v>1485</v>
      </c>
      <c r="L44" s="155">
        <f>THE_ROYAL!$X$48</f>
        <v>1491</v>
      </c>
      <c r="M44" s="155">
        <f>THE_ROYAL!$X$49</f>
        <v>1524</v>
      </c>
      <c r="N44" s="240">
        <f>THE_ROYAL!$X$50</f>
        <v>1503</v>
      </c>
      <c r="O44" s="243">
        <f>THE_ROYAL!$X$51</f>
        <v>1480</v>
      </c>
      <c r="P44" s="243">
        <f>THE_ROYAL!$X$52</f>
        <v>1464</v>
      </c>
      <c r="Q44" s="243">
        <f>THE_ROYAL!$X$53</f>
        <v>1464</v>
      </c>
      <c r="R44" s="156">
        <f>THE_ROYAL!$X$54</f>
        <v>1464</v>
      </c>
    </row>
    <row r="45" spans="1:18" ht="18" customHeight="1" x14ac:dyDescent="0.25">
      <c r="A45" s="383" t="s">
        <v>111</v>
      </c>
      <c r="B45" s="380">
        <v>180</v>
      </c>
      <c r="C45" s="377">
        <v>950</v>
      </c>
      <c r="D45" s="160" t="s">
        <v>312</v>
      </c>
      <c r="E45" s="153">
        <f>TRINITY!$R$41</f>
        <v>170</v>
      </c>
      <c r="F45" s="153">
        <f>TRINITY!$R$42</f>
        <v>177</v>
      </c>
      <c r="G45" s="153">
        <f>TRINITY!$R$43</f>
        <v>180</v>
      </c>
      <c r="H45" s="153">
        <f>TRINITY!$R$44</f>
        <v>180</v>
      </c>
      <c r="I45" s="153">
        <f>TRINITY!$R$45</f>
        <v>180</v>
      </c>
      <c r="J45" s="153">
        <f>TRINITY!$R$46</f>
        <v>180</v>
      </c>
      <c r="K45" s="153">
        <f>TRINITY!$R$47</f>
        <v>180</v>
      </c>
      <c r="L45" s="153">
        <f>TRINITY!$R$48</f>
        <v>180</v>
      </c>
      <c r="M45" s="153">
        <f>TRINITY!$R$49</f>
        <v>180</v>
      </c>
      <c r="N45" s="250">
        <f>TRINITY!$R$50</f>
        <v>175</v>
      </c>
      <c r="O45" s="242">
        <f>TRINITY!$R$51</f>
        <v>180</v>
      </c>
      <c r="P45" s="242">
        <f>TRINITY!$R$52</f>
        <v>180</v>
      </c>
      <c r="Q45" s="242">
        <f>TRINITY!$R$53</f>
        <v>180</v>
      </c>
      <c r="R45" s="154">
        <f>TRINITY!$R$54</f>
        <v>180</v>
      </c>
    </row>
    <row r="46" spans="1:18" ht="18" customHeight="1" thickBot="1" x14ac:dyDescent="0.3">
      <c r="A46" s="385"/>
      <c r="B46" s="381"/>
      <c r="C46" s="378"/>
      <c r="D46" s="161" t="s">
        <v>313</v>
      </c>
      <c r="E46" s="155">
        <f>TRINITY!$X$41</f>
        <v>851</v>
      </c>
      <c r="F46" s="155">
        <f>TRINITY!$X$42</f>
        <v>873</v>
      </c>
      <c r="G46" s="155">
        <f>TRINITY!$X$43</f>
        <v>912</v>
      </c>
      <c r="H46" s="155">
        <f>TRINITY!$X$44</f>
        <v>938</v>
      </c>
      <c r="I46" s="155">
        <f>TRINITY!$X$45</f>
        <v>969</v>
      </c>
      <c r="J46" s="155">
        <f>TRINITY!$X$46</f>
        <v>991</v>
      </c>
      <c r="K46" s="155">
        <f>TRINITY!$X$47</f>
        <v>998</v>
      </c>
      <c r="L46" s="155">
        <f>TRINITY!$X$48</f>
        <v>1001</v>
      </c>
      <c r="M46" s="155">
        <f>TRINITY!$X$49</f>
        <v>1001</v>
      </c>
      <c r="N46" s="240">
        <f>TRINITY!$X$50</f>
        <v>996</v>
      </c>
      <c r="O46" s="243">
        <f>TRINITY!$X$51</f>
        <v>996</v>
      </c>
      <c r="P46" s="243">
        <f>TRINITY!$X$52</f>
        <v>996</v>
      </c>
      <c r="Q46" s="243">
        <f>TRINITY!$X$53</f>
        <v>996</v>
      </c>
      <c r="R46" s="156">
        <f>TRINITY!$X$54</f>
        <v>996</v>
      </c>
    </row>
    <row r="47" spans="1:18" ht="18" customHeight="1" x14ac:dyDescent="0.25">
      <c r="A47" s="383" t="s">
        <v>112</v>
      </c>
      <c r="B47" s="380">
        <v>180</v>
      </c>
      <c r="C47" s="377">
        <v>900</v>
      </c>
      <c r="D47" s="160" t="s">
        <v>312</v>
      </c>
      <c r="E47" s="153">
        <f>TYNECA!$R$41</f>
        <v>111</v>
      </c>
      <c r="F47" s="153">
        <f>TYNECA!$R$42</f>
        <v>127</v>
      </c>
      <c r="G47" s="153">
        <f>TYNECA!$R$43</f>
        <v>126</v>
      </c>
      <c r="H47" s="153">
        <f>TYNECA!$R$44</f>
        <v>136</v>
      </c>
      <c r="I47" s="153">
        <f>TYNECA!$R$45</f>
        <v>139</v>
      </c>
      <c r="J47" s="153">
        <f>TYNECA!$R$46</f>
        <v>146</v>
      </c>
      <c r="K47" s="153">
        <f>TYNECA!$R$47</f>
        <v>140</v>
      </c>
      <c r="L47" s="153">
        <f>TYNECA!$R$48</f>
        <v>134</v>
      </c>
      <c r="M47" s="153">
        <f>TYNECA!$R$49</f>
        <v>136</v>
      </c>
      <c r="N47" s="250">
        <f>TYNECA!$R$50</f>
        <v>134</v>
      </c>
      <c r="O47" s="242">
        <f>TYNECA!$R$51</f>
        <v>122</v>
      </c>
      <c r="P47" s="242">
        <f>TYNECA!$R$52</f>
        <v>135</v>
      </c>
      <c r="Q47" s="242">
        <f>TYNECA!$R$53</f>
        <v>138</v>
      </c>
      <c r="R47" s="154">
        <f>TYNECA!$R$54</f>
        <v>129</v>
      </c>
    </row>
    <row r="48" spans="1:18" ht="18" customHeight="1" thickBot="1" x14ac:dyDescent="0.3">
      <c r="A48" s="385"/>
      <c r="B48" s="381"/>
      <c r="C48" s="378"/>
      <c r="D48" s="161" t="s">
        <v>313</v>
      </c>
      <c r="E48" s="155">
        <f>TYNECA!$X$41</f>
        <v>606</v>
      </c>
      <c r="F48" s="155">
        <f>TYNECA!$X$42</f>
        <v>637</v>
      </c>
      <c r="G48" s="155">
        <f>TYNECA!$X$43</f>
        <v>654</v>
      </c>
      <c r="H48" s="155">
        <f>TYNECA!$X$44</f>
        <v>670</v>
      </c>
      <c r="I48" s="155">
        <f>TYNECA!$X$45</f>
        <v>690</v>
      </c>
      <c r="J48" s="155">
        <f>TYNECA!$X$46</f>
        <v>706</v>
      </c>
      <c r="K48" s="155">
        <f>TYNECA!$X$47</f>
        <v>728</v>
      </c>
      <c r="L48" s="155">
        <f>TYNECA!$X$48</f>
        <v>733</v>
      </c>
      <c r="M48" s="155">
        <f>TYNECA!$X$49</f>
        <v>738</v>
      </c>
      <c r="N48" s="240">
        <f>TYNECA!$X$50</f>
        <v>733</v>
      </c>
      <c r="O48" s="243">
        <f>TYNECA!$X$51</f>
        <v>713</v>
      </c>
      <c r="P48" s="243">
        <f>TYNECA!$X$52</f>
        <v>707</v>
      </c>
      <c r="Q48" s="243">
        <f>TYNECA!$X$53</f>
        <v>707</v>
      </c>
      <c r="R48" s="156">
        <f>TYNECA!$X$54</f>
        <v>702</v>
      </c>
    </row>
    <row r="49" spans="1:18" ht="18" customHeight="1" x14ac:dyDescent="0.25">
      <c r="A49" s="383" t="s">
        <v>113</v>
      </c>
      <c r="B49" s="380">
        <v>140</v>
      </c>
      <c r="C49" s="377">
        <v>750</v>
      </c>
      <c r="D49" s="160" t="s">
        <v>312</v>
      </c>
      <c r="E49" s="153">
        <f>WHEC!$R$41</f>
        <v>77</v>
      </c>
      <c r="F49" s="153">
        <f>WHEC!$R$42</f>
        <v>80</v>
      </c>
      <c r="G49" s="153">
        <f>WHEC!$R$43</f>
        <v>89</v>
      </c>
      <c r="H49" s="153">
        <f>WHEC!$R$44</f>
        <v>78</v>
      </c>
      <c r="I49" s="153">
        <f>WHEC!$R$45</f>
        <v>80</v>
      </c>
      <c r="J49" s="153">
        <f>WHEC!$R$46</f>
        <v>90</v>
      </c>
      <c r="K49" s="153">
        <f>WHEC!$R$47</f>
        <v>75</v>
      </c>
      <c r="L49" s="153">
        <f>WHEC!$R$48</f>
        <v>71</v>
      </c>
      <c r="M49" s="153">
        <f>WHEC!$R$49</f>
        <v>67</v>
      </c>
      <c r="N49" s="250">
        <f>WHEC!$R$50</f>
        <v>66</v>
      </c>
      <c r="O49" s="242">
        <f>WHEC!$R$51</f>
        <v>69</v>
      </c>
      <c r="P49" s="242">
        <f>WHEC!$R$52</f>
        <v>67</v>
      </c>
      <c r="Q49" s="242">
        <f>WHEC!$R$53</f>
        <v>69</v>
      </c>
      <c r="R49" s="154">
        <f>WHEC!$R$54</f>
        <v>70</v>
      </c>
    </row>
    <row r="50" spans="1:18" ht="18" customHeight="1" thickBot="1" x14ac:dyDescent="0.3">
      <c r="A50" s="384"/>
      <c r="B50" s="382"/>
      <c r="C50" s="379"/>
      <c r="D50" s="166" t="s">
        <v>313</v>
      </c>
      <c r="E50" s="167">
        <f>WHEC!$X$41</f>
        <v>347</v>
      </c>
      <c r="F50" s="167">
        <f>WHEC!$X$42</f>
        <v>368</v>
      </c>
      <c r="G50" s="167">
        <f>WHEC!$X$43</f>
        <v>396</v>
      </c>
      <c r="H50" s="167">
        <f>WHEC!$X$44</f>
        <v>412</v>
      </c>
      <c r="I50" s="167">
        <f>WHEC!$X$45</f>
        <v>421</v>
      </c>
      <c r="J50" s="167">
        <f>WHEC!$X$46</f>
        <v>432</v>
      </c>
      <c r="K50" s="167">
        <f>WHEC!$X$47</f>
        <v>425</v>
      </c>
      <c r="L50" s="167">
        <f>WHEC!$X$48</f>
        <v>414</v>
      </c>
      <c r="M50" s="167">
        <f>WHEC!$X$49</f>
        <v>398</v>
      </c>
      <c r="N50" s="241">
        <f>WHEC!$X$50</f>
        <v>382</v>
      </c>
      <c r="O50" s="253">
        <f>WHEC!$X$51</f>
        <v>370</v>
      </c>
      <c r="P50" s="253">
        <f>WHEC!$X$52</f>
        <v>356</v>
      </c>
      <c r="Q50" s="253">
        <f>WHEC!$X$53</f>
        <v>353</v>
      </c>
      <c r="R50" s="254">
        <f>WHEC!$X$54</f>
        <v>355</v>
      </c>
    </row>
    <row r="51" spans="1:18" ht="18" customHeight="1" thickTop="1" x14ac:dyDescent="0.25">
      <c r="A51" s="371" t="s">
        <v>315</v>
      </c>
      <c r="B51" s="373">
        <f>SUM(B5:B50)</f>
        <v>4160</v>
      </c>
      <c r="C51" s="375">
        <f>SUM(C5:C50)</f>
        <v>22200</v>
      </c>
      <c r="D51" s="168" t="s">
        <v>312</v>
      </c>
      <c r="E51" s="169">
        <f t="shared" ref="E51:N51" si="1">E49+E47+E45+E43+E41+E39+E37+E35+E33+E31+E29+E27+E25+E23+E21+E19+E17+E15+E13+E11+E9+E7+E5</f>
        <v>3989</v>
      </c>
      <c r="F51" s="169">
        <f t="shared" si="1"/>
        <v>4164</v>
      </c>
      <c r="G51" s="169">
        <f t="shared" si="1"/>
        <v>4161</v>
      </c>
      <c r="H51" s="169">
        <f t="shared" si="1"/>
        <v>4275</v>
      </c>
      <c r="I51" s="169">
        <f t="shared" si="1"/>
        <v>4324</v>
      </c>
      <c r="J51" s="169">
        <f t="shared" si="1"/>
        <v>4572</v>
      </c>
      <c r="K51" s="169">
        <f t="shared" si="1"/>
        <v>4390</v>
      </c>
      <c r="L51" s="169">
        <f t="shared" si="1"/>
        <v>4457</v>
      </c>
      <c r="M51" s="169">
        <f t="shared" si="1"/>
        <v>4493</v>
      </c>
      <c r="N51" s="169">
        <f t="shared" si="1"/>
        <v>4450</v>
      </c>
      <c r="O51" s="169">
        <f>O49+O47+O45+O43+O41+O39+O37+O36+O33+O31+O29+O27+O25+O23+O21+O19+O17+O15+O13+O11+O9+O7+O5</f>
        <v>5676</v>
      </c>
      <c r="P51" s="169">
        <f>P49+P47+P45+P43+P41+P39+P37+P37+P33+P31+P29+P27+P25+P23+P21+P19+P17+P15+P13+P11+P9+P7+P5</f>
        <v>4637</v>
      </c>
      <c r="Q51" s="169">
        <f>Q49+Q47+Q45+Q43+Q41+Q39+Q37+Q38+Q33+Q31+Q29+Q27+Q25+Q23+Q21+Q19+Q17+Q15+Q13+Q11+Q9+Q7+Q5</f>
        <v>6215</v>
      </c>
      <c r="R51" s="169">
        <f>R49+R47+R45+R43+R41+R39+R37+R39+R33+R31+R29+R27+R25+R23+R21+R19+R17+R15+R13+R11+R9+R7+R5</f>
        <v>4595</v>
      </c>
    </row>
    <row r="52" spans="1:18" ht="18" customHeight="1" thickBot="1" x14ac:dyDescent="0.3">
      <c r="A52" s="372"/>
      <c r="B52" s="374"/>
      <c r="C52" s="376"/>
      <c r="D52" s="170" t="s">
        <v>313</v>
      </c>
      <c r="E52" s="171">
        <f t="shared" ref="E52:N52" si="2">E50+E48+E46+E44+E42+E40+E38+E36+E34+E32+E30+E28+E26+E24+E22+E20+E18+E16+E14+E12+E10+E8+E6</f>
        <v>19812</v>
      </c>
      <c r="F52" s="171">
        <f t="shared" si="2"/>
        <v>20727</v>
      </c>
      <c r="G52" s="171">
        <f t="shared" si="2"/>
        <v>21523</v>
      </c>
      <c r="H52" s="171">
        <f t="shared" si="2"/>
        <v>22370</v>
      </c>
      <c r="I52" s="171">
        <f t="shared" si="2"/>
        <v>23064</v>
      </c>
      <c r="J52" s="171">
        <f t="shared" si="2"/>
        <v>23800</v>
      </c>
      <c r="K52" s="171">
        <f t="shared" si="2"/>
        <v>24134</v>
      </c>
      <c r="L52" s="171">
        <f t="shared" si="2"/>
        <v>24421</v>
      </c>
      <c r="M52" s="171">
        <f t="shared" si="2"/>
        <v>24716</v>
      </c>
      <c r="N52" s="171">
        <f t="shared" si="2"/>
        <v>24825</v>
      </c>
      <c r="O52" s="171">
        <f t="shared" ref="O52:R52" si="3">O50+O48+O46+O44+O42+O40+O38+O36+O34+O32+O30+O28+O26+O24+O22+O20+O18+O16+O14+O12+O10+O8+O6</f>
        <v>24925</v>
      </c>
      <c r="P52" s="171">
        <f t="shared" si="3"/>
        <v>24971</v>
      </c>
      <c r="Q52" s="171">
        <f t="shared" si="3"/>
        <v>25138</v>
      </c>
      <c r="R52" s="171">
        <f t="shared" si="3"/>
        <v>25299</v>
      </c>
    </row>
    <row r="53" spans="1:18" x14ac:dyDescent="0.25">
      <c r="E53" s="186">
        <f>E51-E27-E39-E41</f>
        <v>3416</v>
      </c>
      <c r="F53" s="186">
        <f t="shared" ref="F53:R53" si="4">F51-F27-F39-F41</f>
        <v>3562</v>
      </c>
      <c r="G53" s="186">
        <f t="shared" si="4"/>
        <v>3636</v>
      </c>
      <c r="H53" s="186">
        <f t="shared" si="4"/>
        <v>3688</v>
      </c>
      <c r="I53" s="186">
        <f t="shared" si="4"/>
        <v>3742</v>
      </c>
      <c r="J53" s="186">
        <f t="shared" si="4"/>
        <v>3941</v>
      </c>
      <c r="K53" s="186">
        <f t="shared" si="4"/>
        <v>3803</v>
      </c>
      <c r="L53" s="186">
        <f t="shared" si="4"/>
        <v>3860</v>
      </c>
      <c r="M53" s="186">
        <f t="shared" si="4"/>
        <v>3917</v>
      </c>
      <c r="N53" s="186">
        <f t="shared" si="4"/>
        <v>3862</v>
      </c>
      <c r="O53" s="186">
        <f t="shared" si="4"/>
        <v>5083</v>
      </c>
      <c r="P53" s="186">
        <f t="shared" si="4"/>
        <v>4038</v>
      </c>
      <c r="Q53" s="186">
        <f t="shared" si="4"/>
        <v>5615</v>
      </c>
      <c r="R53" s="186">
        <f t="shared" si="4"/>
        <v>3964</v>
      </c>
    </row>
    <row r="54" spans="1:18" x14ac:dyDescent="0.25">
      <c r="E54" s="186">
        <f>E52-E28-E40-E42</f>
        <v>17143</v>
      </c>
      <c r="F54" s="186">
        <f t="shared" ref="F54:R54" si="5">F52-F28-F40-F42</f>
        <v>17899</v>
      </c>
      <c r="G54" s="186">
        <f t="shared" si="5"/>
        <v>18614</v>
      </c>
      <c r="H54" s="186">
        <f t="shared" si="5"/>
        <v>19343</v>
      </c>
      <c r="I54" s="186">
        <f t="shared" si="5"/>
        <v>19961</v>
      </c>
      <c r="J54" s="186">
        <f t="shared" si="5"/>
        <v>20603</v>
      </c>
      <c r="K54" s="186">
        <f t="shared" si="5"/>
        <v>20924</v>
      </c>
      <c r="L54" s="186">
        <f t="shared" si="5"/>
        <v>21194</v>
      </c>
      <c r="M54" s="186">
        <f t="shared" si="5"/>
        <v>21462</v>
      </c>
      <c r="N54" s="186">
        <f t="shared" si="5"/>
        <v>21577</v>
      </c>
      <c r="O54" s="186">
        <f t="shared" si="5"/>
        <v>21676</v>
      </c>
      <c r="P54" s="186">
        <f t="shared" si="5"/>
        <v>21742</v>
      </c>
      <c r="Q54" s="186">
        <f t="shared" si="5"/>
        <v>21894</v>
      </c>
      <c r="R54" s="186">
        <f t="shared" si="5"/>
        <v>22020</v>
      </c>
    </row>
    <row r="55" spans="1:18" x14ac:dyDescent="0.25">
      <c r="A55" s="72" t="s">
        <v>344</v>
      </c>
      <c r="D55"/>
      <c r="E55"/>
      <c r="F55"/>
      <c r="G55"/>
      <c r="H55"/>
    </row>
    <row r="56" spans="1:18" x14ac:dyDescent="0.25">
      <c r="D56"/>
      <c r="E56"/>
      <c r="F56"/>
      <c r="G56"/>
      <c r="H56"/>
    </row>
    <row r="57" spans="1:18" x14ac:dyDescent="0.25">
      <c r="A57" s="36"/>
      <c r="B57" s="90" t="s">
        <v>121</v>
      </c>
      <c r="C57" s="90" t="s">
        <v>122</v>
      </c>
      <c r="D57" s="90" t="s">
        <v>123</v>
      </c>
      <c r="E57" s="90" t="s">
        <v>124</v>
      </c>
      <c r="F57" s="90" t="s">
        <v>125</v>
      </c>
      <c r="G57" s="90" t="s">
        <v>126</v>
      </c>
      <c r="H57" s="183" t="s">
        <v>138</v>
      </c>
      <c r="J57" s="189"/>
      <c r="K57" s="190"/>
      <c r="L57" s="190"/>
      <c r="M57" s="189"/>
      <c r="N57" s="190"/>
      <c r="O57" s="21"/>
      <c r="P57" s="191"/>
      <c r="Q57" s="21"/>
    </row>
    <row r="58" spans="1:18" x14ac:dyDescent="0.25">
      <c r="A58" s="90">
        <f>E4</f>
        <v>2019</v>
      </c>
      <c r="B58" s="184">
        <f>BALERNO!R41+BOROUGH!R41+BROUGHT!R41+CASTLEB!R41+CMOUNT!R41+CROYSTON!R41+CURRIE!R41+DRUMM!R41+FIRRH!R41+FORRES!R41+GRACEM!R41+HOLY_R!R41+JAMESG!T41+LEITH_A!R41+LIBERT!R41+PORTOB!R41+QUEENSF!R41+ST_AUGU!R41+ST_THOM!R41+THE_ROYAL!R41+TRINITY!R41+TYNECA!R41+WHEC!R41</f>
        <v>3989</v>
      </c>
      <c r="C58" s="184">
        <f>BALERNO!S41+BOROUGH!S41+BROUGHT!S41+CASTLEB!S41+CMOUNT!S41+CROYSTON!S41+CURRIE!S41+DRUMM!S41+FIRRH!S41+FORRES!S41+GRACEM!S41+HOLY_R!S41+JAMESG!U41+LEITH_A!S41+LIBERT!S41+PORTOB!S41+QUEENSF!S41+ST_AUGU!S41+ST_THOM!S41+THE_ROYAL!S41+TRINITY!S41+TYNECA!S41+WHEC!S41</f>
        <v>3739</v>
      </c>
      <c r="D58" s="184">
        <f>BALERNO!T41+BOROUGH!T41+BROUGHT!T41+CASTLEB!T41+CMOUNT!T41+CROYSTON!T41+CURRIE!T41+DRUMM!T41+FIRRH!T41+FORRES!T41+GRACEM!T41+HOLY_R!T41+JAMESG!V41+LEITH_A!T41+LIBERT!T41+PORTOB!T41+QUEENSF!T41+ST_AUGU!T41+ST_THOM!T41+THE_ROYAL!T41+TRINITY!T41+TYNECA!T41+WHEC!T41</f>
        <v>3524</v>
      </c>
      <c r="E58" s="184">
        <f>BALERNO!U41+BOROUGH!U41+BROUGHT!U41+CASTLEB!U41+CMOUNT!U41+CROYSTON!U41+CURRIE!U41+DRUMM!U41+FIRRH!U41+FORRES!U41+GRACEM!U41+HOLY_R!U41+JAMESG!W41+LEITH_A!U41+LIBERT!U41+PORTOB!U41+QUEENSF!U41+ST_AUGU!U41+ST_THOM!U41+THE_ROYAL!U41+TRINITY!U41+TYNECA!U41+WHEC!U41</f>
        <v>3329</v>
      </c>
      <c r="F58" s="184">
        <f>BALERNO!V41+BOROUGH!V41+BROUGHT!V41+CASTLEB!V41+CMOUNT!V41+CROYSTON!V41+CURRIE!V41+DRUMM!V41+FIRRH!V41+FORRES!V41+GRACEM!V41+HOLY_R!V41+JAMESG!X41+LEITH_A!V41+LIBERT!V41+PORTOB!V41+QUEENSF!V41+ST_AUGU!V41+ST_THOM!V41+THE_ROYAL!V41+TRINITY!V41+TYNECA!V41+WHEC!V41</f>
        <v>2995</v>
      </c>
      <c r="G58" s="184">
        <f>BALERNO!W41+BOROUGH!W41+BROUGHT!W41+CASTLEB!W41+CMOUNT!W41+CROYSTON!W41+CURRIE!W41+DRUMM!W41+FIRRH!W41+FORRES!W41+GRACEM!W41+HOLY_R!W41+JAMESG!Y41+LEITH_A!W41+LIBERT!W41+PORTOB!W41+QUEENSF!W41+ST_AUGU!W41+ST_THOM!W41+THE_ROYAL!W41+TRINITY!W41+TYNECA!W41+WHEC!W41</f>
        <v>2236</v>
      </c>
      <c r="H58" s="185">
        <f t="shared" ref="H58:H67" si="6">SUM(B58:G58)</f>
        <v>19812</v>
      </c>
      <c r="J58" s="186"/>
      <c r="K58" s="186"/>
      <c r="M58" s="186"/>
      <c r="N58" s="186"/>
      <c r="P58" s="187"/>
      <c r="Q58" s="187"/>
    </row>
    <row r="59" spans="1:18" x14ac:dyDescent="0.25">
      <c r="A59" s="90">
        <f>A58+1</f>
        <v>2020</v>
      </c>
      <c r="B59" s="184">
        <f>BALERNO!R42+BOROUGH!R42+BROUGHT!R42+CASTLEB!R42+CMOUNT!R42+CROYSTON!R42+CURRIE!R42+DRUMM!R42+FIRRH!R42+FORRES!R42+GRACEM!R42+HOLY_R!R42+JAMESG!T42+LEITH_A!R42+LIBERT!R42+PORTOB!R42+QUEENSF!R42+ST_AUGU!R42+ST_THOM!R42+THE_ROYAL!R42+TRINITY!R42+TYNECA!R42+WHEC!R42</f>
        <v>4164</v>
      </c>
      <c r="C59" s="184">
        <f>BALERNO!S42+BOROUGH!S42+BROUGHT!S42+CASTLEB!S42+CMOUNT!S42+CROYSTON!S42+CURRIE!S42+DRUMM!S42+FIRRH!S42+FORRES!S42+GRACEM!S42+HOLY_R!S42+JAMESG!U42+LEITH_A!S42+LIBERT!S42+PORTOB!S42+QUEENSF!S42+ST_AUGU!S42+ST_THOM!S42+THE_ROYAL!S42+TRINITY!S42+TYNECA!S42+WHEC!S42</f>
        <v>3989</v>
      </c>
      <c r="D59" s="184">
        <f>BALERNO!T42+BOROUGH!T42+BROUGHT!T42+CASTLEB!T42+CMOUNT!T42+CROYSTON!T42+CURRIE!T42+DRUMM!T42+FIRRH!T42+FORRES!T42+GRACEM!T42+HOLY_R!T42+JAMESG!V42+LEITH_A!T42+LIBERT!T42+PORTOB!T42+QUEENSF!T42+ST_AUGU!T42+ST_THOM!T42+THE_ROYAL!T42+TRINITY!T42+TYNECA!T42+WHEC!T42</f>
        <v>3739</v>
      </c>
      <c r="E59" s="184">
        <f>BALERNO!U42+BOROUGH!U42+BROUGHT!U42+CASTLEB!U42+CMOUNT!U42+CROYSTON!U42+CURRIE!U42+DRUMM!U42+FIRRH!U42+FORRES!U42+GRACEM!U42+HOLY_R!U42+JAMESG!W42+LEITH_A!U42+LIBERT!U42+PORTOB!U42+QUEENSF!U42+ST_AUGU!U42+ST_THOM!U42+THE_ROYAL!U42+TRINITY!U42+TYNECA!U42+WHEC!U42</f>
        <v>3524</v>
      </c>
      <c r="F59" s="184">
        <f>BALERNO!V42+BOROUGH!V42+BROUGHT!V42+CASTLEB!V42+CMOUNT!V42+CROYSTON!V42+CURRIE!V42+DRUMM!V42+FIRRH!V42+FORRES!V42+GRACEM!V42+HOLY_R!V42+JAMESG!X42+LEITH_A!V42+LIBERT!V42+PORTOB!V42+QUEENSF!V42+ST_AUGU!V42+ST_THOM!V42+THE_ROYAL!V42+TRINITY!V42+TYNECA!V42+WHEC!V42</f>
        <v>2975</v>
      </c>
      <c r="G59" s="184">
        <f>BALERNO!W42+BOROUGH!W42+BROUGHT!W42+CASTLEB!W42+CMOUNT!W42+CROYSTON!W42+CURRIE!W42+DRUMM!W42+FIRRH!W42+FORRES!W42+GRACEM!W42+HOLY_R!W42+JAMESG!Y42+LEITH_A!W42+LIBERT!W42+PORTOB!W42+QUEENSF!W42+ST_AUGU!W42+ST_THOM!W42+THE_ROYAL!W42+TRINITY!W42+TYNECA!W42+WHEC!W42</f>
        <v>2336</v>
      </c>
      <c r="H59" s="185">
        <f t="shared" si="6"/>
        <v>20727</v>
      </c>
      <c r="J59" s="186"/>
      <c r="K59" s="186"/>
      <c r="M59" s="186"/>
      <c r="N59" s="186"/>
      <c r="P59" s="187"/>
      <c r="Q59" s="187"/>
    </row>
    <row r="60" spans="1:18" x14ac:dyDescent="0.25">
      <c r="A60" s="90">
        <f t="shared" ref="A60:A67" si="7">A59+1</f>
        <v>2021</v>
      </c>
      <c r="B60" s="184">
        <f>BALERNO!R43+BOROUGH!R43+BROUGHT!R43+CASTLEB!R43+CMOUNT!R43+CROYSTON!R43+CURRIE!R43+DRUMM!R43+FIRRH!R43+FORRES!R43+GRACEM!R43+HOLY_R!R43+JAMESG!T43+LEITH_A!R43+LIBERT!R43+PORTOB!R43+QUEENSF!R43+ST_AUGU!R43+ST_THOM!R43+THE_ROYAL!R43+TRINITY!R43+TYNECA!R43+WHEC!R43</f>
        <v>4161</v>
      </c>
      <c r="C60" s="184">
        <f>BALERNO!S43+BOROUGH!S43+BROUGHT!S43+CASTLEB!S43+CMOUNT!S43+CROYSTON!S43+CURRIE!S43+DRUMM!S43+FIRRH!S43+FORRES!S43+GRACEM!S43+HOLY_R!S43+JAMESG!U43+LEITH_A!S43+LIBERT!S43+PORTOB!S43+QUEENSF!S43+ST_AUGU!S43+ST_THOM!S43+THE_ROYAL!S43+TRINITY!S43+TYNECA!S43+WHEC!S43</f>
        <v>4164</v>
      </c>
      <c r="D60" s="184">
        <f>BALERNO!T43+BOROUGH!T43+BROUGHT!T43+CASTLEB!T43+CMOUNT!T43+CROYSTON!T43+CURRIE!T43+DRUMM!T43+FIRRH!T43+FORRES!T43+GRACEM!T43+HOLY_R!T43+JAMESG!V43+LEITH_A!T43+LIBERT!T43+PORTOB!T43+QUEENSF!T43+ST_AUGU!T43+ST_THOM!T43+THE_ROYAL!T43+TRINITY!T43+TYNECA!T43+WHEC!T43</f>
        <v>3989</v>
      </c>
      <c r="E60" s="184">
        <f>BALERNO!U43+BOROUGH!U43+BROUGHT!U43+CASTLEB!U43+CMOUNT!U43+CROYSTON!U43+CURRIE!U43+DRUMM!U43+FIRRH!U43+FORRES!U43+GRACEM!U43+HOLY_R!U43+JAMESG!W43+LEITH_A!U43+LIBERT!U43+PORTOB!U43+QUEENSF!U43+ST_AUGU!U43+ST_THOM!U43+THE_ROYAL!U43+TRINITY!U43+TYNECA!U43+WHEC!U43</f>
        <v>3739</v>
      </c>
      <c r="F60" s="184">
        <f>BALERNO!V43+BOROUGH!V43+BROUGHT!V43+CASTLEB!V43+CMOUNT!V43+CROYSTON!V43+CURRIE!V43+DRUMM!V43+FIRRH!V43+FORRES!V43+GRACEM!V43+HOLY_R!V43+JAMESG!X43+LEITH_A!V43+LIBERT!V43+PORTOB!V43+QUEENSF!V43+ST_AUGU!V43+ST_THOM!V43+THE_ROYAL!V43+TRINITY!V43+TYNECA!V43+WHEC!V43</f>
        <v>3137</v>
      </c>
      <c r="G60" s="184">
        <f>BALERNO!W43+BOROUGH!W43+BROUGHT!W43+CASTLEB!W43+CMOUNT!W43+CROYSTON!W43+CURRIE!W43+DRUMM!W43+FIRRH!W43+FORRES!W43+GRACEM!W43+HOLY_R!W43+JAMESG!Y43+LEITH_A!W43+LIBERT!W43+PORTOB!W43+QUEENSF!W43+ST_AUGU!W43+ST_THOM!W43+THE_ROYAL!W43+TRINITY!W43+TYNECA!W43+WHEC!W43</f>
        <v>2333</v>
      </c>
      <c r="H60" s="185">
        <f t="shared" si="6"/>
        <v>21523</v>
      </c>
      <c r="J60" s="186"/>
      <c r="K60" s="186"/>
      <c r="M60" s="186"/>
      <c r="N60" s="186"/>
      <c r="P60" s="187"/>
      <c r="Q60" s="187"/>
    </row>
    <row r="61" spans="1:18" x14ac:dyDescent="0.25">
      <c r="A61" s="90">
        <f t="shared" si="7"/>
        <v>2022</v>
      </c>
      <c r="B61" s="184">
        <f>BALERNO!R44+BOROUGH!R44+BROUGHT!R44+CASTLEB!R44+CMOUNT!R44+CROYSTON!R44+CURRIE!R44+DRUMM!R44+FIRRH!R44+FORRES!R44+GRACEM!R44+HOLY_R!R44+JAMESG!T44+LEITH_A!R44+LIBERT!R44+PORTOB!R44+QUEENSF!R44+ST_AUGU!R44+ST_THOM!R44+THE_ROYAL!R44+TRINITY!R44+TYNECA!R44+WHEC!R44</f>
        <v>4275</v>
      </c>
      <c r="C61" s="184">
        <f>BALERNO!S44+BOROUGH!S44+BROUGHT!S44+CASTLEB!S44+CMOUNT!S44+CROYSTON!S44+CURRIE!S44+DRUMM!S44+FIRRH!S44+FORRES!S44+GRACEM!S44+HOLY_R!S44+JAMESG!U44+LEITH_A!S44+LIBERT!S44+PORTOB!S44+QUEENSF!S44+ST_AUGU!S44+ST_THOM!S44+THE_ROYAL!S44+TRINITY!S44+TYNECA!S44+WHEC!S44</f>
        <v>4161</v>
      </c>
      <c r="D61" s="184">
        <f>BALERNO!T44+BOROUGH!T44+BROUGHT!T44+CASTLEB!T44+CMOUNT!T44+CROYSTON!T44+CURRIE!T44+DRUMM!T44+FIRRH!T44+FORRES!T44+GRACEM!T44+HOLY_R!T44+JAMESG!V44+LEITH_A!T44+LIBERT!T44+PORTOB!T44+QUEENSF!T44+ST_AUGU!T44+ST_THOM!T44+THE_ROYAL!T44+TRINITY!T44+TYNECA!T44+WHEC!T44</f>
        <v>4164</v>
      </c>
      <c r="E61" s="184">
        <f>BALERNO!U44+BOROUGH!U44+BROUGHT!U44+CASTLEB!U44+CMOUNT!U44+CROYSTON!U44+CURRIE!U44+DRUMM!U44+FIRRH!U44+FORRES!U44+GRACEM!U44+HOLY_R!U44+JAMESG!W44+LEITH_A!U44+LIBERT!U44+PORTOB!U44+QUEENSF!U44+ST_AUGU!U44+ST_THOM!U44+THE_ROYAL!U44+TRINITY!U44+TYNECA!U44+WHEC!U44</f>
        <v>3989</v>
      </c>
      <c r="F61" s="184">
        <f>BALERNO!V44+BOROUGH!V44+BROUGHT!V44+CASTLEB!V44+CMOUNT!V44+CROYSTON!V44+CURRIE!V44+DRUMM!V44+FIRRH!V44+FORRES!V44+GRACEM!V44+HOLY_R!V44+JAMESG!X44+LEITH_A!V44+LIBERT!V44+PORTOB!V44+QUEENSF!V44+ST_AUGU!V44+ST_THOM!V44+THE_ROYAL!V44+TRINITY!V44+TYNECA!V44+WHEC!V44</f>
        <v>3325</v>
      </c>
      <c r="G61" s="184">
        <f>BALERNO!W44+BOROUGH!W44+BROUGHT!W44+CASTLEB!W44+CMOUNT!W44+CROYSTON!W44+CURRIE!W44+DRUMM!W44+FIRRH!W44+FORRES!W44+GRACEM!W44+HOLY_R!W44+JAMESG!Y44+LEITH_A!W44+LIBERT!W44+PORTOB!W44+QUEENSF!W44+ST_AUGU!W44+ST_THOM!W44+THE_ROYAL!W44+TRINITY!W44+TYNECA!W44+WHEC!W44</f>
        <v>2456</v>
      </c>
      <c r="H61" s="185">
        <f t="shared" si="6"/>
        <v>22370</v>
      </c>
      <c r="J61" s="186"/>
      <c r="K61" s="186"/>
      <c r="M61" s="186"/>
      <c r="N61" s="186"/>
      <c r="P61" s="187"/>
      <c r="Q61" s="187"/>
    </row>
    <row r="62" spans="1:18" x14ac:dyDescent="0.25">
      <c r="A62" s="90">
        <f t="shared" si="7"/>
        <v>2023</v>
      </c>
      <c r="B62" s="184">
        <f>BALERNO!R45+BOROUGH!R45+BROUGHT!R45+CASTLEB!R45+CMOUNT!R45+CROYSTON!R45+CURRIE!R45+DRUMM!R45+FIRRH!R45+FORRES!R45+GRACEM!R45+HOLY_R!R45+JAMESG!T45+LEITH_A!R45+LIBERT!R45+PORTOB!R45+QUEENSF!R45+ST_AUGU!R45+ST_THOM!R45+THE_ROYAL!R45+TRINITY!R45+TYNECA!R45+WHEC!R45</f>
        <v>4324</v>
      </c>
      <c r="C62" s="184">
        <f>BALERNO!S45+BOROUGH!S45+BROUGHT!S45+CASTLEB!S45+CMOUNT!S45+CROYSTON!S45+CURRIE!S45+DRUMM!S45+FIRRH!S45+FORRES!S45+GRACEM!S45+HOLY_R!S45+JAMESG!U45+LEITH_A!S45+LIBERT!S45+PORTOB!S45+QUEENSF!S45+ST_AUGU!S45+ST_THOM!S45+THE_ROYAL!S45+TRINITY!S45+TYNECA!S45+WHEC!S45</f>
        <v>4275</v>
      </c>
      <c r="D62" s="184">
        <f>BALERNO!T45+BOROUGH!T45+BROUGHT!T45+CASTLEB!T45+CMOUNT!T45+CROYSTON!T45+CURRIE!T45+DRUMM!T45+FIRRH!T45+FORRES!T45+GRACEM!T45+HOLY_R!T45+JAMESG!V45+LEITH_A!T45+LIBERT!T45+PORTOB!T45+QUEENSF!T45+ST_AUGU!T45+ST_THOM!T45+THE_ROYAL!T45+TRINITY!T45+TYNECA!T45+WHEC!T45</f>
        <v>4161</v>
      </c>
      <c r="E62" s="184">
        <f>BALERNO!U45+BOROUGH!U45+BROUGHT!U45+CASTLEB!U45+CMOUNT!U45+CROYSTON!U45+CURRIE!U45+DRUMM!U45+FIRRH!U45+FORRES!U45+GRACEM!U45+HOLY_R!U45+JAMESG!W45+LEITH_A!U45+LIBERT!U45+PORTOB!U45+QUEENSF!U45+ST_AUGU!U45+ST_THOM!U45+THE_ROYAL!U45+TRINITY!U45+TYNECA!U45+WHEC!U45</f>
        <v>4164</v>
      </c>
      <c r="F62" s="184">
        <f>BALERNO!V45+BOROUGH!V45+BROUGHT!V45+CASTLEB!V45+CMOUNT!V45+CROYSTON!V45+CURRIE!V45+DRUMM!V45+FIRRH!V45+FORRES!V45+GRACEM!V45+HOLY_R!V45+JAMESG!X45+LEITH_A!V45+LIBERT!V45+PORTOB!V45+QUEENSF!V45+ST_AUGU!V45+ST_THOM!V45+THE_ROYAL!V45+TRINITY!V45+TYNECA!V45+WHEC!V45</f>
        <v>3547</v>
      </c>
      <c r="G62" s="184">
        <f>BALERNO!W45+BOROUGH!W45+BROUGHT!W45+CASTLEB!W45+CMOUNT!W45+CROYSTON!W45+CURRIE!W45+DRUMM!W45+FIRRH!W45+FORRES!W45+GRACEM!W45+HOLY_R!W45+JAMESG!Y45+LEITH_A!W45+LIBERT!W45+PORTOB!W45+QUEENSF!W45+ST_AUGU!W45+ST_THOM!W45+THE_ROYAL!W45+TRINITY!W45+TYNECA!W45+WHEC!W45</f>
        <v>2593</v>
      </c>
      <c r="H62" s="185">
        <f t="shared" si="6"/>
        <v>23064</v>
      </c>
      <c r="J62" s="186"/>
      <c r="K62" s="186"/>
      <c r="M62" s="186"/>
      <c r="N62" s="186"/>
      <c r="P62" s="187"/>
      <c r="Q62" s="187"/>
    </row>
    <row r="63" spans="1:18" x14ac:dyDescent="0.25">
      <c r="A63" s="90">
        <f t="shared" si="7"/>
        <v>2024</v>
      </c>
      <c r="B63" s="184">
        <f>BALERNO!R46+BOROUGH!R46+BROUGHT!R46+CASTLEB!R46+CMOUNT!R46+CROYSTON!R46+CURRIE!R46+DRUMM!R46+FIRRH!R46+FORRES!R46+GRACEM!R46+HOLY_R!R46+JAMESG!T46+LEITH_A!R46+LIBERT!R46+PORTOB!R46+QUEENSF!R46+ST_AUGU!R46+ST_THOM!R46+THE_ROYAL!R46+TRINITY!R46+TYNECA!R46+WHEC!R46</f>
        <v>4572</v>
      </c>
      <c r="C63" s="184">
        <f>BALERNO!S46+BOROUGH!S46+BROUGHT!S46+CASTLEB!S46+CMOUNT!S46+CROYSTON!S46+CURRIE!S46+DRUMM!S46+FIRRH!S46+FORRES!S46+GRACEM!S46+HOLY_R!S46+JAMESG!U46+LEITH_A!S46+LIBERT!S46+PORTOB!S46+QUEENSF!S46+ST_AUGU!S46+ST_THOM!S46+THE_ROYAL!S46+TRINITY!S46+TYNECA!S46+WHEC!S46</f>
        <v>4324</v>
      </c>
      <c r="D63" s="184">
        <f>BALERNO!T46+BOROUGH!T46+BROUGHT!T46+CASTLEB!T46+CMOUNT!T46+CROYSTON!T46+CURRIE!T46+DRUMM!T46+FIRRH!T46+FORRES!T46+GRACEM!T46+HOLY_R!T46+JAMESG!V46+LEITH_A!T46+LIBERT!T46+PORTOB!T46+QUEENSF!T46+ST_AUGU!T46+ST_THOM!T46+THE_ROYAL!T46+TRINITY!T46+TYNECA!T46+WHEC!T46</f>
        <v>4275</v>
      </c>
      <c r="E63" s="184">
        <f>BALERNO!U46+BOROUGH!U46+BROUGHT!U46+CASTLEB!U46+CMOUNT!U46+CROYSTON!U46+CURRIE!U46+DRUMM!U46+FIRRH!U46+FORRES!U46+GRACEM!U46+HOLY_R!U46+JAMESG!W46+LEITH_A!U46+LIBERT!U46+PORTOB!U46+QUEENSF!U46+ST_AUGU!U46+ST_THOM!U46+THE_ROYAL!U46+TRINITY!U46+TYNECA!U46+WHEC!U46</f>
        <v>4161</v>
      </c>
      <c r="F63" s="184">
        <f>BALERNO!V46+BOROUGH!V46+BROUGHT!V46+CASTLEB!V46+CMOUNT!V46+CROYSTON!V46+CURRIE!V46+DRUMM!V46+FIRRH!V46+FORRES!V46+GRACEM!V46+HOLY_R!V46+JAMESG!X46+LEITH_A!V46+LIBERT!V46+PORTOB!V46+QUEENSF!V46+ST_AUGU!V46+ST_THOM!V46+THE_ROYAL!V46+TRINITY!V46+TYNECA!V46+WHEC!V46</f>
        <v>3699</v>
      </c>
      <c r="G63" s="184">
        <f>BALERNO!W46+BOROUGH!W46+BROUGHT!W46+CASTLEB!W46+CMOUNT!W46+CROYSTON!W46+CURRIE!W46+DRUMM!W46+FIRRH!W46+FORRES!W46+GRACEM!W46+HOLY_R!W46+JAMESG!Y46+LEITH_A!W46+LIBERT!W46+PORTOB!W46+QUEENSF!W46+ST_AUGU!W46+ST_THOM!W46+THE_ROYAL!W46+TRINITY!W46+TYNECA!W46+WHEC!W46</f>
        <v>2769</v>
      </c>
      <c r="H63" s="185">
        <f t="shared" si="6"/>
        <v>23800</v>
      </c>
      <c r="J63" s="186"/>
      <c r="K63" s="186"/>
      <c r="M63" s="186"/>
      <c r="N63" s="186"/>
      <c r="P63" s="187"/>
      <c r="Q63" s="187"/>
    </row>
    <row r="64" spans="1:18" x14ac:dyDescent="0.25">
      <c r="A64" s="90">
        <f t="shared" si="7"/>
        <v>2025</v>
      </c>
      <c r="B64" s="184">
        <f>BALERNO!R47+BOROUGH!R47+BROUGHT!R47+CASTLEB!R47+CMOUNT!R47+CROYSTON!R47+CURRIE!R47+DRUMM!R47+FIRRH!R47+FORRES!R47+GRACEM!R47+HOLY_R!R47+JAMESG!T47+LEITH_A!R47+LIBERT!R47+PORTOB!R47+QUEENSF!R47+ST_AUGU!R47+ST_THOM!R47+THE_ROYAL!R47+TRINITY!R47+TYNECA!R47+WHEC!R47</f>
        <v>4390</v>
      </c>
      <c r="C64" s="184">
        <f>BALERNO!S47+BOROUGH!S47+BROUGHT!S47+CASTLEB!S47+CMOUNT!S47+CROYSTON!S47+CURRIE!S47+DRUMM!S47+FIRRH!S47+FORRES!S47+GRACEM!S47+HOLY_R!S47+JAMESG!U47+LEITH_A!S47+LIBERT!S47+PORTOB!S47+QUEENSF!S47+ST_AUGU!S47+ST_THOM!S47+THE_ROYAL!S47+TRINITY!S47+TYNECA!S47+WHEC!S47</f>
        <v>4572</v>
      </c>
      <c r="D64" s="184">
        <f>BALERNO!T47+BOROUGH!T47+BROUGHT!T47+CASTLEB!T47+CMOUNT!T47+CROYSTON!T47+CURRIE!T47+DRUMM!T47+FIRRH!T47+FORRES!T47+GRACEM!T47+HOLY_R!T47+JAMESG!V47+LEITH_A!T47+LIBERT!T47+PORTOB!T47+QUEENSF!T47+ST_AUGU!T47+ST_THOM!T47+THE_ROYAL!T47+TRINITY!T47+TYNECA!T47+WHEC!T47</f>
        <v>4324</v>
      </c>
      <c r="E64" s="184">
        <f>BALERNO!U47+BOROUGH!U47+BROUGHT!U47+CASTLEB!U47+CMOUNT!U47+CROYSTON!U47+CURRIE!U47+DRUMM!U47+FIRRH!U47+FORRES!U47+GRACEM!U47+HOLY_R!U47+JAMESG!W47+LEITH_A!U47+LIBERT!U47+PORTOB!U47+QUEENSF!U47+ST_AUGU!U47+ST_THOM!U47+THE_ROYAL!U47+TRINITY!U47+TYNECA!U47+WHEC!U47</f>
        <v>4275</v>
      </c>
      <c r="F64" s="184">
        <f>BALERNO!V47+BOROUGH!V47+BROUGHT!V47+CASTLEB!V47+CMOUNT!V47+CROYSTON!V47+CURRIE!V47+DRUMM!V47+FIRRH!V47+FORRES!V47+GRACEM!V47+HOLY_R!V47+JAMESG!X47+LEITH_A!V47+LIBERT!V47+PORTOB!V47+QUEENSF!V47+ST_AUGU!V47+ST_THOM!V47+THE_ROYAL!V47+TRINITY!V47+TYNECA!V47+WHEC!V47</f>
        <v>3689</v>
      </c>
      <c r="G64" s="184">
        <f>BALERNO!W47+BOROUGH!W47+BROUGHT!W47+CASTLEB!W47+CMOUNT!W47+CROYSTON!W47+CURRIE!W47+DRUMM!W47+FIRRH!W47+FORRES!W47+GRACEM!W47+HOLY_R!W47+JAMESG!Y47+LEITH_A!W47+LIBERT!W47+PORTOB!W47+QUEENSF!W47+ST_AUGU!W47+ST_THOM!W47+THE_ROYAL!W47+TRINITY!W47+TYNECA!W47+WHEC!W47</f>
        <v>2884</v>
      </c>
      <c r="H64" s="185">
        <f t="shared" si="6"/>
        <v>24134</v>
      </c>
      <c r="J64" s="186"/>
      <c r="K64" s="186"/>
      <c r="M64" s="186"/>
      <c r="N64" s="186"/>
      <c r="O64" s="39"/>
      <c r="P64" s="187"/>
      <c r="Q64" s="187"/>
    </row>
    <row r="65" spans="1:17" x14ac:dyDescent="0.25">
      <c r="A65" s="90">
        <f t="shared" si="7"/>
        <v>2026</v>
      </c>
      <c r="B65" s="184">
        <f>BALERNO!R48+BOROUGH!R48+BROUGHT!R48+CASTLEB!R48+CMOUNT!R48+CROYSTON!R48+CURRIE!R48+DRUMM!R48+FIRRH!R48+FORRES!R48+GRACEM!R48+HOLY_R!R48+JAMESG!T48+LEITH_A!R48+LIBERT!R48+PORTOB!R48+QUEENSF!R48+ST_AUGU!R48+ST_THOM!R48+THE_ROYAL!R48+TRINITY!R48+TYNECA!R48+WHEC!R48</f>
        <v>4457</v>
      </c>
      <c r="C65" s="184">
        <f>BALERNO!S48+BOROUGH!S48+BROUGHT!S48+CASTLEB!S48+CMOUNT!S48+CROYSTON!S48+CURRIE!S48+DRUMM!S48+FIRRH!S48+FORRES!S48+GRACEM!S48+HOLY_R!S48+JAMESG!U48+LEITH_A!S48+LIBERT!S48+PORTOB!S48+QUEENSF!S48+ST_AUGU!S48+ST_THOM!S48+THE_ROYAL!S48+TRINITY!S48+TYNECA!S48+WHEC!S48</f>
        <v>4390</v>
      </c>
      <c r="D65" s="184">
        <f>BALERNO!T48+BOROUGH!T48+BROUGHT!T48+CASTLEB!T48+CMOUNT!T48+CROYSTON!T48+CURRIE!T48+DRUMM!T48+FIRRH!T48+FORRES!T48+GRACEM!T48+HOLY_R!T48+JAMESG!V48+LEITH_A!T48+LIBERT!T48+PORTOB!T48+QUEENSF!T48+ST_AUGU!T48+ST_THOM!T48+THE_ROYAL!T48+TRINITY!T48+TYNECA!T48+WHEC!T48</f>
        <v>4572</v>
      </c>
      <c r="E65" s="184">
        <f>BALERNO!U48+BOROUGH!U48+BROUGHT!U48+CASTLEB!U48+CMOUNT!U48+CROYSTON!U48+CURRIE!U48+DRUMM!U48+FIRRH!U48+FORRES!U48+GRACEM!U48+HOLY_R!U48+JAMESG!W48+LEITH_A!U48+LIBERT!U48+PORTOB!U48+QUEENSF!U48+ST_AUGU!U48+ST_THOM!U48+THE_ROYAL!U48+TRINITY!U48+TYNECA!U48+WHEC!U48</f>
        <v>4324</v>
      </c>
      <c r="F65" s="184">
        <f>BALERNO!V48+BOROUGH!V48+BROUGHT!V48+CASTLEB!V48+CMOUNT!V48+CROYSTON!V48+CURRIE!V48+DRUMM!V48+FIRRH!V48+FORRES!V48+GRACEM!V48+HOLY_R!V48+JAMESG!X48+LEITH_A!V48+LIBERT!V48+PORTOB!V48+QUEENSF!V48+ST_AUGU!V48+ST_THOM!V48+THE_ROYAL!V48+TRINITY!V48+TYNECA!V48+WHEC!V48</f>
        <v>3799</v>
      </c>
      <c r="G65" s="184">
        <f>BALERNO!W48+BOROUGH!W48+BROUGHT!W48+CASTLEB!W48+CMOUNT!W48+CROYSTON!W48+CURRIE!W48+DRUMM!W48+FIRRH!W48+FORRES!W48+GRACEM!W48+HOLY_R!W48+JAMESG!Y48+LEITH_A!W48+LIBERT!W48+PORTOB!W48+QUEENSF!W48+ST_AUGU!W48+ST_THOM!W48+THE_ROYAL!W48+TRINITY!W48+TYNECA!W48+WHEC!W48</f>
        <v>2879</v>
      </c>
      <c r="H65" s="185">
        <f t="shared" si="6"/>
        <v>24421</v>
      </c>
      <c r="J65" s="186"/>
      <c r="K65" s="186"/>
      <c r="M65" s="186"/>
      <c r="N65" s="186"/>
      <c r="O65" s="39"/>
      <c r="P65" s="187"/>
      <c r="Q65" s="187"/>
    </row>
    <row r="66" spans="1:17" x14ac:dyDescent="0.25">
      <c r="A66" s="90">
        <f t="shared" si="7"/>
        <v>2027</v>
      </c>
      <c r="B66" s="184">
        <f>BALERNO!R49+BOROUGH!R49+BROUGHT!R49+CASTLEB!R49+CMOUNT!R49+CROYSTON!R49+CURRIE!R49+DRUMM!R49+FIRRH!R49+FORRES!R49+GRACEM!R49+HOLY_R!R49+JAMESG!T49+LEITH_A!R49+LIBERT!R49+PORTOB!R49+QUEENSF!R49+ST_AUGU!R49+ST_THOM!R49+THE_ROYAL!R49+TRINITY!R49+TYNECA!R49+WHEC!R49</f>
        <v>4493</v>
      </c>
      <c r="C66" s="184">
        <f>BALERNO!S49+BOROUGH!S49+BROUGHT!S49+CASTLEB!S49+CMOUNT!S49+CROYSTON!S49+CURRIE!S49+DRUMM!S49+FIRRH!S49+FORRES!S49+GRACEM!S49+HOLY_R!S49+JAMESG!U49+LEITH_A!S49+LIBERT!S49+PORTOB!S49+QUEENSF!S49+ST_AUGU!S49+ST_THOM!S49+THE_ROYAL!S49+TRINITY!S49+TYNECA!S49+WHEC!S49</f>
        <v>4457</v>
      </c>
      <c r="D66" s="184">
        <f>BALERNO!T49+BOROUGH!T49+BROUGHT!T49+CASTLEB!T49+CMOUNT!T49+CROYSTON!T49+CURRIE!T49+DRUMM!T49+FIRRH!T49+FORRES!T49+GRACEM!T49+HOLY_R!T49+JAMESG!V49+LEITH_A!T49+LIBERT!T49+PORTOB!T49+QUEENSF!T49+ST_AUGU!T49+ST_THOM!T49+THE_ROYAL!T49+TRINITY!T49+TYNECA!T49+WHEC!T49</f>
        <v>4390</v>
      </c>
      <c r="E66" s="184">
        <f>BALERNO!U49+BOROUGH!U49+BROUGHT!U49+CASTLEB!U49+CMOUNT!U49+CROYSTON!U49+CURRIE!U49+DRUMM!U49+FIRRH!U49+FORRES!U49+GRACEM!U49+HOLY_R!U49+JAMESG!W49+LEITH_A!U49+LIBERT!U49+PORTOB!U49+QUEENSF!U49+ST_AUGU!U49+ST_THOM!U49+THE_ROYAL!U49+TRINITY!U49+TYNECA!U49+WHEC!U49</f>
        <v>4572</v>
      </c>
      <c r="F66" s="184">
        <f>BALERNO!V49+BOROUGH!V49+BROUGHT!V49+CASTLEB!V49+CMOUNT!V49+CROYSTON!V49+CURRIE!V49+DRUMM!V49+FIRRH!V49+FORRES!V49+GRACEM!V49+HOLY_R!V49+JAMESG!X49+LEITH_A!V49+LIBERT!V49+PORTOB!V49+QUEENSF!V49+ST_AUGU!V49+ST_THOM!V49+THE_ROYAL!V49+TRINITY!V49+TYNECA!V49+WHEC!V49</f>
        <v>3835</v>
      </c>
      <c r="G66" s="184">
        <f>BALERNO!W49+BOROUGH!W49+BROUGHT!W49+CASTLEB!W49+CMOUNT!W49+CROYSTON!W49+CURRIE!W49+DRUMM!W49+FIRRH!W49+FORRES!W49+GRACEM!W49+HOLY_R!W49+JAMESG!Y49+LEITH_A!W49+LIBERT!W49+PORTOB!W49+QUEENSF!W49+ST_AUGU!W49+ST_THOM!W49+THE_ROYAL!W49+TRINITY!W49+TYNECA!W49+WHEC!W49</f>
        <v>2969</v>
      </c>
      <c r="H66" s="185">
        <f t="shared" si="6"/>
        <v>24716</v>
      </c>
      <c r="J66" s="186"/>
      <c r="K66" s="186"/>
      <c r="M66" s="186"/>
      <c r="N66" s="186"/>
      <c r="O66" s="39"/>
      <c r="P66" s="187"/>
      <c r="Q66" s="187"/>
    </row>
    <row r="67" spans="1:17" x14ac:dyDescent="0.25">
      <c r="A67" s="90">
        <f t="shared" si="7"/>
        <v>2028</v>
      </c>
      <c r="B67" s="184">
        <f>BALERNO!R50+BOROUGH!R50+BROUGHT!R50+CASTLEB!R50+CMOUNT!R50+CROYSTON!R50+CURRIE!R50+DRUMM!R50+FIRRH!R50+FORRES!R50+GRACEM!R50+HOLY_R!R50+JAMESG!T50+LEITH_A!R50+LIBERT!R50+PORTOB!R50+QUEENSF!R50+ST_AUGU!R50+ST_THOM!R50+THE_ROYAL!R50+TRINITY!R50+TYNECA!R50+WHEC!R50</f>
        <v>4450</v>
      </c>
      <c r="C67" s="184">
        <f>BALERNO!S50+BOROUGH!S50+BROUGHT!S50+CASTLEB!S50+CMOUNT!S50+CROYSTON!S50+CURRIE!S50+DRUMM!S50+FIRRH!S50+FORRES!S50+GRACEM!S50+HOLY_R!S50+JAMESG!U50+LEITH_A!S50+LIBERT!S50+PORTOB!S50+QUEENSF!S50+ST_AUGU!S50+ST_THOM!S50+THE_ROYAL!S50+TRINITY!S50+TYNECA!S50+WHEC!S50</f>
        <v>4493</v>
      </c>
      <c r="D67" s="184">
        <f>BALERNO!T50+BOROUGH!T50+BROUGHT!T50+CASTLEB!T50+CMOUNT!T50+CROYSTON!T50+CURRIE!T50+DRUMM!T50+FIRRH!T50+FORRES!T50+GRACEM!T50+HOLY_R!T50+JAMESG!V50+LEITH_A!T50+LIBERT!T50+PORTOB!T50+QUEENSF!T50+ST_AUGU!T50+ST_THOM!T50+THE_ROYAL!T50+TRINITY!T50+TYNECA!T50+WHEC!T50</f>
        <v>4457</v>
      </c>
      <c r="E67" s="184">
        <f>BALERNO!U50+BOROUGH!U50+BROUGHT!U50+CASTLEB!U50+CMOUNT!U50+CROYSTON!U50+CURRIE!U50+DRUMM!U50+FIRRH!U50+FORRES!U50+GRACEM!U50+HOLY_R!U50+JAMESG!W50+LEITH_A!U50+LIBERT!U50+PORTOB!U50+QUEENSF!U50+ST_AUGU!U50+ST_THOM!U50+THE_ROYAL!U50+TRINITY!U50+TYNECA!U50+WHEC!U50</f>
        <v>4390</v>
      </c>
      <c r="F67" s="184">
        <f>BALERNO!V50+BOROUGH!V50+BROUGHT!V50+CASTLEB!V50+CMOUNT!V50+CROYSTON!V50+CURRIE!V50+DRUMM!V50+FIRRH!V50+FORRES!V50+GRACEM!V50+HOLY_R!V50+JAMESG!X50+LEITH_A!V50+LIBERT!V50+PORTOB!V50+QUEENSF!V50+ST_AUGU!V50+ST_THOM!V50+THE_ROYAL!V50+TRINITY!V50+TYNECA!V50+WHEC!V50</f>
        <v>4051</v>
      </c>
      <c r="G67" s="184">
        <f>BALERNO!W50+BOROUGH!W50+BROUGHT!W50+CASTLEB!W50+CMOUNT!W50+CROYSTON!W50+CURRIE!W50+DRUMM!W50+FIRRH!W50+FORRES!W50+GRACEM!W50+HOLY_R!W50+JAMESG!Y50+LEITH_A!W50+LIBERT!W50+PORTOB!W50+QUEENSF!W50+ST_AUGU!W50+ST_THOM!W50+THE_ROYAL!W50+TRINITY!W50+TYNECA!W50+WHEC!W50</f>
        <v>2984</v>
      </c>
      <c r="H67" s="185">
        <f t="shared" si="6"/>
        <v>24825</v>
      </c>
      <c r="O67" s="39"/>
    </row>
    <row r="68" spans="1:17" x14ac:dyDescent="0.25">
      <c r="E68" s="158"/>
      <c r="O68" s="39"/>
    </row>
    <row r="69" spans="1:17" x14ac:dyDescent="0.25">
      <c r="A69" s="72" t="s">
        <v>343</v>
      </c>
      <c r="D69"/>
      <c r="E69"/>
      <c r="F69"/>
      <c r="G69"/>
      <c r="H69"/>
      <c r="O69" s="39"/>
    </row>
    <row r="70" spans="1:17" x14ac:dyDescent="0.25">
      <c r="D70"/>
      <c r="E70"/>
      <c r="F70"/>
      <c r="G70"/>
      <c r="H70"/>
      <c r="J70" s="188"/>
      <c r="O70" s="39"/>
    </row>
    <row r="71" spans="1:17" x14ac:dyDescent="0.25">
      <c r="A71" s="36"/>
      <c r="B71" s="90" t="s">
        <v>121</v>
      </c>
      <c r="C71" s="90" t="s">
        <v>122</v>
      </c>
      <c r="D71" s="90" t="s">
        <v>123</v>
      </c>
      <c r="E71" s="90" t="s">
        <v>124</v>
      </c>
      <c r="F71" s="90" t="s">
        <v>125</v>
      </c>
      <c r="G71" s="90" t="s">
        <v>126</v>
      </c>
      <c r="H71" s="183" t="s">
        <v>138</v>
      </c>
      <c r="O71" s="39"/>
    </row>
    <row r="72" spans="1:17" x14ac:dyDescent="0.25">
      <c r="A72" s="90">
        <f>A58</f>
        <v>2019</v>
      </c>
      <c r="B72" s="184">
        <f>BALERNO!B24+BOROUGH!B24+BROUGHT!B24+CASTLEB!B24+CMOUNT!B24+CROYSTON!B24+CURRIE!B24+DRUMM!B24+FIRRH!B24+FORRES!B24+GRACEM!B24+HOLY_R!B24+JAMESG!B24+LEITH_A!B24+LIBERT!B24+PORTOB!B24+QUEENSF!B24+ST_AUGU!B24+ST_THOM!B24+THE_ROYAL!B24+TRINITY!B24+TYNECA!B24+WHEC!B24</f>
        <v>4580</v>
      </c>
      <c r="C72" s="184">
        <f>BALERNO!C24+BOROUGH!C24+BROUGHT!C24+CASTLEB!C24+CMOUNT!C24+CROYSTON!C24+CURRIE!C24+DRUMM!C24+FIRRH!C24+FORRES!C24+GRACEM!C24+HOLY_R!C24+JAMESG!C24+LEITH_A!C24+LIBERT!C24+PORTOB!C24+QUEENSF!C24+ST_AUGU!C24+ST_THOM!C24+THE_ROYAL!C24+TRINITY!C24+TYNECA!C24+WHEC!C24</f>
        <v>4489</v>
      </c>
      <c r="D72" s="184">
        <f>BALERNO!D24+BOROUGH!D24+BROUGHT!D24+CASTLEB!D24+CMOUNT!D24+CROYSTON!D24+CURRIE!D24+DRUMM!D24+FIRRH!D24+FORRES!D24+GRACEM!D24+HOLY_R!D24+JAMESG!D24+LEITH_A!D24+LIBERT!D24+PORTOB!D24+QUEENSF!D24+ST_AUGU!D24+ST_THOM!D24+THE_ROYAL!D24+TRINITY!D24+TYNECA!D24+WHEC!D24</f>
        <v>4476</v>
      </c>
      <c r="E72" s="184">
        <f>BALERNO!E24+BOROUGH!E24+BROUGHT!E24+CASTLEB!E24+CMOUNT!E24+CROYSTON!E24+CURRIE!E24+DRUMM!E24+FIRRH!E24+FORRES!E24+GRACEM!E24+HOLY_R!E24+JAMESG!E24+LEITH_A!E24+LIBERT!E24+PORTOB!E24+QUEENSF!E24+ST_AUGU!E24+ST_THOM!E24+THE_ROYAL!E24+TRINITY!E24+TYNECA!E24+WHEC!E24</f>
        <v>4383</v>
      </c>
      <c r="F72" s="184">
        <f>BALERNO!F24+BOROUGH!F24+BROUGHT!F24+CASTLEB!F24+CMOUNT!F24+CROYSTON!F24+CURRIE!F24+DRUMM!F24+FIRRH!F24+FORRES!F24+GRACEM!F24+HOLY_R!F24+JAMESG!F24+LEITH_A!F24+LIBERT!F24+PORTOB!F24+QUEENSF!F24+ST_AUGU!F24+ST_THOM!F24+THE_ROYAL!F24+TRINITY!F24+TYNECA!F24+WHEC!F24</f>
        <v>4341</v>
      </c>
      <c r="G72" s="184">
        <f>BALERNO!G24+BOROUGH!G24+BROUGHT!G24+CASTLEB!G24+CMOUNT!G24+CROYSTON!G24+CURRIE!G24+DRUMM!G24+FIRRH!G24+FORRES!G24+GRACEM!G24+HOLY_R!G24+JAMESG!G24+LEITH_A!G24+LIBERT!G24+PORTOB!G24+QUEENSF!G24+ST_AUGU!G24+ST_THOM!G24+THE_ROYAL!G24+TRINITY!G24+TYNECA!G24+WHEC!G24</f>
        <v>4267</v>
      </c>
      <c r="H72" s="185">
        <f t="shared" ref="H72:H81" si="8">SUM(B72:G72)</f>
        <v>26536</v>
      </c>
      <c r="J72" s="186"/>
      <c r="O72" s="39"/>
    </row>
    <row r="73" spans="1:17" x14ac:dyDescent="0.25">
      <c r="A73" s="90">
        <f t="shared" ref="A73:A81" si="9">A59</f>
        <v>2020</v>
      </c>
      <c r="B73" s="184">
        <f>BALERNO!B25+BOROUGH!B25+BROUGHT!B25+CASTLEB!B25+CMOUNT!B25+CROYSTON!B25+CURRIE!B25+DRUMM!B25+FIRRH!B25+FORRES!B25+GRACEM!B25+HOLY_R!B25+JAMESG!B25+LEITH_A!B25+LIBERT!B25+PORTOB!B25+QUEENSF!B25+ST_AUGU!B25+ST_THOM!B25+THE_ROYAL!B25+TRINITY!B25+TYNECA!B25+WHEC!B25</f>
        <v>4499</v>
      </c>
      <c r="C73" s="184">
        <f>BALERNO!C25+BOROUGH!C25+BROUGHT!C25+CASTLEB!C25+CMOUNT!C25+CROYSTON!C25+CURRIE!C25+DRUMM!C25+FIRRH!C25+FORRES!C25+GRACEM!C25+HOLY_R!C25+JAMESG!C25+LEITH_A!C25+LIBERT!C25+PORTOB!C25+QUEENSF!C25+ST_AUGU!C25+ST_THOM!C25+THE_ROYAL!C25+TRINITY!C25+TYNECA!C25+WHEC!C25</f>
        <v>4574</v>
      </c>
      <c r="D73" s="184">
        <f>BALERNO!D25+BOROUGH!D25+BROUGHT!D25+CASTLEB!D25+CMOUNT!D25+CROYSTON!D25+CURRIE!D25+DRUMM!D25+FIRRH!D25+FORRES!D25+GRACEM!D25+HOLY_R!D25+JAMESG!D25+LEITH_A!D25+LIBERT!D25+PORTOB!D25+QUEENSF!D25+ST_AUGU!D25+ST_THOM!D25+THE_ROYAL!D25+TRINITY!D25+TYNECA!D25+WHEC!D25</f>
        <v>4435</v>
      </c>
      <c r="E73" s="184">
        <f>BALERNO!E25+BOROUGH!E25+BROUGHT!E25+CASTLEB!E25+CMOUNT!E25+CROYSTON!E25+CURRIE!E25+DRUMM!E25+FIRRH!E25+FORRES!E25+GRACEM!E25+HOLY_R!E25+JAMESG!E25+LEITH_A!E25+LIBERT!E25+PORTOB!E25+QUEENSF!E25+ST_AUGU!E25+ST_THOM!E25+THE_ROYAL!E25+TRINITY!E25+TYNECA!E25+WHEC!E25</f>
        <v>4454</v>
      </c>
      <c r="F73" s="184">
        <f>BALERNO!F25+BOROUGH!F25+BROUGHT!F25+CASTLEB!F25+CMOUNT!F25+CROYSTON!F25+CURRIE!F25+DRUMM!F25+FIRRH!F25+FORRES!F25+GRACEM!F25+HOLY_R!F25+JAMESG!F25+LEITH_A!F25+LIBERT!F25+PORTOB!F25+QUEENSF!F25+ST_AUGU!F25+ST_THOM!F25+THE_ROYAL!F25+TRINITY!F25+TYNECA!F25+WHEC!F25</f>
        <v>4374</v>
      </c>
      <c r="G73" s="184">
        <f>BALERNO!G25+BOROUGH!G25+BROUGHT!G25+CASTLEB!G25+CMOUNT!G25+CROYSTON!G25+CURRIE!G25+DRUMM!G25+FIRRH!G25+FORRES!G25+GRACEM!G25+HOLY_R!G25+JAMESG!G25+LEITH_A!G25+LIBERT!G25+PORTOB!G25+QUEENSF!G25+ST_AUGU!G25+ST_THOM!G25+THE_ROYAL!G25+TRINITY!G25+TYNECA!G25+WHEC!G25</f>
        <v>4266</v>
      </c>
      <c r="H73" s="185">
        <f t="shared" si="8"/>
        <v>26602</v>
      </c>
      <c r="J73" s="186"/>
      <c r="O73" s="39"/>
    </row>
    <row r="74" spans="1:17" x14ac:dyDescent="0.25">
      <c r="A74" s="90">
        <f t="shared" si="9"/>
        <v>2021</v>
      </c>
      <c r="B74" s="184">
        <f>BALERNO!B26+BOROUGH!B26+BROUGHT!B26+CASTLEB!B26+CMOUNT!B26+CROYSTON!B26+CURRIE!B26+DRUMM!B26+FIRRH!B26+FORRES!B26+GRACEM!B26+HOLY_R!B26+JAMESG!B26+LEITH_A!B26+LIBERT!B26+PORTOB!B26+QUEENSF!B26+ST_AUGU!B26+ST_THOM!B26+THE_ROYAL!B26+TRINITY!B26+TYNECA!B26+WHEC!B26</f>
        <v>4381</v>
      </c>
      <c r="C74" s="184">
        <f>BALERNO!C26+BOROUGH!C26+BROUGHT!C26+CASTLEB!C26+CMOUNT!C26+CROYSTON!C26+CURRIE!C26+DRUMM!C26+FIRRH!C26+FORRES!C26+GRACEM!C26+HOLY_R!C26+JAMESG!C26+LEITH_A!C26+LIBERT!C26+PORTOB!C26+QUEENSF!C26+ST_AUGU!C26+ST_THOM!C26+THE_ROYAL!C26+TRINITY!C26+TYNECA!C26+WHEC!C26</f>
        <v>4495</v>
      </c>
      <c r="D74" s="184">
        <f>BALERNO!D26+BOROUGH!D26+BROUGHT!D26+CASTLEB!D26+CMOUNT!D26+CROYSTON!D26+CURRIE!D26+DRUMM!D26+FIRRH!D26+FORRES!D26+GRACEM!D26+HOLY_R!D26+JAMESG!D26+LEITH_A!D26+LIBERT!D26+PORTOB!D26+QUEENSF!D26+ST_AUGU!D26+ST_THOM!D26+THE_ROYAL!D26+TRINITY!D26+TYNECA!D26+WHEC!D26</f>
        <v>4519</v>
      </c>
      <c r="E74" s="184">
        <f>BALERNO!E26+BOROUGH!E26+BROUGHT!E26+CASTLEB!E26+CMOUNT!E26+CROYSTON!E26+CURRIE!E26+DRUMM!E26+FIRRH!E26+FORRES!E26+GRACEM!E26+HOLY_R!E26+JAMESG!E26+LEITH_A!E26+LIBERT!E26+PORTOB!E26+QUEENSF!E26+ST_AUGU!E26+ST_THOM!E26+THE_ROYAL!E26+TRINITY!E26+TYNECA!E26+WHEC!E26</f>
        <v>4417</v>
      </c>
      <c r="F74" s="184">
        <f>BALERNO!F26+BOROUGH!F26+BROUGHT!F26+CASTLEB!F26+CMOUNT!F26+CROYSTON!F26+CURRIE!F26+DRUMM!F26+FIRRH!F26+FORRES!F26+GRACEM!F26+HOLY_R!F26+JAMESG!F26+LEITH_A!F26+LIBERT!F26+PORTOB!F26+QUEENSF!F26+ST_AUGU!F26+ST_THOM!F26+THE_ROYAL!F26+TRINITY!F26+TYNECA!F26+WHEC!F26</f>
        <v>4443</v>
      </c>
      <c r="G74" s="184">
        <f>BALERNO!G26+BOROUGH!G26+BROUGHT!G26+CASTLEB!G26+CMOUNT!G26+CROYSTON!G26+CURRIE!G26+DRUMM!G26+FIRRH!G26+FORRES!G26+GRACEM!G26+HOLY_R!G26+JAMESG!G26+LEITH_A!G26+LIBERT!G26+PORTOB!G26+QUEENSF!G26+ST_AUGU!G26+ST_THOM!G26+THE_ROYAL!G26+TRINITY!G26+TYNECA!G26+WHEC!G26</f>
        <v>4301</v>
      </c>
      <c r="H74" s="185">
        <f t="shared" si="8"/>
        <v>26556</v>
      </c>
      <c r="J74" s="186"/>
      <c r="O74" s="39"/>
    </row>
    <row r="75" spans="1:17" x14ac:dyDescent="0.25">
      <c r="A75" s="90">
        <f t="shared" si="9"/>
        <v>2022</v>
      </c>
      <c r="B75" s="184">
        <f>BALERNO!B27+BOROUGH!B27+BROUGHT!B27+CASTLEB!B27+CMOUNT!B27+CROYSTON!B27+CURRIE!B27+DRUMM!B27+FIRRH!B27+FORRES!B27+GRACEM!B27+HOLY_R!B27+JAMESG!B27+LEITH_A!B27+LIBERT!B27+PORTOB!B27+QUEENSF!B27+ST_AUGU!B27+ST_THOM!B27+THE_ROYAL!B27+TRINITY!B27+TYNECA!B27+WHEC!B27</f>
        <v>4341</v>
      </c>
      <c r="C75" s="184">
        <f>BALERNO!C27+BOROUGH!C27+BROUGHT!C27+CASTLEB!C27+CMOUNT!C27+CROYSTON!C27+CURRIE!C27+DRUMM!C27+FIRRH!C27+FORRES!C27+GRACEM!C27+HOLY_R!C27+JAMESG!C27+LEITH_A!C27+LIBERT!C27+PORTOB!C27+QUEENSF!C27+ST_AUGU!C27+ST_THOM!C27+THE_ROYAL!C27+TRINITY!C27+TYNECA!C27+WHEC!C27</f>
        <v>4380</v>
      </c>
      <c r="D75" s="184">
        <f>BALERNO!D27+BOROUGH!D27+BROUGHT!D27+CASTLEB!D27+CMOUNT!D27+CROYSTON!D27+CURRIE!D27+DRUMM!D27+FIRRH!D27+FORRES!D27+GRACEM!D27+HOLY_R!D27+JAMESG!D27+LEITH_A!D27+LIBERT!D27+PORTOB!D27+QUEENSF!D27+ST_AUGU!D27+ST_THOM!D27+THE_ROYAL!D27+TRINITY!D27+TYNECA!D27+WHEC!D27</f>
        <v>4445</v>
      </c>
      <c r="E75" s="184">
        <f>BALERNO!E27+BOROUGH!E27+BROUGHT!E27+CASTLEB!E27+CMOUNT!E27+CROYSTON!E27+CURRIE!E27+DRUMM!E27+FIRRH!E27+FORRES!E27+GRACEM!E27+HOLY_R!E27+JAMESG!E27+LEITH_A!E27+LIBERT!E27+PORTOB!E27+QUEENSF!E27+ST_AUGU!E27+ST_THOM!E27+THE_ROYAL!E27+TRINITY!E27+TYNECA!E27+WHEC!E27</f>
        <v>4501</v>
      </c>
      <c r="F75" s="184">
        <f>BALERNO!F27+BOROUGH!F27+BROUGHT!F27+CASTLEB!F27+CMOUNT!F27+CROYSTON!F27+CURRIE!F27+DRUMM!F27+FIRRH!F27+FORRES!F27+GRACEM!F27+HOLY_R!F27+JAMESG!F27+LEITH_A!F27+LIBERT!F27+PORTOB!F27+QUEENSF!F27+ST_AUGU!F27+ST_THOM!F27+THE_ROYAL!F27+TRINITY!F27+TYNECA!F27+WHEC!F27</f>
        <v>4409</v>
      </c>
      <c r="G75" s="184">
        <f>BALERNO!G27+BOROUGH!G27+BROUGHT!G27+CASTLEB!G27+CMOUNT!G27+CROYSTON!G27+CURRIE!G27+DRUMM!G27+FIRRH!G27+FORRES!G27+GRACEM!G27+HOLY_R!G27+JAMESG!G27+LEITH_A!G27+LIBERT!G27+PORTOB!G27+QUEENSF!G27+ST_AUGU!G27+ST_THOM!G27+THE_ROYAL!G27+TRINITY!G27+TYNECA!G27+WHEC!G27</f>
        <v>4367</v>
      </c>
      <c r="H75" s="185">
        <f t="shared" si="8"/>
        <v>26443</v>
      </c>
      <c r="J75" s="186"/>
      <c r="O75" s="39"/>
    </row>
    <row r="76" spans="1:17" x14ac:dyDescent="0.25">
      <c r="A76" s="90">
        <f t="shared" si="9"/>
        <v>2023</v>
      </c>
      <c r="B76" s="184">
        <f>BALERNO!B28+BOROUGH!B28+BROUGHT!B28+CASTLEB!B28+CMOUNT!B28+CROYSTON!B28+CURRIE!B28+DRUMM!B28+FIRRH!B28+FORRES!B28+GRACEM!B28+HOLY_R!B28+JAMESG!B28+LEITH_A!B28+LIBERT!B28+PORTOB!B28+QUEENSF!B28+ST_AUGU!B28+ST_THOM!B28+THE_ROYAL!B28+TRINITY!B28+TYNECA!B28+WHEC!B28</f>
        <v>4440</v>
      </c>
      <c r="C76" s="184">
        <f>BALERNO!C28+BOROUGH!C28+BROUGHT!C28+CASTLEB!C28+CMOUNT!C28+CROYSTON!C28+CURRIE!C28+DRUMM!C28+FIRRH!C28+FORRES!C28+GRACEM!C28+HOLY_R!C28+JAMESG!C28+LEITH_A!C28+LIBERT!C28+PORTOB!C28+QUEENSF!C28+ST_AUGU!C28+ST_THOM!C28+THE_ROYAL!C28+TRINITY!C28+TYNECA!C28+WHEC!C28</f>
        <v>4344</v>
      </c>
      <c r="D76" s="184">
        <f>BALERNO!D28+BOROUGH!D28+BROUGHT!D28+CASTLEB!D28+CMOUNT!D28+CROYSTON!D28+CURRIE!D28+DRUMM!D28+FIRRH!D28+FORRES!D28+GRACEM!D28+HOLY_R!D28+JAMESG!D28+LEITH_A!D28+LIBERT!D28+PORTOB!D28+QUEENSF!D28+ST_AUGU!D28+ST_THOM!D28+THE_ROYAL!D28+TRINITY!D28+TYNECA!D28+WHEC!D28</f>
        <v>4328</v>
      </c>
      <c r="E76" s="184">
        <f>BALERNO!E28+BOROUGH!E28+BROUGHT!E28+CASTLEB!E28+CMOUNT!E28+CROYSTON!E28+CURRIE!E28+DRUMM!E28+FIRRH!E28+FORRES!E28+GRACEM!E28+HOLY_R!E28+JAMESG!E28+LEITH_A!E28+LIBERT!E28+PORTOB!E28+QUEENSF!E28+ST_AUGU!E28+ST_THOM!E28+THE_ROYAL!E28+TRINITY!E28+TYNECA!E28+WHEC!E28</f>
        <v>4432</v>
      </c>
      <c r="F76" s="184">
        <f>BALERNO!F28+BOROUGH!F28+BROUGHT!F28+CASTLEB!F28+CMOUNT!F28+CROYSTON!F28+CURRIE!F28+DRUMM!F28+FIRRH!F28+FORRES!F28+GRACEM!F28+HOLY_R!F28+JAMESG!F28+LEITH_A!F28+LIBERT!F28+PORTOB!F28+QUEENSF!F28+ST_AUGU!F28+ST_THOM!F28+THE_ROYAL!F28+TRINITY!F28+TYNECA!F28+WHEC!F28</f>
        <v>4493</v>
      </c>
      <c r="G76" s="184">
        <f>BALERNO!G28+BOROUGH!G28+BROUGHT!G28+CASTLEB!G28+CMOUNT!G28+CROYSTON!G28+CURRIE!G28+DRUMM!G28+FIRRH!G28+FORRES!G28+GRACEM!G28+HOLY_R!G28+JAMESG!G28+LEITH_A!G28+LIBERT!G28+PORTOB!G28+QUEENSF!G28+ST_AUGU!G28+ST_THOM!G28+THE_ROYAL!G28+TRINITY!G28+TYNECA!G28+WHEC!G28</f>
        <v>4338</v>
      </c>
      <c r="H76" s="185">
        <f t="shared" si="8"/>
        <v>26375</v>
      </c>
      <c r="J76" s="186"/>
      <c r="O76" s="39"/>
    </row>
    <row r="77" spans="1:17" x14ac:dyDescent="0.25">
      <c r="A77" s="90">
        <f t="shared" si="9"/>
        <v>2024</v>
      </c>
      <c r="B77" s="184">
        <f>BALERNO!B29+BOROUGH!B29+BROUGHT!B29+CASTLEB!B29+CMOUNT!B29+CROYSTON!B29+CURRIE!B29+DRUMM!B29+FIRRH!B29+FORRES!B29+GRACEM!B29+HOLY_R!B29+JAMESG!B29+LEITH_A!B29+LIBERT!B29+PORTOB!B29+QUEENSF!B29+ST_AUGU!B29+ST_THOM!B29+THE_ROYAL!B29+TRINITY!B29+TYNECA!B29+WHEC!B29</f>
        <v>4505</v>
      </c>
      <c r="C77" s="184">
        <f>BALERNO!C29+BOROUGH!C29+BROUGHT!C29+CASTLEB!C29+CMOUNT!C29+CROYSTON!C29+CURRIE!C29+DRUMM!C29+FIRRH!C29+FORRES!C29+GRACEM!C29+HOLY_R!C29+JAMESG!C29+LEITH_A!C29+LIBERT!C29+PORTOB!C29+QUEENSF!C29+ST_AUGU!C29+ST_THOM!C29+THE_ROYAL!C29+TRINITY!C29+TYNECA!C29+WHEC!C29</f>
        <v>4439</v>
      </c>
      <c r="D77" s="184">
        <f>BALERNO!D29+BOROUGH!D29+BROUGHT!D29+CASTLEB!D29+CMOUNT!D29+CROYSTON!D29+CURRIE!D29+DRUMM!D29+FIRRH!D29+FORRES!D29+GRACEM!D29+HOLY_R!D29+JAMESG!D29+LEITH_A!D29+LIBERT!D29+PORTOB!D29+QUEENSF!D29+ST_AUGU!D29+ST_THOM!D29+THE_ROYAL!D29+TRINITY!D29+TYNECA!D29+WHEC!D29</f>
        <v>4296</v>
      </c>
      <c r="E77" s="184">
        <f>BALERNO!E29+BOROUGH!E29+BROUGHT!E29+CASTLEB!E29+CMOUNT!E29+CROYSTON!E29+CURRIE!E29+DRUMM!E29+FIRRH!E29+FORRES!E29+GRACEM!E29+HOLY_R!E29+JAMESG!E29+LEITH_A!E29+LIBERT!E29+PORTOB!E29+QUEENSF!E29+ST_AUGU!E29+ST_THOM!E29+THE_ROYAL!E29+TRINITY!E29+TYNECA!E29+WHEC!E29</f>
        <v>4314</v>
      </c>
      <c r="F77" s="184">
        <f>BALERNO!F29+BOROUGH!F29+BROUGHT!F29+CASTLEB!F29+CMOUNT!F29+CROYSTON!F29+CURRIE!F29+DRUMM!F29+FIRRH!F29+FORRES!F29+GRACEM!F29+HOLY_R!F29+JAMESG!F29+LEITH_A!F29+LIBERT!F29+PORTOB!F29+QUEENSF!F29+ST_AUGU!F29+ST_THOM!F29+THE_ROYAL!F29+TRINITY!F29+TYNECA!F29+WHEC!F29</f>
        <v>4425</v>
      </c>
      <c r="G77" s="184">
        <f>BALERNO!G29+BOROUGH!G29+BROUGHT!G29+CASTLEB!G29+CMOUNT!G29+CROYSTON!G29+CURRIE!G29+DRUMM!G29+FIRRH!G29+FORRES!G29+GRACEM!G29+HOLY_R!G29+JAMESG!G29+LEITH_A!G29+LIBERT!G29+PORTOB!G29+QUEENSF!G29+ST_AUGU!G29+ST_THOM!G29+THE_ROYAL!G29+TRINITY!G29+TYNECA!G29+WHEC!G29</f>
        <v>4423</v>
      </c>
      <c r="H77" s="185">
        <f t="shared" si="8"/>
        <v>26402</v>
      </c>
      <c r="J77" s="186"/>
      <c r="O77" s="39"/>
    </row>
    <row r="78" spans="1:17" x14ac:dyDescent="0.25">
      <c r="A78" s="90">
        <f t="shared" si="9"/>
        <v>2025</v>
      </c>
      <c r="B78" s="184">
        <f>BALERNO!B30+BOROUGH!B30+BROUGHT!B30+CASTLEB!B30+CMOUNT!B30+CROYSTON!B30+CURRIE!B30+DRUMM!B30+FIRRH!B30+FORRES!B30+GRACEM!B30+HOLY_R!B30+JAMESG!B30+LEITH_A!B30+LIBERT!B30+PORTOB!B30+QUEENSF!B30+ST_AUGU!B30+ST_THOM!B30+THE_ROYAL!B30+TRINITY!B30+TYNECA!B30+WHEC!B30</f>
        <v>4560</v>
      </c>
      <c r="C78" s="184">
        <f>BALERNO!C30+BOROUGH!C30+BROUGHT!C30+CASTLEB!C30+CMOUNT!C30+CROYSTON!C30+CURRIE!C30+DRUMM!C30+FIRRH!C30+FORRES!C30+GRACEM!C30+HOLY_R!C30+JAMESG!C30+LEITH_A!C30+LIBERT!C30+PORTOB!C30+QUEENSF!C30+ST_AUGU!C30+ST_THOM!C30+THE_ROYAL!C30+TRINITY!C30+TYNECA!C30+WHEC!C30</f>
        <v>4504</v>
      </c>
      <c r="D78" s="184">
        <f>BALERNO!D30+BOROUGH!D30+BROUGHT!D30+CASTLEB!D30+CMOUNT!D30+CROYSTON!D30+CURRIE!D30+DRUMM!D30+FIRRH!D30+FORRES!D30+GRACEM!D30+HOLY_R!D30+JAMESG!D30+LEITH_A!D30+LIBERT!D30+PORTOB!D30+QUEENSF!D30+ST_AUGU!D30+ST_THOM!D30+THE_ROYAL!D30+TRINITY!D30+TYNECA!D30+WHEC!D30</f>
        <v>4388</v>
      </c>
      <c r="E78" s="184">
        <f>BALERNO!E30+BOROUGH!E30+BROUGHT!E30+CASTLEB!E30+CMOUNT!E30+CROYSTON!E30+CURRIE!E30+DRUMM!E30+FIRRH!E30+FORRES!E30+GRACEM!E30+HOLY_R!E30+JAMESG!E30+LEITH_A!E30+LIBERT!E30+PORTOB!E30+QUEENSF!E30+ST_AUGU!E30+ST_THOM!E30+THE_ROYAL!E30+TRINITY!E30+TYNECA!E30+WHEC!E30</f>
        <v>4284</v>
      </c>
      <c r="F78" s="184">
        <f>BALERNO!F30+BOROUGH!F30+BROUGHT!F30+CASTLEB!F30+CMOUNT!F30+CROYSTON!F30+CURRIE!F30+DRUMM!F30+FIRRH!F30+FORRES!F30+GRACEM!F30+HOLY_R!F30+JAMESG!F30+LEITH_A!F30+LIBERT!F30+PORTOB!F30+QUEENSF!F30+ST_AUGU!F30+ST_THOM!F30+THE_ROYAL!F30+TRINITY!F30+TYNECA!F30+WHEC!F30</f>
        <v>4307</v>
      </c>
      <c r="G78" s="184">
        <f>BALERNO!G30+BOROUGH!G30+BROUGHT!G30+CASTLEB!G30+CMOUNT!G30+CROYSTON!G30+CURRIE!G30+DRUMM!G30+FIRRH!G30+FORRES!G30+GRACEM!G30+HOLY_R!G30+JAMESG!G30+LEITH_A!G30+LIBERT!G30+PORTOB!G30+QUEENSF!G30+ST_AUGU!G30+ST_THOM!G30+THE_ROYAL!G30+TRINITY!G30+TYNECA!G30+WHEC!G30</f>
        <v>4355</v>
      </c>
      <c r="H78" s="185">
        <f t="shared" si="8"/>
        <v>26398</v>
      </c>
      <c r="J78" s="186"/>
      <c r="O78" s="39"/>
    </row>
    <row r="79" spans="1:17" x14ac:dyDescent="0.25">
      <c r="A79" s="90">
        <f t="shared" si="9"/>
        <v>2026</v>
      </c>
      <c r="B79" s="184">
        <f>BALERNO!B31+BOROUGH!B31+BROUGHT!B31+CASTLEB!B31+CMOUNT!B31+CROYSTON!B31+CURRIE!B31+DRUMM!B31+FIRRH!B31+FORRES!B31+GRACEM!B31+HOLY_R!B31+JAMESG!B31+LEITH_A!B31+LIBERT!B31+PORTOB!B31+QUEENSF!B31+ST_AUGU!B31+ST_THOM!B31+THE_ROYAL!B31+TRINITY!B31+TYNECA!B31+WHEC!B31</f>
        <v>4602</v>
      </c>
      <c r="C79" s="184">
        <f>BALERNO!C31+BOROUGH!C31+BROUGHT!C31+CASTLEB!C31+CMOUNT!C31+CROYSTON!C31+CURRIE!C31+DRUMM!C31+FIRRH!C31+FORRES!C31+GRACEM!C31+HOLY_R!C31+JAMESG!C31+LEITH_A!C31+LIBERT!C31+PORTOB!C31+QUEENSF!C31+ST_AUGU!C31+ST_THOM!C31+THE_ROYAL!C31+TRINITY!C31+TYNECA!C31+WHEC!C31</f>
        <v>4558</v>
      </c>
      <c r="D79" s="184">
        <f>BALERNO!D31+BOROUGH!D31+BROUGHT!D31+CASTLEB!D31+CMOUNT!D31+CROYSTON!D31+CURRIE!D31+DRUMM!D31+FIRRH!D31+FORRES!D31+GRACEM!D31+HOLY_R!D31+JAMESG!D31+LEITH_A!D31+LIBERT!D31+PORTOB!D31+QUEENSF!D31+ST_AUGU!D31+ST_THOM!D31+THE_ROYAL!D31+TRINITY!D31+TYNECA!D31+WHEC!D31</f>
        <v>4453</v>
      </c>
      <c r="E79" s="184">
        <f>BALERNO!E31+BOROUGH!E31+BROUGHT!E31+CASTLEB!E31+CMOUNT!E31+CROYSTON!E31+CURRIE!E31+DRUMM!E31+FIRRH!E31+FORRES!E31+GRACEM!E31+HOLY_R!E31+JAMESG!E31+LEITH_A!E31+LIBERT!E31+PORTOB!E31+QUEENSF!E31+ST_AUGU!E31+ST_THOM!E31+THE_ROYAL!E31+TRINITY!E31+TYNECA!E31+WHEC!E31</f>
        <v>4373</v>
      </c>
      <c r="F79" s="184">
        <f>BALERNO!F31+BOROUGH!F31+BROUGHT!F31+CASTLEB!F31+CMOUNT!F31+CROYSTON!F31+CURRIE!F31+DRUMM!F31+FIRRH!F31+FORRES!F31+GRACEM!F31+HOLY_R!F31+JAMESG!F31+LEITH_A!F31+LIBERT!F31+PORTOB!F31+QUEENSF!F31+ST_AUGU!F31+ST_THOM!F31+THE_ROYAL!F31+TRINITY!F31+TYNECA!F31+WHEC!F31</f>
        <v>4282</v>
      </c>
      <c r="G79" s="184">
        <f>BALERNO!G31+BOROUGH!G31+BROUGHT!G31+CASTLEB!G31+CMOUNT!G31+CROYSTON!G31+CURRIE!G31+DRUMM!G31+FIRRH!G31+FORRES!G31+GRACEM!G31+HOLY_R!G31+JAMESG!G31+LEITH_A!G31+LIBERT!G31+PORTOB!G31+QUEENSF!G31+ST_AUGU!G31+ST_THOM!G31+THE_ROYAL!G31+TRINITY!G31+TYNECA!G31+WHEC!G31</f>
        <v>4237</v>
      </c>
      <c r="H79" s="185">
        <f t="shared" si="8"/>
        <v>26505</v>
      </c>
      <c r="J79" s="186"/>
      <c r="O79" s="39"/>
    </row>
    <row r="80" spans="1:17" x14ac:dyDescent="0.25">
      <c r="A80" s="90">
        <f t="shared" si="9"/>
        <v>2027</v>
      </c>
      <c r="B80" s="184">
        <f>BALERNO!B32+BOROUGH!B32+BROUGHT!B32+CASTLEB!B32+CMOUNT!B32+CROYSTON!B32+CURRIE!B32+DRUMM!B32+FIRRH!B32+FORRES!B32+GRACEM!B32+HOLY_R!B32+JAMESG!B32+LEITH_A!B32+LIBERT!B32+PORTOB!B32+QUEENSF!B32+ST_AUGU!B32+ST_THOM!B32+THE_ROYAL!B32+TRINITY!B32+TYNECA!B32+WHEC!B32</f>
        <v>4631</v>
      </c>
      <c r="C80" s="184">
        <f>BALERNO!C32+BOROUGH!C32+BROUGHT!C32+CASTLEB!C32+CMOUNT!C32+CROYSTON!C32+CURRIE!C32+DRUMM!C32+FIRRH!C32+FORRES!C32+GRACEM!C32+HOLY_R!C32+JAMESG!C32+LEITH_A!C32+LIBERT!C32+PORTOB!C32+QUEENSF!C32+ST_AUGU!C32+ST_THOM!C32+THE_ROYAL!C32+TRINITY!C32+TYNECA!C32+WHEC!C32</f>
        <v>4600</v>
      </c>
      <c r="D80" s="184">
        <f>BALERNO!D32+BOROUGH!D32+BROUGHT!D32+CASTLEB!D32+CMOUNT!D32+CROYSTON!D32+CURRIE!D32+DRUMM!D32+FIRRH!D32+FORRES!D32+GRACEM!D32+HOLY_R!D32+JAMESG!D32+LEITH_A!D32+LIBERT!D32+PORTOB!D32+QUEENSF!D32+ST_AUGU!D32+ST_THOM!D32+THE_ROYAL!D32+TRINITY!D32+TYNECA!D32+WHEC!D32</f>
        <v>4506</v>
      </c>
      <c r="E80" s="184">
        <f>BALERNO!E32+BOROUGH!E32+BROUGHT!E32+CASTLEB!E32+CMOUNT!E32+CROYSTON!E32+CURRIE!E32+DRUMM!E32+FIRRH!E32+FORRES!E32+GRACEM!E32+HOLY_R!E32+JAMESG!E32+LEITH_A!E32+LIBERT!E32+PORTOB!E32+QUEENSF!E32+ST_AUGU!E32+ST_THOM!E32+THE_ROYAL!E32+TRINITY!E32+TYNECA!E32+WHEC!E32</f>
        <v>4438</v>
      </c>
      <c r="F80" s="184">
        <f>BALERNO!F32+BOROUGH!F32+BROUGHT!F32+CASTLEB!F32+CMOUNT!F32+CROYSTON!F32+CURRIE!F32+DRUMM!F32+FIRRH!F32+FORRES!F32+GRACEM!F32+HOLY_R!F32+JAMESG!F32+LEITH_A!F32+LIBERT!F32+PORTOB!F32+QUEENSF!F32+ST_AUGU!F32+ST_THOM!F32+THE_ROYAL!F32+TRINITY!F32+TYNECA!F32+WHEC!F32</f>
        <v>4366</v>
      </c>
      <c r="G80" s="184">
        <f>BALERNO!G32+BOROUGH!G32+BROUGHT!G32+CASTLEB!G32+CMOUNT!G32+CROYSTON!G32+CURRIE!G32+DRUMM!G32+FIRRH!G32+FORRES!G32+GRACEM!G32+HOLY_R!G32+JAMESG!G32+LEITH_A!G32+LIBERT!G32+PORTOB!G32+QUEENSF!G32+ST_AUGU!G32+ST_THOM!G32+THE_ROYAL!G32+TRINITY!G32+TYNECA!G32+WHEC!G32</f>
        <v>4217</v>
      </c>
      <c r="H80" s="185">
        <f t="shared" si="8"/>
        <v>26758</v>
      </c>
      <c r="J80" s="186"/>
      <c r="O80" s="39"/>
    </row>
    <row r="81" spans="1:15" x14ac:dyDescent="0.25">
      <c r="A81" s="90">
        <f t="shared" si="9"/>
        <v>2028</v>
      </c>
      <c r="B81" s="184">
        <f>BALERNO!B33+BOROUGH!B33+BROUGHT!B33+CASTLEB!B33+CMOUNT!B33+CROYSTON!B33+CURRIE!B33+DRUMM!B33+FIRRH!B33+FORRES!B33+GRACEM!B33+HOLY_R!B33+JAMESG!B33+LEITH_A!B33+LIBERT!B33+PORTOB!B33+QUEENSF!B33+ST_AUGU!B33+ST_THOM!B33+THE_ROYAL!B33+TRINITY!B33+TYNECA!B33+WHEC!B33</f>
        <v>4653</v>
      </c>
      <c r="C81" s="184">
        <f>BALERNO!C33+BOROUGH!C33+BROUGHT!C33+CASTLEB!C33+CMOUNT!C33+CROYSTON!C33+CURRIE!C33+DRUMM!C33+FIRRH!C33+FORRES!C33+GRACEM!C33+HOLY_R!C33+JAMESG!C33+LEITH_A!C33+LIBERT!C33+PORTOB!C33+QUEENSF!C33+ST_AUGU!C33+ST_THOM!C33+THE_ROYAL!C33+TRINITY!C33+TYNECA!C33+WHEC!C33</f>
        <v>4629</v>
      </c>
      <c r="D81" s="184">
        <f>BALERNO!D33+BOROUGH!D33+BROUGHT!D33+CASTLEB!D33+CMOUNT!D33+CROYSTON!D33+CURRIE!D33+DRUMM!D33+FIRRH!D33+FORRES!D33+GRACEM!D33+HOLY_R!D33+JAMESG!D33+LEITH_A!D33+LIBERT!D33+PORTOB!D33+QUEENSF!D33+ST_AUGU!D33+ST_THOM!D33+THE_ROYAL!D33+TRINITY!D33+TYNECA!D33+WHEC!D33</f>
        <v>4548</v>
      </c>
      <c r="E81" s="184">
        <f>BALERNO!E33+BOROUGH!E33+BROUGHT!E33+CASTLEB!E33+CMOUNT!E33+CROYSTON!E33+CURRIE!E33+DRUMM!E33+FIRRH!E33+FORRES!E33+GRACEM!E33+HOLY_R!E33+JAMESG!E33+LEITH_A!E33+LIBERT!E33+PORTOB!E33+QUEENSF!E33+ST_AUGU!E33+ST_THOM!E33+THE_ROYAL!E33+TRINITY!E33+TYNECA!E33+WHEC!E33</f>
        <v>4492</v>
      </c>
      <c r="F81" s="184">
        <f>BALERNO!F33+BOROUGH!F33+BROUGHT!F33+CASTLEB!F33+CMOUNT!F33+CROYSTON!F33+CURRIE!F33+DRUMM!F33+FIRRH!F33+FORRES!F33+GRACEM!F33+HOLY_R!F33+JAMESG!F33+LEITH_A!F33+LIBERT!F33+PORTOB!F33+QUEENSF!F33+ST_AUGU!F33+ST_THOM!F33+THE_ROYAL!F33+TRINITY!F33+TYNECA!F33+WHEC!F33</f>
        <v>4432</v>
      </c>
      <c r="G81" s="184">
        <f>BALERNO!G33+BOROUGH!G33+BROUGHT!G33+CASTLEB!G33+CMOUNT!G33+CROYSTON!G33+CURRIE!G33+DRUMM!G33+FIRRH!G33+FORRES!G33+GRACEM!G33+HOLY_R!G33+JAMESG!G33+LEITH_A!G33+LIBERT!G33+PORTOB!G33+QUEENSF!G33+ST_AUGU!G33+ST_THOM!G33+THE_ROYAL!G33+TRINITY!G33+TYNECA!G33+WHEC!G33</f>
        <v>4296</v>
      </c>
      <c r="H81" s="185">
        <f t="shared" si="8"/>
        <v>27050</v>
      </c>
      <c r="J81" s="186"/>
      <c r="O81" s="39"/>
    </row>
  </sheetData>
  <mergeCells count="73">
    <mergeCell ref="A15:A16"/>
    <mergeCell ref="A5:A6"/>
    <mergeCell ref="A7:A8"/>
    <mergeCell ref="A9:A10"/>
    <mergeCell ref="A11:A12"/>
    <mergeCell ref="A13:A14"/>
    <mergeCell ref="A17:A18"/>
    <mergeCell ref="A19:A20"/>
    <mergeCell ref="A21:A22"/>
    <mergeCell ref="A23:A24"/>
    <mergeCell ref="A25:A26"/>
    <mergeCell ref="B5:B6"/>
    <mergeCell ref="B7:B8"/>
    <mergeCell ref="B9:B10"/>
    <mergeCell ref="B11:B12"/>
    <mergeCell ref="B13:B14"/>
    <mergeCell ref="A27:A28"/>
    <mergeCell ref="B39:B40"/>
    <mergeCell ref="B41:B42"/>
    <mergeCell ref="B43:B44"/>
    <mergeCell ref="B45:B46"/>
    <mergeCell ref="A41:A42"/>
    <mergeCell ref="A43:A44"/>
    <mergeCell ref="A45:A46"/>
    <mergeCell ref="A47:A48"/>
    <mergeCell ref="A29:A30"/>
    <mergeCell ref="A31:A32"/>
    <mergeCell ref="A33:A34"/>
    <mergeCell ref="A35:A36"/>
    <mergeCell ref="A37:A38"/>
    <mergeCell ref="A39:A40"/>
    <mergeCell ref="B29:B30"/>
    <mergeCell ref="B31:B32"/>
    <mergeCell ref="B33:B34"/>
    <mergeCell ref="B35:B36"/>
    <mergeCell ref="B15:B16"/>
    <mergeCell ref="B17:B18"/>
    <mergeCell ref="B19:B20"/>
    <mergeCell ref="B21:B22"/>
    <mergeCell ref="B23:B24"/>
    <mergeCell ref="B25:B26"/>
    <mergeCell ref="B37:B38"/>
    <mergeCell ref="C33:C34"/>
    <mergeCell ref="C35:C36"/>
    <mergeCell ref="C37:C38"/>
    <mergeCell ref="C5:C6"/>
    <mergeCell ref="C7:C8"/>
    <mergeCell ref="C9:C10"/>
    <mergeCell ref="C11:C12"/>
    <mergeCell ref="C13:C14"/>
    <mergeCell ref="C15:C16"/>
    <mergeCell ref="C23:C24"/>
    <mergeCell ref="C25:C26"/>
    <mergeCell ref="C27:C28"/>
    <mergeCell ref="C29:C30"/>
    <mergeCell ref="C31:C32"/>
    <mergeCell ref="B27:B28"/>
    <mergeCell ref="T2:U5"/>
    <mergeCell ref="A51:A52"/>
    <mergeCell ref="B51:B52"/>
    <mergeCell ref="C51:C52"/>
    <mergeCell ref="C41:C42"/>
    <mergeCell ref="C43:C44"/>
    <mergeCell ref="C45:C46"/>
    <mergeCell ref="C47:C48"/>
    <mergeCell ref="C49:C50"/>
    <mergeCell ref="B47:B48"/>
    <mergeCell ref="B49:B50"/>
    <mergeCell ref="A49:A50"/>
    <mergeCell ref="C39:C40"/>
    <mergeCell ref="C17:C18"/>
    <mergeCell ref="C19:C20"/>
    <mergeCell ref="C21:C22"/>
  </mergeCells>
  <conditionalFormatting sqref="E5:R5">
    <cfRule type="cellIs" dxfId="95" priority="51" operator="greaterThan">
      <formula>$B$5</formula>
    </cfRule>
  </conditionalFormatting>
  <conditionalFormatting sqref="E6:R6">
    <cfRule type="cellIs" dxfId="94" priority="50" operator="greaterThan">
      <formula>$C$5</formula>
    </cfRule>
  </conditionalFormatting>
  <conditionalFormatting sqref="E7:R7">
    <cfRule type="cellIs" dxfId="93" priority="49" operator="greaterThan">
      <formula>$B$7</formula>
    </cfRule>
  </conditionalFormatting>
  <conditionalFormatting sqref="E8:R8">
    <cfRule type="cellIs" dxfId="92" priority="48" operator="greaterThan">
      <formula>$C$7</formula>
    </cfRule>
  </conditionalFormatting>
  <conditionalFormatting sqref="E9:R9">
    <cfRule type="cellIs" dxfId="91" priority="47" operator="greaterThan">
      <formula>$B$9</formula>
    </cfRule>
  </conditionalFormatting>
  <conditionalFormatting sqref="E10:R10">
    <cfRule type="cellIs" dxfId="90" priority="46" operator="greaterThan">
      <formula>$C$9</formula>
    </cfRule>
  </conditionalFormatting>
  <conditionalFormatting sqref="E11:R11">
    <cfRule type="cellIs" dxfId="89" priority="45" operator="greaterThan">
      <formula>$B$11</formula>
    </cfRule>
  </conditionalFormatting>
  <conditionalFormatting sqref="E12:R12">
    <cfRule type="cellIs" dxfId="88" priority="44" operator="greaterThan">
      <formula>$C$11</formula>
    </cfRule>
  </conditionalFormatting>
  <conditionalFormatting sqref="E13:R13">
    <cfRule type="cellIs" dxfId="87" priority="43" operator="greaterThan">
      <formula>$B$13</formula>
    </cfRule>
  </conditionalFormatting>
  <conditionalFormatting sqref="E14:R14">
    <cfRule type="cellIs" dxfId="86" priority="42" operator="greaterThan">
      <formula>$C$13</formula>
    </cfRule>
  </conditionalFormatting>
  <conditionalFormatting sqref="E15:R15">
    <cfRule type="cellIs" dxfId="85" priority="41" operator="greaterThan">
      <formula>$B$15</formula>
    </cfRule>
  </conditionalFormatting>
  <conditionalFormatting sqref="E16:R16">
    <cfRule type="cellIs" dxfId="84" priority="40" operator="greaterThan">
      <formula>$C$15</formula>
    </cfRule>
  </conditionalFormatting>
  <conditionalFormatting sqref="E17:R17">
    <cfRule type="cellIs" dxfId="83" priority="39" operator="greaterThan">
      <formula>$B$17</formula>
    </cfRule>
  </conditionalFormatting>
  <conditionalFormatting sqref="E18:R18">
    <cfRule type="cellIs" dxfId="82" priority="38" operator="greaterThan">
      <formula>$C$17</formula>
    </cfRule>
  </conditionalFormatting>
  <conditionalFormatting sqref="E19:R19">
    <cfRule type="cellIs" dxfId="81" priority="37" operator="greaterThan">
      <formula>$B$19</formula>
    </cfRule>
  </conditionalFormatting>
  <conditionalFormatting sqref="E20:R20">
    <cfRule type="cellIs" dxfId="80" priority="36" operator="greaterThan">
      <formula>$C$19</formula>
    </cfRule>
  </conditionalFormatting>
  <conditionalFormatting sqref="E21:R21">
    <cfRule type="cellIs" dxfId="79" priority="35" operator="greaterThan">
      <formula>$B$21</formula>
    </cfRule>
  </conditionalFormatting>
  <conditionalFormatting sqref="E22:R22">
    <cfRule type="cellIs" dxfId="78" priority="34" operator="greaterThan">
      <formula>$C$21</formula>
    </cfRule>
  </conditionalFormatting>
  <conditionalFormatting sqref="E23:R23">
    <cfRule type="cellIs" dxfId="77" priority="33" operator="greaterThan">
      <formula>$B$23</formula>
    </cfRule>
  </conditionalFormatting>
  <conditionalFormatting sqref="E24:R24">
    <cfRule type="cellIs" dxfId="76" priority="32" operator="greaterThan">
      <formula>$C$23</formula>
    </cfRule>
  </conditionalFormatting>
  <conditionalFormatting sqref="E25:R25">
    <cfRule type="cellIs" dxfId="75" priority="31" operator="greaterThan">
      <formula>$B$25</formula>
    </cfRule>
  </conditionalFormatting>
  <conditionalFormatting sqref="E26:R26">
    <cfRule type="cellIs" dxfId="74" priority="30" operator="greaterThan">
      <formula>$C$25</formula>
    </cfRule>
  </conditionalFormatting>
  <conditionalFormatting sqref="E27:R27">
    <cfRule type="cellIs" dxfId="73" priority="29" operator="greaterThan">
      <formula>$B$27</formula>
    </cfRule>
  </conditionalFormatting>
  <conditionalFormatting sqref="E28:R28">
    <cfRule type="cellIs" dxfId="72" priority="28" operator="greaterThan">
      <formula>$C$27</formula>
    </cfRule>
  </conditionalFormatting>
  <conditionalFormatting sqref="E29:R29">
    <cfRule type="cellIs" dxfId="71" priority="27" operator="greaterThan">
      <formula>$B$29</formula>
    </cfRule>
  </conditionalFormatting>
  <conditionalFormatting sqref="E30:R30">
    <cfRule type="cellIs" dxfId="70" priority="26" operator="greaterThan">
      <formula>$C$29</formula>
    </cfRule>
  </conditionalFormatting>
  <conditionalFormatting sqref="E31:R31">
    <cfRule type="cellIs" dxfId="69" priority="25" operator="greaterThan">
      <formula>$B$31</formula>
    </cfRule>
  </conditionalFormatting>
  <conditionalFormatting sqref="E32:R32">
    <cfRule type="cellIs" dxfId="68" priority="24" operator="greaterThan">
      <formula>$C$31</formula>
    </cfRule>
  </conditionalFormatting>
  <conditionalFormatting sqref="E33:R33">
    <cfRule type="cellIs" dxfId="67" priority="23" operator="greaterThan">
      <formula>$B$33</formula>
    </cfRule>
  </conditionalFormatting>
  <conditionalFormatting sqref="E34:R34">
    <cfRule type="cellIs" dxfId="66" priority="22" operator="greaterThan">
      <formula>$C$33</formula>
    </cfRule>
  </conditionalFormatting>
  <conditionalFormatting sqref="E35:R35">
    <cfRule type="cellIs" dxfId="65" priority="21" operator="greaterThan">
      <formula>$B$35</formula>
    </cfRule>
  </conditionalFormatting>
  <conditionalFormatting sqref="E36:R36">
    <cfRule type="cellIs" dxfId="64" priority="20" operator="greaterThan">
      <formula>$C$35</formula>
    </cfRule>
  </conditionalFormatting>
  <conditionalFormatting sqref="E37:R37">
    <cfRule type="cellIs" dxfId="63" priority="19" operator="greaterThan">
      <formula>$B$37</formula>
    </cfRule>
  </conditionalFormatting>
  <conditionalFormatting sqref="E38:R38">
    <cfRule type="cellIs" dxfId="62" priority="18" operator="greaterThan">
      <formula>$C$37</formula>
    </cfRule>
  </conditionalFormatting>
  <conditionalFormatting sqref="E39:R39">
    <cfRule type="cellIs" dxfId="61" priority="17" operator="greaterThan">
      <formula>$B$39</formula>
    </cfRule>
  </conditionalFormatting>
  <conditionalFormatting sqref="E40:R40">
    <cfRule type="cellIs" dxfId="60" priority="16" operator="greaterThan">
      <formula>$C$39</formula>
    </cfRule>
  </conditionalFormatting>
  <conditionalFormatting sqref="E41:R41">
    <cfRule type="cellIs" dxfId="59" priority="15" operator="greaterThan">
      <formula>$B$41</formula>
    </cfRule>
  </conditionalFormatting>
  <conditionalFormatting sqref="E42:R42">
    <cfRule type="cellIs" dxfId="58" priority="14" operator="greaterThan">
      <formula>$C$41</formula>
    </cfRule>
  </conditionalFormatting>
  <conditionalFormatting sqref="E43:R43">
    <cfRule type="cellIs" dxfId="57" priority="13" operator="greaterThan">
      <formula>$B$43</formula>
    </cfRule>
  </conditionalFormatting>
  <conditionalFormatting sqref="E44:R44">
    <cfRule type="cellIs" dxfId="56" priority="12" operator="greaterThan">
      <formula>$C$43</formula>
    </cfRule>
  </conditionalFormatting>
  <conditionalFormatting sqref="E45:R45">
    <cfRule type="cellIs" dxfId="55" priority="11" operator="greaterThan">
      <formula>$B$45</formula>
    </cfRule>
  </conditionalFormatting>
  <conditionalFormatting sqref="E46:R46">
    <cfRule type="cellIs" dxfId="54" priority="10" operator="greaterThan">
      <formula>$C$45</formula>
    </cfRule>
  </conditionalFormatting>
  <conditionalFormatting sqref="E47:R47">
    <cfRule type="cellIs" dxfId="53" priority="9" operator="greaterThan">
      <formula>$B$47</formula>
    </cfRule>
  </conditionalFormatting>
  <conditionalFormatting sqref="E48:R48">
    <cfRule type="cellIs" dxfId="52" priority="8" operator="greaterThan">
      <formula>$C$47</formula>
    </cfRule>
  </conditionalFormatting>
  <conditionalFormatting sqref="E49:R49">
    <cfRule type="cellIs" dxfId="51" priority="7" operator="greaterThan">
      <formula>$B$49</formula>
    </cfRule>
  </conditionalFormatting>
  <conditionalFormatting sqref="E50:R50">
    <cfRule type="cellIs" dxfId="50" priority="6" operator="greaterThan">
      <formula>$C$49</formula>
    </cfRule>
  </conditionalFormatting>
  <conditionalFormatting sqref="E51:R51">
    <cfRule type="cellIs" dxfId="49" priority="2" operator="greaterThan">
      <formula>$B$51</formula>
    </cfRule>
  </conditionalFormatting>
  <conditionalFormatting sqref="E52:R52">
    <cfRule type="cellIs" dxfId="48" priority="1" operator="greaterThan">
      <formula>$C$51</formula>
    </cfRule>
  </conditionalFormatting>
  <hyperlinks>
    <hyperlink ref="A5:A6" location="BALERNO!Print_Area" display="Balerno Community High School"/>
    <hyperlink ref="A7:A8" location="BOROUGH!Print_Area" display="Boroughmuir High School"/>
    <hyperlink ref="A9:A10" location="BROUGHT!Print_Area" display="Broughton High School"/>
    <hyperlink ref="A11:A12" location="CASTLEB!Print_Area" display="Castlebrae Community High School"/>
    <hyperlink ref="A13:A14" location="CMOUNT!Print_Area" display="Craigmount High School"/>
    <hyperlink ref="A15:A16" location="CROYSTON!Print_Area" display="Craigroyston Community High School"/>
    <hyperlink ref="A17:A18" location="CURRIE!Print_Area" display="Currie Community High School"/>
    <hyperlink ref="A19:A20" location="DRUMM!Print_Area" display="Drummond Community High School"/>
    <hyperlink ref="A21:A22" location="FIRRH!Print_Area" display="Firrhill High School"/>
    <hyperlink ref="A23:A24" location="FORRES!Print_Area" display="Forrester High School"/>
    <hyperlink ref="A25:A26" location="GRACEM!Print_Area" display="Gracemount High School"/>
    <hyperlink ref="A27:A28" location="HOLY_R!Print_Area" display="Holy Rood RC High School"/>
    <hyperlink ref="A29:A30" location="JAMESG!Print_Area" display="James Gillespie's High School"/>
    <hyperlink ref="A31:A32" location="LEITH_A!Print_Area" display="Leith Academy"/>
    <hyperlink ref="A33:A34" location="LIBERT!Print_Area" display="Liberton High School"/>
    <hyperlink ref="A35:A36" location="PORTOB!Print_Area" display="Portobello High School"/>
    <hyperlink ref="A37:A38" location="QUEENSF!Print_Area" display="Queensferry Community High School"/>
    <hyperlink ref="A39:A40" location="ST_AUGU!Print_Area" display="St Augustine's RC High School"/>
    <hyperlink ref="A41:A42" location="ST_THOM!Print_Area" display="St Thomas of Aquin's RC High School"/>
    <hyperlink ref="A43:A44" location="THE_ROYAL!Print_Area" display="The Royal High School"/>
    <hyperlink ref="A45:A46" location="TRINITY!Print_Area" display="Trinity Academy"/>
    <hyperlink ref="A47:A48" location="TYNECA!Print_Area" display="Tynecastle High School"/>
    <hyperlink ref="A49:A50" location="WHEC!Print_Area" display="Wester Hailes Education Centre"/>
  </hyperlinks>
  <pageMargins left="0.25" right="0.25" top="0.75" bottom="0.75" header="0.3" footer="0.3"/>
  <pageSetup paperSize="8" scale="7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84"/>
  <sheetViews>
    <sheetView topLeftCell="I1" workbookViewId="0">
      <selection activeCell="R18" sqref="R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107</v>
      </c>
    </row>
    <row r="2" spans="1:24" x14ac:dyDescent="0.25">
      <c r="A2" t="s">
        <v>400</v>
      </c>
    </row>
    <row r="4" spans="1:24" x14ac:dyDescent="0.25">
      <c r="A4" s="21" t="s">
        <v>192</v>
      </c>
    </row>
    <row r="5" spans="1:24" x14ac:dyDescent="0.25">
      <c r="A5" s="21"/>
    </row>
    <row r="6" spans="1:24" x14ac:dyDescent="0.25">
      <c r="A6" s="21" t="s">
        <v>193</v>
      </c>
      <c r="C6" s="100">
        <f>VLOOKUP(A1,'Projection Summary'!A5:C50,3,FALSE)</f>
        <v>1000</v>
      </c>
    </row>
    <row r="7" spans="1:24" x14ac:dyDescent="0.25">
      <c r="A7" s="21" t="s">
        <v>191</v>
      </c>
      <c r="B7" s="21"/>
      <c r="C7" s="100">
        <f>VLOOKUP(A1,'Projection Summary'!A5:C50,2,FALSE)</f>
        <v>180</v>
      </c>
    </row>
    <row r="9" spans="1:24" ht="15.75" x14ac:dyDescent="0.25">
      <c r="A9" s="129" t="s">
        <v>197</v>
      </c>
      <c r="Q9" s="129" t="s">
        <v>198</v>
      </c>
      <c r="S9" s="173"/>
      <c r="X9"/>
    </row>
    <row r="10" spans="1:24" x14ac:dyDescent="0.25">
      <c r="A10" s="21"/>
      <c r="Q10" s="39"/>
      <c r="X10"/>
    </row>
    <row r="11" spans="1:24" x14ac:dyDescent="0.25">
      <c r="A11" s="21" t="s">
        <v>335</v>
      </c>
      <c r="K11" s="406" t="s">
        <v>137</v>
      </c>
      <c r="L11" s="407"/>
      <c r="M11" s="412" t="s">
        <v>139</v>
      </c>
      <c r="N11" s="49"/>
      <c r="O11" s="394" t="s">
        <v>136</v>
      </c>
      <c r="Q11" s="21" t="s">
        <v>336</v>
      </c>
      <c r="R11" s="52"/>
      <c r="S11" s="52"/>
      <c r="T11" s="52"/>
      <c r="U11" s="52"/>
      <c r="V11" s="52"/>
      <c r="W11" s="52"/>
      <c r="X11"/>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174</v>
      </c>
      <c r="C13" s="19">
        <f>VLOOKUP($A$1,'Primary Catchment Analysis'!$A$3:$BE$25, 38, FALSE)</f>
        <v>180</v>
      </c>
      <c r="D13" s="27">
        <f>VLOOKUP($A$1,'Primary Catchment Analysis'!$A$3:$BE$25, 39, FALSE)</f>
        <v>154</v>
      </c>
      <c r="E13" s="27">
        <f>VLOOKUP($A$1,'Primary Catchment Analysis'!$A$3:$BE$25, 40, FALSE)</f>
        <v>168</v>
      </c>
      <c r="F13" s="27">
        <f>VLOOKUP($A$1,'Primary Catchment Analysis'!$A$3:$BE$25, 41, FALSE)</f>
        <v>145</v>
      </c>
      <c r="G13" s="126">
        <f>VLOOKUP($A$1,'Primary Catchment Analysis'!$A$3:$BE$25, 42, FALSE)</f>
        <v>140</v>
      </c>
      <c r="H13" s="28">
        <f>VLOOKUP($A$1,'Primary Catchment Analysis'!$A$3:$BE$25, 43, FALSE)</f>
        <v>134</v>
      </c>
      <c r="I13" s="28">
        <f>VLOOKUP($A$1,'S1 Catchment Analysis'!A3:I25, 7, FALSE)</f>
        <v>124</v>
      </c>
      <c r="J13" s="23"/>
      <c r="K13" s="410"/>
      <c r="L13" s="411"/>
      <c r="M13" s="399"/>
      <c r="N13" s="50"/>
      <c r="O13" s="399"/>
      <c r="P13" s="50"/>
      <c r="Q13" s="25">
        <f>A13</f>
        <v>2013</v>
      </c>
      <c r="R13" s="69">
        <f>VLOOKUP($A$1,'Secondary Rolls'!$A$3:$BE$25, 37, FALSE)</f>
        <v>128</v>
      </c>
      <c r="S13" s="53">
        <f>VLOOKUP($A$1,'Secondary Rolls'!$A$3:$BE$25, 38, FALSE)</f>
        <v>126</v>
      </c>
      <c r="T13" s="53">
        <f>VLOOKUP($A$1,'Secondary Rolls'!$A$3:$BE$25, 39, FALSE)</f>
        <v>123</v>
      </c>
      <c r="U13" s="122">
        <f>VLOOKUP($A$1,'Secondary Rolls'!$A$3:$BE$25, 40, FALSE)</f>
        <v>143</v>
      </c>
      <c r="V13" s="63">
        <f>VLOOKUP($A$1,'Secondary Rolls'!$A$3:$BE$25, 41, FALSE)</f>
        <v>140</v>
      </c>
      <c r="W13" s="53">
        <f>VLOOKUP($A$1,'Secondary Rolls'!$A$3:$BE$25, 42, FALSE)</f>
        <v>114</v>
      </c>
      <c r="X13" s="62">
        <f t="shared" ref="X13:X17" si="0">SUM(R13:W13)</f>
        <v>774</v>
      </c>
    </row>
    <row r="14" spans="1:24" ht="15.75" thickBot="1" x14ac:dyDescent="0.3">
      <c r="A14" s="25">
        <f>VLOOKUP($A$12,'S1 Catchment Analysis'!A2:I2, 6, FALSE)</f>
        <v>2014</v>
      </c>
      <c r="B14" s="45">
        <f>VLOOKUP($A$1,'Primary Catchment Analysis'!$A$3:$BE$25, 30, FALSE)</f>
        <v>204</v>
      </c>
      <c r="C14" s="44">
        <f>VLOOKUP($A$1,'Primary Catchment Analysis'!$A$3:$BE$25, 31, FALSE)</f>
        <v>174</v>
      </c>
      <c r="D14" s="19">
        <f>VLOOKUP($A$1,'Primary Catchment Analysis'!$A$3:$BE$25, 32, FALSE)</f>
        <v>186</v>
      </c>
      <c r="E14" s="27">
        <f>VLOOKUP($A$1,'Primary Catchment Analysis'!$A$3:$BE$25, 33, FALSE)</f>
        <v>161</v>
      </c>
      <c r="F14" s="27">
        <f>VLOOKUP($A$1,'Primary Catchment Analysis'!$A$3:$BE$25, 34, FALSE)</f>
        <v>179</v>
      </c>
      <c r="G14" s="126">
        <f>VLOOKUP($A$1,'Primary Catchment Analysis'!$A$3:$BE$25, 35, FALSE)</f>
        <v>143</v>
      </c>
      <c r="H14" s="28">
        <f>VLOOKUP($A$1,'Primary Catchment Analysis'!$A$3:$BE$25, 36, FALSE)</f>
        <v>146</v>
      </c>
      <c r="I14" s="27">
        <f>VLOOKUP($A$1,'S1 Catchment Analysis'!A3:I25, 6, FALSE)</f>
        <v>139</v>
      </c>
      <c r="J14" s="23"/>
      <c r="K14" s="400">
        <f>VLOOKUP($A$1,'S1 Catchment Retained'!A2:I25, 6, FALSE)</f>
        <v>135</v>
      </c>
      <c r="L14" s="423"/>
      <c r="M14" s="110">
        <f t="shared" ref="M14:M18" si="1">(K14/I14)</f>
        <v>0.97122302158273377</v>
      </c>
      <c r="N14" s="50"/>
      <c r="O14" s="111">
        <f t="shared" ref="O14:O18" si="2">R14-K14</f>
        <v>5</v>
      </c>
      <c r="P14" s="50"/>
      <c r="Q14" s="25">
        <f t="shared" ref="Q14:Q18" si="3">A14</f>
        <v>2014</v>
      </c>
      <c r="R14" s="67">
        <f>VLOOKUP($A$1,'Secondary Rolls'!$A$3:$BE$25, 30, FALSE)</f>
        <v>140</v>
      </c>
      <c r="S14" s="69">
        <f>VLOOKUP($A$1,'Secondary Rolls'!$A$3:$BE$25, 31, FALSE)</f>
        <v>128</v>
      </c>
      <c r="T14" s="61">
        <f>VLOOKUP($A$1,'Secondary Rolls'!$A$3:$BE$25, 32, FALSE)</f>
        <v>132</v>
      </c>
      <c r="U14" s="61">
        <f>VLOOKUP($A$1,'Secondary Rolls'!$A$3:$BE$25, 33, FALSE)</f>
        <v>123</v>
      </c>
      <c r="V14" s="64">
        <f>VLOOKUP($A$1,'Secondary Rolls'!$A$3:$BE$25, 34, FALSE)</f>
        <v>133</v>
      </c>
      <c r="W14" s="116">
        <f>VLOOKUP($A$1,'Secondary Rolls'!$A$3:$BE$25, 35, FALSE)</f>
        <v>94</v>
      </c>
      <c r="X14" s="62">
        <f t="shared" si="0"/>
        <v>750</v>
      </c>
    </row>
    <row r="15" spans="1:24" ht="15.75" thickBot="1" x14ac:dyDescent="0.3">
      <c r="A15" s="25">
        <f>VLOOKUP($A$12,'S1 Catchment Analysis'!A2:I2, 5, FALSE)</f>
        <v>2015</v>
      </c>
      <c r="B15" s="19">
        <f>VLOOKUP($A$1,'Primary Catchment Analysis'!$A$3:$BE$25, 23, FALSE)</f>
        <v>168</v>
      </c>
      <c r="C15" s="45">
        <f>VLOOKUP($A$1,'Primary Catchment Analysis'!$A$3:$BE$25, 24, FALSE)</f>
        <v>198</v>
      </c>
      <c r="D15" s="44">
        <f>VLOOKUP($A$1,'Primary Catchment Analysis'!$A$3:$BE$25, 25, FALSE)</f>
        <v>171</v>
      </c>
      <c r="E15" s="19">
        <f>VLOOKUP($A$1,'Primary Catchment Analysis'!$A$3:$BE$25, 26, FALSE)</f>
        <v>187</v>
      </c>
      <c r="F15" s="27">
        <f>VLOOKUP($A$1,'Primary Catchment Analysis'!$A$3:$BE$25, 27, FALSE)</f>
        <v>169</v>
      </c>
      <c r="G15" s="126">
        <f>VLOOKUP($A$1,'Primary Catchment Analysis'!$A$3:$BE$25, 28, FALSE)</f>
        <v>172</v>
      </c>
      <c r="H15" s="30">
        <f>VLOOKUP($A$1,'Primary Catchment Analysis'!$A$3:$BE$25, 29, FALSE)</f>
        <v>143</v>
      </c>
      <c r="I15" s="29">
        <f>VLOOKUP($A$1,'S1 Catchment Analysis'!A3:I25, 5, FALSE)</f>
        <v>148</v>
      </c>
      <c r="J15" s="23"/>
      <c r="K15" s="400">
        <f>VLOOKUP($A$1,'S1 Catchment Retained'!A2:I25, 5, FALSE)</f>
        <v>144</v>
      </c>
      <c r="L15" s="423"/>
      <c r="M15" s="110">
        <f t="shared" si="1"/>
        <v>0.97297297297297303</v>
      </c>
      <c r="N15" s="50"/>
      <c r="O15" s="111">
        <f t="shared" si="2"/>
        <v>6</v>
      </c>
      <c r="P15" s="50"/>
      <c r="Q15" s="25">
        <f t="shared" si="3"/>
        <v>2015</v>
      </c>
      <c r="R15" s="68">
        <f>VLOOKUP($A$1,'Secondary Rolls'!$A$3:$BE$25, 23, FALSE)</f>
        <v>150</v>
      </c>
      <c r="S15" s="67">
        <f>VLOOKUP($A$1,'Secondary Rolls'!$A$3:$BE$25, 24, FALSE)</f>
        <v>136</v>
      </c>
      <c r="T15" s="71">
        <f>VLOOKUP($A$1,'Secondary Rolls'!$A$3:$BE$25, 25, FALSE)</f>
        <v>123</v>
      </c>
      <c r="U15" s="61">
        <f>VLOOKUP($A$1,'Secondary Rolls'!$A$3:$BE$25, 26, FALSE)</f>
        <v>133</v>
      </c>
      <c r="V15" s="123">
        <f>VLOOKUP($A$1,'Secondary Rolls'!$A$3:$BE$25, 27, FALSE)</f>
        <v>106</v>
      </c>
      <c r="W15" s="64">
        <f>VLOOKUP($A$1,'Secondary Rolls'!$A$3:$BE$25, 28, FALSE)</f>
        <v>105</v>
      </c>
      <c r="X15" s="62">
        <f t="shared" si="0"/>
        <v>753</v>
      </c>
    </row>
    <row r="16" spans="1:24" ht="15.75" thickBot="1" x14ac:dyDescent="0.3">
      <c r="A16" s="25">
        <f>VLOOKUP($A$12,'S1 Catchment Analysis'!A2:I2, 4, FALSE)</f>
        <v>2016</v>
      </c>
      <c r="B16" s="44">
        <f>VLOOKUP($A$1,'Primary Catchment Analysis'!$A$3:$BE$25, 16, FALSE)</f>
        <v>212</v>
      </c>
      <c r="C16" s="19">
        <f>VLOOKUP($A$1,'Primary Catchment Analysis'!$A$3:$BE$25, 17, FALSE)</f>
        <v>172</v>
      </c>
      <c r="D16" s="45">
        <f>VLOOKUP($A$1,'Primary Catchment Analysis'!$A$3:$BE$25, 18, FALSE)</f>
        <v>206</v>
      </c>
      <c r="E16" s="44">
        <f>VLOOKUP($A$1,'Primary Catchment Analysis'!$A$3:$BE$25, 19, FALSE)</f>
        <v>174</v>
      </c>
      <c r="F16" s="19">
        <f>VLOOKUP($A$1,'Primary Catchment Analysis'!$A$3:$BE$25, 20, FALSE)</f>
        <v>182</v>
      </c>
      <c r="G16" s="126">
        <f>VLOOKUP($A$1,'Primary Catchment Analysis'!$A$3:$BE$25, 21, FALSE)</f>
        <v>166</v>
      </c>
      <c r="H16" s="112">
        <f>VLOOKUP($A$1,'Primary Catchment Analysis'!$A$3:$BE$25, 22, FALSE)</f>
        <v>166</v>
      </c>
      <c r="I16" s="30">
        <f>VLOOKUP($A$1,'S1 Catchment Analysis'!A3:I25, 4, FALSE)</f>
        <v>158</v>
      </c>
      <c r="J16" s="23"/>
      <c r="K16" s="400">
        <f>VLOOKUP($A$1,'S1 Catchment Retained'!A2:I25, 4, FALSE)</f>
        <v>153</v>
      </c>
      <c r="L16" s="424"/>
      <c r="M16" s="56">
        <f t="shared" si="1"/>
        <v>0.96835443037974689</v>
      </c>
      <c r="N16" s="50"/>
      <c r="O16" s="103">
        <f t="shared" si="2"/>
        <v>3</v>
      </c>
      <c r="P16" s="50"/>
      <c r="Q16" s="25">
        <f t="shared" si="3"/>
        <v>2016</v>
      </c>
      <c r="R16" s="69">
        <f>VLOOKUP($A$1,'Secondary Rolls'!$A$3:$BE$25, 16, FALSE)</f>
        <v>156</v>
      </c>
      <c r="S16" s="68">
        <f>VLOOKUP($A$1,'Secondary Rolls'!$A$3:$BE$25, 17, FALSE)</f>
        <v>144</v>
      </c>
      <c r="T16" s="70">
        <f>VLOOKUP($A$1,'Secondary Rolls'!$A$3:$BE$25, 18, FALSE)</f>
        <v>136</v>
      </c>
      <c r="U16" s="71">
        <f>VLOOKUP($A$1,'Secondary Rolls'!$A$3:$BE$25, 19, FALSE)</f>
        <v>125</v>
      </c>
      <c r="V16" s="66">
        <f>VLOOKUP($A$1,'Secondary Rolls'!$A$3:$BE$25, 20, FALSE)</f>
        <v>123</v>
      </c>
      <c r="W16" s="65">
        <f>VLOOKUP($A$1,'Secondary Rolls'!$A$3:$BE$25, 21, FALSE)</f>
        <v>79</v>
      </c>
      <c r="X16" s="62">
        <f t="shared" si="0"/>
        <v>763</v>
      </c>
    </row>
    <row r="17" spans="1:25" ht="15.75" thickBot="1" x14ac:dyDescent="0.3">
      <c r="A17" s="258">
        <f>VLOOKUP($A$12,'S1 Catchment Analysis'!A2:I2, 3, FALSE)</f>
        <v>2017</v>
      </c>
      <c r="B17" s="259">
        <f>VLOOKUP($A$1,'Primary Catchment Analysis'!$A$3:$BE$25, 9, FALSE)</f>
        <v>212</v>
      </c>
      <c r="C17" s="260">
        <f>VLOOKUP($A$1,'Primary Catchment Analysis'!$A$3:$BE$25, 10, FALSE)</f>
        <v>218</v>
      </c>
      <c r="D17" s="261">
        <f>VLOOKUP($A$1,'Primary Catchment Analysis'!$A$3:$BE$25, 11, FALSE)</f>
        <v>170</v>
      </c>
      <c r="E17" s="259">
        <f>VLOOKUP($A$1,'Primary Catchment Analysis'!$A$3:$BE$25, 12, FALSE)</f>
        <v>206</v>
      </c>
      <c r="F17" s="260">
        <f>VLOOKUP($A$1,'Primary Catchment Analysis'!$A$3:$BE$25, 13, FALSE)</f>
        <v>176</v>
      </c>
      <c r="G17" s="262">
        <f>VLOOKUP($A$1,'Primary Catchment Analysis'!$A$3:$BE$25, 14, FALSE)</f>
        <v>180</v>
      </c>
      <c r="H17" s="113">
        <f>VLOOKUP($A$1,'Primary Catchment Analysis'!$A$3:$BE$25, 15, FALSE)</f>
        <v>157</v>
      </c>
      <c r="I17" s="31">
        <f>VLOOKUP($A$1,'S1 Catchment Analysis'!A3:I25, 3, FALSE)</f>
        <v>170</v>
      </c>
      <c r="J17" s="23"/>
      <c r="K17" s="400">
        <f>VLOOKUP($A$1,'S1 Catchment Retained'!A2:I25, 3, FALSE)</f>
        <v>166</v>
      </c>
      <c r="L17" s="424"/>
      <c r="M17" s="57">
        <f t="shared" si="1"/>
        <v>0.97647058823529409</v>
      </c>
      <c r="N17" s="50"/>
      <c r="O17" s="104">
        <f t="shared" si="2"/>
        <v>5</v>
      </c>
      <c r="P17" s="50"/>
      <c r="Q17" s="25">
        <f t="shared" si="3"/>
        <v>2017</v>
      </c>
      <c r="R17" s="264">
        <f>VLOOKUP($A$1,'Secondary Rolls'!$A$3:$BE$25, 9, FALSE)</f>
        <v>171</v>
      </c>
      <c r="S17" s="265">
        <f>VLOOKUP($A$1,'Secondary Rolls'!$A$3:$BE$25, 10, FALSE)</f>
        <v>156</v>
      </c>
      <c r="T17" s="266">
        <f>VLOOKUP($A$1,'Secondary Rolls'!$A$3:$BE$25, 11, FALSE)</f>
        <v>143</v>
      </c>
      <c r="U17" s="270">
        <f>VLOOKUP($A$1,'Secondary Rolls'!$A$3:$BE$25, 12, FALSE)</f>
        <v>138</v>
      </c>
      <c r="V17" s="271">
        <f>VLOOKUP($A$1,'Secondary Rolls'!$A$3:$BE$25, 13, FALSE)</f>
        <v>114</v>
      </c>
      <c r="W17" s="272">
        <f>VLOOKUP($A$1,'Secondary Rolls'!$A$3:$BE$25, 14, FALSE)</f>
        <v>96</v>
      </c>
      <c r="X17" s="116">
        <f t="shared" si="0"/>
        <v>818</v>
      </c>
    </row>
    <row r="18" spans="1:25" ht="15.75" thickBot="1" x14ac:dyDescent="0.3">
      <c r="A18" s="25">
        <f>VLOOKUP($A$12,'S1 Catchment Analysis'!A2:I2, 2, FALSE)</f>
        <v>2018</v>
      </c>
      <c r="B18" s="19">
        <f>VLOOKUP($A$1,'Primary Catchment Analysis'!$A$3:$BE$25, 2, FALSE)</f>
        <v>232</v>
      </c>
      <c r="C18" s="45">
        <f>VLOOKUP($A$1,'Primary Catchment Analysis'!$A$3:$BE$25, 3, FALSE)</f>
        <v>229</v>
      </c>
      <c r="D18" s="44">
        <f>VLOOKUP($A$1,'Primary Catchment Analysis'!$A$3:$BE$25, 4, FALSE)</f>
        <v>217</v>
      </c>
      <c r="E18" s="19">
        <f>VLOOKUP($A$1,'Primary Catchment Analysis'!$A$3:$BE$25, 5, FALSE)</f>
        <v>174</v>
      </c>
      <c r="F18" s="45">
        <f>VLOOKUP($A$1,'Primary Catchment Analysis'!$A$3:$BE$25, 6, FALSE)</f>
        <v>205</v>
      </c>
      <c r="G18" s="273">
        <f>VLOOKUP($A$1,'Primary Catchment Analysis'!$A$3:$BE$25, 7, FALSE)</f>
        <v>177</v>
      </c>
      <c r="H18" s="274">
        <f>VLOOKUP($A$1,'Primary Catchment Analysis'!$A$3:$BE$25, 8, FALSE)</f>
        <v>177</v>
      </c>
      <c r="I18" s="32">
        <f>VLOOKUP($A$1,'S1 Catchment Analysis'!A3:I25, 2, FALSE)</f>
        <v>167</v>
      </c>
      <c r="J18" s="23"/>
      <c r="K18" s="400">
        <f>VLOOKUP($A$1,'S1 Catchment Retained'!A2:I25, 2, FALSE)</f>
        <v>164</v>
      </c>
      <c r="L18" s="424"/>
      <c r="M18" s="58">
        <f t="shared" si="1"/>
        <v>0.98203592814371254</v>
      </c>
      <c r="N18" s="50"/>
      <c r="O18" s="105">
        <f t="shared" si="2"/>
        <v>3</v>
      </c>
      <c r="P18" s="50"/>
      <c r="Q18" s="25">
        <f t="shared" si="3"/>
        <v>2018</v>
      </c>
      <c r="R18" s="68">
        <f>VLOOKUP($A$1,'Secondary Rolls'!$A$3:$BE$25, 2, FALSE)</f>
        <v>167</v>
      </c>
      <c r="S18" s="67">
        <f>VLOOKUP($A$1,'Secondary Rolls'!$A$3:$BE$25, 3, FALSE)</f>
        <v>168</v>
      </c>
      <c r="T18" s="69">
        <f>VLOOKUP($A$1,'Secondary Rolls'!$A$3:$BE$25, 4, FALSE)</f>
        <v>152</v>
      </c>
      <c r="U18" s="68">
        <f>VLOOKUP($A$1,'Secondary Rolls'!$A$3:$BE$25, 5, FALSE)</f>
        <v>141</v>
      </c>
      <c r="V18" s="67">
        <f>VLOOKUP($A$1,'Secondary Rolls'!$A$3:$BE$25, 6, FALSE)</f>
        <v>124</v>
      </c>
      <c r="W18" s="69">
        <f>VLOOKUP($A$1,'Secondary Rolls'!$A$3:$BE$25, 7, FALSE)</f>
        <v>98</v>
      </c>
      <c r="X18" s="53">
        <f t="shared" ref="X18" si="4">SUM(R18:W18)</f>
        <v>850</v>
      </c>
    </row>
    <row r="19" spans="1:25"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5" x14ac:dyDescent="0.25">
      <c r="A20" s="388"/>
      <c r="B20" s="388"/>
      <c r="C20" s="40">
        <f t="shared" ref="C20:I20" si="5">AVERAGE(((B15-C16)/B15),((B16-C17)/B16),((B17-C18)/B17))</f>
        <v>-4.4100029949086551E-2</v>
      </c>
      <c r="D20" s="40">
        <f t="shared" si="5"/>
        <v>-8.0629924879978224E-3</v>
      </c>
      <c r="E20" s="40">
        <f t="shared" si="5"/>
        <v>-1.3691090471276229E-2</v>
      </c>
      <c r="F20" s="40">
        <f t="shared" si="5"/>
        <v>6.6993613243047064E-3</v>
      </c>
      <c r="G20" s="40">
        <f t="shared" si="5"/>
        <v>7.6862240323778792E-3</v>
      </c>
      <c r="H20" s="40">
        <f t="shared" si="5"/>
        <v>3.5255751688926244E-2</v>
      </c>
      <c r="I20" s="40">
        <f t="shared" si="5"/>
        <v>-6.4228585984399053E-2</v>
      </c>
      <c r="K20" s="389">
        <f>AVERAGE(M16:M18)</f>
        <v>0.97562031558625117</v>
      </c>
      <c r="L20" s="390"/>
      <c r="M20" s="391"/>
      <c r="O20" s="51">
        <f>ROUNDUP((AVERAGE(O16:O18)),0)</f>
        <v>4</v>
      </c>
      <c r="T20" s="388"/>
      <c r="U20" s="388"/>
      <c r="V20" s="40">
        <f>AVERAGE(((U15-V16)/U15),((U16-V17)/U16),((U17-V18)/U17))</f>
        <v>8.8212415095710275E-2</v>
      </c>
      <c r="W20" s="40">
        <f>AVERAGE(((V15-W16)/V15),((V16-W17)/V16),((V17-W18)/V17))</f>
        <v>0.20486001781566973</v>
      </c>
    </row>
    <row r="21" spans="1:25" x14ac:dyDescent="0.25">
      <c r="A21" s="21"/>
      <c r="K21" s="59"/>
      <c r="L21" s="59"/>
    </row>
    <row r="22" spans="1:25" x14ac:dyDescent="0.25">
      <c r="A22" s="21" t="s">
        <v>337</v>
      </c>
      <c r="K22" s="59"/>
      <c r="L22" s="59"/>
    </row>
    <row r="23" spans="1:25" x14ac:dyDescent="0.25">
      <c r="A23" s="22" t="s">
        <v>114</v>
      </c>
      <c r="B23" s="24" t="s">
        <v>1</v>
      </c>
      <c r="C23" s="24" t="s">
        <v>115</v>
      </c>
      <c r="D23" s="24" t="s">
        <v>116</v>
      </c>
      <c r="E23" s="24" t="s">
        <v>117</v>
      </c>
      <c r="F23" s="24" t="s">
        <v>118</v>
      </c>
      <c r="G23" s="24" t="s">
        <v>119</v>
      </c>
      <c r="H23" s="24" t="s">
        <v>120</v>
      </c>
      <c r="I23" s="26" t="s">
        <v>121</v>
      </c>
      <c r="K23" s="59"/>
      <c r="L23" s="59"/>
    </row>
    <row r="24" spans="1:25" x14ac:dyDescent="0.25">
      <c r="A24" s="25">
        <f>A18+1</f>
        <v>2019</v>
      </c>
      <c r="B24" s="37">
        <f>'P1 Catchment Projections'!C66+'P1 Catchment Projections'!C67+'P1 Catchment Projections'!C68+'P1 Catchment Projections'!C69</f>
        <v>237</v>
      </c>
      <c r="C24" s="34">
        <f>ROUNDUP((B18-(B18*$C$20)),0)</f>
        <v>243</v>
      </c>
      <c r="D24" s="42">
        <f>ROUNDUP((C18-(C18*$D$20)),0)</f>
        <v>231</v>
      </c>
      <c r="E24" s="43">
        <f>ROUNDUP((D18-(D18*$E$20)),0)</f>
        <v>220</v>
      </c>
      <c r="F24" s="41">
        <f>ROUNDUP((E18-(E18*$F$20)),0)</f>
        <v>173</v>
      </c>
      <c r="G24" s="42">
        <f>ROUNDUP((F18-(F18*$G$20)),0)</f>
        <v>204</v>
      </c>
      <c r="H24" s="43">
        <f>ROUNDUP((G18-(G18*$H$20)),0)</f>
        <v>171</v>
      </c>
      <c r="I24" s="99">
        <f>ROUNDUP((H18-(H18*$I$20)),0)</f>
        <v>189</v>
      </c>
      <c r="J24" s="23"/>
      <c r="K24" s="59"/>
      <c r="L24" s="59"/>
      <c r="Y24" s="109"/>
    </row>
    <row r="25" spans="1:25" x14ac:dyDescent="0.25">
      <c r="A25" s="25">
        <f>A24+1</f>
        <v>2020</v>
      </c>
      <c r="B25" s="37">
        <f>'P1 Catchment Projections'!D66+'P1 Catchment Projections'!D67+'P1 Catchment Projections'!D68+'P1 Catchment Projections'!D69</f>
        <v>253</v>
      </c>
      <c r="C25" s="34">
        <f t="shared" ref="C25:C37" si="6">ROUNDUP((B24-(B24*$C$20)),0)</f>
        <v>248</v>
      </c>
      <c r="D25" s="34">
        <f t="shared" ref="D25:D37" si="7">ROUNDUP((C24-(C24*$D$20)),0)</f>
        <v>245</v>
      </c>
      <c r="E25" s="42">
        <f t="shared" ref="E25:E37" si="8">ROUNDUP((D24-(D24*$E$20)),0)</f>
        <v>235</v>
      </c>
      <c r="F25" s="43">
        <f t="shared" ref="F25:F37" si="9">ROUNDUP((E24-(E24*$F$20)),0)</f>
        <v>219</v>
      </c>
      <c r="G25" s="41">
        <f t="shared" ref="G25:G37" si="10">ROUNDUP((F24-(F24*$G$20)),0)</f>
        <v>172</v>
      </c>
      <c r="H25" s="42">
        <f t="shared" ref="H25:H37" si="11">ROUNDUP((G24-(G24*$H$20)),0)</f>
        <v>197</v>
      </c>
      <c r="I25" s="99">
        <f t="shared" ref="I25:I37" si="12">ROUNDUP((H24-(H24*$I$20)),0)</f>
        <v>182</v>
      </c>
      <c r="J25" s="23"/>
      <c r="K25" s="59"/>
      <c r="L25" s="59"/>
      <c r="Y25" s="109"/>
    </row>
    <row r="26" spans="1:25" x14ac:dyDescent="0.25">
      <c r="A26" s="25">
        <f>A25+1</f>
        <v>2021</v>
      </c>
      <c r="B26" s="37">
        <f>'P1 Catchment Projections'!E66+'P1 Catchment Projections'!E67+'P1 Catchment Projections'!E68+'P1 Catchment Projections'!E69</f>
        <v>268</v>
      </c>
      <c r="C26" s="34">
        <f t="shared" si="6"/>
        <v>265</v>
      </c>
      <c r="D26" s="34">
        <f t="shared" si="7"/>
        <v>250</v>
      </c>
      <c r="E26" s="34">
        <f t="shared" si="8"/>
        <v>249</v>
      </c>
      <c r="F26" s="42">
        <f t="shared" si="9"/>
        <v>234</v>
      </c>
      <c r="G26" s="43">
        <f t="shared" si="10"/>
        <v>218</v>
      </c>
      <c r="H26" s="41">
        <f t="shared" si="11"/>
        <v>166</v>
      </c>
      <c r="I26" s="99">
        <f t="shared" si="12"/>
        <v>210</v>
      </c>
      <c r="J26" s="23"/>
      <c r="K26" s="59"/>
      <c r="L26" s="59"/>
      <c r="Y26" s="109"/>
    </row>
    <row r="27" spans="1:25" x14ac:dyDescent="0.25">
      <c r="A27" s="25">
        <f>A26+1</f>
        <v>2022</v>
      </c>
      <c r="B27" s="37">
        <f>'P1 Catchment Projections'!F66+'P1 Catchment Projections'!F67+'P1 Catchment Projections'!F68+'P1 Catchment Projections'!F69</f>
        <v>306</v>
      </c>
      <c r="C27" s="34">
        <f t="shared" si="6"/>
        <v>280</v>
      </c>
      <c r="D27" s="34">
        <f t="shared" si="7"/>
        <v>268</v>
      </c>
      <c r="E27" s="34">
        <f t="shared" si="8"/>
        <v>254</v>
      </c>
      <c r="F27" s="34">
        <f t="shared" si="9"/>
        <v>248</v>
      </c>
      <c r="G27" s="42">
        <f t="shared" si="10"/>
        <v>233</v>
      </c>
      <c r="H27" s="43">
        <f t="shared" si="11"/>
        <v>211</v>
      </c>
      <c r="I27" s="99">
        <f t="shared" si="12"/>
        <v>177</v>
      </c>
      <c r="J27" s="23"/>
      <c r="K27" s="59"/>
      <c r="L27" s="59"/>
      <c r="Y27" s="109"/>
    </row>
    <row r="28" spans="1:25" x14ac:dyDescent="0.25">
      <c r="A28" s="25">
        <f t="shared" ref="A28:A37" si="13">A27+1</f>
        <v>2023</v>
      </c>
      <c r="B28" s="37">
        <f>'P1 Catchment Projections'!G66+'P1 Catchment Projections'!G67+'P1 Catchment Projections'!G68+'P1 Catchment Projections'!G69</f>
        <v>280</v>
      </c>
      <c r="C28" s="34">
        <f t="shared" si="6"/>
        <v>320</v>
      </c>
      <c r="D28" s="34">
        <f t="shared" si="7"/>
        <v>283</v>
      </c>
      <c r="E28" s="34">
        <f t="shared" si="8"/>
        <v>272</v>
      </c>
      <c r="F28" s="34">
        <f t="shared" si="9"/>
        <v>253</v>
      </c>
      <c r="G28" s="34">
        <f t="shared" si="10"/>
        <v>247</v>
      </c>
      <c r="H28" s="42">
        <f t="shared" si="11"/>
        <v>225</v>
      </c>
      <c r="I28" s="99">
        <f t="shared" si="12"/>
        <v>225</v>
      </c>
      <c r="J28" s="23"/>
      <c r="K28" s="59"/>
      <c r="L28" s="59"/>
      <c r="Y28" s="109"/>
    </row>
    <row r="29" spans="1:25" x14ac:dyDescent="0.25">
      <c r="A29" s="25">
        <f t="shared" si="13"/>
        <v>2024</v>
      </c>
      <c r="B29" s="37">
        <f>'P1 Catchment Projections'!H66+'P1 Catchment Projections'!H67+'P1 Catchment Projections'!H68+'P1 Catchment Projections'!H69</f>
        <v>284</v>
      </c>
      <c r="C29" s="34">
        <f t="shared" si="6"/>
        <v>293</v>
      </c>
      <c r="D29" s="34">
        <f t="shared" si="7"/>
        <v>323</v>
      </c>
      <c r="E29" s="34">
        <f t="shared" si="8"/>
        <v>287</v>
      </c>
      <c r="F29" s="34">
        <f t="shared" si="9"/>
        <v>271</v>
      </c>
      <c r="G29" s="34">
        <f t="shared" si="10"/>
        <v>252</v>
      </c>
      <c r="H29" s="34">
        <f t="shared" si="11"/>
        <v>239</v>
      </c>
      <c r="I29" s="99">
        <f t="shared" si="12"/>
        <v>240</v>
      </c>
      <c r="K29" s="59"/>
      <c r="L29" s="59"/>
      <c r="Y29" s="109"/>
    </row>
    <row r="30" spans="1:25" x14ac:dyDescent="0.25">
      <c r="A30" s="25">
        <f t="shared" si="13"/>
        <v>2025</v>
      </c>
      <c r="B30" s="37">
        <f>'P1 Catchment Projections'!I66+'P1 Catchment Projections'!I67+'P1 Catchment Projections'!I68+'P1 Catchment Projections'!I69</f>
        <v>288</v>
      </c>
      <c r="C30" s="34">
        <f t="shared" si="6"/>
        <v>297</v>
      </c>
      <c r="D30" s="34">
        <f t="shared" si="7"/>
        <v>296</v>
      </c>
      <c r="E30" s="34">
        <f t="shared" si="8"/>
        <v>328</v>
      </c>
      <c r="F30" s="34">
        <f t="shared" si="9"/>
        <v>286</v>
      </c>
      <c r="G30" s="34">
        <f t="shared" si="10"/>
        <v>269</v>
      </c>
      <c r="H30" s="34">
        <f t="shared" si="11"/>
        <v>244</v>
      </c>
      <c r="I30" s="99">
        <f t="shared" si="12"/>
        <v>255</v>
      </c>
      <c r="K30" s="59"/>
      <c r="L30" s="59"/>
      <c r="Y30" s="109"/>
    </row>
    <row r="31" spans="1:25" x14ac:dyDescent="0.25">
      <c r="A31" s="25">
        <f t="shared" si="13"/>
        <v>2026</v>
      </c>
      <c r="B31" s="37">
        <f>'P1 Catchment Projections'!J66+'P1 Catchment Projections'!J67+'P1 Catchment Projections'!J68+'P1 Catchment Projections'!J69</f>
        <v>290</v>
      </c>
      <c r="C31" s="34">
        <f t="shared" si="6"/>
        <v>301</v>
      </c>
      <c r="D31" s="34">
        <f t="shared" si="7"/>
        <v>300</v>
      </c>
      <c r="E31" s="34">
        <f t="shared" si="8"/>
        <v>301</v>
      </c>
      <c r="F31" s="34">
        <f t="shared" si="9"/>
        <v>326</v>
      </c>
      <c r="G31" s="34">
        <f t="shared" si="10"/>
        <v>284</v>
      </c>
      <c r="H31" s="34">
        <f t="shared" si="11"/>
        <v>260</v>
      </c>
      <c r="I31" s="99">
        <f t="shared" si="12"/>
        <v>260</v>
      </c>
      <c r="K31" s="59"/>
      <c r="L31" s="59"/>
      <c r="Y31" s="109"/>
    </row>
    <row r="32" spans="1:25" x14ac:dyDescent="0.25">
      <c r="A32" s="25">
        <f t="shared" si="13"/>
        <v>2027</v>
      </c>
      <c r="B32" s="37">
        <f>'P1 Catchment Projections'!K66+'P1 Catchment Projections'!K67+'P1 Catchment Projections'!K68+'P1 Catchment Projections'!K69</f>
        <v>293</v>
      </c>
      <c r="C32" s="34">
        <f t="shared" si="6"/>
        <v>303</v>
      </c>
      <c r="D32" s="34">
        <f t="shared" si="7"/>
        <v>304</v>
      </c>
      <c r="E32" s="34">
        <f t="shared" si="8"/>
        <v>305</v>
      </c>
      <c r="F32" s="34">
        <f t="shared" si="9"/>
        <v>299</v>
      </c>
      <c r="G32" s="34">
        <f t="shared" si="10"/>
        <v>324</v>
      </c>
      <c r="H32" s="34">
        <f t="shared" si="11"/>
        <v>274</v>
      </c>
      <c r="I32" s="99">
        <f t="shared" si="12"/>
        <v>277</v>
      </c>
      <c r="K32" s="59"/>
      <c r="L32" s="59"/>
      <c r="Y32" s="109"/>
    </row>
    <row r="33" spans="1:27" x14ac:dyDescent="0.25">
      <c r="A33" s="25">
        <f t="shared" si="13"/>
        <v>2028</v>
      </c>
      <c r="B33" s="37">
        <f>'P1 Catchment Projections'!$L$66+'P1 Catchment Projections'!$L$67+'P1 Catchment Projections'!$L$68+'P1 Catchment Projections'!$L$69</f>
        <v>293</v>
      </c>
      <c r="C33" s="34">
        <f t="shared" si="6"/>
        <v>306</v>
      </c>
      <c r="D33" s="34">
        <f t="shared" si="7"/>
        <v>306</v>
      </c>
      <c r="E33" s="34">
        <f t="shared" si="8"/>
        <v>309</v>
      </c>
      <c r="F33" s="34">
        <f t="shared" si="9"/>
        <v>303</v>
      </c>
      <c r="G33" s="34">
        <f t="shared" si="10"/>
        <v>297</v>
      </c>
      <c r="H33" s="34">
        <f t="shared" si="11"/>
        <v>313</v>
      </c>
      <c r="I33" s="99">
        <f t="shared" si="12"/>
        <v>292</v>
      </c>
      <c r="K33" s="59"/>
      <c r="L33" s="59"/>
    </row>
    <row r="34" spans="1:27" x14ac:dyDescent="0.25">
      <c r="A34" s="25">
        <f t="shared" si="13"/>
        <v>2029</v>
      </c>
      <c r="B34" s="37">
        <f>'P1 Catchment Projections'!$M$66+'P1 Catchment Projections'!$M$67+'P1 Catchment Projections'!$M$68+'P1 Catchment Projections'!$M$69</f>
        <v>294</v>
      </c>
      <c r="C34" s="34">
        <f t="shared" si="6"/>
        <v>306</v>
      </c>
      <c r="D34" s="34">
        <f t="shared" si="7"/>
        <v>309</v>
      </c>
      <c r="E34" s="34">
        <f t="shared" si="8"/>
        <v>311</v>
      </c>
      <c r="F34" s="34">
        <f t="shared" si="9"/>
        <v>307</v>
      </c>
      <c r="G34" s="34">
        <f t="shared" si="10"/>
        <v>301</v>
      </c>
      <c r="H34" s="34">
        <f t="shared" si="11"/>
        <v>287</v>
      </c>
      <c r="I34" s="99">
        <f t="shared" si="12"/>
        <v>334</v>
      </c>
      <c r="K34" s="59"/>
      <c r="L34" s="59"/>
      <c r="Z34" s="109"/>
      <c r="AA34" s="109"/>
    </row>
    <row r="35" spans="1:27" x14ac:dyDescent="0.25">
      <c r="A35" s="25">
        <f t="shared" si="13"/>
        <v>2030</v>
      </c>
      <c r="B35" s="37">
        <f>'P1 Catchment Projections'!$N$66+'P1 Catchment Projections'!$N$67+'P1 Catchment Projections'!$N$68+'P1 Catchment Projections'!$N$69</f>
        <v>294</v>
      </c>
      <c r="C35" s="34">
        <f t="shared" si="6"/>
        <v>307</v>
      </c>
      <c r="D35" s="34">
        <f t="shared" si="7"/>
        <v>309</v>
      </c>
      <c r="E35" s="34">
        <f t="shared" si="8"/>
        <v>314</v>
      </c>
      <c r="F35" s="34">
        <f t="shared" si="9"/>
        <v>309</v>
      </c>
      <c r="G35" s="34">
        <f t="shared" si="10"/>
        <v>305</v>
      </c>
      <c r="H35" s="34">
        <f t="shared" si="11"/>
        <v>291</v>
      </c>
      <c r="I35" s="99">
        <f t="shared" si="12"/>
        <v>306</v>
      </c>
      <c r="K35" s="59"/>
      <c r="L35" s="59"/>
      <c r="Z35" s="109"/>
      <c r="AA35" s="109"/>
    </row>
    <row r="36" spans="1:27" x14ac:dyDescent="0.25">
      <c r="A36" s="25">
        <f t="shared" si="13"/>
        <v>2031</v>
      </c>
      <c r="B36" s="37">
        <f>'P1 Catchment Projections'!$O$66+'P1 Catchment Projections'!$O$67+'P1 Catchment Projections'!$O$68+'P1 Catchment Projections'!$O$69</f>
        <v>294</v>
      </c>
      <c r="C36" s="34">
        <f t="shared" si="6"/>
        <v>307</v>
      </c>
      <c r="D36" s="34">
        <f t="shared" si="7"/>
        <v>310</v>
      </c>
      <c r="E36" s="34">
        <f t="shared" si="8"/>
        <v>314</v>
      </c>
      <c r="F36" s="34">
        <f t="shared" si="9"/>
        <v>312</v>
      </c>
      <c r="G36" s="34">
        <f t="shared" si="10"/>
        <v>307</v>
      </c>
      <c r="H36" s="34">
        <f t="shared" si="11"/>
        <v>295</v>
      </c>
      <c r="I36" s="99">
        <f t="shared" si="12"/>
        <v>310</v>
      </c>
      <c r="K36" s="59"/>
      <c r="L36" s="59"/>
      <c r="Z36" s="109"/>
      <c r="AA36" s="109"/>
    </row>
    <row r="37" spans="1:27" x14ac:dyDescent="0.25">
      <c r="A37" s="25">
        <f t="shared" si="13"/>
        <v>2032</v>
      </c>
      <c r="B37" s="37">
        <f>'P1 Catchment Projections'!$P$66+'P1 Catchment Projections'!$P$67+'P1 Catchment Projections'!$P$68+'P1 Catchment Projections'!$P$69</f>
        <v>294</v>
      </c>
      <c r="C37" s="34">
        <f t="shared" si="6"/>
        <v>307</v>
      </c>
      <c r="D37" s="34">
        <f t="shared" si="7"/>
        <v>310</v>
      </c>
      <c r="E37" s="34">
        <f t="shared" si="8"/>
        <v>315</v>
      </c>
      <c r="F37" s="34">
        <f t="shared" si="9"/>
        <v>312</v>
      </c>
      <c r="G37" s="34">
        <f t="shared" si="10"/>
        <v>310</v>
      </c>
      <c r="H37" s="34">
        <f t="shared" si="11"/>
        <v>297</v>
      </c>
      <c r="I37" s="99">
        <f t="shared" si="12"/>
        <v>314</v>
      </c>
      <c r="K37" s="59"/>
      <c r="L37" s="59"/>
      <c r="Z37" s="109"/>
      <c r="AA37" s="109"/>
    </row>
    <row r="38" spans="1:27" x14ac:dyDescent="0.25">
      <c r="K38" s="59"/>
      <c r="L38" s="59"/>
    </row>
    <row r="39" spans="1:27" x14ac:dyDescent="0.25">
      <c r="A39" s="21" t="s">
        <v>337</v>
      </c>
      <c r="K39" s="394" t="s">
        <v>190</v>
      </c>
      <c r="L39" s="55"/>
      <c r="M39" s="394" t="s">
        <v>203</v>
      </c>
      <c r="N39" s="106"/>
      <c r="O39" s="395" t="s">
        <v>204</v>
      </c>
      <c r="Q39" s="21" t="s">
        <v>338</v>
      </c>
      <c r="R39" s="52"/>
      <c r="S39" s="52"/>
      <c r="T39" s="52"/>
      <c r="U39" s="52"/>
      <c r="V39" s="52"/>
      <c r="W39" s="52"/>
      <c r="X39"/>
    </row>
    <row r="40" spans="1:27"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c r="Y40" s="256"/>
    </row>
    <row r="41" spans="1:27" x14ac:dyDescent="0.25">
      <c r="A41" s="25">
        <f>A24</f>
        <v>2019</v>
      </c>
      <c r="B41" s="37">
        <f>B24+VLOOKUP($A$1,'Pri Housing Generation'!$A$96:$DQ$118, 10, FALSE)</f>
        <v>242</v>
      </c>
      <c r="C41" s="34">
        <f>C24+VLOOKUP($A$1,'Pri Housing Generation'!$A$96:$DQ$118, 11, FALSE)</f>
        <v>247</v>
      </c>
      <c r="D41" s="42">
        <f>D24+VLOOKUP($A$1,'Pri Housing Generation'!$A$96:$DQ$118, 12, FALSE)</f>
        <v>235</v>
      </c>
      <c r="E41" s="43">
        <f>E24+VLOOKUP($A$1,'Pri Housing Generation'!$A$96:$DQ$118, 13, FALSE)</f>
        <v>224</v>
      </c>
      <c r="F41" s="41">
        <f>F24+VLOOKUP($A$1,'Pri Housing Generation'!$A$96:$DQ$118, 14, FALSE)</f>
        <v>176</v>
      </c>
      <c r="G41" s="42">
        <f>G24+VLOOKUP($A$1,'Pri Housing Generation'!$A$96:$DQ$118, 15, FALSE)</f>
        <v>206</v>
      </c>
      <c r="H41" s="43">
        <f>H24+VLOOKUP($A$1,'Pri Housing Generation'!$A$96:$DQ$118, 16, FALSE)</f>
        <v>173</v>
      </c>
      <c r="I41" s="99">
        <f>ROUNDUP((H18-(H18*$I$20)),0)</f>
        <v>189</v>
      </c>
      <c r="K41" s="35">
        <f>'Sec Housing Generation'!I19</f>
        <v>3</v>
      </c>
      <c r="L41" s="83"/>
      <c r="M41" s="107">
        <f t="shared" ref="M41:M54" si="14">$K$20</f>
        <v>0.97562031558625117</v>
      </c>
      <c r="O41" s="35">
        <f t="shared" ref="O41:O54" si="15">ROUNDUP(((I41+K41)*M41),0)</f>
        <v>188</v>
      </c>
      <c r="Q41" s="25">
        <f>A41</f>
        <v>2019</v>
      </c>
      <c r="R41" s="20">
        <f t="shared" ref="R41:R54" si="16">IF(O41&lt;$C$7,(IF((O41+$O$20)&gt;$C$7,$C$7,(O41+$O$20))),(IF((O41+$O$20)&lt;(CEILING((O41),20)),(O41+$O$20),(CEILING((O41),20)))))</f>
        <v>192</v>
      </c>
      <c r="S41" s="53">
        <f>R18</f>
        <v>167</v>
      </c>
      <c r="T41" s="67">
        <f>S18</f>
        <v>168</v>
      </c>
      <c r="U41" s="69">
        <f>T18</f>
        <v>152</v>
      </c>
      <c r="V41" s="41">
        <f>ROUNDUP((U18-(U18*$V$20)),0)</f>
        <v>129</v>
      </c>
      <c r="W41" s="42">
        <f>ROUNDUP((V18-(V18*$W$20)),0)</f>
        <v>99</v>
      </c>
      <c r="X41" s="101">
        <f t="shared" ref="X41:X54" si="17">SUM(R41:W41)</f>
        <v>907</v>
      </c>
      <c r="Y41" s="256"/>
    </row>
    <row r="42" spans="1:27" x14ac:dyDescent="0.25">
      <c r="A42" s="25">
        <f t="shared" ref="A42:A54" si="18">A25</f>
        <v>2020</v>
      </c>
      <c r="B42" s="37">
        <f>B25+VLOOKUP($A$1,'Pri Housing Generation'!$A$96:$DQ$118, 18, FALSE)</f>
        <v>258</v>
      </c>
      <c r="C42" s="34">
        <f>C25+VLOOKUP($A$1,'Pri Housing Generation'!$A$96:$DQ$118, 19, FALSE)</f>
        <v>252</v>
      </c>
      <c r="D42" s="34">
        <f>D25+VLOOKUP($A$1,'Pri Housing Generation'!$A$96:$DQ$118, 20, FALSE)</f>
        <v>249</v>
      </c>
      <c r="E42" s="42">
        <f>E25+VLOOKUP($A$1,'Pri Housing Generation'!$A$96:$DQ$118, 21, FALSE)</f>
        <v>239</v>
      </c>
      <c r="F42" s="43">
        <f>F25+VLOOKUP($A$1,'Pri Housing Generation'!$A$96:$DQ$118, 22, FALSE)</f>
        <v>222</v>
      </c>
      <c r="G42" s="41">
        <f>G25+VLOOKUP($A$1,'Pri Housing Generation'!$A$96:$DQ$118, 23, FALSE)</f>
        <v>174</v>
      </c>
      <c r="H42" s="42">
        <f>H25+VLOOKUP($A$1,'Pri Housing Generation'!$A$96:$DQ$118, 24, FALSE)</f>
        <v>199</v>
      </c>
      <c r="I42" s="99">
        <f t="shared" ref="I42:I54" si="19">ROUNDUP((H41-(H41*$I$20)),0)</f>
        <v>185</v>
      </c>
      <c r="K42" s="35">
        <f>'Sec Housing Generation'!P19</f>
        <v>3</v>
      </c>
      <c r="L42" s="83"/>
      <c r="M42" s="107">
        <f t="shared" si="14"/>
        <v>0.97562031558625117</v>
      </c>
      <c r="O42" s="35">
        <f t="shared" si="15"/>
        <v>184</v>
      </c>
      <c r="Q42" s="25">
        <f t="shared" ref="Q42:Q54" si="20">A42</f>
        <v>2020</v>
      </c>
      <c r="R42" s="20">
        <f t="shared" si="16"/>
        <v>188</v>
      </c>
      <c r="S42" s="53">
        <f t="shared" ref="S42:U54" si="21">R41</f>
        <v>192</v>
      </c>
      <c r="T42" s="53">
        <f t="shared" si="21"/>
        <v>167</v>
      </c>
      <c r="U42" s="67">
        <f t="shared" si="21"/>
        <v>168</v>
      </c>
      <c r="V42" s="43">
        <f t="shared" ref="V42:V54" si="22">ROUNDUP((U41-(U41*$V$20)),0)</f>
        <v>139</v>
      </c>
      <c r="W42" s="41">
        <f t="shared" ref="W42:W54" si="23">ROUNDUP((V41-(V41*$W$20)),0)</f>
        <v>103</v>
      </c>
      <c r="X42" s="101">
        <f t="shared" si="17"/>
        <v>957</v>
      </c>
      <c r="Y42" s="256"/>
    </row>
    <row r="43" spans="1:27" x14ac:dyDescent="0.25">
      <c r="A43" s="25">
        <f t="shared" si="18"/>
        <v>2021</v>
      </c>
      <c r="B43" s="37">
        <f>B26+VLOOKUP($A$1,'Pri Housing Generation'!$A$96:$DQ$118, 26, FALSE)</f>
        <v>276</v>
      </c>
      <c r="C43" s="34">
        <f>C26+VLOOKUP($A$1,'Pri Housing Generation'!$A$96:$DQ$118, 27, FALSE)</f>
        <v>272</v>
      </c>
      <c r="D43" s="34">
        <f>D26+VLOOKUP($A$1,'Pri Housing Generation'!$A$96:$DQ$118, 28, FALSE)</f>
        <v>257</v>
      </c>
      <c r="E43" s="34">
        <f>E26+VLOOKUP($A$1,'Pri Housing Generation'!$A$96:$DQ$118, 29, FALSE)</f>
        <v>256</v>
      </c>
      <c r="F43" s="42">
        <f>F26+VLOOKUP($A$1,'Pri Housing Generation'!$A$96:$DQ$118, 30, FALSE)</f>
        <v>240</v>
      </c>
      <c r="G43" s="43">
        <f>G26+VLOOKUP($A$1,'Pri Housing Generation'!$A$96:$DQ$118, 31, FALSE)</f>
        <v>223</v>
      </c>
      <c r="H43" s="41">
        <f>H26+VLOOKUP($A$1,'Pri Housing Generation'!$A$96:$DQ$118, 32, FALSE)</f>
        <v>171</v>
      </c>
      <c r="I43" s="99">
        <f t="shared" si="19"/>
        <v>212</v>
      </c>
      <c r="K43" s="35">
        <f>'Sec Housing Generation'!W19</f>
        <v>5</v>
      </c>
      <c r="L43" s="83"/>
      <c r="M43" s="107">
        <f t="shared" si="14"/>
        <v>0.97562031558625117</v>
      </c>
      <c r="O43" s="35">
        <f t="shared" si="15"/>
        <v>212</v>
      </c>
      <c r="Q43" s="25">
        <f t="shared" si="20"/>
        <v>2021</v>
      </c>
      <c r="R43" s="20">
        <f t="shared" si="16"/>
        <v>216</v>
      </c>
      <c r="S43" s="53">
        <f t="shared" si="21"/>
        <v>188</v>
      </c>
      <c r="T43" s="53">
        <f t="shared" si="21"/>
        <v>192</v>
      </c>
      <c r="U43" s="53">
        <f t="shared" si="21"/>
        <v>167</v>
      </c>
      <c r="V43" s="42">
        <f t="shared" si="22"/>
        <v>154</v>
      </c>
      <c r="W43" s="43">
        <f t="shared" si="23"/>
        <v>111</v>
      </c>
      <c r="X43" s="101">
        <f t="shared" si="17"/>
        <v>1028</v>
      </c>
      <c r="Y43" s="256"/>
    </row>
    <row r="44" spans="1:27" x14ac:dyDescent="0.25">
      <c r="A44" s="25">
        <f t="shared" si="18"/>
        <v>2022</v>
      </c>
      <c r="B44" s="37">
        <f>B27+VLOOKUP($A$1,'Pri Housing Generation'!$A$96:$DQ$118, 34, FALSE)</f>
        <v>318</v>
      </c>
      <c r="C44" s="34">
        <f>C27+VLOOKUP($A$1,'Pri Housing Generation'!$A$96:$DQ$118, 35, FALSE)</f>
        <v>291</v>
      </c>
      <c r="D44" s="34">
        <f>D27+VLOOKUP($A$1,'Pri Housing Generation'!$A$96:$DQ$118, 36, FALSE)</f>
        <v>279</v>
      </c>
      <c r="E44" s="34">
        <f>E27+VLOOKUP($A$1,'Pri Housing Generation'!$A$96:$DQ$118, 37, FALSE)</f>
        <v>265</v>
      </c>
      <c r="F44" s="34">
        <f>F27+VLOOKUP($A$1,'Pri Housing Generation'!$A$96:$DQ$118, 38, FALSE)</f>
        <v>258</v>
      </c>
      <c r="G44" s="42">
        <f>G27+VLOOKUP($A$1,'Pri Housing Generation'!$A$96:$DQ$118, 39, FALSE)</f>
        <v>243</v>
      </c>
      <c r="H44" s="43">
        <f>H27+VLOOKUP($A$1,'Pri Housing Generation'!$A$96:$DQ$118, 40, FALSE)</f>
        <v>220</v>
      </c>
      <c r="I44" s="99">
        <f t="shared" si="19"/>
        <v>182</v>
      </c>
      <c r="K44" s="35">
        <f>'Sec Housing Generation'!AD19</f>
        <v>8</v>
      </c>
      <c r="L44" s="83"/>
      <c r="M44" s="107">
        <f t="shared" si="14"/>
        <v>0.97562031558625117</v>
      </c>
      <c r="O44" s="35">
        <f t="shared" si="15"/>
        <v>186</v>
      </c>
      <c r="Q44" s="25">
        <f t="shared" si="20"/>
        <v>2022</v>
      </c>
      <c r="R44" s="20">
        <f t="shared" si="16"/>
        <v>190</v>
      </c>
      <c r="S44" s="53">
        <f t="shared" si="21"/>
        <v>216</v>
      </c>
      <c r="T44" s="53">
        <f t="shared" si="21"/>
        <v>188</v>
      </c>
      <c r="U44" s="53">
        <f t="shared" si="21"/>
        <v>192</v>
      </c>
      <c r="V44" s="34">
        <f t="shared" si="22"/>
        <v>153</v>
      </c>
      <c r="W44" s="42">
        <f t="shared" si="23"/>
        <v>123</v>
      </c>
      <c r="X44" s="101">
        <f t="shared" si="17"/>
        <v>1062</v>
      </c>
      <c r="Y44" s="256"/>
    </row>
    <row r="45" spans="1:27" x14ac:dyDescent="0.25">
      <c r="A45" s="25">
        <f t="shared" si="18"/>
        <v>2023</v>
      </c>
      <c r="B45" s="37">
        <f>B28+VLOOKUP($A$1,'Pri Housing Generation'!$A$96:$DQ$118, 42, FALSE)</f>
        <v>296</v>
      </c>
      <c r="C45" s="34">
        <f>C28+VLOOKUP($A$1,'Pri Housing Generation'!$A$96:$DQ$118, 43, FALSE)</f>
        <v>335</v>
      </c>
      <c r="D45" s="34">
        <f>D28+VLOOKUP($A$1,'Pri Housing Generation'!$A$96:$DQ$118, 44, FALSE)</f>
        <v>298</v>
      </c>
      <c r="E45" s="34">
        <f>E28+VLOOKUP($A$1,'Pri Housing Generation'!$A$96:$DQ$118, 45, FALSE)</f>
        <v>286</v>
      </c>
      <c r="F45" s="34">
        <f>F28+VLOOKUP($A$1,'Pri Housing Generation'!$A$96:$DQ$118, 46, FALSE)</f>
        <v>265</v>
      </c>
      <c r="G45" s="34">
        <f>G28+VLOOKUP($A$1,'Pri Housing Generation'!$A$96:$DQ$118, 47, FALSE)</f>
        <v>259</v>
      </c>
      <c r="H45" s="42">
        <f>H28+VLOOKUP($A$1,'Pri Housing Generation'!$A$96:$DQ$118, 48, FALSE)</f>
        <v>237</v>
      </c>
      <c r="I45" s="99">
        <f t="shared" si="19"/>
        <v>235</v>
      </c>
      <c r="J45" s="181"/>
      <c r="K45" s="35">
        <f>'Sec Housing Generation'!AK19</f>
        <v>11</v>
      </c>
      <c r="L45" s="83"/>
      <c r="M45" s="107">
        <f t="shared" si="14"/>
        <v>0.97562031558625117</v>
      </c>
      <c r="O45" s="35">
        <f t="shared" si="15"/>
        <v>241</v>
      </c>
      <c r="Q45" s="25">
        <f t="shared" si="20"/>
        <v>2023</v>
      </c>
      <c r="R45" s="20">
        <f t="shared" si="16"/>
        <v>245</v>
      </c>
      <c r="S45" s="53">
        <f t="shared" si="21"/>
        <v>190</v>
      </c>
      <c r="T45" s="53">
        <f t="shared" si="21"/>
        <v>216</v>
      </c>
      <c r="U45" s="53">
        <f t="shared" si="21"/>
        <v>188</v>
      </c>
      <c r="V45" s="34">
        <f t="shared" si="22"/>
        <v>176</v>
      </c>
      <c r="W45" s="34">
        <f t="shared" si="23"/>
        <v>122</v>
      </c>
      <c r="X45" s="101">
        <f t="shared" si="17"/>
        <v>1137</v>
      </c>
      <c r="Y45" s="256"/>
    </row>
    <row r="46" spans="1:27" x14ac:dyDescent="0.25">
      <c r="A46" s="25">
        <f t="shared" si="18"/>
        <v>2024</v>
      </c>
      <c r="B46" s="37">
        <f>B29+VLOOKUP($A$1,'Pri Housing Generation'!$A$96:$DQ$118, 50, FALSE)</f>
        <v>305</v>
      </c>
      <c r="C46" s="34">
        <f>C29+VLOOKUP($A$1,'Pri Housing Generation'!$A$96:$DQ$118, 51, FALSE)</f>
        <v>312</v>
      </c>
      <c r="D46" s="34">
        <f>D29+VLOOKUP($A$1,'Pri Housing Generation'!$A$96:$DQ$118, 52, FALSE)</f>
        <v>342</v>
      </c>
      <c r="E46" s="34">
        <f>E29+VLOOKUP($A$1,'Pri Housing Generation'!$A$96:$DQ$118, 53, FALSE)</f>
        <v>306</v>
      </c>
      <c r="F46" s="34">
        <f>F29+VLOOKUP($A$1,'Pri Housing Generation'!$A$96:$DQ$118, 54, FALSE)</f>
        <v>288</v>
      </c>
      <c r="G46" s="34">
        <f>G29+VLOOKUP($A$1,'Pri Housing Generation'!$A$96:$DQ$118, 55, FALSE)</f>
        <v>269</v>
      </c>
      <c r="H46" s="34">
        <f>H29+VLOOKUP($A$1,'Pri Housing Generation'!$A$96:$DQ$118, 56, FALSE)</f>
        <v>256</v>
      </c>
      <c r="I46" s="99">
        <f t="shared" si="19"/>
        <v>253</v>
      </c>
      <c r="J46" s="181"/>
      <c r="K46" s="35">
        <f>'Sec Housing Generation'!AR19</f>
        <v>14</v>
      </c>
      <c r="L46" s="83"/>
      <c r="M46" s="107">
        <f>K20</f>
        <v>0.97562031558625117</v>
      </c>
      <c r="O46" s="35">
        <f t="shared" si="15"/>
        <v>261</v>
      </c>
      <c r="Q46" s="25">
        <f t="shared" si="20"/>
        <v>2024</v>
      </c>
      <c r="R46" s="20">
        <f t="shared" si="16"/>
        <v>265</v>
      </c>
      <c r="S46" s="53">
        <f t="shared" si="21"/>
        <v>245</v>
      </c>
      <c r="T46" s="53">
        <f t="shared" si="21"/>
        <v>190</v>
      </c>
      <c r="U46" s="53">
        <f t="shared" si="21"/>
        <v>216</v>
      </c>
      <c r="V46" s="34">
        <f t="shared" si="22"/>
        <v>172</v>
      </c>
      <c r="W46" s="34">
        <f t="shared" si="23"/>
        <v>140</v>
      </c>
      <c r="X46" s="101">
        <f t="shared" si="17"/>
        <v>1228</v>
      </c>
      <c r="Y46" s="256"/>
    </row>
    <row r="47" spans="1:27" x14ac:dyDescent="0.25">
      <c r="A47" s="25">
        <f t="shared" si="18"/>
        <v>2025</v>
      </c>
      <c r="B47" s="37">
        <f>B30+VLOOKUP($A$1,'Pri Housing Generation'!$A$96:$DQ$118, 58, FALSE)</f>
        <v>316</v>
      </c>
      <c r="C47" s="34">
        <f>C30+VLOOKUP($A$1,'Pri Housing Generation'!$A$96:$DQ$118, 59, FALSE)</f>
        <v>324</v>
      </c>
      <c r="D47" s="34">
        <f>D30+VLOOKUP($A$1,'Pri Housing Generation'!$A$96:$DQ$118, 60, FALSE)</f>
        <v>322</v>
      </c>
      <c r="E47" s="34">
        <f>E30+VLOOKUP($A$1,'Pri Housing Generation'!$A$96:$DQ$118, 61, FALSE)</f>
        <v>354</v>
      </c>
      <c r="F47" s="34">
        <f>F30+VLOOKUP($A$1,'Pri Housing Generation'!$A$96:$DQ$118, 62, FALSE)</f>
        <v>311</v>
      </c>
      <c r="G47" s="34">
        <f>G30+VLOOKUP($A$1,'Pri Housing Generation'!$A$96:$DQ$118, 63, FALSE)</f>
        <v>293</v>
      </c>
      <c r="H47" s="34">
        <f>H30+VLOOKUP($A$1,'Pri Housing Generation'!$A$96:$DQ$118, 64, FALSE)</f>
        <v>268</v>
      </c>
      <c r="I47" s="99">
        <f t="shared" si="19"/>
        <v>273</v>
      </c>
      <c r="J47" s="181"/>
      <c r="K47" s="235"/>
      <c r="L47" s="83"/>
      <c r="M47" s="107">
        <f t="shared" si="14"/>
        <v>0.97562031558625117</v>
      </c>
      <c r="O47" s="35">
        <f t="shared" si="15"/>
        <v>267</v>
      </c>
      <c r="Q47" s="25">
        <f t="shared" si="20"/>
        <v>2025</v>
      </c>
      <c r="R47" s="20">
        <f t="shared" si="16"/>
        <v>271</v>
      </c>
      <c r="S47" s="53">
        <f t="shared" si="21"/>
        <v>265</v>
      </c>
      <c r="T47" s="53">
        <f t="shared" si="21"/>
        <v>245</v>
      </c>
      <c r="U47" s="53">
        <f t="shared" si="21"/>
        <v>190</v>
      </c>
      <c r="V47" s="34">
        <f t="shared" si="22"/>
        <v>197</v>
      </c>
      <c r="W47" s="34">
        <f t="shared" si="23"/>
        <v>137</v>
      </c>
      <c r="X47" s="101">
        <f t="shared" si="17"/>
        <v>1305</v>
      </c>
      <c r="Y47" s="256"/>
    </row>
    <row r="48" spans="1:27" x14ac:dyDescent="0.25">
      <c r="A48" s="25">
        <f t="shared" si="18"/>
        <v>2026</v>
      </c>
      <c r="B48" s="37">
        <f>B31+VLOOKUP($A$1,'Pri Housing Generation'!$A$96:$DQ$118, 66, FALSE)</f>
        <v>325</v>
      </c>
      <c r="C48" s="34">
        <f>C31+VLOOKUP($A$1,'Pri Housing Generation'!$A$96:$DQ$118, 67, FALSE)</f>
        <v>335</v>
      </c>
      <c r="D48" s="34">
        <f>D31+VLOOKUP($A$1,'Pri Housing Generation'!$A$96:$DQ$118, 68, FALSE)</f>
        <v>333</v>
      </c>
      <c r="E48" s="34">
        <f>E31+VLOOKUP($A$1,'Pri Housing Generation'!$A$96:$DQ$118, 69, FALSE)</f>
        <v>334</v>
      </c>
      <c r="F48" s="34">
        <f>F31+VLOOKUP($A$1,'Pri Housing Generation'!$A$96:$DQ$118, 70, FALSE)</f>
        <v>358</v>
      </c>
      <c r="G48" s="34">
        <f>G31+VLOOKUP($A$1,'Pri Housing Generation'!$A$96:$DQ$118, 71, FALSE)</f>
        <v>316</v>
      </c>
      <c r="H48" s="34">
        <f>H31+VLOOKUP($A$1,'Pri Housing Generation'!$A$96:$DQ$118, 72, FALSE)</f>
        <v>292</v>
      </c>
      <c r="I48" s="99">
        <f t="shared" si="19"/>
        <v>286</v>
      </c>
      <c r="J48" s="181"/>
      <c r="K48" s="83"/>
      <c r="L48" s="83"/>
      <c r="M48" s="107">
        <f t="shared" si="14"/>
        <v>0.97562031558625117</v>
      </c>
      <c r="O48" s="35">
        <f t="shared" si="15"/>
        <v>280</v>
      </c>
      <c r="Q48" s="25">
        <f t="shared" si="20"/>
        <v>2026</v>
      </c>
      <c r="R48" s="20">
        <f t="shared" si="16"/>
        <v>280</v>
      </c>
      <c r="S48" s="53">
        <f t="shared" si="21"/>
        <v>271</v>
      </c>
      <c r="T48" s="53">
        <f t="shared" si="21"/>
        <v>265</v>
      </c>
      <c r="U48" s="53">
        <f t="shared" si="21"/>
        <v>245</v>
      </c>
      <c r="V48" s="34">
        <f t="shared" si="22"/>
        <v>174</v>
      </c>
      <c r="W48" s="34">
        <f t="shared" si="23"/>
        <v>157</v>
      </c>
      <c r="X48" s="101">
        <f t="shared" si="17"/>
        <v>1392</v>
      </c>
      <c r="Y48" s="256"/>
    </row>
    <row r="49" spans="1:25" x14ac:dyDescent="0.25">
      <c r="A49" s="25">
        <f t="shared" si="18"/>
        <v>2027</v>
      </c>
      <c r="B49" s="37">
        <f>B32+VLOOKUP($A$1,'Pri Housing Generation'!$A$96:$DQ$118, 74, FALSE)</f>
        <v>334</v>
      </c>
      <c r="C49" s="34">
        <f>C32+VLOOKUP($A$1,'Pri Housing Generation'!$A$96:$DQ$118, 75, FALSE)</f>
        <v>343</v>
      </c>
      <c r="D49" s="34">
        <f>D32+VLOOKUP($A$1,'Pri Housing Generation'!$A$96:$DQ$118, 76, FALSE)</f>
        <v>344</v>
      </c>
      <c r="E49" s="34">
        <f>E32+VLOOKUP($A$1,'Pri Housing Generation'!$A$96:$DQ$118, 77, FALSE)</f>
        <v>344</v>
      </c>
      <c r="F49" s="34">
        <f>F32+VLOOKUP($A$1,'Pri Housing Generation'!$A$96:$DQ$118, 78, FALSE)</f>
        <v>336</v>
      </c>
      <c r="G49" s="34">
        <f>G32+VLOOKUP($A$1,'Pri Housing Generation'!$A$96:$DQ$118, 79, FALSE)</f>
        <v>361</v>
      </c>
      <c r="H49" s="34">
        <f>H32+VLOOKUP($A$1,'Pri Housing Generation'!$A$96:$DQ$118, 80, FALSE)</f>
        <v>311</v>
      </c>
      <c r="I49" s="99">
        <f t="shared" si="19"/>
        <v>311</v>
      </c>
      <c r="J49" s="181"/>
      <c r="K49" s="83"/>
      <c r="L49" s="83"/>
      <c r="M49" s="107">
        <f t="shared" si="14"/>
        <v>0.97562031558625117</v>
      </c>
      <c r="O49" s="35">
        <f t="shared" si="15"/>
        <v>304</v>
      </c>
      <c r="Q49" s="25">
        <f t="shared" si="20"/>
        <v>2027</v>
      </c>
      <c r="R49" s="20">
        <f t="shared" si="16"/>
        <v>308</v>
      </c>
      <c r="S49" s="53">
        <f t="shared" si="21"/>
        <v>280</v>
      </c>
      <c r="T49" s="53">
        <f t="shared" si="21"/>
        <v>271</v>
      </c>
      <c r="U49" s="53">
        <f t="shared" si="21"/>
        <v>265</v>
      </c>
      <c r="V49" s="34">
        <f t="shared" si="22"/>
        <v>224</v>
      </c>
      <c r="W49" s="34">
        <f t="shared" si="23"/>
        <v>139</v>
      </c>
      <c r="X49" s="101">
        <f t="shared" si="17"/>
        <v>1487</v>
      </c>
      <c r="Y49" s="256"/>
    </row>
    <row r="50" spans="1:25" x14ac:dyDescent="0.25">
      <c r="A50" s="25">
        <f t="shared" si="18"/>
        <v>2028</v>
      </c>
      <c r="B50" s="37">
        <f>B33+VLOOKUP($A$1,'Pri Housing Generation'!$A$96:$DQ$118, 82, FALSE)</f>
        <v>339</v>
      </c>
      <c r="C50" s="34">
        <f>C33+VLOOKUP($A$1,'Pri Housing Generation'!$A$96:$DQ$118, 83, FALSE)</f>
        <v>351</v>
      </c>
      <c r="D50" s="34">
        <f>D33+VLOOKUP($A$1,'Pri Housing Generation'!$A$96:$DQ$118, 84, FALSE)</f>
        <v>351</v>
      </c>
      <c r="E50" s="34">
        <f>E33+VLOOKUP($A$1,'Pri Housing Generation'!$A$96:$DQ$118, 85, FALSE)</f>
        <v>353</v>
      </c>
      <c r="F50" s="34">
        <f>F33+VLOOKUP($A$1,'Pri Housing Generation'!$A$96:$DQ$118, 86, FALSE)</f>
        <v>345</v>
      </c>
      <c r="G50" s="34">
        <f>G33+VLOOKUP($A$1,'Pri Housing Generation'!$A$96:$DQ$118, 87, FALSE)</f>
        <v>339</v>
      </c>
      <c r="H50" s="34">
        <f>H33+VLOOKUP($A$1,'Pri Housing Generation'!$A$96:$DQ$118, 88, FALSE)</f>
        <v>355</v>
      </c>
      <c r="I50" s="99">
        <f t="shared" si="19"/>
        <v>331</v>
      </c>
      <c r="J50" s="181"/>
      <c r="K50" s="83"/>
      <c r="L50" s="83"/>
      <c r="M50" s="107">
        <f t="shared" si="14"/>
        <v>0.97562031558625117</v>
      </c>
      <c r="O50" s="35">
        <f t="shared" si="15"/>
        <v>323</v>
      </c>
      <c r="Q50" s="25">
        <f t="shared" si="20"/>
        <v>2028</v>
      </c>
      <c r="R50" s="20">
        <f t="shared" si="16"/>
        <v>327</v>
      </c>
      <c r="S50" s="53">
        <f t="shared" si="21"/>
        <v>308</v>
      </c>
      <c r="T50" s="53">
        <f t="shared" si="21"/>
        <v>280</v>
      </c>
      <c r="U50" s="53">
        <f t="shared" si="21"/>
        <v>271</v>
      </c>
      <c r="V50" s="34">
        <f t="shared" si="22"/>
        <v>242</v>
      </c>
      <c r="W50" s="34">
        <f t="shared" si="23"/>
        <v>179</v>
      </c>
      <c r="X50" s="101">
        <f t="shared" si="17"/>
        <v>1607</v>
      </c>
      <c r="Y50" s="256"/>
    </row>
    <row r="51" spans="1:25" x14ac:dyDescent="0.25">
      <c r="A51" s="25">
        <f t="shared" si="18"/>
        <v>2029</v>
      </c>
      <c r="B51" s="37">
        <f>B34+VLOOKUP($A$1,'Pri Housing Generation'!$A$96:$DQ$118, 90, FALSE)</f>
        <v>343</v>
      </c>
      <c r="C51" s="34">
        <f>C34+VLOOKUP($A$1,'Pri Housing Generation'!$A$96:$DQ$118, 91, FALSE)</f>
        <v>354</v>
      </c>
      <c r="D51" s="34">
        <f>D34+VLOOKUP($A$1,'Pri Housing Generation'!$A$96:$DQ$118, 92, FALSE)</f>
        <v>357</v>
      </c>
      <c r="E51" s="34">
        <f>E34+VLOOKUP($A$1,'Pri Housing Generation'!$A$96:$DQ$118, 93, FALSE)</f>
        <v>357</v>
      </c>
      <c r="F51" s="34">
        <f>F34+VLOOKUP($A$1,'Pri Housing Generation'!$A$96:$DQ$118, 94, FALSE)</f>
        <v>352</v>
      </c>
      <c r="G51" s="34">
        <f>G34+VLOOKUP($A$1,'Pri Housing Generation'!$A$96:$DQ$118, 95, FALSE)</f>
        <v>346</v>
      </c>
      <c r="H51" s="34">
        <f>H34+VLOOKUP($A$1,'Pri Housing Generation'!$A$96:$DQ$118, 96, FALSE)</f>
        <v>332</v>
      </c>
      <c r="I51" s="99">
        <f t="shared" si="19"/>
        <v>378</v>
      </c>
      <c r="J51" s="181"/>
      <c r="K51" s="83"/>
      <c r="L51" s="83"/>
      <c r="M51" s="107">
        <f t="shared" si="14"/>
        <v>0.97562031558625117</v>
      </c>
      <c r="O51" s="35">
        <f t="shared" si="15"/>
        <v>369</v>
      </c>
      <c r="Q51" s="25">
        <f t="shared" si="20"/>
        <v>2029</v>
      </c>
      <c r="R51" s="20">
        <f t="shared" si="16"/>
        <v>373</v>
      </c>
      <c r="S51" s="53">
        <f t="shared" si="21"/>
        <v>327</v>
      </c>
      <c r="T51" s="53">
        <f t="shared" si="21"/>
        <v>308</v>
      </c>
      <c r="U51" s="53">
        <f t="shared" si="21"/>
        <v>280</v>
      </c>
      <c r="V51" s="34">
        <f t="shared" si="22"/>
        <v>248</v>
      </c>
      <c r="W51" s="34">
        <f t="shared" si="23"/>
        <v>193</v>
      </c>
      <c r="X51" s="101">
        <f t="shared" si="17"/>
        <v>1729</v>
      </c>
      <c r="Y51" s="256"/>
    </row>
    <row r="52" spans="1:25" x14ac:dyDescent="0.25">
      <c r="A52" s="25">
        <f t="shared" si="18"/>
        <v>2030</v>
      </c>
      <c r="B52" s="37">
        <f>B35+VLOOKUP($A$1,'Pri Housing Generation'!$A$96:$DQ$118, 98, FALSE)</f>
        <v>346</v>
      </c>
      <c r="C52" s="34">
        <f>C35+VLOOKUP($A$1,'Pri Housing Generation'!$A$96:$DQ$118, 99, FALSE)</f>
        <v>358</v>
      </c>
      <c r="D52" s="34">
        <f>D35+VLOOKUP($A$1,'Pri Housing Generation'!$A$96:$DQ$118, 100, FALSE)</f>
        <v>359</v>
      </c>
      <c r="E52" s="34">
        <f>E35+VLOOKUP($A$1,'Pri Housing Generation'!$A$96:$DQ$118, 101, FALSE)</f>
        <v>363</v>
      </c>
      <c r="F52" s="34">
        <f>F35+VLOOKUP($A$1,'Pri Housing Generation'!$A$96:$DQ$118, 102, FALSE)</f>
        <v>357</v>
      </c>
      <c r="G52" s="34">
        <f>G35+VLOOKUP($A$1,'Pri Housing Generation'!$A$96:$DQ$118, 103, FALSE)</f>
        <v>353</v>
      </c>
      <c r="H52" s="34">
        <f>H35+VLOOKUP($A$1,'Pri Housing Generation'!$A$96:$DQ$118, 104, FALSE)</f>
        <v>339</v>
      </c>
      <c r="I52" s="99">
        <f t="shared" si="19"/>
        <v>354</v>
      </c>
      <c r="J52" s="54"/>
      <c r="K52" s="83"/>
      <c r="L52" s="83"/>
      <c r="M52" s="107">
        <f t="shared" si="14"/>
        <v>0.97562031558625117</v>
      </c>
      <c r="O52" s="35">
        <f t="shared" si="15"/>
        <v>346</v>
      </c>
      <c r="Q52" s="25">
        <f t="shared" si="20"/>
        <v>2030</v>
      </c>
      <c r="R52" s="20">
        <f t="shared" si="16"/>
        <v>350</v>
      </c>
      <c r="S52" s="53">
        <f t="shared" si="21"/>
        <v>373</v>
      </c>
      <c r="T52" s="53">
        <f t="shared" si="21"/>
        <v>327</v>
      </c>
      <c r="U52" s="53">
        <f t="shared" si="21"/>
        <v>308</v>
      </c>
      <c r="V52" s="34">
        <f t="shared" si="22"/>
        <v>256</v>
      </c>
      <c r="W52" s="34">
        <f t="shared" si="23"/>
        <v>198</v>
      </c>
      <c r="X52" s="101">
        <f t="shared" si="17"/>
        <v>1812</v>
      </c>
      <c r="Y52" s="256"/>
    </row>
    <row r="53" spans="1:25" x14ac:dyDescent="0.25">
      <c r="A53" s="25">
        <f t="shared" si="18"/>
        <v>2031</v>
      </c>
      <c r="B53" s="37">
        <f>B36+VLOOKUP($A$1,'Pri Housing Generation'!$A$96:$DQ$118, 106, FALSE)</f>
        <v>349</v>
      </c>
      <c r="C53" s="34">
        <f>C36+VLOOKUP($A$1,'Pri Housing Generation'!$A$96:$DQ$118, 107, FALSE)</f>
        <v>360</v>
      </c>
      <c r="D53" s="34">
        <f>D36+VLOOKUP($A$1,'Pri Housing Generation'!$A$96:$DQ$118, 108, FALSE)</f>
        <v>363</v>
      </c>
      <c r="E53" s="34">
        <f>E36+VLOOKUP($A$1,'Pri Housing Generation'!$A$96:$DQ$118, 109, FALSE)</f>
        <v>366</v>
      </c>
      <c r="F53" s="34">
        <f>F36+VLOOKUP($A$1,'Pri Housing Generation'!$A$96:$DQ$118, 110, FALSE)</f>
        <v>363</v>
      </c>
      <c r="G53" s="34">
        <f>G36+VLOOKUP($A$1,'Pri Housing Generation'!$A$96:$DQ$118, 111, FALSE)</f>
        <v>358</v>
      </c>
      <c r="H53" s="34">
        <f>H36+VLOOKUP($A$1,'Pri Housing Generation'!$A$96:$DQ$118, 112, FALSE)</f>
        <v>346</v>
      </c>
      <c r="I53" s="99">
        <f t="shared" si="19"/>
        <v>361</v>
      </c>
      <c r="J53" s="54"/>
      <c r="K53" s="83"/>
      <c r="L53" s="83"/>
      <c r="M53" s="107">
        <f t="shared" si="14"/>
        <v>0.97562031558625117</v>
      </c>
      <c r="O53" s="35">
        <f t="shared" si="15"/>
        <v>353</v>
      </c>
      <c r="Q53" s="25">
        <f t="shared" si="20"/>
        <v>2031</v>
      </c>
      <c r="R53" s="20">
        <f t="shared" si="16"/>
        <v>357</v>
      </c>
      <c r="S53" s="53">
        <f t="shared" si="21"/>
        <v>350</v>
      </c>
      <c r="T53" s="53">
        <f t="shared" si="21"/>
        <v>373</v>
      </c>
      <c r="U53" s="53">
        <f t="shared" si="21"/>
        <v>327</v>
      </c>
      <c r="V53" s="34">
        <f t="shared" si="22"/>
        <v>281</v>
      </c>
      <c r="W53" s="34">
        <f t="shared" si="23"/>
        <v>204</v>
      </c>
      <c r="X53" s="101">
        <f t="shared" si="17"/>
        <v>1892</v>
      </c>
      <c r="Y53" s="256"/>
    </row>
    <row r="54" spans="1:25" x14ac:dyDescent="0.25">
      <c r="A54" s="25">
        <f t="shared" si="18"/>
        <v>2032</v>
      </c>
      <c r="B54" s="37">
        <f>B37+VLOOKUP($A$1,'Pri Housing Generation'!$A$96:$DQ$118, 114, FALSE)</f>
        <v>351</v>
      </c>
      <c r="C54" s="34">
        <f>C37+VLOOKUP($A$1,'Pri Housing Generation'!$A$96:$DQ$118, 115, FALSE)</f>
        <v>363</v>
      </c>
      <c r="D54" s="34">
        <f>D37+VLOOKUP($A$1,'Pri Housing Generation'!$A$96:$DQ$118, 116, FALSE)</f>
        <v>366</v>
      </c>
      <c r="E54" s="34">
        <f>E37+VLOOKUP($A$1,'Pri Housing Generation'!$A$96:$DQ$118, 117, FALSE)</f>
        <v>370</v>
      </c>
      <c r="F54" s="34">
        <f>F37+VLOOKUP($A$1,'Pri Housing Generation'!$A$96:$DQ$118, 118, FALSE)</f>
        <v>366</v>
      </c>
      <c r="G54" s="34">
        <f>G37+VLOOKUP($A$1,'Pri Housing Generation'!$A$96:$DQ$118, 119, FALSE)</f>
        <v>364</v>
      </c>
      <c r="H54" s="34">
        <f>H37+VLOOKUP($A$1,'Pri Housing Generation'!$A$96:$DQ$118, 120, FALSE)</f>
        <v>351</v>
      </c>
      <c r="I54" s="99">
        <f t="shared" si="19"/>
        <v>369</v>
      </c>
      <c r="K54" s="83"/>
      <c r="L54" s="83"/>
      <c r="M54" s="107">
        <f t="shared" si="14"/>
        <v>0.97562031558625117</v>
      </c>
      <c r="O54" s="35">
        <f t="shared" si="15"/>
        <v>361</v>
      </c>
      <c r="Q54" s="25">
        <f t="shared" si="20"/>
        <v>2032</v>
      </c>
      <c r="R54" s="20">
        <f t="shared" si="16"/>
        <v>365</v>
      </c>
      <c r="S54" s="53">
        <f t="shared" si="21"/>
        <v>357</v>
      </c>
      <c r="T54" s="53">
        <f t="shared" si="21"/>
        <v>350</v>
      </c>
      <c r="U54" s="53">
        <f t="shared" si="21"/>
        <v>373</v>
      </c>
      <c r="V54" s="34">
        <f t="shared" si="22"/>
        <v>299</v>
      </c>
      <c r="W54" s="34">
        <f t="shared" si="23"/>
        <v>224</v>
      </c>
      <c r="X54" s="101">
        <f t="shared" si="17"/>
        <v>1968</v>
      </c>
      <c r="Y54" s="256"/>
    </row>
    <row r="56" spans="1:25" x14ac:dyDescent="0.25">
      <c r="A56" s="21" t="s">
        <v>224</v>
      </c>
      <c r="F56" s="132"/>
      <c r="G56" s="131"/>
      <c r="H56" s="181"/>
      <c r="I56" s="131"/>
    </row>
    <row r="57" spans="1:25" x14ac:dyDescent="0.25">
      <c r="A57" s="21"/>
      <c r="F57" s="132"/>
      <c r="G57" s="131"/>
      <c r="H57" s="181"/>
      <c r="I57" s="131"/>
    </row>
    <row r="58" spans="1:25" x14ac:dyDescent="0.25">
      <c r="A58" s="136"/>
      <c r="B58" s="138" t="s">
        <v>225</v>
      </c>
      <c r="C58" s="413" t="s">
        <v>226</v>
      </c>
      <c r="D58" s="414"/>
      <c r="F58" s="132"/>
      <c r="G58" s="130"/>
      <c r="H58" s="181"/>
      <c r="I58" s="130"/>
    </row>
    <row r="59" spans="1:25" x14ac:dyDescent="0.25">
      <c r="A59" s="25">
        <v>2011</v>
      </c>
      <c r="B59" s="128">
        <v>4</v>
      </c>
      <c r="C59" s="415">
        <f t="shared" ref="C59:C64" si="24">1-(I13/(I13+B59))</f>
        <v>3.125E-2</v>
      </c>
      <c r="D59" s="388"/>
      <c r="F59" s="133"/>
      <c r="G59" s="54"/>
      <c r="H59" s="181"/>
      <c r="I59" s="54"/>
    </row>
    <row r="60" spans="1:25" x14ac:dyDescent="0.25">
      <c r="A60" s="25">
        <v>2012</v>
      </c>
      <c r="B60" s="128">
        <v>3</v>
      </c>
      <c r="C60" s="415">
        <f t="shared" si="24"/>
        <v>2.1126760563380254E-2</v>
      </c>
      <c r="D60" s="388"/>
      <c r="F60" s="133"/>
      <c r="G60" s="54"/>
      <c r="H60" s="181"/>
      <c r="I60" s="54"/>
    </row>
    <row r="61" spans="1:25" x14ac:dyDescent="0.25">
      <c r="A61" s="25">
        <v>2013</v>
      </c>
      <c r="B61" s="128">
        <v>3</v>
      </c>
      <c r="C61" s="415">
        <f t="shared" si="24"/>
        <v>1.9867549668874163E-2</v>
      </c>
      <c r="D61" s="388"/>
      <c r="F61" s="133"/>
      <c r="G61" s="54"/>
      <c r="H61" s="181"/>
      <c r="I61" s="54"/>
    </row>
    <row r="62" spans="1:25" x14ac:dyDescent="0.25">
      <c r="A62" s="25">
        <v>2014</v>
      </c>
      <c r="B62" s="128">
        <v>4</v>
      </c>
      <c r="C62" s="415">
        <f t="shared" si="24"/>
        <v>2.4691358024691357E-2</v>
      </c>
      <c r="D62" s="388"/>
      <c r="F62" s="133"/>
      <c r="G62" s="54"/>
      <c r="H62" s="181"/>
      <c r="I62" s="54"/>
      <c r="K62" s="181"/>
      <c r="N62" s="109"/>
      <c r="S62" s="82"/>
    </row>
    <row r="63" spans="1:25" x14ac:dyDescent="0.25">
      <c r="A63" s="25">
        <v>2015</v>
      </c>
      <c r="B63" s="128">
        <v>4</v>
      </c>
      <c r="C63" s="415">
        <f t="shared" si="24"/>
        <v>2.2988505747126409E-2</v>
      </c>
      <c r="D63" s="388"/>
      <c r="F63" s="133"/>
      <c r="G63" s="54"/>
      <c r="H63" s="181"/>
      <c r="I63" s="54"/>
      <c r="K63" s="181"/>
      <c r="N63" s="109"/>
      <c r="S63" s="82"/>
    </row>
    <row r="64" spans="1:25" x14ac:dyDescent="0.25">
      <c r="A64" s="25">
        <v>2016</v>
      </c>
      <c r="B64" s="128">
        <v>3</v>
      </c>
      <c r="C64" s="415">
        <f t="shared" si="24"/>
        <v>1.764705882352946E-2</v>
      </c>
      <c r="D64" s="388"/>
      <c r="F64" s="133"/>
      <c r="G64" s="54"/>
      <c r="H64" s="181"/>
      <c r="I64" s="54"/>
      <c r="K64" s="181"/>
      <c r="N64" s="109"/>
      <c r="S64" s="82"/>
    </row>
    <row r="65" spans="1:19" x14ac:dyDescent="0.25">
      <c r="A65" s="21"/>
      <c r="F65" s="48"/>
      <c r="K65" s="181"/>
      <c r="N65" s="109"/>
      <c r="S65" s="82"/>
    </row>
    <row r="66" spans="1:19" x14ac:dyDescent="0.25">
      <c r="A66" s="21" t="s">
        <v>213</v>
      </c>
      <c r="K66" s="181"/>
      <c r="N66" s="109"/>
      <c r="S66" s="82"/>
    </row>
    <row r="67" spans="1:19" x14ac:dyDescent="0.25">
      <c r="A67" t="s">
        <v>394</v>
      </c>
      <c r="K67" s="181"/>
      <c r="N67" s="109"/>
      <c r="S67" s="82"/>
    </row>
    <row r="68" spans="1:19" x14ac:dyDescent="0.25">
      <c r="K68" s="181"/>
      <c r="N68" s="109"/>
      <c r="S68" s="82"/>
    </row>
    <row r="69" spans="1:19" x14ac:dyDescent="0.25">
      <c r="K69" s="54"/>
      <c r="N69" s="109"/>
      <c r="S69" s="82"/>
    </row>
    <row r="70" spans="1:19" x14ac:dyDescent="0.25">
      <c r="K70" s="54"/>
      <c r="N70" s="109"/>
      <c r="S70" s="82"/>
    </row>
    <row r="71" spans="1:19" x14ac:dyDescent="0.25">
      <c r="K71" s="54"/>
      <c r="N71" s="109"/>
    </row>
    <row r="78" spans="1:19" x14ac:dyDescent="0.25">
      <c r="Q78" s="130"/>
    </row>
    <row r="79" spans="1:19" x14ac:dyDescent="0.25">
      <c r="Q79" s="54"/>
    </row>
    <row r="80" spans="1:19" x14ac:dyDescent="0.25">
      <c r="Q80" s="54"/>
    </row>
    <row r="81" spans="17:17" x14ac:dyDescent="0.25">
      <c r="Q81" s="54"/>
    </row>
    <row r="82" spans="17:17" x14ac:dyDescent="0.25">
      <c r="Q82" s="54"/>
    </row>
    <row r="83" spans="17:17" x14ac:dyDescent="0.25">
      <c r="Q83" s="54"/>
    </row>
    <row r="84" spans="17:17" x14ac:dyDescent="0.25">
      <c r="Q84" s="54"/>
    </row>
  </sheetData>
  <mergeCells count="22">
    <mergeCell ref="C64:D64"/>
    <mergeCell ref="C60:D60"/>
    <mergeCell ref="C61:D61"/>
    <mergeCell ref="C62:D62"/>
    <mergeCell ref="C63:D63"/>
    <mergeCell ref="K39:K40"/>
    <mergeCell ref="M39:M40"/>
    <mergeCell ref="O39:O40"/>
    <mergeCell ref="C58:D58"/>
    <mergeCell ref="C59:D59"/>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54">
    <cfRule type="cellIs" dxfId="15" priority="5" operator="greaterThan">
      <formula>$C$7</formula>
    </cfRule>
  </conditionalFormatting>
  <conditionalFormatting sqref="X41:X54">
    <cfRule type="cellIs" dxfId="14" priority="4" operator="greaterThan">
      <formula>$C$6</formula>
    </cfRule>
  </conditionalFormatting>
  <pageMargins left="0.70866141732283472" right="0.70866141732283472" top="0.74803149606299213" bottom="0.74803149606299213" header="0.31496062992125984" footer="0.31496062992125984"/>
  <pageSetup paperSize="9" scale="61"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AA84"/>
  <sheetViews>
    <sheetView workbookViewId="0">
      <selection activeCell="A3" sqref="A3"/>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108</v>
      </c>
    </row>
    <row r="2" spans="1:24" x14ac:dyDescent="0.25">
      <c r="A2" t="s">
        <v>400</v>
      </c>
    </row>
    <row r="4" spans="1:24" x14ac:dyDescent="0.25">
      <c r="A4" s="21" t="s">
        <v>192</v>
      </c>
    </row>
    <row r="5" spans="1:24" x14ac:dyDescent="0.25">
      <c r="A5" s="21"/>
    </row>
    <row r="6" spans="1:24" x14ac:dyDescent="0.25">
      <c r="A6" s="21" t="s">
        <v>193</v>
      </c>
      <c r="C6" s="100">
        <f>VLOOKUP(A1,'Projection Summary'!A5:C50,3,FALSE)</f>
        <v>900</v>
      </c>
    </row>
    <row r="7" spans="1:24" x14ac:dyDescent="0.25">
      <c r="A7" s="21" t="s">
        <v>191</v>
      </c>
      <c r="B7" s="21"/>
      <c r="C7" s="100">
        <f>VLOOKUP(A1,'Projection Summary'!A5:C50,2,FALSE)</f>
        <v>180</v>
      </c>
    </row>
    <row r="9" spans="1:24" ht="15.75" x14ac:dyDescent="0.25">
      <c r="A9" s="129" t="s">
        <v>197</v>
      </c>
      <c r="R9" s="129" t="s">
        <v>198</v>
      </c>
      <c r="T9" s="173"/>
    </row>
    <row r="10" spans="1:24" x14ac:dyDescent="0.25">
      <c r="A10" s="21"/>
    </row>
    <row r="11" spans="1:24" x14ac:dyDescent="0.25">
      <c r="A11" s="21" t="s">
        <v>288</v>
      </c>
      <c r="K11" s="406" t="s">
        <v>137</v>
      </c>
      <c r="L11" s="407"/>
      <c r="M11" s="412" t="s">
        <v>139</v>
      </c>
      <c r="N11" s="49"/>
      <c r="O11" s="394" t="s">
        <v>136</v>
      </c>
      <c r="R11" s="21" t="s">
        <v>289</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173</v>
      </c>
      <c r="C13" s="19">
        <f>VLOOKUP($A$1,'Primary Catchment Analysis'!$A$3:$BE$25, 38, FALSE)</f>
        <v>161</v>
      </c>
      <c r="D13" s="27">
        <f>VLOOKUP($A$1,'Primary Catchment Analysis'!$A$3:$BE$25, 39, FALSE)</f>
        <v>165</v>
      </c>
      <c r="E13" s="27">
        <f>VLOOKUP($A$1,'Primary Catchment Analysis'!$A$3:$BE$25, 40, FALSE)</f>
        <v>140</v>
      </c>
      <c r="F13" s="27">
        <f>VLOOKUP($A$1,'Primary Catchment Analysis'!$A$3:$BE$25, 41, FALSE)</f>
        <v>123</v>
      </c>
      <c r="G13" s="126">
        <f>VLOOKUP($A$1,'Primary Catchment Analysis'!$A$3:$BE$25, 42, FALSE)</f>
        <v>136</v>
      </c>
      <c r="H13" s="28">
        <f>VLOOKUP($A$1,'Primary Catchment Analysis'!$A$3:$BE$25, 43, FALSE)</f>
        <v>139</v>
      </c>
      <c r="I13" s="28">
        <f>VLOOKUP($A$1,'S1 Catchment Analysis'!A3:I25, 7, FALSE)</f>
        <v>118</v>
      </c>
      <c r="J13" s="23"/>
      <c r="K13" s="410"/>
      <c r="L13" s="411"/>
      <c r="M13" s="399"/>
      <c r="N13" s="50"/>
      <c r="O13" s="399"/>
      <c r="P13" s="50"/>
      <c r="Q13" s="25">
        <f>A13</f>
        <v>2013</v>
      </c>
      <c r="R13" s="69">
        <f>VLOOKUP($A$1,'Secondary Rolls'!$A$3:$BE$25, 37, FALSE)</f>
        <v>112</v>
      </c>
      <c r="S13" s="53">
        <f>VLOOKUP($A$1,'Secondary Rolls'!$A$3:$BE$25, 38, FALSE)</f>
        <v>128</v>
      </c>
      <c r="T13" s="53">
        <f>VLOOKUP($A$1,'Secondary Rolls'!$A$3:$BE$25, 39, FALSE)</f>
        <v>117</v>
      </c>
      <c r="U13" s="122">
        <f>VLOOKUP($A$1,'Secondary Rolls'!$A$3:$BE$25, 40, FALSE)</f>
        <v>131</v>
      </c>
      <c r="V13" s="63">
        <f>VLOOKUP($A$1,'Secondary Rolls'!$A$3:$BE$25, 41, FALSE)</f>
        <v>117</v>
      </c>
      <c r="W13" s="53">
        <f>VLOOKUP($A$1,'Secondary Rolls'!$A$3:$BE$25, 42, FALSE)</f>
        <v>87</v>
      </c>
      <c r="X13" s="62">
        <f t="shared" ref="X13:X17" si="0">SUM(R13:W13)</f>
        <v>692</v>
      </c>
    </row>
    <row r="14" spans="1:24" ht="15.75" thickBot="1" x14ac:dyDescent="0.3">
      <c r="A14" s="25">
        <f>VLOOKUP($A$12,'S1 Catchment Analysis'!A2:I2, 6, FALSE)</f>
        <v>2014</v>
      </c>
      <c r="B14" s="45">
        <f>VLOOKUP($A$1,'Primary Catchment Analysis'!$A$3:$BE$25, 30, FALSE)</f>
        <v>128</v>
      </c>
      <c r="C14" s="44">
        <f>VLOOKUP($A$1,'Primary Catchment Analysis'!$A$3:$BE$25, 31, FALSE)</f>
        <v>182</v>
      </c>
      <c r="D14" s="19">
        <f>VLOOKUP($A$1,'Primary Catchment Analysis'!$A$3:$BE$25, 32, FALSE)</f>
        <v>162</v>
      </c>
      <c r="E14" s="27">
        <f>VLOOKUP($A$1,'Primary Catchment Analysis'!$A$3:$BE$25, 33, FALSE)</f>
        <v>158</v>
      </c>
      <c r="F14" s="27">
        <f>VLOOKUP($A$1,'Primary Catchment Analysis'!$A$3:$BE$25, 34, FALSE)</f>
        <v>148</v>
      </c>
      <c r="G14" s="126">
        <f>VLOOKUP($A$1,'Primary Catchment Analysis'!$A$3:$BE$25, 35, FALSE)</f>
        <v>118</v>
      </c>
      <c r="H14" s="28">
        <f>VLOOKUP($A$1,'Primary Catchment Analysis'!$A$3:$BE$25, 36, FALSE)</f>
        <v>126</v>
      </c>
      <c r="I14" s="27">
        <f>VLOOKUP($A$1,'S1 Catchment Analysis'!A3:I25, 6, FALSE)</f>
        <v>123</v>
      </c>
      <c r="J14" s="23"/>
      <c r="K14" s="400">
        <f>VLOOKUP($A$1,'S1 Catchment Retained'!A2:I25, 6, FALSE)</f>
        <v>111</v>
      </c>
      <c r="L14" s="423"/>
      <c r="M14" s="110">
        <f t="shared" ref="M14:M18" si="1">(K14/I14)</f>
        <v>0.90243902439024393</v>
      </c>
      <c r="N14" s="50"/>
      <c r="O14" s="111">
        <f t="shared" ref="O14:O18" si="2">R14-K14</f>
        <v>0</v>
      </c>
      <c r="P14" s="50"/>
      <c r="Q14" s="25">
        <f t="shared" ref="Q14:Q18" si="3">A14</f>
        <v>2014</v>
      </c>
      <c r="R14" s="67">
        <f>VLOOKUP($A$1,'Secondary Rolls'!$A$3:$BE$25, 30, FALSE)</f>
        <v>111</v>
      </c>
      <c r="S14" s="69">
        <f>VLOOKUP($A$1,'Secondary Rolls'!$A$3:$BE$25, 31, FALSE)</f>
        <v>114</v>
      </c>
      <c r="T14" s="61">
        <f>VLOOKUP($A$1,'Secondary Rolls'!$A$3:$BE$25, 32, FALSE)</f>
        <v>132</v>
      </c>
      <c r="U14" s="61">
        <f>VLOOKUP($A$1,'Secondary Rolls'!$A$3:$BE$25, 33, FALSE)</f>
        <v>115</v>
      </c>
      <c r="V14" s="64">
        <f>VLOOKUP($A$1,'Secondary Rolls'!$A$3:$BE$25, 34, FALSE)</f>
        <v>127</v>
      </c>
      <c r="W14" s="116">
        <f>VLOOKUP($A$1,'Secondary Rolls'!$A$3:$BE$25, 35, FALSE)</f>
        <v>89</v>
      </c>
      <c r="X14" s="62">
        <f t="shared" si="0"/>
        <v>688</v>
      </c>
    </row>
    <row r="15" spans="1:24" ht="15.75" thickBot="1" x14ac:dyDescent="0.3">
      <c r="A15" s="25">
        <f>VLOOKUP($A$12,'S1 Catchment Analysis'!A2:I2, 5, FALSE)</f>
        <v>2015</v>
      </c>
      <c r="B15" s="19">
        <f>VLOOKUP($A$1,'Primary Catchment Analysis'!$A$3:$BE$25, 23, FALSE)</f>
        <v>170</v>
      </c>
      <c r="C15" s="45">
        <f>VLOOKUP($A$1,'Primary Catchment Analysis'!$A$3:$BE$25, 24, FALSE)</f>
        <v>129</v>
      </c>
      <c r="D15" s="44">
        <f>VLOOKUP($A$1,'Primary Catchment Analysis'!$A$3:$BE$25, 25, FALSE)</f>
        <v>185</v>
      </c>
      <c r="E15" s="19">
        <f>VLOOKUP($A$1,'Primary Catchment Analysis'!$A$3:$BE$25, 26, FALSE)</f>
        <v>168</v>
      </c>
      <c r="F15" s="27">
        <f>VLOOKUP($A$1,'Primary Catchment Analysis'!$A$3:$BE$25, 27, FALSE)</f>
        <v>152</v>
      </c>
      <c r="G15" s="126">
        <f>VLOOKUP($A$1,'Primary Catchment Analysis'!$A$3:$BE$25, 28, FALSE)</f>
        <v>139</v>
      </c>
      <c r="H15" s="30">
        <f>VLOOKUP($A$1,'Primary Catchment Analysis'!$A$3:$BE$25, 29, FALSE)</f>
        <v>118</v>
      </c>
      <c r="I15" s="29">
        <f>VLOOKUP($A$1,'S1 Catchment Analysis'!A3:I25, 5, FALSE)</f>
        <v>128</v>
      </c>
      <c r="J15" s="23"/>
      <c r="K15" s="400">
        <f>VLOOKUP($A$1,'S1 Catchment Retained'!A2:I25, 5, FALSE)</f>
        <v>126</v>
      </c>
      <c r="L15" s="423"/>
      <c r="M15" s="110">
        <f t="shared" si="1"/>
        <v>0.984375</v>
      </c>
      <c r="N15" s="50"/>
      <c r="O15" s="111">
        <f t="shared" si="2"/>
        <v>4</v>
      </c>
      <c r="P15" s="50"/>
      <c r="Q15" s="25">
        <f t="shared" si="3"/>
        <v>2015</v>
      </c>
      <c r="R15" s="68">
        <f>VLOOKUP($A$1,'Secondary Rolls'!$A$3:$BE$25, 23, FALSE)</f>
        <v>130</v>
      </c>
      <c r="S15" s="67">
        <f>VLOOKUP($A$1,'Secondary Rolls'!$A$3:$BE$25, 24, FALSE)</f>
        <v>112</v>
      </c>
      <c r="T15" s="71">
        <f>VLOOKUP($A$1,'Secondary Rolls'!$A$3:$BE$25, 25, FALSE)</f>
        <v>116</v>
      </c>
      <c r="U15" s="61">
        <f>VLOOKUP($A$1,'Secondary Rolls'!$A$3:$BE$25, 26, FALSE)</f>
        <v>130</v>
      </c>
      <c r="V15" s="123">
        <f>VLOOKUP($A$1,'Secondary Rolls'!$A$3:$BE$25, 27, FALSE)</f>
        <v>106</v>
      </c>
      <c r="W15" s="64">
        <f>VLOOKUP($A$1,'Secondary Rolls'!$A$3:$BE$25, 28, FALSE)</f>
        <v>94</v>
      </c>
      <c r="X15" s="62">
        <f t="shared" si="0"/>
        <v>688</v>
      </c>
    </row>
    <row r="16" spans="1:24" ht="15.75" thickBot="1" x14ac:dyDescent="0.3">
      <c r="A16" s="25">
        <f>VLOOKUP($A$12,'S1 Catchment Analysis'!A2:I2, 4, FALSE)</f>
        <v>2016</v>
      </c>
      <c r="B16" s="44">
        <f>VLOOKUP($A$1,'Primary Catchment Analysis'!$A$3:$BE$25, 16, FALSE)</f>
        <v>170</v>
      </c>
      <c r="C16" s="19">
        <f>VLOOKUP($A$1,'Primary Catchment Analysis'!$A$3:$BE$25, 17, FALSE)</f>
        <v>176</v>
      </c>
      <c r="D16" s="45">
        <f>VLOOKUP($A$1,'Primary Catchment Analysis'!$A$3:$BE$25, 18, FALSE)</f>
        <v>133</v>
      </c>
      <c r="E16" s="44">
        <f>VLOOKUP($A$1,'Primary Catchment Analysis'!$A$3:$BE$25, 19, FALSE)</f>
        <v>189</v>
      </c>
      <c r="F16" s="19">
        <f>VLOOKUP($A$1,'Primary Catchment Analysis'!$A$3:$BE$25, 20, FALSE)</f>
        <v>169</v>
      </c>
      <c r="G16" s="126">
        <f>VLOOKUP($A$1,'Primary Catchment Analysis'!$A$3:$BE$25, 21, FALSE)</f>
        <v>149</v>
      </c>
      <c r="H16" s="112">
        <f>VLOOKUP($A$1,'Primary Catchment Analysis'!$A$3:$BE$25, 22, FALSE)</f>
        <v>145</v>
      </c>
      <c r="I16" s="30">
        <f>VLOOKUP($A$1,'S1 Catchment Analysis'!A3:I25, 4, FALSE)</f>
        <v>114</v>
      </c>
      <c r="J16" s="23"/>
      <c r="K16" s="400">
        <f>VLOOKUP($A$1,'S1 Catchment Retained'!A2:I25, 4, FALSE)</f>
        <v>107</v>
      </c>
      <c r="L16" s="424"/>
      <c r="M16" s="56">
        <f t="shared" si="1"/>
        <v>0.93859649122807021</v>
      </c>
      <c r="N16" s="50"/>
      <c r="O16" s="103">
        <f t="shared" si="2"/>
        <v>3</v>
      </c>
      <c r="P16" s="50"/>
      <c r="Q16" s="25">
        <f t="shared" si="3"/>
        <v>2016</v>
      </c>
      <c r="R16" s="69">
        <f>VLOOKUP($A$1,'Secondary Rolls'!$A$3:$BE$25, 16, FALSE)</f>
        <v>110</v>
      </c>
      <c r="S16" s="68">
        <f>VLOOKUP($A$1,'Secondary Rolls'!$A$3:$BE$25, 17, FALSE)</f>
        <v>130</v>
      </c>
      <c r="T16" s="70">
        <f>VLOOKUP($A$1,'Secondary Rolls'!$A$3:$BE$25, 18, FALSE)</f>
        <v>113</v>
      </c>
      <c r="U16" s="71">
        <f>VLOOKUP($A$1,'Secondary Rolls'!$A$3:$BE$25, 19, FALSE)</f>
        <v>121</v>
      </c>
      <c r="V16" s="66">
        <f>VLOOKUP($A$1,'Secondary Rolls'!$A$3:$BE$25, 20, FALSE)</f>
        <v>110</v>
      </c>
      <c r="W16" s="65">
        <f>VLOOKUP($A$1,'Secondary Rolls'!$A$3:$BE$25, 21, FALSE)</f>
        <v>77</v>
      </c>
      <c r="X16" s="62">
        <f t="shared" si="0"/>
        <v>661</v>
      </c>
    </row>
    <row r="17" spans="1:27" ht="15.75" thickBot="1" x14ac:dyDescent="0.3">
      <c r="A17" s="258">
        <f>VLOOKUP($A$12,'S1 Catchment Analysis'!A2:I2, 3, FALSE)</f>
        <v>2017</v>
      </c>
      <c r="B17" s="259">
        <f>VLOOKUP($A$1,'Primary Catchment Analysis'!$A$3:$BE$25, 9, FALSE)</f>
        <v>176</v>
      </c>
      <c r="C17" s="260">
        <f>VLOOKUP($A$1,'Primary Catchment Analysis'!$A$3:$BE$25, 10, FALSE)</f>
        <v>170</v>
      </c>
      <c r="D17" s="261">
        <f>VLOOKUP($A$1,'Primary Catchment Analysis'!$A$3:$BE$25, 11, FALSE)</f>
        <v>179</v>
      </c>
      <c r="E17" s="259">
        <f>VLOOKUP($A$1,'Primary Catchment Analysis'!$A$3:$BE$25, 12, FALSE)</f>
        <v>133</v>
      </c>
      <c r="F17" s="260">
        <f>VLOOKUP($A$1,'Primary Catchment Analysis'!$A$3:$BE$25, 13, FALSE)</f>
        <v>187</v>
      </c>
      <c r="G17" s="262">
        <f>VLOOKUP($A$1,'Primary Catchment Analysis'!$A$3:$BE$25, 14, FALSE)</f>
        <v>176</v>
      </c>
      <c r="H17" s="113">
        <f>VLOOKUP($A$1,'Primary Catchment Analysis'!$A$3:$BE$25, 15, FALSE)</f>
        <v>159</v>
      </c>
      <c r="I17" s="31">
        <f>VLOOKUP($A$1,'S1 Catchment Analysis'!A3:I25, 3, FALSE)</f>
        <v>141</v>
      </c>
      <c r="J17" s="23"/>
      <c r="K17" s="400">
        <f>VLOOKUP($A$1,'S1 Catchment Retained'!A2:I25, 3, FALSE)</f>
        <v>136</v>
      </c>
      <c r="L17" s="424"/>
      <c r="M17" s="57">
        <f t="shared" si="1"/>
        <v>0.96453900709219853</v>
      </c>
      <c r="N17" s="50"/>
      <c r="O17" s="104">
        <f t="shared" si="2"/>
        <v>5</v>
      </c>
      <c r="P17" s="50"/>
      <c r="Q17" s="25">
        <f t="shared" si="3"/>
        <v>2017</v>
      </c>
      <c r="R17" s="264">
        <f>VLOOKUP($A$1,'Secondary Rolls'!$A$3:$BE$25, 9, FALSE)</f>
        <v>141</v>
      </c>
      <c r="S17" s="265">
        <f>VLOOKUP($A$1,'Secondary Rolls'!$A$3:$BE$25, 10, FALSE)</f>
        <v>106</v>
      </c>
      <c r="T17" s="266">
        <f>VLOOKUP($A$1,'Secondary Rolls'!$A$3:$BE$25, 11, FALSE)</f>
        <v>139</v>
      </c>
      <c r="U17" s="270">
        <f>VLOOKUP($A$1,'Secondary Rolls'!$A$3:$BE$25, 12, FALSE)</f>
        <v>114</v>
      </c>
      <c r="V17" s="271">
        <f>VLOOKUP($A$1,'Secondary Rolls'!$A$3:$BE$25, 13, FALSE)</f>
        <v>100</v>
      </c>
      <c r="W17" s="272">
        <f>VLOOKUP($A$1,'Secondary Rolls'!$A$3:$BE$25, 14, FALSE)</f>
        <v>76</v>
      </c>
      <c r="X17" s="116">
        <f t="shared" si="0"/>
        <v>676</v>
      </c>
    </row>
    <row r="18" spans="1:27" ht="15.75" thickBot="1" x14ac:dyDescent="0.3">
      <c r="A18" s="25">
        <f>VLOOKUP($A$12,'S1 Catchment Analysis'!A2:I2, 2, FALSE)</f>
        <v>2018</v>
      </c>
      <c r="B18" s="19">
        <f>VLOOKUP($A$1,'Primary Catchment Analysis'!$A$3:$BE$25, 2, FALSE)</f>
        <v>162</v>
      </c>
      <c r="C18" s="45">
        <f>VLOOKUP($A$1,'Primary Catchment Analysis'!$A$3:$BE$25, 3, FALSE)</f>
        <v>174</v>
      </c>
      <c r="D18" s="44">
        <f>VLOOKUP($A$1,'Primary Catchment Analysis'!$A$3:$BE$25, 4, FALSE)</f>
        <v>167</v>
      </c>
      <c r="E18" s="19">
        <f>VLOOKUP($A$1,'Primary Catchment Analysis'!$A$3:$BE$25, 5, FALSE)</f>
        <v>171</v>
      </c>
      <c r="F18" s="45">
        <f>VLOOKUP($A$1,'Primary Catchment Analysis'!$A$3:$BE$25, 6, FALSE)</f>
        <v>133</v>
      </c>
      <c r="G18" s="273">
        <f>VLOOKUP($A$1,'Primary Catchment Analysis'!$A$3:$BE$25, 7, FALSE)</f>
        <v>181</v>
      </c>
      <c r="H18" s="274">
        <f>VLOOKUP($A$1,'Primary Catchment Analysis'!$A$3:$BE$25, 8, FALSE)</f>
        <v>167</v>
      </c>
      <c r="I18" s="32">
        <f>VLOOKUP($A$1,'S1 Catchment Analysis'!A3:I25, 2, FALSE)</f>
        <v>173</v>
      </c>
      <c r="J18" s="23"/>
      <c r="K18" s="400">
        <f>VLOOKUP($A$1,'S1 Catchment Retained'!A2:I25, 2, FALSE)</f>
        <v>170</v>
      </c>
      <c r="L18" s="424"/>
      <c r="M18" s="58">
        <f t="shared" si="1"/>
        <v>0.98265895953757221</v>
      </c>
      <c r="N18" s="50"/>
      <c r="O18" s="105">
        <f t="shared" si="2"/>
        <v>4</v>
      </c>
      <c r="P18" s="50"/>
      <c r="Q18" s="25">
        <f t="shared" si="3"/>
        <v>2018</v>
      </c>
      <c r="R18" s="68">
        <f>VLOOKUP($A$1,'Secondary Rolls'!$A$3:$BE$25, 2, FALSE)</f>
        <v>174</v>
      </c>
      <c r="S18" s="67">
        <f>VLOOKUP($A$1,'Secondary Rolls'!$A$3:$BE$25, 3, FALSE)</f>
        <v>138</v>
      </c>
      <c r="T18" s="69">
        <f>VLOOKUP($A$1,'Secondary Rolls'!$A$3:$BE$25, 4, FALSE)</f>
        <v>113</v>
      </c>
      <c r="U18" s="68">
        <f>VLOOKUP($A$1,'Secondary Rolls'!$A$3:$BE$25, 5, FALSE)</f>
        <v>130</v>
      </c>
      <c r="V18" s="67">
        <f>VLOOKUP($A$1,'Secondary Rolls'!$A$3:$BE$25, 6, FALSE)</f>
        <v>102</v>
      </c>
      <c r="W18" s="69">
        <f>VLOOKUP($A$1,'Secondary Rolls'!$A$3:$BE$25, 7, FALSE)</f>
        <v>63</v>
      </c>
      <c r="X18" s="53">
        <f t="shared" ref="X18" si="4">SUM(R18:W18)</f>
        <v>720</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-7.976827094474153E-3</v>
      </c>
      <c r="D20" s="40">
        <f t="shared" ref="D20:I20" si="5">AVERAGE(((C15-D16)/C15),((C16-D17)/C16),((C17-D18)/C17))</f>
        <v>-1.0135382553303209E-2</v>
      </c>
      <c r="E20" s="40">
        <f t="shared" si="5"/>
        <v>7.6903719361819918E-3</v>
      </c>
      <c r="F20" s="40">
        <f t="shared" si="5"/>
        <v>1.5432098765432098E-3</v>
      </c>
      <c r="G20" s="40">
        <f t="shared" si="5"/>
        <v>3.4674284197980312E-3</v>
      </c>
      <c r="H20" s="40">
        <f t="shared" si="5"/>
        <v>-1.9714399316422392E-2</v>
      </c>
      <c r="I20" s="40">
        <f t="shared" si="5"/>
        <v>-8.855267494703771E-3</v>
      </c>
      <c r="K20" s="389">
        <f>AVERAGE(M16:M18)</f>
        <v>0.96193148595261369</v>
      </c>
      <c r="L20" s="390"/>
      <c r="M20" s="391"/>
      <c r="O20" s="51">
        <f>ROUNDUP((AVERAGE(O16:O18)),0)</f>
        <v>4</v>
      </c>
      <c r="T20" s="388"/>
      <c r="U20" s="388"/>
      <c r="V20" s="40">
        <f>AVERAGE(((U15-V16)/U15),((U16-V17)/U16),((U17-V18)/U17))</f>
        <v>0.14422101024971837</v>
      </c>
      <c r="W20" s="40">
        <f>AVERAGE(((V15-W16)/V15),((V16-W17)/V16),((V17-W18)/V17))</f>
        <v>0.31755860491709548</v>
      </c>
    </row>
    <row r="21" spans="1:27" x14ac:dyDescent="0.25">
      <c r="A21" s="21"/>
      <c r="K21" s="59"/>
      <c r="L21" s="59"/>
    </row>
    <row r="22" spans="1:27" x14ac:dyDescent="0.25">
      <c r="A22" s="21" t="s">
        <v>290</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Projections'!C70+'P1 Catchment Projections'!C71+'P1 Catchment Projections'!C72+'P1 Catchment Projections'!C73+'P1 Catchment Projections'!C74</f>
        <v>163</v>
      </c>
      <c r="C24" s="34">
        <f>ROUNDUP((B18-(B18*$C$20)),0)</f>
        <v>164</v>
      </c>
      <c r="D24" s="42">
        <f>ROUNDUP((C18-(C18*$D$20)),0)</f>
        <v>176</v>
      </c>
      <c r="E24" s="43">
        <f>ROUNDUP((D18-(D18*$E$20)),0)</f>
        <v>166</v>
      </c>
      <c r="F24" s="41">
        <f>ROUNDUP((E18-(E18*$F$20)),0)</f>
        <v>171</v>
      </c>
      <c r="G24" s="42">
        <f>ROUNDUP((F18-(F18*$G$20)),0)</f>
        <v>133</v>
      </c>
      <c r="H24" s="43">
        <f>ROUNDUP((G18-(G18*$H$20)),0)</f>
        <v>185</v>
      </c>
      <c r="I24" s="99">
        <f>ROUNDUP((H18-(H18*$I$20)),0)</f>
        <v>169</v>
      </c>
      <c r="J24" s="23"/>
      <c r="K24" s="59"/>
      <c r="L24" s="59"/>
      <c r="Z24" s="109"/>
      <c r="AA24" s="109"/>
    </row>
    <row r="25" spans="1:27" x14ac:dyDescent="0.25">
      <c r="A25" s="25">
        <f>A24+1</f>
        <v>2020</v>
      </c>
      <c r="B25" s="37">
        <f>'P1 Catchment Projections'!D70+'P1 Catchment Projections'!D71+'P1 Catchment Projections'!D72+'P1 Catchment Projections'!D73+'P1 Catchment Projections'!D74</f>
        <v>166</v>
      </c>
      <c r="C25" s="34">
        <f t="shared" ref="C25:C37" si="6">ROUNDUP((B24-(B24*$C$20)),0)</f>
        <v>165</v>
      </c>
      <c r="D25" s="34">
        <f t="shared" ref="D25:D37" si="7">ROUNDUP((C24-(C24*$D$20)),0)</f>
        <v>166</v>
      </c>
      <c r="E25" s="42">
        <f t="shared" ref="E25:E37" si="8">ROUNDUP((D24-(D24*$E$20)),0)</f>
        <v>175</v>
      </c>
      <c r="F25" s="43">
        <f t="shared" ref="F25:F37" si="9">ROUNDUP((E24-(E24*$F$20)),0)</f>
        <v>166</v>
      </c>
      <c r="G25" s="41">
        <f t="shared" ref="G25:G37" si="10">ROUNDUP((F24-(F24*$G$20)),0)</f>
        <v>171</v>
      </c>
      <c r="H25" s="42">
        <f t="shared" ref="H25:H37" si="11">ROUNDUP((G24-(G24*$H$20)),0)</f>
        <v>136</v>
      </c>
      <c r="I25" s="99">
        <f t="shared" ref="I25:I37" si="12">ROUNDUP((H24-(H24*$I$20)),0)</f>
        <v>187</v>
      </c>
      <c r="J25" s="23"/>
      <c r="K25" s="59"/>
      <c r="L25" s="59"/>
      <c r="Z25" s="109"/>
      <c r="AA25" s="109"/>
    </row>
    <row r="26" spans="1:27" x14ac:dyDescent="0.25">
      <c r="A26" s="25">
        <f>A25+1</f>
        <v>2021</v>
      </c>
      <c r="B26" s="37">
        <f>'P1 Catchment Projections'!E70+'P1 Catchment Projections'!E71+'P1 Catchment Projections'!E72+'P1 Catchment Projections'!E73+'P1 Catchment Projections'!E74</f>
        <v>156</v>
      </c>
      <c r="C26" s="34">
        <f t="shared" si="6"/>
        <v>168</v>
      </c>
      <c r="D26" s="34">
        <f t="shared" si="7"/>
        <v>167</v>
      </c>
      <c r="E26" s="34">
        <f t="shared" si="8"/>
        <v>165</v>
      </c>
      <c r="F26" s="42">
        <f t="shared" si="9"/>
        <v>175</v>
      </c>
      <c r="G26" s="43">
        <f t="shared" si="10"/>
        <v>166</v>
      </c>
      <c r="H26" s="41">
        <f t="shared" si="11"/>
        <v>175</v>
      </c>
      <c r="I26" s="99">
        <f t="shared" si="12"/>
        <v>138</v>
      </c>
      <c r="J26" s="23"/>
      <c r="K26" s="59"/>
      <c r="L26" s="59"/>
      <c r="Z26" s="109"/>
      <c r="AA26" s="109"/>
    </row>
    <row r="27" spans="1:27" x14ac:dyDescent="0.25">
      <c r="A27" s="25">
        <f>A26+1</f>
        <v>2022</v>
      </c>
      <c r="B27" s="37">
        <f>'P1 Catchment Projections'!F70+'P1 Catchment Projections'!F71+'P1 Catchment Projections'!F72+'P1 Catchment Projections'!F73+'P1 Catchment Projections'!F74</f>
        <v>164</v>
      </c>
      <c r="C27" s="34">
        <f t="shared" si="6"/>
        <v>158</v>
      </c>
      <c r="D27" s="34">
        <f t="shared" si="7"/>
        <v>170</v>
      </c>
      <c r="E27" s="34">
        <f t="shared" si="8"/>
        <v>166</v>
      </c>
      <c r="F27" s="34">
        <f t="shared" si="9"/>
        <v>165</v>
      </c>
      <c r="G27" s="42">
        <f t="shared" si="10"/>
        <v>175</v>
      </c>
      <c r="H27" s="43">
        <f t="shared" si="11"/>
        <v>170</v>
      </c>
      <c r="I27" s="99">
        <f t="shared" si="12"/>
        <v>177</v>
      </c>
      <c r="J27" s="23"/>
      <c r="K27" s="59"/>
      <c r="L27" s="59"/>
      <c r="Z27" s="109"/>
      <c r="AA27" s="109"/>
    </row>
    <row r="28" spans="1:27" x14ac:dyDescent="0.25">
      <c r="A28" s="25">
        <f t="shared" ref="A28:A37" si="13">A27+1</f>
        <v>2023</v>
      </c>
      <c r="B28" s="37">
        <f>'P1 Catchment Projections'!G70+'P1 Catchment Projections'!G71+'P1 Catchment Projections'!G72+'P1 Catchment Projections'!G73+'P1 Catchment Projections'!G74</f>
        <v>163</v>
      </c>
      <c r="C28" s="34">
        <f t="shared" si="6"/>
        <v>166</v>
      </c>
      <c r="D28" s="34">
        <f t="shared" si="7"/>
        <v>160</v>
      </c>
      <c r="E28" s="34">
        <f t="shared" si="8"/>
        <v>169</v>
      </c>
      <c r="F28" s="34">
        <f t="shared" si="9"/>
        <v>166</v>
      </c>
      <c r="G28" s="34">
        <f t="shared" si="10"/>
        <v>165</v>
      </c>
      <c r="H28" s="42">
        <f t="shared" si="11"/>
        <v>179</v>
      </c>
      <c r="I28" s="99">
        <f t="shared" si="12"/>
        <v>172</v>
      </c>
      <c r="J28" s="23"/>
      <c r="K28" s="59"/>
      <c r="L28" s="59"/>
      <c r="Z28" s="109"/>
      <c r="AA28" s="109"/>
    </row>
    <row r="29" spans="1:27" x14ac:dyDescent="0.25">
      <c r="A29" s="25">
        <f t="shared" si="13"/>
        <v>2024</v>
      </c>
      <c r="B29" s="37">
        <f>'P1 Catchment Projections'!H70+'P1 Catchment Projections'!H71+'P1 Catchment Projections'!H72+'P1 Catchment Projections'!H73+'P1 Catchment Projections'!H74</f>
        <v>166</v>
      </c>
      <c r="C29" s="34">
        <f t="shared" si="6"/>
        <v>165</v>
      </c>
      <c r="D29" s="34">
        <f t="shared" si="7"/>
        <v>168</v>
      </c>
      <c r="E29" s="34">
        <f t="shared" si="8"/>
        <v>159</v>
      </c>
      <c r="F29" s="34">
        <f t="shared" si="9"/>
        <v>169</v>
      </c>
      <c r="G29" s="34">
        <f t="shared" si="10"/>
        <v>166</v>
      </c>
      <c r="H29" s="34">
        <f t="shared" si="11"/>
        <v>169</v>
      </c>
      <c r="I29" s="99">
        <f t="shared" si="12"/>
        <v>181</v>
      </c>
      <c r="K29" s="59"/>
      <c r="L29" s="59"/>
      <c r="Z29" s="109"/>
      <c r="AA29" s="109"/>
    </row>
    <row r="30" spans="1:27" x14ac:dyDescent="0.25">
      <c r="A30" s="25">
        <f t="shared" si="13"/>
        <v>2025</v>
      </c>
      <c r="B30" s="37">
        <f>'P1 Catchment Projections'!I70+'P1 Catchment Projections'!I71+'P1 Catchment Projections'!I72+'P1 Catchment Projections'!I73+'P1 Catchment Projections'!I74</f>
        <v>168</v>
      </c>
      <c r="C30" s="34">
        <f t="shared" si="6"/>
        <v>168</v>
      </c>
      <c r="D30" s="34">
        <f t="shared" si="7"/>
        <v>167</v>
      </c>
      <c r="E30" s="34">
        <f t="shared" si="8"/>
        <v>167</v>
      </c>
      <c r="F30" s="34">
        <f t="shared" si="9"/>
        <v>159</v>
      </c>
      <c r="G30" s="34">
        <f t="shared" si="10"/>
        <v>169</v>
      </c>
      <c r="H30" s="34">
        <f t="shared" si="11"/>
        <v>170</v>
      </c>
      <c r="I30" s="99">
        <f t="shared" si="12"/>
        <v>171</v>
      </c>
      <c r="K30" s="59"/>
      <c r="L30" s="59"/>
      <c r="Z30" s="109"/>
      <c r="AA30" s="109"/>
    </row>
    <row r="31" spans="1:27" x14ac:dyDescent="0.25">
      <c r="A31" s="25">
        <f t="shared" si="13"/>
        <v>2026</v>
      </c>
      <c r="B31" s="37">
        <f>'P1 Catchment Projections'!J70+'P1 Catchment Projections'!J71+'P1 Catchment Projections'!J72+'P1 Catchment Projections'!J73+'P1 Catchment Projections'!J74</f>
        <v>170</v>
      </c>
      <c r="C31" s="34">
        <f t="shared" si="6"/>
        <v>170</v>
      </c>
      <c r="D31" s="34">
        <f t="shared" si="7"/>
        <v>170</v>
      </c>
      <c r="E31" s="34">
        <f t="shared" si="8"/>
        <v>166</v>
      </c>
      <c r="F31" s="34">
        <f t="shared" si="9"/>
        <v>167</v>
      </c>
      <c r="G31" s="34">
        <f t="shared" si="10"/>
        <v>159</v>
      </c>
      <c r="H31" s="34">
        <f t="shared" si="11"/>
        <v>173</v>
      </c>
      <c r="I31" s="99">
        <f t="shared" si="12"/>
        <v>172</v>
      </c>
      <c r="K31" s="59"/>
      <c r="L31" s="59"/>
      <c r="Z31" s="109"/>
      <c r="AA31" s="109"/>
    </row>
    <row r="32" spans="1:27" x14ac:dyDescent="0.25">
      <c r="A32" s="25">
        <f t="shared" si="13"/>
        <v>2027</v>
      </c>
      <c r="B32" s="37">
        <f>'P1 Catchment Projections'!K70+'P1 Catchment Projections'!K71+'P1 Catchment Projections'!K72+'P1 Catchment Projections'!K73+'P1 Catchment Projections'!K74</f>
        <v>171</v>
      </c>
      <c r="C32" s="34">
        <f t="shared" si="6"/>
        <v>172</v>
      </c>
      <c r="D32" s="34">
        <f t="shared" si="7"/>
        <v>172</v>
      </c>
      <c r="E32" s="34">
        <f t="shared" si="8"/>
        <v>169</v>
      </c>
      <c r="F32" s="34">
        <f t="shared" si="9"/>
        <v>166</v>
      </c>
      <c r="G32" s="34">
        <f t="shared" si="10"/>
        <v>167</v>
      </c>
      <c r="H32" s="34">
        <f t="shared" si="11"/>
        <v>163</v>
      </c>
      <c r="I32" s="99">
        <f t="shared" si="12"/>
        <v>175</v>
      </c>
      <c r="K32" s="59"/>
      <c r="L32" s="59"/>
      <c r="Z32" s="109"/>
      <c r="AA32" s="109"/>
    </row>
    <row r="33" spans="1:24" x14ac:dyDescent="0.25">
      <c r="A33" s="25">
        <f t="shared" si="13"/>
        <v>2028</v>
      </c>
      <c r="B33" s="37">
        <f>'P1 Catchment Projections'!L70+'P1 Catchment Projections'!L71+'P1 Catchment Projections'!L72+'P1 Catchment Projections'!L73+'P1 Catchment Projections'!L74</f>
        <v>172</v>
      </c>
      <c r="C33" s="34">
        <f t="shared" si="6"/>
        <v>173</v>
      </c>
      <c r="D33" s="34">
        <f t="shared" si="7"/>
        <v>174</v>
      </c>
      <c r="E33" s="34">
        <f t="shared" si="8"/>
        <v>171</v>
      </c>
      <c r="F33" s="34">
        <f t="shared" si="9"/>
        <v>169</v>
      </c>
      <c r="G33" s="34">
        <f t="shared" si="10"/>
        <v>166</v>
      </c>
      <c r="H33" s="34">
        <f t="shared" si="11"/>
        <v>171</v>
      </c>
      <c r="I33" s="99">
        <f t="shared" si="12"/>
        <v>165</v>
      </c>
      <c r="K33" s="59"/>
      <c r="L33" s="59"/>
    </row>
    <row r="34" spans="1:24" x14ac:dyDescent="0.25">
      <c r="A34" s="25">
        <f t="shared" si="13"/>
        <v>2029</v>
      </c>
      <c r="B34" s="37">
        <f>'P1 Catchment Projections'!M70+'P1 Catchment Projections'!M71+'P1 Catchment Projections'!M72+'P1 Catchment Projections'!M73+'P1 Catchment Projections'!M74</f>
        <v>172</v>
      </c>
      <c r="C34" s="34">
        <f t="shared" si="6"/>
        <v>174</v>
      </c>
      <c r="D34" s="34">
        <f t="shared" si="7"/>
        <v>175</v>
      </c>
      <c r="E34" s="34">
        <f t="shared" si="8"/>
        <v>173</v>
      </c>
      <c r="F34" s="34">
        <f t="shared" si="9"/>
        <v>171</v>
      </c>
      <c r="G34" s="34">
        <f t="shared" si="10"/>
        <v>169</v>
      </c>
      <c r="H34" s="34">
        <f t="shared" si="11"/>
        <v>170</v>
      </c>
      <c r="I34" s="99">
        <f t="shared" si="12"/>
        <v>173</v>
      </c>
      <c r="K34" s="59"/>
      <c r="L34" s="59"/>
    </row>
    <row r="35" spans="1:24" x14ac:dyDescent="0.25">
      <c r="A35" s="25">
        <f t="shared" si="13"/>
        <v>2030</v>
      </c>
      <c r="B35" s="37">
        <f>'P1 Catchment Projections'!N70+'P1 Catchment Projections'!N71+'P1 Catchment Projections'!N72+'P1 Catchment Projections'!N73+'P1 Catchment Projections'!N74</f>
        <v>173</v>
      </c>
      <c r="C35" s="34">
        <f t="shared" si="6"/>
        <v>174</v>
      </c>
      <c r="D35" s="34">
        <f t="shared" si="7"/>
        <v>176</v>
      </c>
      <c r="E35" s="34">
        <f t="shared" si="8"/>
        <v>174</v>
      </c>
      <c r="F35" s="34">
        <f t="shared" si="9"/>
        <v>173</v>
      </c>
      <c r="G35" s="34">
        <f t="shared" si="10"/>
        <v>171</v>
      </c>
      <c r="H35" s="34">
        <f t="shared" si="11"/>
        <v>173</v>
      </c>
      <c r="I35" s="99">
        <f t="shared" si="12"/>
        <v>172</v>
      </c>
      <c r="K35" s="59"/>
      <c r="L35" s="59"/>
    </row>
    <row r="36" spans="1:24" x14ac:dyDescent="0.25">
      <c r="A36" s="25">
        <f t="shared" si="13"/>
        <v>2031</v>
      </c>
      <c r="B36" s="37">
        <f>'P1 Catchment Projections'!O70+'P1 Catchment Projections'!O71+'P1 Catchment Projections'!O72+'P1 Catchment Projections'!O73+'P1 Catchment Projections'!O74</f>
        <v>173</v>
      </c>
      <c r="C36" s="34">
        <f t="shared" si="6"/>
        <v>175</v>
      </c>
      <c r="D36" s="34">
        <f t="shared" si="7"/>
        <v>176</v>
      </c>
      <c r="E36" s="34">
        <f t="shared" si="8"/>
        <v>175</v>
      </c>
      <c r="F36" s="34">
        <f t="shared" si="9"/>
        <v>174</v>
      </c>
      <c r="G36" s="34">
        <f t="shared" si="10"/>
        <v>173</v>
      </c>
      <c r="H36" s="34">
        <f t="shared" si="11"/>
        <v>175</v>
      </c>
      <c r="I36" s="99">
        <f t="shared" si="12"/>
        <v>175</v>
      </c>
      <c r="K36" s="59"/>
      <c r="L36" s="59"/>
    </row>
    <row r="37" spans="1:24" x14ac:dyDescent="0.25">
      <c r="A37" s="25">
        <f t="shared" si="13"/>
        <v>2032</v>
      </c>
      <c r="B37" s="37">
        <f>'P1 Catchment Projections'!P70+'P1 Catchment Projections'!P71+'P1 Catchment Projections'!P72+'P1 Catchment Projections'!P73+'P1 Catchment Projections'!P74</f>
        <v>173</v>
      </c>
      <c r="C37" s="34">
        <f t="shared" si="6"/>
        <v>175</v>
      </c>
      <c r="D37" s="34">
        <f t="shared" si="7"/>
        <v>177</v>
      </c>
      <c r="E37" s="34">
        <f t="shared" si="8"/>
        <v>175</v>
      </c>
      <c r="F37" s="34">
        <f t="shared" si="9"/>
        <v>175</v>
      </c>
      <c r="G37" s="34">
        <f t="shared" si="10"/>
        <v>174</v>
      </c>
      <c r="H37" s="34">
        <f t="shared" si="11"/>
        <v>177</v>
      </c>
      <c r="I37" s="99">
        <f t="shared" si="12"/>
        <v>177</v>
      </c>
      <c r="K37" s="59"/>
      <c r="L37" s="59"/>
    </row>
    <row r="38" spans="1:24" x14ac:dyDescent="0.25">
      <c r="K38" s="59"/>
      <c r="L38" s="59"/>
    </row>
    <row r="39" spans="1:24" x14ac:dyDescent="0.25">
      <c r="A39" s="21" t="s">
        <v>290</v>
      </c>
      <c r="K39" s="394" t="s">
        <v>190</v>
      </c>
      <c r="L39" s="55"/>
      <c r="M39" s="394" t="s">
        <v>203</v>
      </c>
      <c r="N39" s="106"/>
      <c r="O39" s="395" t="s">
        <v>204</v>
      </c>
      <c r="R39" s="21" t="s">
        <v>291</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168</v>
      </c>
      <c r="C41" s="34">
        <f>C24+VLOOKUP($A$1,'Pri Housing Generation'!$A$96:$DQ$118, 11, FALSE)</f>
        <v>169</v>
      </c>
      <c r="D41" s="42">
        <f>D24+VLOOKUP($A$1,'Pri Housing Generation'!$A$96:$DQ$118, 12, FALSE)</f>
        <v>180</v>
      </c>
      <c r="E41" s="43">
        <f>E24+VLOOKUP($A$1,'Pri Housing Generation'!$A$96:$DQ$118, 13, FALSE)</f>
        <v>169</v>
      </c>
      <c r="F41" s="41">
        <f>F24+VLOOKUP($A$1,'Pri Housing Generation'!$A$96:$DQ$118, 14, FALSE)</f>
        <v>172</v>
      </c>
      <c r="G41" s="42">
        <f>G24+VLOOKUP($A$1,'Pri Housing Generation'!$A$96:$DQ$118, 15, FALSE)</f>
        <v>134</v>
      </c>
      <c r="H41" s="43">
        <f>H24+VLOOKUP($A$1,'Pri Housing Generation'!$A$96:$DQ$118, 16, FALSE)</f>
        <v>185</v>
      </c>
      <c r="I41" s="99">
        <f>ROUNDUP((H18-(H18*$I$20)),0)</f>
        <v>169</v>
      </c>
      <c r="K41" s="35">
        <f>'Sec Housing Generation'!I20</f>
        <v>3</v>
      </c>
      <c r="L41" s="83"/>
      <c r="M41" s="107">
        <f t="shared" ref="M41:M54" si="14">$K$20</f>
        <v>0.96193148595261369</v>
      </c>
      <c r="O41" s="35">
        <f t="shared" ref="O41:O54" si="15">ROUNDUP(((I41+K41)*M41),0)</f>
        <v>166</v>
      </c>
      <c r="Q41" s="25">
        <f>A41</f>
        <v>2019</v>
      </c>
      <c r="R41" s="20">
        <f t="shared" ref="R41:R54" si="16">IF(O41&lt;$C$7,(IF((O41+$O$20)&gt;$C$7,$C$7,(O41+$O$20))),(IF((O41+$O$20)&lt;(CEILING((O41),20)),(O41+$O$20),(CEILING((O41),20)))))</f>
        <v>170</v>
      </c>
      <c r="S41" s="53">
        <f>R18</f>
        <v>174</v>
      </c>
      <c r="T41" s="67">
        <f>S18</f>
        <v>138</v>
      </c>
      <c r="U41" s="69">
        <f>T18</f>
        <v>113</v>
      </c>
      <c r="V41" s="41">
        <f>ROUNDUP((U18-(U18*$V$20)),0)</f>
        <v>112</v>
      </c>
      <c r="W41" s="42">
        <f>ROUNDUP((V18-(V18*$W$20)),0)</f>
        <v>70</v>
      </c>
      <c r="X41" s="101">
        <f t="shared" ref="X41:X54" si="17">SUM(R41:W41)</f>
        <v>777</v>
      </c>
    </row>
    <row r="42" spans="1:24" x14ac:dyDescent="0.25">
      <c r="A42" s="25">
        <f t="shared" ref="A42:A54" si="18">A25</f>
        <v>2020</v>
      </c>
      <c r="B42" s="37">
        <f>B25+VLOOKUP($A$1,'Pri Housing Generation'!$A$96:$DQ$118, 18, FALSE)</f>
        <v>172</v>
      </c>
      <c r="C42" s="34">
        <f>C25+VLOOKUP($A$1,'Pri Housing Generation'!$A$96:$DQ$118, 19, FALSE)</f>
        <v>171</v>
      </c>
      <c r="D42" s="34">
        <f>D25+VLOOKUP($A$1,'Pri Housing Generation'!$A$96:$DQ$118, 20, FALSE)</f>
        <v>172</v>
      </c>
      <c r="E42" s="42">
        <f>E25+VLOOKUP($A$1,'Pri Housing Generation'!$A$96:$DQ$118, 21, FALSE)</f>
        <v>180</v>
      </c>
      <c r="F42" s="43">
        <f>F25+VLOOKUP($A$1,'Pri Housing Generation'!$A$96:$DQ$118, 22, FALSE)</f>
        <v>169</v>
      </c>
      <c r="G42" s="41">
        <f>G25+VLOOKUP($A$1,'Pri Housing Generation'!$A$96:$DQ$118, 23, FALSE)</f>
        <v>173</v>
      </c>
      <c r="H42" s="42">
        <f>H25+VLOOKUP($A$1,'Pri Housing Generation'!$A$96:$DQ$118, 24, FALSE)</f>
        <v>138</v>
      </c>
      <c r="I42" s="99">
        <f t="shared" ref="I42:I54" si="19">ROUNDUP((H41-(H41*$I$20)),0)</f>
        <v>187</v>
      </c>
      <c r="K42" s="35">
        <f>'Sec Housing Generation'!P20</f>
        <v>4</v>
      </c>
      <c r="L42" s="83"/>
      <c r="M42" s="107">
        <f t="shared" si="14"/>
        <v>0.96193148595261369</v>
      </c>
      <c r="O42" s="35">
        <f t="shared" si="15"/>
        <v>184</v>
      </c>
      <c r="Q42" s="25">
        <f t="shared" ref="Q42:Q54" si="20">A42</f>
        <v>2020</v>
      </c>
      <c r="R42" s="20">
        <f t="shared" si="16"/>
        <v>188</v>
      </c>
      <c r="S42" s="53">
        <f t="shared" ref="S42:U54" si="21">R41</f>
        <v>170</v>
      </c>
      <c r="T42" s="53">
        <f t="shared" si="21"/>
        <v>174</v>
      </c>
      <c r="U42" s="67">
        <f t="shared" si="21"/>
        <v>138</v>
      </c>
      <c r="V42" s="43">
        <f t="shared" ref="V42:V54" si="22">ROUNDUP((U41-(U41*$V$20)),0)</f>
        <v>97</v>
      </c>
      <c r="W42" s="41">
        <f t="shared" ref="W42:W54" si="23">ROUNDUP((V41-(V41*$W$20)),0)</f>
        <v>77</v>
      </c>
      <c r="X42" s="101">
        <f t="shared" si="17"/>
        <v>844</v>
      </c>
    </row>
    <row r="43" spans="1:24" x14ac:dyDescent="0.25">
      <c r="A43" s="25">
        <f t="shared" si="18"/>
        <v>2021</v>
      </c>
      <c r="B43" s="37">
        <f>B26+VLOOKUP($A$1,'Pri Housing Generation'!$A$96:$DQ$118, 26, FALSE)</f>
        <v>164</v>
      </c>
      <c r="C43" s="34">
        <f>C26+VLOOKUP($A$1,'Pri Housing Generation'!$A$96:$DQ$118, 27, FALSE)</f>
        <v>176</v>
      </c>
      <c r="D43" s="34">
        <f>D26+VLOOKUP($A$1,'Pri Housing Generation'!$A$96:$DQ$118, 28, FALSE)</f>
        <v>174</v>
      </c>
      <c r="E43" s="34">
        <f>E26+VLOOKUP($A$1,'Pri Housing Generation'!$A$96:$DQ$118, 29, FALSE)</f>
        <v>172</v>
      </c>
      <c r="F43" s="42">
        <f>F26+VLOOKUP($A$1,'Pri Housing Generation'!$A$96:$DQ$118, 30, FALSE)</f>
        <v>181</v>
      </c>
      <c r="G43" s="43">
        <f>G26+VLOOKUP($A$1,'Pri Housing Generation'!$A$96:$DQ$118, 31, FALSE)</f>
        <v>172</v>
      </c>
      <c r="H43" s="41">
        <f>H26+VLOOKUP($A$1,'Pri Housing Generation'!$A$96:$DQ$118, 32, FALSE)</f>
        <v>180</v>
      </c>
      <c r="I43" s="99">
        <f t="shared" si="19"/>
        <v>140</v>
      </c>
      <c r="K43" s="35">
        <f>'Sec Housing Generation'!W20</f>
        <v>6</v>
      </c>
      <c r="L43" s="83"/>
      <c r="M43" s="107">
        <f t="shared" si="14"/>
        <v>0.96193148595261369</v>
      </c>
      <c r="O43" s="35">
        <f t="shared" si="15"/>
        <v>141</v>
      </c>
      <c r="Q43" s="25">
        <f t="shared" si="20"/>
        <v>2021</v>
      </c>
      <c r="R43" s="20">
        <f t="shared" si="16"/>
        <v>145</v>
      </c>
      <c r="S43" s="53">
        <f t="shared" si="21"/>
        <v>188</v>
      </c>
      <c r="T43" s="53">
        <f t="shared" si="21"/>
        <v>170</v>
      </c>
      <c r="U43" s="53">
        <f t="shared" si="21"/>
        <v>174</v>
      </c>
      <c r="V43" s="42">
        <f t="shared" si="22"/>
        <v>119</v>
      </c>
      <c r="W43" s="43">
        <f t="shared" si="23"/>
        <v>67</v>
      </c>
      <c r="X43" s="101">
        <f t="shared" si="17"/>
        <v>863</v>
      </c>
    </row>
    <row r="44" spans="1:24" x14ac:dyDescent="0.25">
      <c r="A44" s="25">
        <f t="shared" si="18"/>
        <v>2022</v>
      </c>
      <c r="B44" s="37">
        <f>B27+VLOOKUP($A$1,'Pri Housing Generation'!$A$96:$DQ$118, 34, FALSE)</f>
        <v>176</v>
      </c>
      <c r="C44" s="34">
        <f>C27+VLOOKUP($A$1,'Pri Housing Generation'!$A$96:$DQ$118, 35, FALSE)</f>
        <v>170</v>
      </c>
      <c r="D44" s="34">
        <f>D27+VLOOKUP($A$1,'Pri Housing Generation'!$A$96:$DQ$118, 36, FALSE)</f>
        <v>181</v>
      </c>
      <c r="E44" s="34">
        <f>E27+VLOOKUP($A$1,'Pri Housing Generation'!$A$96:$DQ$118, 37, FALSE)</f>
        <v>177</v>
      </c>
      <c r="F44" s="34">
        <f>F27+VLOOKUP($A$1,'Pri Housing Generation'!$A$96:$DQ$118, 38, FALSE)</f>
        <v>174</v>
      </c>
      <c r="G44" s="42">
        <f>G27+VLOOKUP($A$1,'Pri Housing Generation'!$A$96:$DQ$118, 39, FALSE)</f>
        <v>184</v>
      </c>
      <c r="H44" s="43">
        <f>H27+VLOOKUP($A$1,'Pri Housing Generation'!$A$96:$DQ$118, 40, FALSE)</f>
        <v>177</v>
      </c>
      <c r="I44" s="99">
        <f t="shared" si="19"/>
        <v>182</v>
      </c>
      <c r="K44" s="35">
        <f>'Sec Housing Generation'!AD20</f>
        <v>8</v>
      </c>
      <c r="L44" s="83"/>
      <c r="M44" s="107">
        <f t="shared" si="14"/>
        <v>0.96193148595261369</v>
      </c>
      <c r="O44" s="35">
        <f t="shared" si="15"/>
        <v>183</v>
      </c>
      <c r="Q44" s="25">
        <f t="shared" si="20"/>
        <v>2022</v>
      </c>
      <c r="R44" s="20">
        <f t="shared" si="16"/>
        <v>187</v>
      </c>
      <c r="S44" s="53">
        <f t="shared" si="21"/>
        <v>145</v>
      </c>
      <c r="T44" s="53">
        <f t="shared" si="21"/>
        <v>188</v>
      </c>
      <c r="U44" s="53">
        <f t="shared" si="21"/>
        <v>170</v>
      </c>
      <c r="V44" s="34">
        <f t="shared" si="22"/>
        <v>149</v>
      </c>
      <c r="W44" s="42">
        <f t="shared" si="23"/>
        <v>82</v>
      </c>
      <c r="X44" s="101">
        <f t="shared" si="17"/>
        <v>921</v>
      </c>
    </row>
    <row r="45" spans="1:24" x14ac:dyDescent="0.25">
      <c r="A45" s="25">
        <f t="shared" si="18"/>
        <v>2023</v>
      </c>
      <c r="B45" s="37">
        <f>B28+VLOOKUP($A$1,'Pri Housing Generation'!$A$96:$DQ$118, 42, FALSE)</f>
        <v>178</v>
      </c>
      <c r="C45" s="34">
        <f>C28+VLOOKUP($A$1,'Pri Housing Generation'!$A$96:$DQ$118, 43, FALSE)</f>
        <v>180</v>
      </c>
      <c r="D45" s="34">
        <f>D28+VLOOKUP($A$1,'Pri Housing Generation'!$A$96:$DQ$118, 44, FALSE)</f>
        <v>174</v>
      </c>
      <c r="E45" s="34">
        <f>E28+VLOOKUP($A$1,'Pri Housing Generation'!$A$96:$DQ$118, 45, FALSE)</f>
        <v>183</v>
      </c>
      <c r="F45" s="34">
        <f>F28+VLOOKUP($A$1,'Pri Housing Generation'!$A$96:$DQ$118, 46, FALSE)</f>
        <v>180</v>
      </c>
      <c r="G45" s="34">
        <f>G28+VLOOKUP($A$1,'Pri Housing Generation'!$A$96:$DQ$118, 47, FALSE)</f>
        <v>179</v>
      </c>
      <c r="H45" s="42">
        <f>H28+VLOOKUP($A$1,'Pri Housing Generation'!$A$96:$DQ$118, 48, FALSE)</f>
        <v>189</v>
      </c>
      <c r="I45" s="99">
        <f t="shared" si="19"/>
        <v>179</v>
      </c>
      <c r="J45" s="181"/>
      <c r="K45" s="35">
        <f>'Sec Housing Generation'!AK20</f>
        <v>11</v>
      </c>
      <c r="L45" s="83"/>
      <c r="M45" s="107">
        <f t="shared" si="14"/>
        <v>0.96193148595261369</v>
      </c>
      <c r="O45" s="35">
        <f t="shared" si="15"/>
        <v>183</v>
      </c>
      <c r="Q45" s="25">
        <f t="shared" si="20"/>
        <v>2023</v>
      </c>
      <c r="R45" s="20">
        <f t="shared" si="16"/>
        <v>187</v>
      </c>
      <c r="S45" s="53">
        <f t="shared" si="21"/>
        <v>187</v>
      </c>
      <c r="T45" s="53">
        <f t="shared" si="21"/>
        <v>145</v>
      </c>
      <c r="U45" s="53">
        <f t="shared" si="21"/>
        <v>188</v>
      </c>
      <c r="V45" s="34">
        <f t="shared" si="22"/>
        <v>146</v>
      </c>
      <c r="W45" s="34">
        <f t="shared" si="23"/>
        <v>102</v>
      </c>
      <c r="X45" s="101">
        <f t="shared" si="17"/>
        <v>955</v>
      </c>
    </row>
    <row r="46" spans="1:24" x14ac:dyDescent="0.25">
      <c r="A46" s="25">
        <f t="shared" si="18"/>
        <v>2024</v>
      </c>
      <c r="B46" s="37">
        <f>B29+VLOOKUP($A$1,'Pri Housing Generation'!$A$96:$DQ$118, 50, FALSE)</f>
        <v>185</v>
      </c>
      <c r="C46" s="34">
        <f>C29+VLOOKUP($A$1,'Pri Housing Generation'!$A$96:$DQ$118, 51, FALSE)</f>
        <v>184</v>
      </c>
      <c r="D46" s="34">
        <f>D29+VLOOKUP($A$1,'Pri Housing Generation'!$A$96:$DQ$118, 52, FALSE)</f>
        <v>187</v>
      </c>
      <c r="E46" s="34">
        <f>E29+VLOOKUP($A$1,'Pri Housing Generation'!$A$96:$DQ$118, 53, FALSE)</f>
        <v>177</v>
      </c>
      <c r="F46" s="34">
        <f>F29+VLOOKUP($A$1,'Pri Housing Generation'!$A$96:$DQ$118, 54, FALSE)</f>
        <v>186</v>
      </c>
      <c r="G46" s="34">
        <f>G29+VLOOKUP($A$1,'Pri Housing Generation'!$A$96:$DQ$118, 55, FALSE)</f>
        <v>182</v>
      </c>
      <c r="H46" s="34">
        <f>H29+VLOOKUP($A$1,'Pri Housing Generation'!$A$96:$DQ$118, 56, FALSE)</f>
        <v>184</v>
      </c>
      <c r="I46" s="99">
        <f t="shared" si="19"/>
        <v>191</v>
      </c>
      <c r="J46" s="181"/>
      <c r="K46" s="35">
        <f>'Sec Housing Generation'!AR20</f>
        <v>14</v>
      </c>
      <c r="L46" s="83"/>
      <c r="M46" s="107">
        <f>K20</f>
        <v>0.96193148595261369</v>
      </c>
      <c r="O46" s="35">
        <f t="shared" si="15"/>
        <v>198</v>
      </c>
      <c r="Q46" s="25">
        <f t="shared" si="20"/>
        <v>2024</v>
      </c>
      <c r="R46" s="20">
        <f t="shared" si="16"/>
        <v>200</v>
      </c>
      <c r="S46" s="53">
        <f t="shared" si="21"/>
        <v>187</v>
      </c>
      <c r="T46" s="53">
        <f t="shared" si="21"/>
        <v>187</v>
      </c>
      <c r="U46" s="53">
        <f t="shared" si="21"/>
        <v>145</v>
      </c>
      <c r="V46" s="34">
        <f t="shared" si="22"/>
        <v>161</v>
      </c>
      <c r="W46" s="34">
        <f t="shared" si="23"/>
        <v>100</v>
      </c>
      <c r="X46" s="101">
        <f t="shared" si="17"/>
        <v>980</v>
      </c>
    </row>
    <row r="47" spans="1:24" x14ac:dyDescent="0.25">
      <c r="A47" s="25">
        <f t="shared" si="18"/>
        <v>2025</v>
      </c>
      <c r="B47" s="37">
        <f>B30+VLOOKUP($A$1,'Pri Housing Generation'!$A$96:$DQ$118, 58, FALSE)</f>
        <v>191</v>
      </c>
      <c r="C47" s="34">
        <f>C30+VLOOKUP($A$1,'Pri Housing Generation'!$A$96:$DQ$118, 59, FALSE)</f>
        <v>190</v>
      </c>
      <c r="D47" s="34">
        <f>D30+VLOOKUP($A$1,'Pri Housing Generation'!$A$96:$DQ$118, 60, FALSE)</f>
        <v>189</v>
      </c>
      <c r="E47" s="34">
        <f>E30+VLOOKUP($A$1,'Pri Housing Generation'!$A$96:$DQ$118, 61, FALSE)</f>
        <v>188</v>
      </c>
      <c r="F47" s="34">
        <f>F30+VLOOKUP($A$1,'Pri Housing Generation'!$A$96:$DQ$118, 62, FALSE)</f>
        <v>180</v>
      </c>
      <c r="G47" s="34">
        <f>G30+VLOOKUP($A$1,'Pri Housing Generation'!$A$96:$DQ$118, 63, FALSE)</f>
        <v>190</v>
      </c>
      <c r="H47" s="34">
        <f>H30+VLOOKUP($A$1,'Pri Housing Generation'!$A$96:$DQ$118, 64, FALSE)</f>
        <v>191</v>
      </c>
      <c r="I47" s="99">
        <f t="shared" si="19"/>
        <v>186</v>
      </c>
      <c r="J47" s="181"/>
      <c r="K47" s="83"/>
      <c r="L47" s="83"/>
      <c r="M47" s="107">
        <f t="shared" si="14"/>
        <v>0.96193148595261369</v>
      </c>
      <c r="O47" s="35">
        <f t="shared" si="15"/>
        <v>179</v>
      </c>
      <c r="Q47" s="25">
        <f t="shared" si="20"/>
        <v>2025</v>
      </c>
      <c r="R47" s="20">
        <f t="shared" si="16"/>
        <v>180</v>
      </c>
      <c r="S47" s="53">
        <f t="shared" si="21"/>
        <v>200</v>
      </c>
      <c r="T47" s="53">
        <f t="shared" si="21"/>
        <v>187</v>
      </c>
      <c r="U47" s="53">
        <f t="shared" si="21"/>
        <v>187</v>
      </c>
      <c r="V47" s="34">
        <f t="shared" si="22"/>
        <v>125</v>
      </c>
      <c r="W47" s="34">
        <f t="shared" si="23"/>
        <v>110</v>
      </c>
      <c r="X47" s="101">
        <f t="shared" si="17"/>
        <v>989</v>
      </c>
    </row>
    <row r="48" spans="1:24" x14ac:dyDescent="0.25">
      <c r="A48" s="25">
        <f t="shared" si="18"/>
        <v>2026</v>
      </c>
      <c r="B48" s="37">
        <f>B31+VLOOKUP($A$1,'Pri Housing Generation'!$A$96:$DQ$118, 66, FALSE)</f>
        <v>198</v>
      </c>
      <c r="C48" s="34">
        <f>C31+VLOOKUP($A$1,'Pri Housing Generation'!$A$96:$DQ$118, 67, FALSE)</f>
        <v>197</v>
      </c>
      <c r="D48" s="34">
        <f>D31+VLOOKUP($A$1,'Pri Housing Generation'!$A$96:$DQ$118, 68, FALSE)</f>
        <v>195</v>
      </c>
      <c r="E48" s="34">
        <f>E31+VLOOKUP($A$1,'Pri Housing Generation'!$A$96:$DQ$118, 69, FALSE)</f>
        <v>190</v>
      </c>
      <c r="F48" s="34">
        <f>F31+VLOOKUP($A$1,'Pri Housing Generation'!$A$96:$DQ$118, 70, FALSE)</f>
        <v>191</v>
      </c>
      <c r="G48" s="34">
        <f>G31+VLOOKUP($A$1,'Pri Housing Generation'!$A$96:$DQ$118, 71, FALSE)</f>
        <v>183</v>
      </c>
      <c r="H48" s="34">
        <f>H31+VLOOKUP($A$1,'Pri Housing Generation'!$A$96:$DQ$118, 72, FALSE)</f>
        <v>197</v>
      </c>
      <c r="I48" s="99">
        <f t="shared" si="19"/>
        <v>193</v>
      </c>
      <c r="J48" s="181"/>
      <c r="K48" s="83"/>
      <c r="L48" s="83"/>
      <c r="M48" s="107">
        <f t="shared" si="14"/>
        <v>0.96193148595261369</v>
      </c>
      <c r="O48" s="35">
        <f t="shared" si="15"/>
        <v>186</v>
      </c>
      <c r="Q48" s="25">
        <f t="shared" si="20"/>
        <v>2026</v>
      </c>
      <c r="R48" s="20">
        <f t="shared" si="16"/>
        <v>190</v>
      </c>
      <c r="S48" s="53">
        <f t="shared" si="21"/>
        <v>180</v>
      </c>
      <c r="T48" s="53">
        <f t="shared" si="21"/>
        <v>200</v>
      </c>
      <c r="U48" s="53">
        <f t="shared" si="21"/>
        <v>187</v>
      </c>
      <c r="V48" s="34">
        <f t="shared" si="22"/>
        <v>161</v>
      </c>
      <c r="W48" s="34">
        <f t="shared" si="23"/>
        <v>86</v>
      </c>
      <c r="X48" s="101">
        <f t="shared" si="17"/>
        <v>1004</v>
      </c>
    </row>
    <row r="49" spans="1:24" x14ac:dyDescent="0.25">
      <c r="A49" s="25">
        <f t="shared" si="18"/>
        <v>2027</v>
      </c>
      <c r="B49" s="37">
        <f>B32+VLOOKUP($A$1,'Pri Housing Generation'!$A$96:$DQ$118, 74, FALSE)</f>
        <v>201</v>
      </c>
      <c r="C49" s="34">
        <f>C32+VLOOKUP($A$1,'Pri Housing Generation'!$A$96:$DQ$118, 75, FALSE)</f>
        <v>202</v>
      </c>
      <c r="D49" s="34">
        <f>D32+VLOOKUP($A$1,'Pri Housing Generation'!$A$96:$DQ$118, 76, FALSE)</f>
        <v>202</v>
      </c>
      <c r="E49" s="34">
        <f>E32+VLOOKUP($A$1,'Pri Housing Generation'!$A$96:$DQ$118, 77, FALSE)</f>
        <v>197</v>
      </c>
      <c r="F49" s="34">
        <f>F32+VLOOKUP($A$1,'Pri Housing Generation'!$A$96:$DQ$118, 78, FALSE)</f>
        <v>194</v>
      </c>
      <c r="G49" s="34">
        <f>G32+VLOOKUP($A$1,'Pri Housing Generation'!$A$96:$DQ$118, 79, FALSE)</f>
        <v>194</v>
      </c>
      <c r="H49" s="34">
        <f>H32+VLOOKUP($A$1,'Pri Housing Generation'!$A$96:$DQ$118, 80, FALSE)</f>
        <v>189</v>
      </c>
      <c r="I49" s="99">
        <f t="shared" si="19"/>
        <v>199</v>
      </c>
      <c r="J49" s="181"/>
      <c r="K49" s="83"/>
      <c r="L49" s="83"/>
      <c r="M49" s="107">
        <f t="shared" si="14"/>
        <v>0.96193148595261369</v>
      </c>
      <c r="O49" s="35">
        <f t="shared" si="15"/>
        <v>192</v>
      </c>
      <c r="Q49" s="25">
        <f t="shared" si="20"/>
        <v>2027</v>
      </c>
      <c r="R49" s="20">
        <f t="shared" si="16"/>
        <v>196</v>
      </c>
      <c r="S49" s="53">
        <f t="shared" si="21"/>
        <v>190</v>
      </c>
      <c r="T49" s="53">
        <f t="shared" si="21"/>
        <v>180</v>
      </c>
      <c r="U49" s="53">
        <f t="shared" si="21"/>
        <v>200</v>
      </c>
      <c r="V49" s="34">
        <f t="shared" si="22"/>
        <v>161</v>
      </c>
      <c r="W49" s="34">
        <f t="shared" si="23"/>
        <v>110</v>
      </c>
      <c r="X49" s="101">
        <f t="shared" si="17"/>
        <v>1037</v>
      </c>
    </row>
    <row r="50" spans="1:24" x14ac:dyDescent="0.25">
      <c r="A50" s="25">
        <f t="shared" si="18"/>
        <v>2028</v>
      </c>
      <c r="B50" s="37">
        <f>B33+VLOOKUP($A$1,'Pri Housing Generation'!$A$96:$DQ$118, 82, FALSE)</f>
        <v>205</v>
      </c>
      <c r="C50" s="34">
        <f>C33+VLOOKUP($A$1,'Pri Housing Generation'!$A$96:$DQ$118, 83, FALSE)</f>
        <v>206</v>
      </c>
      <c r="D50" s="34">
        <f>D33+VLOOKUP($A$1,'Pri Housing Generation'!$A$96:$DQ$118, 84, FALSE)</f>
        <v>207</v>
      </c>
      <c r="E50" s="34">
        <f>E33+VLOOKUP($A$1,'Pri Housing Generation'!$A$96:$DQ$118, 85, FALSE)</f>
        <v>203</v>
      </c>
      <c r="F50" s="34">
        <f>F33+VLOOKUP($A$1,'Pri Housing Generation'!$A$96:$DQ$118, 86, FALSE)</f>
        <v>200</v>
      </c>
      <c r="G50" s="34">
        <f>G33+VLOOKUP($A$1,'Pri Housing Generation'!$A$96:$DQ$118, 87, FALSE)</f>
        <v>195</v>
      </c>
      <c r="H50" s="34">
        <f>H33+VLOOKUP($A$1,'Pri Housing Generation'!$A$96:$DQ$118, 88, FALSE)</f>
        <v>199</v>
      </c>
      <c r="I50" s="99">
        <f t="shared" si="19"/>
        <v>191</v>
      </c>
      <c r="J50" s="181"/>
      <c r="K50" s="83"/>
      <c r="L50" s="83"/>
      <c r="M50" s="107">
        <f t="shared" si="14"/>
        <v>0.96193148595261369</v>
      </c>
      <c r="O50" s="35">
        <f t="shared" si="15"/>
        <v>184</v>
      </c>
      <c r="Q50" s="25">
        <f t="shared" si="20"/>
        <v>2028</v>
      </c>
      <c r="R50" s="20">
        <f t="shared" si="16"/>
        <v>188</v>
      </c>
      <c r="S50" s="53">
        <f t="shared" si="21"/>
        <v>196</v>
      </c>
      <c r="T50" s="53">
        <f t="shared" si="21"/>
        <v>190</v>
      </c>
      <c r="U50" s="53">
        <f t="shared" si="21"/>
        <v>180</v>
      </c>
      <c r="V50" s="34">
        <f t="shared" si="22"/>
        <v>172</v>
      </c>
      <c r="W50" s="34">
        <f t="shared" si="23"/>
        <v>110</v>
      </c>
      <c r="X50" s="101">
        <f t="shared" si="17"/>
        <v>1036</v>
      </c>
    </row>
    <row r="51" spans="1:24" x14ac:dyDescent="0.25">
      <c r="A51" s="25">
        <f t="shared" si="18"/>
        <v>2029</v>
      </c>
      <c r="B51" s="37">
        <f>B34+VLOOKUP($A$1,'Pri Housing Generation'!$A$96:$DQ$118, 90, FALSE)</f>
        <v>207</v>
      </c>
      <c r="C51" s="34">
        <f>C34+VLOOKUP($A$1,'Pri Housing Generation'!$A$96:$DQ$118, 91, FALSE)</f>
        <v>207</v>
      </c>
      <c r="D51" s="34">
        <f>D34+VLOOKUP($A$1,'Pri Housing Generation'!$A$96:$DQ$118, 92, FALSE)</f>
        <v>208</v>
      </c>
      <c r="E51" s="34">
        <f>E34+VLOOKUP($A$1,'Pri Housing Generation'!$A$96:$DQ$118, 93, FALSE)</f>
        <v>206</v>
      </c>
      <c r="F51" s="34">
        <f>F34+VLOOKUP($A$1,'Pri Housing Generation'!$A$96:$DQ$118, 94, FALSE)</f>
        <v>203</v>
      </c>
      <c r="G51" s="34">
        <f>G34+VLOOKUP($A$1,'Pri Housing Generation'!$A$96:$DQ$118, 95, FALSE)</f>
        <v>201</v>
      </c>
      <c r="H51" s="34">
        <f>H34+VLOOKUP($A$1,'Pri Housing Generation'!$A$96:$DQ$118, 96, FALSE)</f>
        <v>200</v>
      </c>
      <c r="I51" s="99">
        <f t="shared" si="19"/>
        <v>201</v>
      </c>
      <c r="J51" s="181"/>
      <c r="K51" s="83"/>
      <c r="L51" s="83"/>
      <c r="M51" s="107">
        <f t="shared" si="14"/>
        <v>0.96193148595261369</v>
      </c>
      <c r="O51" s="35">
        <f t="shared" si="15"/>
        <v>194</v>
      </c>
      <c r="Q51" s="25">
        <f t="shared" si="20"/>
        <v>2029</v>
      </c>
      <c r="R51" s="20">
        <f t="shared" si="16"/>
        <v>198</v>
      </c>
      <c r="S51" s="53">
        <f t="shared" si="21"/>
        <v>188</v>
      </c>
      <c r="T51" s="53">
        <f t="shared" si="21"/>
        <v>196</v>
      </c>
      <c r="U51" s="53">
        <f t="shared" si="21"/>
        <v>190</v>
      </c>
      <c r="V51" s="34">
        <f t="shared" si="22"/>
        <v>155</v>
      </c>
      <c r="W51" s="34">
        <f t="shared" si="23"/>
        <v>118</v>
      </c>
      <c r="X51" s="101">
        <f t="shared" si="17"/>
        <v>1045</v>
      </c>
    </row>
    <row r="52" spans="1:24" x14ac:dyDescent="0.25">
      <c r="A52" s="25">
        <f t="shared" si="18"/>
        <v>2030</v>
      </c>
      <c r="B52" s="37">
        <f>B35+VLOOKUP($A$1,'Pri Housing Generation'!$A$96:$DQ$118, 98, FALSE)</f>
        <v>209</v>
      </c>
      <c r="C52" s="34">
        <f>C35+VLOOKUP($A$1,'Pri Housing Generation'!$A$96:$DQ$118, 99, FALSE)</f>
        <v>209</v>
      </c>
      <c r="D52" s="34">
        <f>D35+VLOOKUP($A$1,'Pri Housing Generation'!$A$96:$DQ$118, 100, FALSE)</f>
        <v>211</v>
      </c>
      <c r="E52" s="34">
        <f>E35+VLOOKUP($A$1,'Pri Housing Generation'!$A$96:$DQ$118, 101, FALSE)</f>
        <v>209</v>
      </c>
      <c r="F52" s="34">
        <f>F35+VLOOKUP($A$1,'Pri Housing Generation'!$A$96:$DQ$118, 102, FALSE)</f>
        <v>206</v>
      </c>
      <c r="G52" s="34">
        <f>G35+VLOOKUP($A$1,'Pri Housing Generation'!$A$96:$DQ$118, 103, FALSE)</f>
        <v>203</v>
      </c>
      <c r="H52" s="34">
        <f>H35+VLOOKUP($A$1,'Pri Housing Generation'!$A$96:$DQ$118, 104, FALSE)</f>
        <v>204</v>
      </c>
      <c r="I52" s="99">
        <f t="shared" si="19"/>
        <v>202</v>
      </c>
      <c r="J52" s="54"/>
      <c r="K52" s="83"/>
      <c r="L52" s="83"/>
      <c r="M52" s="107">
        <f t="shared" si="14"/>
        <v>0.96193148595261369</v>
      </c>
      <c r="O52" s="35">
        <f t="shared" si="15"/>
        <v>195</v>
      </c>
      <c r="Q52" s="25">
        <f t="shared" si="20"/>
        <v>2030</v>
      </c>
      <c r="R52" s="20">
        <f t="shared" si="16"/>
        <v>199</v>
      </c>
      <c r="S52" s="53">
        <f t="shared" si="21"/>
        <v>198</v>
      </c>
      <c r="T52" s="53">
        <f t="shared" si="21"/>
        <v>188</v>
      </c>
      <c r="U52" s="53">
        <f t="shared" si="21"/>
        <v>196</v>
      </c>
      <c r="V52" s="34">
        <f t="shared" si="22"/>
        <v>163</v>
      </c>
      <c r="W52" s="34">
        <f t="shared" si="23"/>
        <v>106</v>
      </c>
      <c r="X52" s="101">
        <f t="shared" si="17"/>
        <v>1050</v>
      </c>
    </row>
    <row r="53" spans="1:24" x14ac:dyDescent="0.25">
      <c r="A53" s="25">
        <f t="shared" si="18"/>
        <v>2031</v>
      </c>
      <c r="B53" s="37">
        <f>B36+VLOOKUP($A$1,'Pri Housing Generation'!$A$96:$DQ$118, 106, FALSE)</f>
        <v>210</v>
      </c>
      <c r="C53" s="34">
        <f>C36+VLOOKUP($A$1,'Pri Housing Generation'!$A$96:$DQ$118, 107, FALSE)</f>
        <v>211</v>
      </c>
      <c r="D53" s="34">
        <f>D36+VLOOKUP($A$1,'Pri Housing Generation'!$A$96:$DQ$118, 108, FALSE)</f>
        <v>212</v>
      </c>
      <c r="E53" s="34">
        <f>E36+VLOOKUP($A$1,'Pri Housing Generation'!$A$96:$DQ$118, 109, FALSE)</f>
        <v>211</v>
      </c>
      <c r="F53" s="34">
        <f>F36+VLOOKUP($A$1,'Pri Housing Generation'!$A$96:$DQ$118, 110, FALSE)</f>
        <v>209</v>
      </c>
      <c r="G53" s="34">
        <f>G36+VLOOKUP($A$1,'Pri Housing Generation'!$A$96:$DQ$118, 111, FALSE)</f>
        <v>207</v>
      </c>
      <c r="H53" s="34">
        <f>H36+VLOOKUP($A$1,'Pri Housing Generation'!$A$96:$DQ$118, 112, FALSE)</f>
        <v>208</v>
      </c>
      <c r="I53" s="99">
        <f t="shared" si="19"/>
        <v>206</v>
      </c>
      <c r="J53" s="54"/>
      <c r="K53" s="83"/>
      <c r="L53" s="83"/>
      <c r="M53" s="107">
        <f t="shared" si="14"/>
        <v>0.96193148595261369</v>
      </c>
      <c r="O53" s="35">
        <f t="shared" si="15"/>
        <v>199</v>
      </c>
      <c r="Q53" s="25">
        <f t="shared" si="20"/>
        <v>2031</v>
      </c>
      <c r="R53" s="20">
        <f t="shared" si="16"/>
        <v>200</v>
      </c>
      <c r="S53" s="53">
        <f t="shared" si="21"/>
        <v>199</v>
      </c>
      <c r="T53" s="53">
        <f t="shared" si="21"/>
        <v>198</v>
      </c>
      <c r="U53" s="53">
        <f t="shared" si="21"/>
        <v>188</v>
      </c>
      <c r="V53" s="34">
        <f t="shared" si="22"/>
        <v>168</v>
      </c>
      <c r="W53" s="34">
        <f t="shared" si="23"/>
        <v>112</v>
      </c>
      <c r="X53" s="101">
        <f t="shared" si="17"/>
        <v>1065</v>
      </c>
    </row>
    <row r="54" spans="1:24" x14ac:dyDescent="0.25">
      <c r="A54" s="25">
        <f t="shared" si="18"/>
        <v>2032</v>
      </c>
      <c r="B54" s="37">
        <f>B37+VLOOKUP($A$1,'Pri Housing Generation'!$A$96:$DQ$118, 114, FALSE)</f>
        <v>211</v>
      </c>
      <c r="C54" s="34">
        <f>C37+VLOOKUP($A$1,'Pri Housing Generation'!$A$96:$DQ$118, 115, FALSE)</f>
        <v>213</v>
      </c>
      <c r="D54" s="34">
        <f>D37+VLOOKUP($A$1,'Pri Housing Generation'!$A$96:$DQ$118, 116, FALSE)</f>
        <v>215</v>
      </c>
      <c r="E54" s="34">
        <f>E37+VLOOKUP($A$1,'Pri Housing Generation'!$A$96:$DQ$118, 117, FALSE)</f>
        <v>212</v>
      </c>
      <c r="F54" s="34">
        <f>F37+VLOOKUP($A$1,'Pri Housing Generation'!$A$96:$DQ$118, 118, FALSE)</f>
        <v>212</v>
      </c>
      <c r="G54" s="34">
        <f>G37+VLOOKUP($A$1,'Pri Housing Generation'!$A$96:$DQ$118, 119, FALSE)</f>
        <v>209</v>
      </c>
      <c r="H54" s="34">
        <f>H37+VLOOKUP($A$1,'Pri Housing Generation'!$A$96:$DQ$118, 120, FALSE)</f>
        <v>211</v>
      </c>
      <c r="I54" s="99">
        <f t="shared" si="19"/>
        <v>210</v>
      </c>
      <c r="K54" s="83"/>
      <c r="L54" s="83"/>
      <c r="M54" s="107">
        <f t="shared" si="14"/>
        <v>0.96193148595261369</v>
      </c>
      <c r="O54" s="35">
        <f t="shared" si="15"/>
        <v>203</v>
      </c>
      <c r="Q54" s="25">
        <f t="shared" si="20"/>
        <v>2032</v>
      </c>
      <c r="R54" s="20">
        <f t="shared" si="16"/>
        <v>207</v>
      </c>
      <c r="S54" s="53">
        <f t="shared" si="21"/>
        <v>200</v>
      </c>
      <c r="T54" s="53">
        <f t="shared" si="21"/>
        <v>199</v>
      </c>
      <c r="U54" s="53">
        <f t="shared" si="21"/>
        <v>198</v>
      </c>
      <c r="V54" s="34">
        <f t="shared" si="22"/>
        <v>161</v>
      </c>
      <c r="W54" s="34">
        <f t="shared" si="23"/>
        <v>115</v>
      </c>
      <c r="X54" s="101">
        <f t="shared" si="17"/>
        <v>1080</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258</v>
      </c>
      <c r="F58" s="132"/>
      <c r="G58" s="181"/>
      <c r="H58" s="131"/>
      <c r="I58" s="131"/>
      <c r="J58" s="131"/>
    </row>
    <row r="59" spans="1:24" x14ac:dyDescent="0.25">
      <c r="A59" s="21"/>
      <c r="F59" s="132"/>
      <c r="G59" s="181"/>
      <c r="H59" s="131"/>
      <c r="I59" s="131"/>
      <c r="J59" s="131"/>
    </row>
    <row r="60" spans="1:24" ht="33" customHeight="1" x14ac:dyDescent="0.25">
      <c r="A60" s="136"/>
      <c r="B60" s="138" t="s">
        <v>225</v>
      </c>
      <c r="C60" s="413" t="s">
        <v>226</v>
      </c>
      <c r="D60" s="414"/>
      <c r="F60" s="132"/>
      <c r="G60" s="181"/>
      <c r="H60" s="130"/>
      <c r="I60" s="130"/>
      <c r="J60" s="130"/>
    </row>
    <row r="61" spans="1:24" x14ac:dyDescent="0.25">
      <c r="A61" s="25">
        <v>2011</v>
      </c>
      <c r="B61" s="128">
        <v>1311</v>
      </c>
      <c r="C61" s="415">
        <f t="shared" ref="C61:C66" si="24">1-(I13/(I13+B61))</f>
        <v>0.91742477256822952</v>
      </c>
      <c r="D61" s="388"/>
      <c r="F61" s="133"/>
      <c r="G61" s="181"/>
      <c r="H61" s="54"/>
      <c r="I61" s="54"/>
      <c r="J61" s="54"/>
    </row>
    <row r="62" spans="1:24" x14ac:dyDescent="0.25">
      <c r="A62" s="25">
        <v>2012</v>
      </c>
      <c r="B62" s="128">
        <v>1252</v>
      </c>
      <c r="C62" s="415">
        <f t="shared" si="24"/>
        <v>0.91054545454545455</v>
      </c>
      <c r="D62" s="388"/>
      <c r="F62" s="133"/>
      <c r="G62" s="181"/>
      <c r="H62" s="54"/>
      <c r="I62" s="54"/>
      <c r="J62" s="54"/>
      <c r="K62" s="181"/>
      <c r="N62" s="109"/>
      <c r="S62" s="82"/>
    </row>
    <row r="63" spans="1:24" x14ac:dyDescent="0.25">
      <c r="A63" s="25">
        <v>2013</v>
      </c>
      <c r="B63" s="128">
        <v>1284</v>
      </c>
      <c r="C63" s="415">
        <f t="shared" si="24"/>
        <v>0.90934844192634556</v>
      </c>
      <c r="D63" s="388"/>
      <c r="F63" s="133"/>
      <c r="G63" s="181"/>
      <c r="H63" s="54"/>
      <c r="I63" s="54"/>
      <c r="J63" s="54"/>
      <c r="K63" s="181"/>
      <c r="N63" s="109"/>
      <c r="S63" s="82"/>
    </row>
    <row r="64" spans="1:24" x14ac:dyDescent="0.25">
      <c r="A64" s="25">
        <v>2014</v>
      </c>
      <c r="B64" s="128">
        <v>1294</v>
      </c>
      <c r="C64" s="415">
        <f t="shared" si="24"/>
        <v>0.91903409090909094</v>
      </c>
      <c r="D64" s="388"/>
      <c r="F64" s="133"/>
      <c r="G64" s="181"/>
      <c r="H64" s="54"/>
      <c r="I64" s="54"/>
      <c r="J64" s="54"/>
      <c r="K64" s="181"/>
      <c r="N64" s="109"/>
      <c r="S64" s="82"/>
    </row>
    <row r="65" spans="1:19" x14ac:dyDescent="0.25">
      <c r="A65" s="25">
        <v>2015</v>
      </c>
      <c r="B65" s="128">
        <v>1371</v>
      </c>
      <c r="C65" s="415">
        <f t="shared" si="24"/>
        <v>0.90674603174603174</v>
      </c>
      <c r="D65" s="388"/>
      <c r="F65" s="133"/>
      <c r="G65" s="181"/>
      <c r="H65" s="54"/>
      <c r="I65" s="54"/>
      <c r="J65" s="54"/>
      <c r="K65" s="181"/>
      <c r="N65" s="109"/>
      <c r="S65" s="82"/>
    </row>
    <row r="66" spans="1:19" x14ac:dyDescent="0.25">
      <c r="A66" s="25">
        <v>2016</v>
      </c>
      <c r="B66" s="128"/>
      <c r="C66" s="415">
        <f t="shared" si="24"/>
        <v>0</v>
      </c>
      <c r="D66" s="388"/>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C62:D62"/>
    <mergeCell ref="C63:D63"/>
    <mergeCell ref="C64:D64"/>
    <mergeCell ref="C65:D65"/>
    <mergeCell ref="K39:K40"/>
    <mergeCell ref="M39:M40"/>
    <mergeCell ref="O39:O40"/>
    <mergeCell ref="C60:D60"/>
    <mergeCell ref="C61:D61"/>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72">
    <cfRule type="cellIs" dxfId="13" priority="8" operator="greaterThan">
      <formula>$C$7</formula>
    </cfRule>
  </conditionalFormatting>
  <conditionalFormatting sqref="X41:X72">
    <cfRule type="cellIs" dxfId="12" priority="7"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AA84"/>
  <sheetViews>
    <sheetView workbookViewId="0">
      <selection activeCell="A3" sqref="A3"/>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109</v>
      </c>
    </row>
    <row r="2" spans="1:24" x14ac:dyDescent="0.25">
      <c r="A2" t="s">
        <v>400</v>
      </c>
    </row>
    <row r="4" spans="1:24" x14ac:dyDescent="0.25">
      <c r="A4" s="21" t="s">
        <v>192</v>
      </c>
    </row>
    <row r="5" spans="1:24" x14ac:dyDescent="0.25">
      <c r="A5" s="21"/>
    </row>
    <row r="6" spans="1:24" x14ac:dyDescent="0.25">
      <c r="A6" s="21" t="s">
        <v>193</v>
      </c>
      <c r="C6" s="100">
        <f>VLOOKUP(A1,'Projection Summary'!A5:C50,3,FALSE)</f>
        <v>750</v>
      </c>
    </row>
    <row r="7" spans="1:24" x14ac:dyDescent="0.25">
      <c r="A7" s="21" t="s">
        <v>191</v>
      </c>
      <c r="B7" s="21"/>
      <c r="C7" s="100">
        <f>VLOOKUP(A1,'Projection Summary'!A5:C50,2,FALSE)</f>
        <v>140</v>
      </c>
    </row>
    <row r="9" spans="1:24" ht="15.75" x14ac:dyDescent="0.25">
      <c r="A9" s="129" t="s">
        <v>197</v>
      </c>
      <c r="R9" s="129" t="s">
        <v>198</v>
      </c>
      <c r="T9" s="173"/>
    </row>
    <row r="10" spans="1:24" x14ac:dyDescent="0.25">
      <c r="A10" s="21"/>
    </row>
    <row r="11" spans="1:24" x14ac:dyDescent="0.25">
      <c r="A11" s="21" t="s">
        <v>292</v>
      </c>
      <c r="K11" s="406" t="s">
        <v>137</v>
      </c>
      <c r="L11" s="407"/>
      <c r="M11" s="412" t="s">
        <v>139</v>
      </c>
      <c r="N11" s="49"/>
      <c r="O11" s="394" t="s">
        <v>136</v>
      </c>
      <c r="R11" s="21" t="s">
        <v>293</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185</v>
      </c>
      <c r="C13" s="19">
        <f>VLOOKUP($A$1,'Primary Catchment Analysis'!$A$3:$BE$25, 38, FALSE)</f>
        <v>169</v>
      </c>
      <c r="D13" s="27">
        <f>VLOOKUP($A$1,'Primary Catchment Analysis'!$A$3:$BE$25, 39, FALSE)</f>
        <v>167</v>
      </c>
      <c r="E13" s="27">
        <f>VLOOKUP($A$1,'Primary Catchment Analysis'!$A$3:$BE$25, 40, FALSE)</f>
        <v>150</v>
      </c>
      <c r="F13" s="27">
        <f>VLOOKUP($A$1,'Primary Catchment Analysis'!$A$3:$BE$25, 41, FALSE)</f>
        <v>133</v>
      </c>
      <c r="G13" s="126">
        <f>VLOOKUP($A$1,'Primary Catchment Analysis'!$A$3:$BE$25, 42, FALSE)</f>
        <v>139</v>
      </c>
      <c r="H13" s="28">
        <f>VLOOKUP($A$1,'Primary Catchment Analysis'!$A$3:$BE$25, 43, FALSE)</f>
        <v>100</v>
      </c>
      <c r="I13" s="28">
        <f>VLOOKUP($A$1,'S1 Catchment Analysis'!A3:I25, 7, FALSE)</f>
        <v>130</v>
      </c>
      <c r="J13" s="23"/>
      <c r="K13" s="410"/>
      <c r="L13" s="411"/>
      <c r="M13" s="399"/>
      <c r="N13" s="50"/>
      <c r="O13" s="399"/>
      <c r="P13" s="50"/>
      <c r="Q13" s="25">
        <f>A13</f>
        <v>2013</v>
      </c>
      <c r="R13" s="69">
        <f>VLOOKUP($A$1,'Secondary Rolls'!$A$3:$BE$25, 37, FALSE)</f>
        <v>137</v>
      </c>
      <c r="S13" s="53">
        <f>VLOOKUP($A$1,'Secondary Rolls'!$A$3:$BE$25, 38, FALSE)</f>
        <v>140</v>
      </c>
      <c r="T13" s="53">
        <f>VLOOKUP($A$1,'Secondary Rolls'!$A$3:$BE$25, 39, FALSE)</f>
        <v>140</v>
      </c>
      <c r="U13" s="122">
        <f>VLOOKUP($A$1,'Secondary Rolls'!$A$3:$BE$25, 40, FALSE)</f>
        <v>131</v>
      </c>
      <c r="V13" s="63">
        <f>VLOOKUP($A$1,'Secondary Rolls'!$A$3:$BE$25, 41, FALSE)</f>
        <v>127</v>
      </c>
      <c r="W13" s="53">
        <f>VLOOKUP($A$1,'Secondary Rolls'!$A$3:$BE$25, 42, FALSE)</f>
        <v>99</v>
      </c>
      <c r="X13" s="62">
        <f t="shared" ref="X13:X17" si="0">SUM(R13:W13)</f>
        <v>774</v>
      </c>
    </row>
    <row r="14" spans="1:24" ht="15.75" thickBot="1" x14ac:dyDescent="0.3">
      <c r="A14" s="25">
        <f>VLOOKUP($A$12,'S1 Catchment Analysis'!A2:I2, 6, FALSE)</f>
        <v>2014</v>
      </c>
      <c r="B14" s="45">
        <f>VLOOKUP($A$1,'Primary Catchment Analysis'!$A$3:$BE$25, 30, FALSE)</f>
        <v>171</v>
      </c>
      <c r="C14" s="44">
        <f>VLOOKUP($A$1,'Primary Catchment Analysis'!$A$3:$BE$25, 31, FALSE)</f>
        <v>176</v>
      </c>
      <c r="D14" s="19">
        <f>VLOOKUP($A$1,'Primary Catchment Analysis'!$A$3:$BE$25, 32, FALSE)</f>
        <v>163</v>
      </c>
      <c r="E14" s="27">
        <f>VLOOKUP($A$1,'Primary Catchment Analysis'!$A$3:$BE$25, 33, FALSE)</f>
        <v>152</v>
      </c>
      <c r="F14" s="27">
        <f>VLOOKUP($A$1,'Primary Catchment Analysis'!$A$3:$BE$25, 34, FALSE)</f>
        <v>138</v>
      </c>
      <c r="G14" s="126">
        <f>VLOOKUP($A$1,'Primary Catchment Analysis'!$A$3:$BE$25, 35, FALSE)</f>
        <v>128</v>
      </c>
      <c r="H14" s="28">
        <f>VLOOKUP($A$1,'Primary Catchment Analysis'!$A$3:$BE$25, 36, FALSE)</f>
        <v>136</v>
      </c>
      <c r="I14" s="27">
        <f>VLOOKUP($A$1,'S1 Catchment Analysis'!A3:I25, 6, FALSE)</f>
        <v>109</v>
      </c>
      <c r="J14" s="23"/>
      <c r="K14" s="400">
        <f>VLOOKUP($A$1,'S1 Catchment Retained'!A2:I25, 6, FALSE)</f>
        <v>108</v>
      </c>
      <c r="L14" s="423"/>
      <c r="M14" s="110">
        <f t="shared" ref="M14:M18" si="1">(K14/I14)</f>
        <v>0.99082568807339455</v>
      </c>
      <c r="N14" s="50"/>
      <c r="O14" s="111">
        <f t="shared" ref="O14:O18" si="2">R14-K14</f>
        <v>29</v>
      </c>
      <c r="P14" s="50"/>
      <c r="Q14" s="25">
        <f t="shared" ref="Q14:Q18" si="3">A14</f>
        <v>2014</v>
      </c>
      <c r="R14" s="67">
        <f>VLOOKUP($A$1,'Secondary Rolls'!$A$3:$BE$25, 30, FALSE)</f>
        <v>137</v>
      </c>
      <c r="S14" s="69">
        <f>VLOOKUP($A$1,'Secondary Rolls'!$A$3:$BE$25, 31, FALSE)</f>
        <v>139</v>
      </c>
      <c r="T14" s="61">
        <f>VLOOKUP($A$1,'Secondary Rolls'!$A$3:$BE$25, 32, FALSE)</f>
        <v>142</v>
      </c>
      <c r="U14" s="61">
        <f>VLOOKUP($A$1,'Secondary Rolls'!$A$3:$BE$25, 33, FALSE)</f>
        <v>133</v>
      </c>
      <c r="V14" s="64">
        <f>VLOOKUP($A$1,'Secondary Rolls'!$A$3:$BE$25, 34, FALSE)</f>
        <v>130</v>
      </c>
      <c r="W14" s="116">
        <f>VLOOKUP($A$1,'Secondary Rolls'!$A$3:$BE$25, 35, FALSE)</f>
        <v>96</v>
      </c>
      <c r="X14" s="62">
        <f t="shared" si="0"/>
        <v>777</v>
      </c>
    </row>
    <row r="15" spans="1:24" ht="15.75" thickBot="1" x14ac:dyDescent="0.3">
      <c r="A15" s="25">
        <f>VLOOKUP($A$12,'S1 Catchment Analysis'!A2:I2, 5, FALSE)</f>
        <v>2015</v>
      </c>
      <c r="B15" s="19">
        <f>VLOOKUP($A$1,'Primary Catchment Analysis'!$A$3:$BE$25, 23, FALSE)</f>
        <v>185</v>
      </c>
      <c r="C15" s="45">
        <f>VLOOKUP($A$1,'Primary Catchment Analysis'!$A$3:$BE$25, 24, FALSE)</f>
        <v>162</v>
      </c>
      <c r="D15" s="44">
        <f>VLOOKUP($A$1,'Primary Catchment Analysis'!$A$3:$BE$25, 25, FALSE)</f>
        <v>177</v>
      </c>
      <c r="E15" s="19">
        <f>VLOOKUP($A$1,'Primary Catchment Analysis'!$A$3:$BE$25, 26, FALSE)</f>
        <v>156</v>
      </c>
      <c r="F15" s="27">
        <f>VLOOKUP($A$1,'Primary Catchment Analysis'!$A$3:$BE$25, 27, FALSE)</f>
        <v>154</v>
      </c>
      <c r="G15" s="126">
        <f>VLOOKUP($A$1,'Primary Catchment Analysis'!$A$3:$BE$25, 28, FALSE)</f>
        <v>128</v>
      </c>
      <c r="H15" s="30">
        <f>VLOOKUP($A$1,'Primary Catchment Analysis'!$A$3:$BE$25, 29, FALSE)</f>
        <v>122</v>
      </c>
      <c r="I15" s="29">
        <f>VLOOKUP($A$1,'S1 Catchment Analysis'!A3:I25, 5, FALSE)</f>
        <v>133</v>
      </c>
      <c r="J15" s="23"/>
      <c r="K15" s="400">
        <f>VLOOKUP($A$1,'S1 Catchment Retained'!A2:I25, 5, FALSE)</f>
        <v>126</v>
      </c>
      <c r="L15" s="423"/>
      <c r="M15" s="110">
        <f t="shared" si="1"/>
        <v>0.94736842105263153</v>
      </c>
      <c r="N15" s="50"/>
      <c r="O15" s="111">
        <f t="shared" si="2"/>
        <v>12</v>
      </c>
      <c r="P15" s="50"/>
      <c r="Q15" s="25">
        <f t="shared" si="3"/>
        <v>2015</v>
      </c>
      <c r="R15" s="68">
        <f>VLOOKUP($A$1,'Secondary Rolls'!$A$3:$BE$25, 23, FALSE)</f>
        <v>138</v>
      </c>
      <c r="S15" s="67">
        <f>VLOOKUP($A$1,'Secondary Rolls'!$A$3:$BE$25, 24, FALSE)</f>
        <v>140</v>
      </c>
      <c r="T15" s="71">
        <f>VLOOKUP($A$1,'Secondary Rolls'!$A$3:$BE$25, 25, FALSE)</f>
        <v>138</v>
      </c>
      <c r="U15" s="61">
        <f>VLOOKUP($A$1,'Secondary Rolls'!$A$3:$BE$25, 26, FALSE)</f>
        <v>137</v>
      </c>
      <c r="V15" s="123">
        <f>VLOOKUP($A$1,'Secondary Rolls'!$A$3:$BE$25, 27, FALSE)</f>
        <v>128</v>
      </c>
      <c r="W15" s="64">
        <f>VLOOKUP($A$1,'Secondary Rolls'!$A$3:$BE$25, 28, FALSE)</f>
        <v>105</v>
      </c>
      <c r="X15" s="62">
        <f t="shared" si="0"/>
        <v>786</v>
      </c>
    </row>
    <row r="16" spans="1:24" ht="15.75" thickBot="1" x14ac:dyDescent="0.3">
      <c r="A16" s="25">
        <f>VLOOKUP($A$12,'S1 Catchment Analysis'!A2:I2, 4, FALSE)</f>
        <v>2016</v>
      </c>
      <c r="B16" s="44">
        <f>VLOOKUP($A$1,'Primary Catchment Analysis'!$A$3:$BE$25, 16, FALSE)</f>
        <v>162</v>
      </c>
      <c r="C16" s="19">
        <f>VLOOKUP($A$1,'Primary Catchment Analysis'!$A$3:$BE$25, 17, FALSE)</f>
        <v>185</v>
      </c>
      <c r="D16" s="45">
        <f>VLOOKUP($A$1,'Primary Catchment Analysis'!$A$3:$BE$25, 18, FALSE)</f>
        <v>159</v>
      </c>
      <c r="E16" s="44">
        <f>VLOOKUP($A$1,'Primary Catchment Analysis'!$A$3:$BE$25, 19, FALSE)</f>
        <v>173</v>
      </c>
      <c r="F16" s="19">
        <f>VLOOKUP($A$1,'Primary Catchment Analysis'!$A$3:$BE$25, 20, FALSE)</f>
        <v>157</v>
      </c>
      <c r="G16" s="126">
        <f>VLOOKUP($A$1,'Primary Catchment Analysis'!$A$3:$BE$25, 21, FALSE)</f>
        <v>149</v>
      </c>
      <c r="H16" s="112">
        <f>VLOOKUP($A$1,'Primary Catchment Analysis'!$A$3:$BE$25, 22, FALSE)</f>
        <v>126</v>
      </c>
      <c r="I16" s="30">
        <f>VLOOKUP($A$1,'S1 Catchment Analysis'!A3:I25, 4, FALSE)</f>
        <v>135</v>
      </c>
      <c r="J16" s="23"/>
      <c r="K16" s="400">
        <f>VLOOKUP($A$1,'S1 Catchment Retained'!A2:I25, 4, FALSE)</f>
        <v>129</v>
      </c>
      <c r="L16" s="424"/>
      <c r="M16" s="56">
        <f t="shared" si="1"/>
        <v>0.9555555555555556</v>
      </c>
      <c r="N16" s="50"/>
      <c r="O16" s="103">
        <f t="shared" si="2"/>
        <v>9</v>
      </c>
      <c r="P16" s="50"/>
      <c r="Q16" s="25">
        <f t="shared" si="3"/>
        <v>2016</v>
      </c>
      <c r="R16" s="69">
        <f>VLOOKUP($A$1,'Secondary Rolls'!$A$3:$BE$25, 16, FALSE)</f>
        <v>138</v>
      </c>
      <c r="S16" s="68">
        <f>VLOOKUP($A$1,'Secondary Rolls'!$A$3:$BE$25, 17, FALSE)</f>
        <v>137</v>
      </c>
      <c r="T16" s="70">
        <f>VLOOKUP($A$1,'Secondary Rolls'!$A$3:$BE$25, 18, FALSE)</f>
        <v>132</v>
      </c>
      <c r="U16" s="71">
        <f>VLOOKUP($A$1,'Secondary Rolls'!$A$3:$BE$25, 19, FALSE)</f>
        <v>134</v>
      </c>
      <c r="V16" s="66">
        <f>VLOOKUP($A$1,'Secondary Rolls'!$A$3:$BE$25, 20, FALSE)</f>
        <v>124</v>
      </c>
      <c r="W16" s="65">
        <f>VLOOKUP($A$1,'Secondary Rolls'!$A$3:$BE$25, 21, FALSE)</f>
        <v>108</v>
      </c>
      <c r="X16" s="62">
        <f t="shared" si="0"/>
        <v>773</v>
      </c>
    </row>
    <row r="17" spans="1:27" ht="15.75" thickBot="1" x14ac:dyDescent="0.3">
      <c r="A17" s="258">
        <f>VLOOKUP($A$12,'S1 Catchment Analysis'!A2:I2, 3, FALSE)</f>
        <v>2017</v>
      </c>
      <c r="B17" s="259">
        <f>VLOOKUP($A$1,'Primary Catchment Analysis'!$A$3:$BE$25, 9, FALSE)</f>
        <v>188</v>
      </c>
      <c r="C17" s="260">
        <f>VLOOKUP($A$1,'Primary Catchment Analysis'!$A$3:$BE$25, 10, FALSE)</f>
        <v>160</v>
      </c>
      <c r="D17" s="261">
        <f>VLOOKUP($A$1,'Primary Catchment Analysis'!$A$3:$BE$25, 11, FALSE)</f>
        <v>181</v>
      </c>
      <c r="E17" s="259">
        <f>VLOOKUP($A$1,'Primary Catchment Analysis'!$A$3:$BE$25, 12, FALSE)</f>
        <v>158</v>
      </c>
      <c r="F17" s="260">
        <f>VLOOKUP($A$1,'Primary Catchment Analysis'!$A$3:$BE$25, 13, FALSE)</f>
        <v>165</v>
      </c>
      <c r="G17" s="262">
        <f>VLOOKUP($A$1,'Primary Catchment Analysis'!$A$3:$BE$25, 14, FALSE)</f>
        <v>149</v>
      </c>
      <c r="H17" s="113">
        <f>VLOOKUP($A$1,'Primary Catchment Analysis'!$A$3:$BE$25, 15, FALSE)</f>
        <v>148</v>
      </c>
      <c r="I17" s="31">
        <f>VLOOKUP($A$1,'S1 Catchment Analysis'!A3:I25, 3, FALSE)</f>
        <v>122</v>
      </c>
      <c r="J17" s="23"/>
      <c r="K17" s="400">
        <f>VLOOKUP($A$1,'S1 Catchment Retained'!A2:I25, 3, FALSE)</f>
        <v>120</v>
      </c>
      <c r="L17" s="424"/>
      <c r="M17" s="57">
        <f t="shared" si="1"/>
        <v>0.98360655737704916</v>
      </c>
      <c r="N17" s="50"/>
      <c r="O17" s="104">
        <f t="shared" si="2"/>
        <v>19</v>
      </c>
      <c r="P17" s="50"/>
      <c r="Q17" s="25">
        <f t="shared" si="3"/>
        <v>2017</v>
      </c>
      <c r="R17" s="264">
        <f>VLOOKUP($A$1,'Secondary Rolls'!$A$3:$BE$25, 9, FALSE)</f>
        <v>139</v>
      </c>
      <c r="S17" s="265">
        <f>VLOOKUP($A$1,'Secondary Rolls'!$A$3:$BE$25, 10, FALSE)</f>
        <v>139</v>
      </c>
      <c r="T17" s="266">
        <f>VLOOKUP($A$1,'Secondary Rolls'!$A$3:$BE$25, 11, FALSE)</f>
        <v>136</v>
      </c>
      <c r="U17" s="270">
        <f>VLOOKUP($A$1,'Secondary Rolls'!$A$3:$BE$25, 12, FALSE)</f>
        <v>129</v>
      </c>
      <c r="V17" s="271">
        <f>VLOOKUP($A$1,'Secondary Rolls'!$A$3:$BE$25, 13, FALSE)</f>
        <v>120</v>
      </c>
      <c r="W17" s="272">
        <f>VLOOKUP($A$1,'Secondary Rolls'!$A$3:$BE$25, 14, FALSE)</f>
        <v>109</v>
      </c>
      <c r="X17" s="116">
        <f t="shared" si="0"/>
        <v>772</v>
      </c>
    </row>
    <row r="18" spans="1:27" ht="15.75" thickBot="1" x14ac:dyDescent="0.3">
      <c r="A18" s="25">
        <f>VLOOKUP($A$12,'S1 Catchment Analysis'!A2:I2, 2, FALSE)</f>
        <v>2018</v>
      </c>
      <c r="B18" s="19">
        <f>VLOOKUP($A$1,'Primary Catchment Analysis'!$A$3:$BE$25, 2, FALSE)</f>
        <v>145</v>
      </c>
      <c r="C18" s="45">
        <f>VLOOKUP($A$1,'Primary Catchment Analysis'!$A$3:$BE$25, 3, FALSE)</f>
        <v>186</v>
      </c>
      <c r="D18" s="44">
        <f>VLOOKUP($A$1,'Primary Catchment Analysis'!$A$3:$BE$25, 4, FALSE)</f>
        <v>158</v>
      </c>
      <c r="E18" s="19">
        <f>VLOOKUP($A$1,'Primary Catchment Analysis'!$A$3:$BE$25, 5, FALSE)</f>
        <v>177</v>
      </c>
      <c r="F18" s="45">
        <f>VLOOKUP($A$1,'Primary Catchment Analysis'!$A$3:$BE$25, 6, FALSE)</f>
        <v>143</v>
      </c>
      <c r="G18" s="273">
        <f>VLOOKUP($A$1,'Primary Catchment Analysis'!$A$3:$BE$25, 7, FALSE)</f>
        <v>153</v>
      </c>
      <c r="H18" s="274">
        <f>VLOOKUP($A$1,'Primary Catchment Analysis'!$A$3:$BE$25, 8, FALSE)</f>
        <v>147</v>
      </c>
      <c r="I18" s="32">
        <f>VLOOKUP($A$1,'S1 Catchment Analysis'!A3:I25, 2, FALSE)</f>
        <v>129</v>
      </c>
      <c r="J18" s="23"/>
      <c r="K18" s="400">
        <f>VLOOKUP($A$1,'S1 Catchment Retained'!A2:I25, 2, FALSE)</f>
        <v>127</v>
      </c>
      <c r="L18" s="424"/>
      <c r="M18" s="58">
        <f t="shared" si="1"/>
        <v>0.98449612403100772</v>
      </c>
      <c r="N18" s="50"/>
      <c r="O18" s="105">
        <f t="shared" si="2"/>
        <v>11</v>
      </c>
      <c r="P18" s="50"/>
      <c r="Q18" s="25">
        <f t="shared" si="3"/>
        <v>2018</v>
      </c>
      <c r="R18" s="68">
        <f>VLOOKUP($A$1,'Secondary Rolls'!$A$3:$BE$25, 2, FALSE)</f>
        <v>138</v>
      </c>
      <c r="S18" s="67">
        <f>VLOOKUP($A$1,'Secondary Rolls'!$A$3:$BE$25, 3, FALSE)</f>
        <v>140</v>
      </c>
      <c r="T18" s="69">
        <f>VLOOKUP($A$1,'Secondary Rolls'!$A$3:$BE$25, 4, FALSE)</f>
        <v>135</v>
      </c>
      <c r="U18" s="68">
        <f>VLOOKUP($A$1,'Secondary Rolls'!$A$3:$BE$25, 5, FALSE)</f>
        <v>138</v>
      </c>
      <c r="V18" s="67">
        <f>VLOOKUP($A$1,'Secondary Rolls'!$A$3:$BE$25, 6, FALSE)</f>
        <v>118</v>
      </c>
      <c r="W18" s="69">
        <f>VLOOKUP($A$1,'Secondary Rolls'!$A$3:$BE$25, 7, FALSE)</f>
        <v>96</v>
      </c>
      <c r="X18" s="53">
        <f t="shared" ref="X18" si="4">SUM(R18:W18)</f>
        <v>765</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7.6613256282287018E-3</v>
      </c>
      <c r="D20" s="40">
        <f t="shared" ref="D20:I20" si="5">AVERAGE(((C15-D16)/C15),((C16-D17)/C16),((C17-D18)/C17))</f>
        <v>1.7546713380046711E-2</v>
      </c>
      <c r="E20" s="40">
        <f t="shared" si="5"/>
        <v>1.6995875248803319E-2</v>
      </c>
      <c r="F20" s="40">
        <f t="shared" si="5"/>
        <v>4.4923075672325695E-2</v>
      </c>
      <c r="G20" s="40">
        <f t="shared" si="5"/>
        <v>5.205007306918135E-2</v>
      </c>
      <c r="H20" s="40">
        <f t="shared" si="5"/>
        <v>1.1919742729306487E-2</v>
      </c>
      <c r="I20" s="40">
        <f t="shared" si="5"/>
        <v>1.7855677691743264E-2</v>
      </c>
      <c r="K20" s="389">
        <f>AVERAGE(M16:M18)</f>
        <v>0.97455274565453742</v>
      </c>
      <c r="L20" s="390"/>
      <c r="M20" s="391"/>
      <c r="O20" s="51">
        <f>ROUNDUP((AVERAGE(O16:O18)),0)</f>
        <v>13</v>
      </c>
      <c r="T20" s="388"/>
      <c r="U20" s="388"/>
      <c r="V20" s="40">
        <f>AVERAGE(((U15-V16)/U15),((U16-V17)/U16),((U17-V18)/U17))</f>
        <v>9.4879813572886995E-2</v>
      </c>
      <c r="W20" s="40">
        <f>AVERAGE(((V15-W16)/V15),((V16-W17)/V16),((V17-W18)/V17))</f>
        <v>0.1590725806451613</v>
      </c>
    </row>
    <row r="21" spans="1:27" x14ac:dyDescent="0.25">
      <c r="A21" s="21"/>
      <c r="K21" s="59"/>
      <c r="L21" s="59"/>
    </row>
    <row r="22" spans="1:27" x14ac:dyDescent="0.25">
      <c r="A22" s="21" t="s">
        <v>294</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Projections'!C75+'P1 Catchment Projections'!C76+'P1 Catchment Projections'!C77+'P1 Catchment Projections'!C78</f>
        <v>161</v>
      </c>
      <c r="C24" s="34">
        <f>ROUNDUP((B18-(B18*$C$20)),0)</f>
        <v>144</v>
      </c>
      <c r="D24" s="42">
        <f>ROUNDUP((C18-(C18*$D$20)),0)</f>
        <v>183</v>
      </c>
      <c r="E24" s="43">
        <f>ROUNDUP((D18-(D18*$E$20)),0)</f>
        <v>156</v>
      </c>
      <c r="F24" s="41">
        <f>ROUNDUP((E18-(E18*$F$20)),0)</f>
        <v>170</v>
      </c>
      <c r="G24" s="42">
        <f>ROUNDUP((F18-(F18*$G$20)),0)</f>
        <v>136</v>
      </c>
      <c r="H24" s="43">
        <f>ROUNDUP((G18-(G18*$H$20)),0)</f>
        <v>152</v>
      </c>
      <c r="I24" s="99">
        <f>ROUNDUP((H18-(H18*$I$20)),0)</f>
        <v>145</v>
      </c>
      <c r="J24" s="23"/>
      <c r="K24" s="59"/>
      <c r="L24" s="59"/>
      <c r="Z24" s="109"/>
      <c r="AA24" s="109"/>
    </row>
    <row r="25" spans="1:27" x14ac:dyDescent="0.25">
      <c r="A25" s="25">
        <f>A24+1</f>
        <v>2020</v>
      </c>
      <c r="B25" s="37">
        <f>'P1 Catchment Projections'!D75+'P1 Catchment Projections'!D76+'P1 Catchment Projections'!D77+'P1 Catchment Projections'!D78</f>
        <v>154</v>
      </c>
      <c r="C25" s="34">
        <f t="shared" ref="C25:C37" si="6">ROUNDUP((B24-(B24*$C$20)),0)</f>
        <v>160</v>
      </c>
      <c r="D25" s="34">
        <f t="shared" ref="D25:D37" si="7">ROUNDUP((C24-(C24*$D$20)),0)</f>
        <v>142</v>
      </c>
      <c r="E25" s="42">
        <f t="shared" ref="E25:E37" si="8">ROUNDUP((D24-(D24*$E$20)),0)</f>
        <v>180</v>
      </c>
      <c r="F25" s="43">
        <f t="shared" ref="F25:F37" si="9">ROUNDUP((E24-(E24*$F$20)),0)</f>
        <v>149</v>
      </c>
      <c r="G25" s="41">
        <f t="shared" ref="G25:G37" si="10">ROUNDUP((F24-(F24*$G$20)),0)</f>
        <v>162</v>
      </c>
      <c r="H25" s="42">
        <f t="shared" ref="H25:H37" si="11">ROUNDUP((G24-(G24*$H$20)),0)</f>
        <v>135</v>
      </c>
      <c r="I25" s="99">
        <f t="shared" ref="I25:I37" si="12">ROUNDUP((H24-(H24*$I$20)),0)</f>
        <v>150</v>
      </c>
      <c r="J25" s="23"/>
      <c r="K25" s="59"/>
      <c r="L25" s="59"/>
      <c r="Z25" s="109"/>
      <c r="AA25" s="109"/>
    </row>
    <row r="26" spans="1:27" x14ac:dyDescent="0.25">
      <c r="A26" s="25">
        <f>A25+1</f>
        <v>2021</v>
      </c>
      <c r="B26" s="37">
        <f>'P1 Catchment Projections'!E75+'P1 Catchment Projections'!E76+'P1 Catchment Projections'!E77+'P1 Catchment Projections'!E78</f>
        <v>151</v>
      </c>
      <c r="C26" s="34">
        <f t="shared" si="6"/>
        <v>153</v>
      </c>
      <c r="D26" s="34">
        <f t="shared" si="7"/>
        <v>158</v>
      </c>
      <c r="E26" s="34">
        <f t="shared" si="8"/>
        <v>140</v>
      </c>
      <c r="F26" s="42">
        <f t="shared" si="9"/>
        <v>172</v>
      </c>
      <c r="G26" s="43">
        <f t="shared" si="10"/>
        <v>142</v>
      </c>
      <c r="H26" s="41">
        <f t="shared" si="11"/>
        <v>161</v>
      </c>
      <c r="I26" s="99">
        <f t="shared" si="12"/>
        <v>133</v>
      </c>
      <c r="J26" s="23"/>
      <c r="K26" s="59"/>
      <c r="L26" s="59"/>
      <c r="Z26" s="109"/>
      <c r="AA26" s="109"/>
    </row>
    <row r="27" spans="1:27" x14ac:dyDescent="0.25">
      <c r="A27" s="25">
        <f>A26+1</f>
        <v>2022</v>
      </c>
      <c r="B27" s="37">
        <f>'P1 Catchment Projections'!F75+'P1 Catchment Projections'!F76+'P1 Catchment Projections'!F77+'P1 Catchment Projections'!F78</f>
        <v>143</v>
      </c>
      <c r="C27" s="34">
        <f t="shared" si="6"/>
        <v>150</v>
      </c>
      <c r="D27" s="34">
        <f t="shared" si="7"/>
        <v>151</v>
      </c>
      <c r="E27" s="34">
        <f t="shared" si="8"/>
        <v>156</v>
      </c>
      <c r="F27" s="34">
        <f t="shared" si="9"/>
        <v>134</v>
      </c>
      <c r="G27" s="42">
        <f t="shared" si="10"/>
        <v>164</v>
      </c>
      <c r="H27" s="43">
        <f t="shared" si="11"/>
        <v>141</v>
      </c>
      <c r="I27" s="99">
        <f t="shared" si="12"/>
        <v>159</v>
      </c>
      <c r="J27" s="23"/>
      <c r="K27" s="59"/>
      <c r="L27" s="59"/>
      <c r="Z27" s="109"/>
      <c r="AA27" s="109"/>
    </row>
    <row r="28" spans="1:27" x14ac:dyDescent="0.25">
      <c r="A28" s="25">
        <f t="shared" ref="A28:A37" si="13">A27+1</f>
        <v>2023</v>
      </c>
      <c r="B28" s="37">
        <f>'P1 Catchment Projections'!G75+'P1 Catchment Projections'!G76+'P1 Catchment Projections'!G77+'P1 Catchment Projections'!G78</f>
        <v>152</v>
      </c>
      <c r="C28" s="34">
        <f t="shared" si="6"/>
        <v>142</v>
      </c>
      <c r="D28" s="34">
        <f t="shared" si="7"/>
        <v>148</v>
      </c>
      <c r="E28" s="34">
        <f t="shared" si="8"/>
        <v>149</v>
      </c>
      <c r="F28" s="34">
        <f t="shared" si="9"/>
        <v>149</v>
      </c>
      <c r="G28" s="34">
        <f t="shared" si="10"/>
        <v>128</v>
      </c>
      <c r="H28" s="42">
        <f t="shared" si="11"/>
        <v>163</v>
      </c>
      <c r="I28" s="99">
        <f t="shared" si="12"/>
        <v>139</v>
      </c>
      <c r="J28" s="23"/>
      <c r="K28" s="59"/>
      <c r="L28" s="59"/>
      <c r="Z28" s="109"/>
      <c r="AA28" s="109"/>
    </row>
    <row r="29" spans="1:27" x14ac:dyDescent="0.25">
      <c r="A29" s="25">
        <f t="shared" si="13"/>
        <v>2024</v>
      </c>
      <c r="B29" s="37">
        <f>'P1 Catchment Projections'!H75+'P1 Catchment Projections'!H76+'P1 Catchment Projections'!H77+'P1 Catchment Projections'!H78</f>
        <v>153</v>
      </c>
      <c r="C29" s="34">
        <f t="shared" si="6"/>
        <v>151</v>
      </c>
      <c r="D29" s="34">
        <f t="shared" si="7"/>
        <v>140</v>
      </c>
      <c r="E29" s="34">
        <f t="shared" si="8"/>
        <v>146</v>
      </c>
      <c r="F29" s="34">
        <f t="shared" si="9"/>
        <v>143</v>
      </c>
      <c r="G29" s="34">
        <f t="shared" si="10"/>
        <v>142</v>
      </c>
      <c r="H29" s="34">
        <f t="shared" si="11"/>
        <v>127</v>
      </c>
      <c r="I29" s="99">
        <f t="shared" si="12"/>
        <v>161</v>
      </c>
      <c r="K29" s="59"/>
      <c r="L29" s="59"/>
      <c r="Z29" s="109"/>
      <c r="AA29" s="109"/>
    </row>
    <row r="30" spans="1:27" x14ac:dyDescent="0.25">
      <c r="A30" s="25">
        <f t="shared" si="13"/>
        <v>2025</v>
      </c>
      <c r="B30" s="37">
        <f>'P1 Catchment Projections'!I75+'P1 Catchment Projections'!I76+'P1 Catchment Projections'!I77+'P1 Catchment Projections'!I78</f>
        <v>156</v>
      </c>
      <c r="C30" s="34">
        <f t="shared" si="6"/>
        <v>152</v>
      </c>
      <c r="D30" s="34">
        <f t="shared" si="7"/>
        <v>149</v>
      </c>
      <c r="E30" s="34">
        <f t="shared" si="8"/>
        <v>138</v>
      </c>
      <c r="F30" s="34">
        <f t="shared" si="9"/>
        <v>140</v>
      </c>
      <c r="G30" s="34">
        <f t="shared" si="10"/>
        <v>136</v>
      </c>
      <c r="H30" s="34">
        <f t="shared" si="11"/>
        <v>141</v>
      </c>
      <c r="I30" s="99">
        <f t="shared" si="12"/>
        <v>125</v>
      </c>
      <c r="K30" s="59"/>
      <c r="L30" s="59"/>
      <c r="Z30" s="109"/>
      <c r="AA30" s="109"/>
    </row>
    <row r="31" spans="1:27" x14ac:dyDescent="0.25">
      <c r="A31" s="25">
        <f t="shared" si="13"/>
        <v>2026</v>
      </c>
      <c r="B31" s="37">
        <f>'P1 Catchment Projections'!J75+'P1 Catchment Projections'!J76+'P1 Catchment Projections'!J77+'P1 Catchment Projections'!J78</f>
        <v>157</v>
      </c>
      <c r="C31" s="34">
        <f t="shared" si="6"/>
        <v>155</v>
      </c>
      <c r="D31" s="34">
        <f t="shared" si="7"/>
        <v>150</v>
      </c>
      <c r="E31" s="34">
        <f t="shared" si="8"/>
        <v>147</v>
      </c>
      <c r="F31" s="34">
        <f t="shared" si="9"/>
        <v>132</v>
      </c>
      <c r="G31" s="34">
        <f t="shared" si="10"/>
        <v>133</v>
      </c>
      <c r="H31" s="34">
        <f t="shared" si="11"/>
        <v>135</v>
      </c>
      <c r="I31" s="99">
        <f t="shared" si="12"/>
        <v>139</v>
      </c>
      <c r="K31" s="59"/>
      <c r="L31" s="59"/>
      <c r="Z31" s="109"/>
      <c r="AA31" s="109"/>
    </row>
    <row r="32" spans="1:27" x14ac:dyDescent="0.25">
      <c r="A32" s="25">
        <f t="shared" si="13"/>
        <v>2027</v>
      </c>
      <c r="B32" s="37">
        <f>'P1 Catchment Projections'!K75+'P1 Catchment Projections'!K76+'P1 Catchment Projections'!K77+'P1 Catchment Projections'!K78</f>
        <v>157</v>
      </c>
      <c r="C32" s="34">
        <f t="shared" si="6"/>
        <v>156</v>
      </c>
      <c r="D32" s="34">
        <f t="shared" si="7"/>
        <v>153</v>
      </c>
      <c r="E32" s="34">
        <f t="shared" si="8"/>
        <v>148</v>
      </c>
      <c r="F32" s="34">
        <f t="shared" si="9"/>
        <v>141</v>
      </c>
      <c r="G32" s="34">
        <f t="shared" si="10"/>
        <v>126</v>
      </c>
      <c r="H32" s="34">
        <f t="shared" si="11"/>
        <v>132</v>
      </c>
      <c r="I32" s="99">
        <f t="shared" si="12"/>
        <v>133</v>
      </c>
      <c r="K32" s="59"/>
      <c r="L32" s="59"/>
      <c r="Z32" s="109"/>
      <c r="AA32" s="109"/>
    </row>
    <row r="33" spans="1:24" x14ac:dyDescent="0.25">
      <c r="A33" s="25">
        <f t="shared" si="13"/>
        <v>2028</v>
      </c>
      <c r="B33" s="37">
        <f>'P1 Catchment Projections'!L75+'P1 Catchment Projections'!L76+'P1 Catchment Projections'!L77+'P1 Catchment Projections'!L78</f>
        <v>159</v>
      </c>
      <c r="C33" s="34">
        <f t="shared" si="6"/>
        <v>156</v>
      </c>
      <c r="D33" s="34">
        <f t="shared" si="7"/>
        <v>154</v>
      </c>
      <c r="E33" s="34">
        <f t="shared" si="8"/>
        <v>151</v>
      </c>
      <c r="F33" s="34">
        <f t="shared" si="9"/>
        <v>142</v>
      </c>
      <c r="G33" s="34">
        <f t="shared" si="10"/>
        <v>134</v>
      </c>
      <c r="H33" s="34">
        <f t="shared" si="11"/>
        <v>125</v>
      </c>
      <c r="I33" s="99">
        <f t="shared" si="12"/>
        <v>130</v>
      </c>
      <c r="K33" s="59"/>
      <c r="L33" s="59"/>
    </row>
    <row r="34" spans="1:24" x14ac:dyDescent="0.25">
      <c r="A34" s="25">
        <f t="shared" si="13"/>
        <v>2029</v>
      </c>
      <c r="B34" s="37">
        <f>'P1 Catchment Projections'!M75+'P1 Catchment Projections'!M76+'P1 Catchment Projections'!M77+'P1 Catchment Projections'!M78</f>
        <v>159</v>
      </c>
      <c r="C34" s="34">
        <f t="shared" si="6"/>
        <v>158</v>
      </c>
      <c r="D34" s="34">
        <f t="shared" si="7"/>
        <v>154</v>
      </c>
      <c r="E34" s="34">
        <f t="shared" si="8"/>
        <v>152</v>
      </c>
      <c r="F34" s="34">
        <f t="shared" si="9"/>
        <v>145</v>
      </c>
      <c r="G34" s="34">
        <f t="shared" si="10"/>
        <v>135</v>
      </c>
      <c r="H34" s="34">
        <f t="shared" si="11"/>
        <v>133</v>
      </c>
      <c r="I34" s="99">
        <f t="shared" si="12"/>
        <v>123</v>
      </c>
      <c r="K34" s="59"/>
      <c r="L34" s="59"/>
    </row>
    <row r="35" spans="1:24" x14ac:dyDescent="0.25">
      <c r="A35" s="25">
        <f t="shared" si="13"/>
        <v>2030</v>
      </c>
      <c r="B35" s="37">
        <f>'P1 Catchment Projections'!N75+'P1 Catchment Projections'!N76+'P1 Catchment Projections'!N77+'P1 Catchment Projections'!N78</f>
        <v>160</v>
      </c>
      <c r="C35" s="34">
        <f t="shared" si="6"/>
        <v>158</v>
      </c>
      <c r="D35" s="34">
        <f t="shared" si="7"/>
        <v>156</v>
      </c>
      <c r="E35" s="34">
        <f t="shared" si="8"/>
        <v>152</v>
      </c>
      <c r="F35" s="34">
        <f t="shared" si="9"/>
        <v>146</v>
      </c>
      <c r="G35" s="34">
        <f t="shared" si="10"/>
        <v>138</v>
      </c>
      <c r="H35" s="34">
        <f t="shared" si="11"/>
        <v>134</v>
      </c>
      <c r="I35" s="99">
        <f t="shared" si="12"/>
        <v>131</v>
      </c>
      <c r="K35" s="59"/>
      <c r="L35" s="59"/>
    </row>
    <row r="36" spans="1:24" x14ac:dyDescent="0.25">
      <c r="A36" s="25">
        <f t="shared" si="13"/>
        <v>2031</v>
      </c>
      <c r="B36" s="37">
        <f>'P1 Catchment Projections'!O75+'P1 Catchment Projections'!O76+'P1 Catchment Projections'!O77+'P1 Catchment Projections'!O78</f>
        <v>160</v>
      </c>
      <c r="C36" s="34">
        <f t="shared" si="6"/>
        <v>159</v>
      </c>
      <c r="D36" s="34">
        <f t="shared" si="7"/>
        <v>156</v>
      </c>
      <c r="E36" s="34">
        <f t="shared" si="8"/>
        <v>154</v>
      </c>
      <c r="F36" s="34">
        <f t="shared" si="9"/>
        <v>146</v>
      </c>
      <c r="G36" s="34">
        <f t="shared" si="10"/>
        <v>139</v>
      </c>
      <c r="H36" s="34">
        <f t="shared" si="11"/>
        <v>137</v>
      </c>
      <c r="I36" s="99">
        <f t="shared" si="12"/>
        <v>132</v>
      </c>
      <c r="K36" s="59"/>
      <c r="L36" s="59"/>
    </row>
    <row r="37" spans="1:24" x14ac:dyDescent="0.25">
      <c r="A37" s="25">
        <f t="shared" si="13"/>
        <v>2032</v>
      </c>
      <c r="B37" s="37">
        <f>'P1 Catchment Projections'!P75+'P1 Catchment Projections'!P76+'P1 Catchment Projections'!P77+'P1 Catchment Projections'!P78</f>
        <v>160</v>
      </c>
      <c r="C37" s="34">
        <f t="shared" si="6"/>
        <v>159</v>
      </c>
      <c r="D37" s="34">
        <f t="shared" si="7"/>
        <v>157</v>
      </c>
      <c r="E37" s="34">
        <f t="shared" si="8"/>
        <v>154</v>
      </c>
      <c r="F37" s="34">
        <f t="shared" si="9"/>
        <v>148</v>
      </c>
      <c r="G37" s="34">
        <f t="shared" si="10"/>
        <v>139</v>
      </c>
      <c r="H37" s="34">
        <f t="shared" si="11"/>
        <v>138</v>
      </c>
      <c r="I37" s="99">
        <f t="shared" si="12"/>
        <v>135</v>
      </c>
      <c r="K37" s="59"/>
      <c r="L37" s="59"/>
    </row>
    <row r="38" spans="1:24" x14ac:dyDescent="0.25">
      <c r="K38" s="59"/>
      <c r="L38" s="59"/>
    </row>
    <row r="39" spans="1:24" x14ac:dyDescent="0.25">
      <c r="A39" s="21" t="s">
        <v>290</v>
      </c>
      <c r="K39" s="394" t="s">
        <v>190</v>
      </c>
      <c r="L39" s="55"/>
      <c r="M39" s="394" t="s">
        <v>203</v>
      </c>
      <c r="N39" s="106"/>
      <c r="O39" s="395" t="s">
        <v>204</v>
      </c>
      <c r="R39" s="21" t="s">
        <v>295</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164</v>
      </c>
      <c r="C41" s="34">
        <f>C24+VLOOKUP($A$1,'Pri Housing Generation'!$A$96:$DQ$118, 11, FALSE)</f>
        <v>145</v>
      </c>
      <c r="D41" s="42">
        <f>D24+VLOOKUP($A$1,'Pri Housing Generation'!$A$96:$DQ$118, 12, FALSE)</f>
        <v>184</v>
      </c>
      <c r="E41" s="43">
        <f>E24+VLOOKUP($A$1,'Pri Housing Generation'!$A$96:$DQ$118, 13, FALSE)</f>
        <v>156</v>
      </c>
      <c r="F41" s="41">
        <f>F24+VLOOKUP($A$1,'Pri Housing Generation'!$A$96:$DQ$118, 14, FALSE)</f>
        <v>170</v>
      </c>
      <c r="G41" s="42">
        <f>G24+VLOOKUP($A$1,'Pri Housing Generation'!$A$96:$DQ$118, 15, FALSE)</f>
        <v>136</v>
      </c>
      <c r="H41" s="43">
        <f>H24+VLOOKUP($A$1,'Pri Housing Generation'!$A$96:$DQ$118, 16, FALSE)</f>
        <v>152</v>
      </c>
      <c r="I41" s="99">
        <f>ROUNDUP((H18-(H18*$I$20)),0)</f>
        <v>145</v>
      </c>
      <c r="K41" s="35">
        <f>'Sec Housing Generation'!I21</f>
        <v>1</v>
      </c>
      <c r="L41" s="83"/>
      <c r="M41" s="107">
        <f t="shared" ref="M41:M54" si="14">$K$20</f>
        <v>0.97455274565453742</v>
      </c>
      <c r="O41" s="35">
        <f t="shared" ref="O41:O54" si="15">ROUNDUP(((I41+K41)*M41),0)</f>
        <v>143</v>
      </c>
      <c r="Q41" s="25">
        <f>A41</f>
        <v>2019</v>
      </c>
      <c r="R41" s="20">
        <f t="shared" ref="R41:R54" si="16">IF(O41&lt;$C$7,(IF((O41+$O$20)&gt;$C$7,$C$7,(O41+$O$20))),(IF((O41+$O$20)&lt;(CEILING((O41),20)),(O41+$O$20),(CEILING((O41),20)))))</f>
        <v>156</v>
      </c>
      <c r="S41" s="53">
        <f>R18</f>
        <v>138</v>
      </c>
      <c r="T41" s="67">
        <f>S18</f>
        <v>140</v>
      </c>
      <c r="U41" s="69">
        <f>T18</f>
        <v>135</v>
      </c>
      <c r="V41" s="41">
        <f>ROUNDUP((U18-(U18*$V$20)),0)</f>
        <v>125</v>
      </c>
      <c r="W41" s="42">
        <f>ROUNDUP((V18-(V18*$W$20)),0)</f>
        <v>100</v>
      </c>
      <c r="X41" s="101">
        <f t="shared" ref="X41:X54" si="17">SUM(R41:W41)</f>
        <v>794</v>
      </c>
    </row>
    <row r="42" spans="1:24" x14ac:dyDescent="0.25">
      <c r="A42" s="25">
        <f t="shared" ref="A42:A54" si="18">A25</f>
        <v>2020</v>
      </c>
      <c r="B42" s="37">
        <f>B25+VLOOKUP($A$1,'Pri Housing Generation'!$A$96:$DQ$118, 18, FALSE)</f>
        <v>157</v>
      </c>
      <c r="C42" s="34">
        <f>C25+VLOOKUP($A$1,'Pri Housing Generation'!$A$96:$DQ$118, 19, FALSE)</f>
        <v>163</v>
      </c>
      <c r="D42" s="34">
        <f>D25+VLOOKUP($A$1,'Pri Housing Generation'!$A$96:$DQ$118, 20, FALSE)</f>
        <v>144</v>
      </c>
      <c r="E42" s="42">
        <f>E25+VLOOKUP($A$1,'Pri Housing Generation'!$A$96:$DQ$118, 21, FALSE)</f>
        <v>182</v>
      </c>
      <c r="F42" s="43">
        <f>F25+VLOOKUP($A$1,'Pri Housing Generation'!$A$96:$DQ$118, 22, FALSE)</f>
        <v>150</v>
      </c>
      <c r="G42" s="41">
        <f>G25+VLOOKUP($A$1,'Pri Housing Generation'!$A$96:$DQ$118, 23, FALSE)</f>
        <v>162</v>
      </c>
      <c r="H42" s="42">
        <f>H25+VLOOKUP($A$1,'Pri Housing Generation'!$A$96:$DQ$118, 24, FALSE)</f>
        <v>135</v>
      </c>
      <c r="I42" s="99">
        <f t="shared" ref="I42:I54" si="19">ROUNDUP((H41-(H41*$I$20)),0)</f>
        <v>150</v>
      </c>
      <c r="K42" s="35">
        <f>'Sec Housing Generation'!P21</f>
        <v>1</v>
      </c>
      <c r="L42" s="83"/>
      <c r="M42" s="107">
        <f t="shared" si="14"/>
        <v>0.97455274565453742</v>
      </c>
      <c r="O42" s="35">
        <f t="shared" si="15"/>
        <v>148</v>
      </c>
      <c r="Q42" s="25">
        <f t="shared" ref="Q42:Q54" si="20">A42</f>
        <v>2020</v>
      </c>
      <c r="R42" s="20">
        <f t="shared" si="16"/>
        <v>160</v>
      </c>
      <c r="S42" s="53">
        <f t="shared" ref="S42:U54" si="21">R41</f>
        <v>156</v>
      </c>
      <c r="T42" s="53">
        <f t="shared" si="21"/>
        <v>138</v>
      </c>
      <c r="U42" s="67">
        <f t="shared" si="21"/>
        <v>140</v>
      </c>
      <c r="V42" s="43">
        <f t="shared" ref="V42:V54" si="22">ROUNDUP((U41-(U41*$V$20)),0)</f>
        <v>123</v>
      </c>
      <c r="W42" s="41">
        <f t="shared" ref="W42:W54" si="23">ROUNDUP((V41-(V41*$W$20)),0)</f>
        <v>106</v>
      </c>
      <c r="X42" s="101">
        <f t="shared" si="17"/>
        <v>823</v>
      </c>
    </row>
    <row r="43" spans="1:24" x14ac:dyDescent="0.25">
      <c r="A43" s="25">
        <f t="shared" si="18"/>
        <v>2021</v>
      </c>
      <c r="B43" s="37">
        <f>B26+VLOOKUP($A$1,'Pri Housing Generation'!$A$96:$DQ$118, 26, FALSE)</f>
        <v>155</v>
      </c>
      <c r="C43" s="34">
        <f>C26+VLOOKUP($A$1,'Pri Housing Generation'!$A$96:$DQ$118, 27, FALSE)</f>
        <v>157</v>
      </c>
      <c r="D43" s="34">
        <f>D26+VLOOKUP($A$1,'Pri Housing Generation'!$A$96:$DQ$118, 28, FALSE)</f>
        <v>161</v>
      </c>
      <c r="E43" s="34">
        <f>E26+VLOOKUP($A$1,'Pri Housing Generation'!$A$96:$DQ$118, 29, FALSE)</f>
        <v>143</v>
      </c>
      <c r="F43" s="42">
        <f>F26+VLOOKUP($A$1,'Pri Housing Generation'!$A$96:$DQ$118, 30, FALSE)</f>
        <v>174</v>
      </c>
      <c r="G43" s="43">
        <f>G26+VLOOKUP($A$1,'Pri Housing Generation'!$A$96:$DQ$118, 31, FALSE)</f>
        <v>144</v>
      </c>
      <c r="H43" s="41">
        <f>H26+VLOOKUP($A$1,'Pri Housing Generation'!$A$96:$DQ$118, 32, FALSE)</f>
        <v>163</v>
      </c>
      <c r="I43" s="99">
        <f t="shared" si="19"/>
        <v>133</v>
      </c>
      <c r="K43" s="35">
        <f>'Sec Housing Generation'!W21</f>
        <v>2</v>
      </c>
      <c r="L43" s="83"/>
      <c r="M43" s="107">
        <f t="shared" si="14"/>
        <v>0.97455274565453742</v>
      </c>
      <c r="O43" s="35">
        <f t="shared" si="15"/>
        <v>132</v>
      </c>
      <c r="Q43" s="25">
        <f t="shared" si="20"/>
        <v>2021</v>
      </c>
      <c r="R43" s="20">
        <f t="shared" si="16"/>
        <v>140</v>
      </c>
      <c r="S43" s="53">
        <f t="shared" si="21"/>
        <v>160</v>
      </c>
      <c r="T43" s="53">
        <f t="shared" si="21"/>
        <v>156</v>
      </c>
      <c r="U43" s="53">
        <f t="shared" si="21"/>
        <v>138</v>
      </c>
      <c r="V43" s="42">
        <f t="shared" si="22"/>
        <v>127</v>
      </c>
      <c r="W43" s="43">
        <f t="shared" si="23"/>
        <v>104</v>
      </c>
      <c r="X43" s="101">
        <f t="shared" si="17"/>
        <v>825</v>
      </c>
    </row>
    <row r="44" spans="1:24" x14ac:dyDescent="0.25">
      <c r="A44" s="25">
        <f t="shared" si="18"/>
        <v>2022</v>
      </c>
      <c r="B44" s="37">
        <f>B27+VLOOKUP($A$1,'Pri Housing Generation'!$A$96:$DQ$118, 34, FALSE)</f>
        <v>148</v>
      </c>
      <c r="C44" s="34">
        <f>C27+VLOOKUP($A$1,'Pri Housing Generation'!$A$96:$DQ$118, 35, FALSE)</f>
        <v>155</v>
      </c>
      <c r="D44" s="34">
        <f>D27+VLOOKUP($A$1,'Pri Housing Generation'!$A$96:$DQ$118, 36, FALSE)</f>
        <v>155</v>
      </c>
      <c r="E44" s="34">
        <f>E27+VLOOKUP($A$1,'Pri Housing Generation'!$A$96:$DQ$118, 37, FALSE)</f>
        <v>160</v>
      </c>
      <c r="F44" s="34">
        <f>F27+VLOOKUP($A$1,'Pri Housing Generation'!$A$96:$DQ$118, 38, FALSE)</f>
        <v>136</v>
      </c>
      <c r="G44" s="42">
        <f>G27+VLOOKUP($A$1,'Pri Housing Generation'!$A$96:$DQ$118, 39, FALSE)</f>
        <v>166</v>
      </c>
      <c r="H44" s="43">
        <f>H27+VLOOKUP($A$1,'Pri Housing Generation'!$A$96:$DQ$118, 40, FALSE)</f>
        <v>143</v>
      </c>
      <c r="I44" s="99">
        <f t="shared" si="19"/>
        <v>161</v>
      </c>
      <c r="K44" s="35">
        <f>'Sec Housing Generation'!AD21</f>
        <v>2</v>
      </c>
      <c r="L44" s="83"/>
      <c r="M44" s="107">
        <f t="shared" si="14"/>
        <v>0.97455274565453742</v>
      </c>
      <c r="O44" s="35">
        <f t="shared" si="15"/>
        <v>159</v>
      </c>
      <c r="Q44" s="25">
        <f t="shared" si="20"/>
        <v>2022</v>
      </c>
      <c r="R44" s="20">
        <f t="shared" si="16"/>
        <v>160</v>
      </c>
      <c r="S44" s="53">
        <f t="shared" si="21"/>
        <v>140</v>
      </c>
      <c r="T44" s="53">
        <f t="shared" si="21"/>
        <v>160</v>
      </c>
      <c r="U44" s="53">
        <f t="shared" si="21"/>
        <v>156</v>
      </c>
      <c r="V44" s="34">
        <f t="shared" si="22"/>
        <v>125</v>
      </c>
      <c r="W44" s="42">
        <f t="shared" si="23"/>
        <v>107</v>
      </c>
      <c r="X44" s="101">
        <f t="shared" si="17"/>
        <v>848</v>
      </c>
    </row>
    <row r="45" spans="1:24" x14ac:dyDescent="0.25">
      <c r="A45" s="25">
        <f t="shared" si="18"/>
        <v>2023</v>
      </c>
      <c r="B45" s="37">
        <f>B28+VLOOKUP($A$1,'Pri Housing Generation'!$A$96:$DQ$118, 42, FALSE)</f>
        <v>157</v>
      </c>
      <c r="C45" s="34">
        <f>C28+VLOOKUP($A$1,'Pri Housing Generation'!$A$96:$DQ$118, 43, FALSE)</f>
        <v>147</v>
      </c>
      <c r="D45" s="34">
        <f>D28+VLOOKUP($A$1,'Pri Housing Generation'!$A$96:$DQ$118, 44, FALSE)</f>
        <v>153</v>
      </c>
      <c r="E45" s="34">
        <f>E28+VLOOKUP($A$1,'Pri Housing Generation'!$A$96:$DQ$118, 45, FALSE)</f>
        <v>154</v>
      </c>
      <c r="F45" s="34">
        <f>F28+VLOOKUP($A$1,'Pri Housing Generation'!$A$96:$DQ$118, 46, FALSE)</f>
        <v>152</v>
      </c>
      <c r="G45" s="34">
        <f>G28+VLOOKUP($A$1,'Pri Housing Generation'!$A$96:$DQ$118, 47, FALSE)</f>
        <v>130</v>
      </c>
      <c r="H45" s="42">
        <f>H28+VLOOKUP($A$1,'Pri Housing Generation'!$A$96:$DQ$118, 48, FALSE)</f>
        <v>165</v>
      </c>
      <c r="I45" s="99">
        <f t="shared" si="19"/>
        <v>141</v>
      </c>
      <c r="J45" s="181"/>
      <c r="K45" s="35">
        <f>'Sec Housing Generation'!AK21</f>
        <v>2</v>
      </c>
      <c r="L45" s="83"/>
      <c r="M45" s="107">
        <f t="shared" si="14"/>
        <v>0.97455274565453742</v>
      </c>
      <c r="O45" s="35">
        <f t="shared" si="15"/>
        <v>140</v>
      </c>
      <c r="Q45" s="25">
        <f t="shared" si="20"/>
        <v>2023</v>
      </c>
      <c r="R45" s="20">
        <f t="shared" si="16"/>
        <v>140</v>
      </c>
      <c r="S45" s="53">
        <f t="shared" si="21"/>
        <v>160</v>
      </c>
      <c r="T45" s="53">
        <f t="shared" si="21"/>
        <v>140</v>
      </c>
      <c r="U45" s="53">
        <f t="shared" si="21"/>
        <v>160</v>
      </c>
      <c r="V45" s="34">
        <f t="shared" si="22"/>
        <v>142</v>
      </c>
      <c r="W45" s="34">
        <f t="shared" si="23"/>
        <v>106</v>
      </c>
      <c r="X45" s="101">
        <f t="shared" si="17"/>
        <v>848</v>
      </c>
    </row>
    <row r="46" spans="1:24" x14ac:dyDescent="0.25">
      <c r="A46" s="25">
        <f t="shared" si="18"/>
        <v>2024</v>
      </c>
      <c r="B46" s="37">
        <f>B29+VLOOKUP($A$1,'Pri Housing Generation'!$A$96:$DQ$118, 50, FALSE)</f>
        <v>161</v>
      </c>
      <c r="C46" s="34">
        <f>C29+VLOOKUP($A$1,'Pri Housing Generation'!$A$96:$DQ$118, 51, FALSE)</f>
        <v>157</v>
      </c>
      <c r="D46" s="34">
        <f>D29+VLOOKUP($A$1,'Pri Housing Generation'!$A$96:$DQ$118, 52, FALSE)</f>
        <v>145</v>
      </c>
      <c r="E46" s="34">
        <f>E29+VLOOKUP($A$1,'Pri Housing Generation'!$A$96:$DQ$118, 53, FALSE)</f>
        <v>151</v>
      </c>
      <c r="F46" s="34">
        <f>F29+VLOOKUP($A$1,'Pri Housing Generation'!$A$96:$DQ$118, 54, FALSE)</f>
        <v>148</v>
      </c>
      <c r="G46" s="34">
        <f>G29+VLOOKUP($A$1,'Pri Housing Generation'!$A$96:$DQ$118, 55, FALSE)</f>
        <v>147</v>
      </c>
      <c r="H46" s="34">
        <f>H29+VLOOKUP($A$1,'Pri Housing Generation'!$A$96:$DQ$118, 56, FALSE)</f>
        <v>132</v>
      </c>
      <c r="I46" s="99">
        <f t="shared" si="19"/>
        <v>163</v>
      </c>
      <c r="J46" s="181"/>
      <c r="K46" s="35">
        <f>'Sec Housing Generation'!AR21</f>
        <v>3</v>
      </c>
      <c r="L46" s="83"/>
      <c r="M46" s="107">
        <f>K20</f>
        <v>0.97455274565453742</v>
      </c>
      <c r="O46" s="35">
        <f t="shared" si="15"/>
        <v>162</v>
      </c>
      <c r="Q46" s="25">
        <f t="shared" si="20"/>
        <v>2024</v>
      </c>
      <c r="R46" s="20">
        <f t="shared" si="16"/>
        <v>175</v>
      </c>
      <c r="S46" s="53">
        <f t="shared" si="21"/>
        <v>140</v>
      </c>
      <c r="T46" s="53">
        <f t="shared" si="21"/>
        <v>160</v>
      </c>
      <c r="U46" s="53">
        <f t="shared" si="21"/>
        <v>140</v>
      </c>
      <c r="V46" s="34">
        <f t="shared" si="22"/>
        <v>145</v>
      </c>
      <c r="W46" s="34">
        <f t="shared" si="23"/>
        <v>120</v>
      </c>
      <c r="X46" s="101">
        <f t="shared" si="17"/>
        <v>880</v>
      </c>
    </row>
    <row r="47" spans="1:24" x14ac:dyDescent="0.25">
      <c r="A47" s="25">
        <f t="shared" si="18"/>
        <v>2025</v>
      </c>
      <c r="B47" s="37">
        <f>B30+VLOOKUP($A$1,'Pri Housing Generation'!$A$96:$DQ$118, 58, FALSE)</f>
        <v>165</v>
      </c>
      <c r="C47" s="34">
        <f>C30+VLOOKUP($A$1,'Pri Housing Generation'!$A$96:$DQ$118, 59, FALSE)</f>
        <v>159</v>
      </c>
      <c r="D47" s="34">
        <f>D30+VLOOKUP($A$1,'Pri Housing Generation'!$A$96:$DQ$118, 60, FALSE)</f>
        <v>156</v>
      </c>
      <c r="E47" s="34">
        <f>E30+VLOOKUP($A$1,'Pri Housing Generation'!$A$96:$DQ$118, 61, FALSE)</f>
        <v>145</v>
      </c>
      <c r="F47" s="34">
        <f>F30+VLOOKUP($A$1,'Pri Housing Generation'!$A$96:$DQ$118, 62, FALSE)</f>
        <v>146</v>
      </c>
      <c r="G47" s="34">
        <f>G30+VLOOKUP($A$1,'Pri Housing Generation'!$A$96:$DQ$118, 63, FALSE)</f>
        <v>142</v>
      </c>
      <c r="H47" s="34">
        <f>H30+VLOOKUP($A$1,'Pri Housing Generation'!$A$96:$DQ$118, 64, FALSE)</f>
        <v>147</v>
      </c>
      <c r="I47" s="99">
        <f t="shared" si="19"/>
        <v>130</v>
      </c>
      <c r="J47" s="181"/>
      <c r="K47" s="83"/>
      <c r="L47" s="83"/>
      <c r="M47" s="107">
        <f t="shared" si="14"/>
        <v>0.97455274565453742</v>
      </c>
      <c r="O47" s="35">
        <f t="shared" si="15"/>
        <v>127</v>
      </c>
      <c r="Q47" s="25">
        <f t="shared" si="20"/>
        <v>2025</v>
      </c>
      <c r="R47" s="20">
        <f t="shared" si="16"/>
        <v>140</v>
      </c>
      <c r="S47" s="53">
        <f t="shared" si="21"/>
        <v>175</v>
      </c>
      <c r="T47" s="53">
        <f t="shared" si="21"/>
        <v>140</v>
      </c>
      <c r="U47" s="53">
        <f t="shared" si="21"/>
        <v>160</v>
      </c>
      <c r="V47" s="34">
        <f t="shared" si="22"/>
        <v>127</v>
      </c>
      <c r="W47" s="34">
        <f t="shared" si="23"/>
        <v>122</v>
      </c>
      <c r="X47" s="101">
        <f t="shared" si="17"/>
        <v>864</v>
      </c>
    </row>
    <row r="48" spans="1:24" x14ac:dyDescent="0.25">
      <c r="A48" s="25">
        <f t="shared" si="18"/>
        <v>2026</v>
      </c>
      <c r="B48" s="37">
        <f>B31+VLOOKUP($A$1,'Pri Housing Generation'!$A$96:$DQ$118, 66, FALSE)</f>
        <v>167</v>
      </c>
      <c r="C48" s="34">
        <f>C31+VLOOKUP($A$1,'Pri Housing Generation'!$A$96:$DQ$118, 67, FALSE)</f>
        <v>163</v>
      </c>
      <c r="D48" s="34">
        <f>D31+VLOOKUP($A$1,'Pri Housing Generation'!$A$96:$DQ$118, 68, FALSE)</f>
        <v>158</v>
      </c>
      <c r="E48" s="34">
        <f>E31+VLOOKUP($A$1,'Pri Housing Generation'!$A$96:$DQ$118, 69, FALSE)</f>
        <v>155</v>
      </c>
      <c r="F48" s="34">
        <f>F31+VLOOKUP($A$1,'Pri Housing Generation'!$A$96:$DQ$118, 70, FALSE)</f>
        <v>140</v>
      </c>
      <c r="G48" s="34">
        <f>G31+VLOOKUP($A$1,'Pri Housing Generation'!$A$96:$DQ$118, 71, FALSE)</f>
        <v>140</v>
      </c>
      <c r="H48" s="34">
        <f>H31+VLOOKUP($A$1,'Pri Housing Generation'!$A$96:$DQ$118, 72, FALSE)</f>
        <v>142</v>
      </c>
      <c r="I48" s="99">
        <f t="shared" si="19"/>
        <v>145</v>
      </c>
      <c r="J48" s="181"/>
      <c r="K48" s="83"/>
      <c r="L48" s="83"/>
      <c r="M48" s="107">
        <f t="shared" si="14"/>
        <v>0.97455274565453742</v>
      </c>
      <c r="O48" s="35">
        <f t="shared" si="15"/>
        <v>142</v>
      </c>
      <c r="Q48" s="25">
        <f t="shared" si="20"/>
        <v>2026</v>
      </c>
      <c r="R48" s="20">
        <f t="shared" si="16"/>
        <v>155</v>
      </c>
      <c r="S48" s="53">
        <f t="shared" si="21"/>
        <v>140</v>
      </c>
      <c r="T48" s="53">
        <f t="shared" si="21"/>
        <v>175</v>
      </c>
      <c r="U48" s="53">
        <f t="shared" si="21"/>
        <v>140</v>
      </c>
      <c r="V48" s="34">
        <f t="shared" si="22"/>
        <v>145</v>
      </c>
      <c r="W48" s="34">
        <f t="shared" si="23"/>
        <v>107</v>
      </c>
      <c r="X48" s="101">
        <f t="shared" si="17"/>
        <v>862</v>
      </c>
    </row>
    <row r="49" spans="1:24" x14ac:dyDescent="0.25">
      <c r="A49" s="25">
        <f t="shared" si="18"/>
        <v>2027</v>
      </c>
      <c r="B49" s="37">
        <f>B32+VLOOKUP($A$1,'Pri Housing Generation'!$A$96:$DQ$118, 74, FALSE)</f>
        <v>168</v>
      </c>
      <c r="C49" s="34">
        <f>C32+VLOOKUP($A$1,'Pri Housing Generation'!$A$96:$DQ$118, 75, FALSE)</f>
        <v>166</v>
      </c>
      <c r="D49" s="34">
        <f>D32+VLOOKUP($A$1,'Pri Housing Generation'!$A$96:$DQ$118, 76, FALSE)</f>
        <v>162</v>
      </c>
      <c r="E49" s="34">
        <f>E32+VLOOKUP($A$1,'Pri Housing Generation'!$A$96:$DQ$118, 77, FALSE)</f>
        <v>157</v>
      </c>
      <c r="F49" s="34">
        <f>F32+VLOOKUP($A$1,'Pri Housing Generation'!$A$96:$DQ$118, 78, FALSE)</f>
        <v>150</v>
      </c>
      <c r="G49" s="34">
        <f>G32+VLOOKUP($A$1,'Pri Housing Generation'!$A$96:$DQ$118, 79, FALSE)</f>
        <v>134</v>
      </c>
      <c r="H49" s="34">
        <f>H32+VLOOKUP($A$1,'Pri Housing Generation'!$A$96:$DQ$118, 80, FALSE)</f>
        <v>140</v>
      </c>
      <c r="I49" s="99">
        <f t="shared" si="19"/>
        <v>140</v>
      </c>
      <c r="J49" s="181"/>
      <c r="K49" s="83"/>
      <c r="L49" s="83"/>
      <c r="M49" s="107">
        <f t="shared" si="14"/>
        <v>0.97455274565453742</v>
      </c>
      <c r="O49" s="35">
        <f t="shared" si="15"/>
        <v>137</v>
      </c>
      <c r="Q49" s="25">
        <f t="shared" si="20"/>
        <v>2027</v>
      </c>
      <c r="R49" s="20">
        <f t="shared" si="16"/>
        <v>140</v>
      </c>
      <c r="S49" s="53">
        <f t="shared" si="21"/>
        <v>155</v>
      </c>
      <c r="T49" s="53">
        <f t="shared" si="21"/>
        <v>140</v>
      </c>
      <c r="U49" s="53">
        <f t="shared" si="21"/>
        <v>175</v>
      </c>
      <c r="V49" s="34">
        <f t="shared" si="22"/>
        <v>127</v>
      </c>
      <c r="W49" s="34">
        <f t="shared" si="23"/>
        <v>122</v>
      </c>
      <c r="X49" s="101">
        <f t="shared" si="17"/>
        <v>859</v>
      </c>
    </row>
    <row r="50" spans="1:24" x14ac:dyDescent="0.25">
      <c r="A50" s="25">
        <f t="shared" si="18"/>
        <v>2028</v>
      </c>
      <c r="B50" s="37">
        <f>B33+VLOOKUP($A$1,'Pri Housing Generation'!$A$96:$DQ$118, 82, FALSE)</f>
        <v>172</v>
      </c>
      <c r="C50" s="34">
        <f>C33+VLOOKUP($A$1,'Pri Housing Generation'!$A$96:$DQ$118, 83, FALSE)</f>
        <v>168</v>
      </c>
      <c r="D50" s="34">
        <f>D33+VLOOKUP($A$1,'Pri Housing Generation'!$A$96:$DQ$118, 84, FALSE)</f>
        <v>165</v>
      </c>
      <c r="E50" s="34">
        <f>E33+VLOOKUP($A$1,'Pri Housing Generation'!$A$96:$DQ$118, 85, FALSE)</f>
        <v>161</v>
      </c>
      <c r="F50" s="34">
        <f>F33+VLOOKUP($A$1,'Pri Housing Generation'!$A$96:$DQ$118, 86, FALSE)</f>
        <v>152</v>
      </c>
      <c r="G50" s="34">
        <f>G33+VLOOKUP($A$1,'Pri Housing Generation'!$A$96:$DQ$118, 87, FALSE)</f>
        <v>143</v>
      </c>
      <c r="H50" s="34">
        <f>H33+VLOOKUP($A$1,'Pri Housing Generation'!$A$96:$DQ$118, 88, FALSE)</f>
        <v>134</v>
      </c>
      <c r="I50" s="99">
        <f t="shared" si="19"/>
        <v>138</v>
      </c>
      <c r="J50" s="181"/>
      <c r="K50" s="83"/>
      <c r="L50" s="83"/>
      <c r="M50" s="107">
        <f t="shared" si="14"/>
        <v>0.97455274565453742</v>
      </c>
      <c r="O50" s="35">
        <f t="shared" si="15"/>
        <v>135</v>
      </c>
      <c r="Q50" s="25">
        <f t="shared" si="20"/>
        <v>2028</v>
      </c>
      <c r="R50" s="20">
        <f t="shared" si="16"/>
        <v>140</v>
      </c>
      <c r="S50" s="53">
        <f t="shared" si="21"/>
        <v>140</v>
      </c>
      <c r="T50" s="53">
        <f t="shared" si="21"/>
        <v>155</v>
      </c>
      <c r="U50" s="53">
        <f t="shared" si="21"/>
        <v>140</v>
      </c>
      <c r="V50" s="34">
        <f t="shared" si="22"/>
        <v>159</v>
      </c>
      <c r="W50" s="34">
        <f t="shared" si="23"/>
        <v>107</v>
      </c>
      <c r="X50" s="101">
        <f t="shared" si="17"/>
        <v>841</v>
      </c>
    </row>
    <row r="51" spans="1:24" x14ac:dyDescent="0.25">
      <c r="A51" s="25">
        <f t="shared" si="18"/>
        <v>2029</v>
      </c>
      <c r="B51" s="37">
        <f>B34+VLOOKUP($A$1,'Pri Housing Generation'!$A$96:$DQ$118, 90, FALSE)</f>
        <v>172</v>
      </c>
      <c r="C51" s="34">
        <f>C34+VLOOKUP($A$1,'Pri Housing Generation'!$A$96:$DQ$118, 91, FALSE)</f>
        <v>170</v>
      </c>
      <c r="D51" s="34">
        <f>D34+VLOOKUP($A$1,'Pri Housing Generation'!$A$96:$DQ$118, 92, FALSE)</f>
        <v>165</v>
      </c>
      <c r="E51" s="34">
        <f>E34+VLOOKUP($A$1,'Pri Housing Generation'!$A$96:$DQ$118, 93, FALSE)</f>
        <v>162</v>
      </c>
      <c r="F51" s="34">
        <f>F34+VLOOKUP($A$1,'Pri Housing Generation'!$A$96:$DQ$118, 94, FALSE)</f>
        <v>155</v>
      </c>
      <c r="G51" s="34">
        <f>G34+VLOOKUP($A$1,'Pri Housing Generation'!$A$96:$DQ$118, 95, FALSE)</f>
        <v>145</v>
      </c>
      <c r="H51" s="34">
        <f>H34+VLOOKUP($A$1,'Pri Housing Generation'!$A$96:$DQ$118, 96, FALSE)</f>
        <v>143</v>
      </c>
      <c r="I51" s="99">
        <f t="shared" si="19"/>
        <v>132</v>
      </c>
      <c r="J51" s="181"/>
      <c r="K51" s="83"/>
      <c r="L51" s="83"/>
      <c r="M51" s="107">
        <f t="shared" si="14"/>
        <v>0.97455274565453742</v>
      </c>
      <c r="O51" s="35">
        <f t="shared" si="15"/>
        <v>129</v>
      </c>
      <c r="Q51" s="25">
        <f t="shared" si="20"/>
        <v>2029</v>
      </c>
      <c r="R51" s="20">
        <f t="shared" si="16"/>
        <v>140</v>
      </c>
      <c r="S51" s="53">
        <f t="shared" si="21"/>
        <v>140</v>
      </c>
      <c r="T51" s="53">
        <f t="shared" si="21"/>
        <v>140</v>
      </c>
      <c r="U51" s="53">
        <f t="shared" si="21"/>
        <v>155</v>
      </c>
      <c r="V51" s="34">
        <f t="shared" si="22"/>
        <v>127</v>
      </c>
      <c r="W51" s="34">
        <f t="shared" si="23"/>
        <v>134</v>
      </c>
      <c r="X51" s="101">
        <f t="shared" si="17"/>
        <v>836</v>
      </c>
    </row>
    <row r="52" spans="1:24" x14ac:dyDescent="0.25">
      <c r="A52" s="25">
        <f t="shared" si="18"/>
        <v>2030</v>
      </c>
      <c r="B52" s="37">
        <f>B35+VLOOKUP($A$1,'Pri Housing Generation'!$A$96:$DQ$118, 98, FALSE)</f>
        <v>174</v>
      </c>
      <c r="C52" s="34">
        <f>C35+VLOOKUP($A$1,'Pri Housing Generation'!$A$96:$DQ$118, 99, FALSE)</f>
        <v>171</v>
      </c>
      <c r="D52" s="34">
        <f>D35+VLOOKUP($A$1,'Pri Housing Generation'!$A$96:$DQ$118, 100, FALSE)</f>
        <v>168</v>
      </c>
      <c r="E52" s="34">
        <f>E35+VLOOKUP($A$1,'Pri Housing Generation'!$A$96:$DQ$118, 101, FALSE)</f>
        <v>162</v>
      </c>
      <c r="F52" s="34">
        <f>F35+VLOOKUP($A$1,'Pri Housing Generation'!$A$96:$DQ$118, 102, FALSE)</f>
        <v>156</v>
      </c>
      <c r="G52" s="34">
        <f>G35+VLOOKUP($A$1,'Pri Housing Generation'!$A$96:$DQ$118, 103, FALSE)</f>
        <v>148</v>
      </c>
      <c r="H52" s="34">
        <f>H35+VLOOKUP($A$1,'Pri Housing Generation'!$A$96:$DQ$118, 104, FALSE)</f>
        <v>144</v>
      </c>
      <c r="I52" s="99">
        <f t="shared" si="19"/>
        <v>141</v>
      </c>
      <c r="J52" s="54"/>
      <c r="K52" s="83"/>
      <c r="L52" s="83"/>
      <c r="M52" s="107">
        <f t="shared" si="14"/>
        <v>0.97455274565453742</v>
      </c>
      <c r="O52" s="35">
        <f t="shared" si="15"/>
        <v>138</v>
      </c>
      <c r="Q52" s="25">
        <f t="shared" si="20"/>
        <v>2030</v>
      </c>
      <c r="R52" s="20">
        <f t="shared" si="16"/>
        <v>140</v>
      </c>
      <c r="S52" s="53">
        <f t="shared" si="21"/>
        <v>140</v>
      </c>
      <c r="T52" s="53">
        <f t="shared" si="21"/>
        <v>140</v>
      </c>
      <c r="U52" s="53">
        <f t="shared" si="21"/>
        <v>140</v>
      </c>
      <c r="V52" s="34">
        <f t="shared" si="22"/>
        <v>141</v>
      </c>
      <c r="W52" s="34">
        <f t="shared" si="23"/>
        <v>107</v>
      </c>
      <c r="X52" s="101">
        <f t="shared" si="17"/>
        <v>808</v>
      </c>
    </row>
    <row r="53" spans="1:24" x14ac:dyDescent="0.25">
      <c r="A53" s="25">
        <f t="shared" si="18"/>
        <v>2031</v>
      </c>
      <c r="B53" s="37">
        <f>B36+VLOOKUP($A$1,'Pri Housing Generation'!$A$96:$DQ$118, 106, FALSE)</f>
        <v>174</v>
      </c>
      <c r="C53" s="34">
        <f>C36+VLOOKUP($A$1,'Pri Housing Generation'!$A$96:$DQ$118, 107, FALSE)</f>
        <v>172</v>
      </c>
      <c r="D53" s="34">
        <f>D36+VLOOKUP($A$1,'Pri Housing Generation'!$A$96:$DQ$118, 108, FALSE)</f>
        <v>169</v>
      </c>
      <c r="E53" s="34">
        <f>E36+VLOOKUP($A$1,'Pri Housing Generation'!$A$96:$DQ$118, 109, FALSE)</f>
        <v>165</v>
      </c>
      <c r="F53" s="34">
        <f>F36+VLOOKUP($A$1,'Pri Housing Generation'!$A$96:$DQ$118, 110, FALSE)</f>
        <v>156</v>
      </c>
      <c r="G53" s="34">
        <f>G36+VLOOKUP($A$1,'Pri Housing Generation'!$A$96:$DQ$118, 111, FALSE)</f>
        <v>149</v>
      </c>
      <c r="H53" s="34">
        <f>H36+VLOOKUP($A$1,'Pri Housing Generation'!$A$96:$DQ$118, 112, FALSE)</f>
        <v>147</v>
      </c>
      <c r="I53" s="99">
        <f t="shared" si="19"/>
        <v>142</v>
      </c>
      <c r="J53" s="54"/>
      <c r="K53" s="83"/>
      <c r="L53" s="83"/>
      <c r="M53" s="107">
        <f t="shared" si="14"/>
        <v>0.97455274565453742</v>
      </c>
      <c r="O53" s="35">
        <f t="shared" si="15"/>
        <v>139</v>
      </c>
      <c r="Q53" s="25">
        <f t="shared" si="20"/>
        <v>2031</v>
      </c>
      <c r="R53" s="20">
        <f t="shared" si="16"/>
        <v>140</v>
      </c>
      <c r="S53" s="53">
        <f t="shared" si="21"/>
        <v>140</v>
      </c>
      <c r="T53" s="53">
        <f t="shared" si="21"/>
        <v>140</v>
      </c>
      <c r="U53" s="53">
        <f t="shared" si="21"/>
        <v>140</v>
      </c>
      <c r="V53" s="34">
        <f t="shared" si="22"/>
        <v>127</v>
      </c>
      <c r="W53" s="34">
        <f t="shared" si="23"/>
        <v>119</v>
      </c>
      <c r="X53" s="101">
        <f t="shared" si="17"/>
        <v>806</v>
      </c>
    </row>
    <row r="54" spans="1:24" x14ac:dyDescent="0.25">
      <c r="A54" s="25">
        <f t="shared" si="18"/>
        <v>2032</v>
      </c>
      <c r="B54" s="37">
        <f>B37+VLOOKUP($A$1,'Pri Housing Generation'!$A$96:$DQ$118, 114, FALSE)</f>
        <v>174</v>
      </c>
      <c r="C54" s="34">
        <f>C37+VLOOKUP($A$1,'Pri Housing Generation'!$A$96:$DQ$118, 115, FALSE)</f>
        <v>172</v>
      </c>
      <c r="D54" s="34">
        <f>D37+VLOOKUP($A$1,'Pri Housing Generation'!$A$96:$DQ$118, 116, FALSE)</f>
        <v>170</v>
      </c>
      <c r="E54" s="34">
        <f>E37+VLOOKUP($A$1,'Pri Housing Generation'!$A$96:$DQ$118, 117, FALSE)</f>
        <v>166</v>
      </c>
      <c r="F54" s="34">
        <f>F37+VLOOKUP($A$1,'Pri Housing Generation'!$A$96:$DQ$118, 118, FALSE)</f>
        <v>159</v>
      </c>
      <c r="G54" s="34">
        <f>G37+VLOOKUP($A$1,'Pri Housing Generation'!$A$96:$DQ$118, 119, FALSE)</f>
        <v>150</v>
      </c>
      <c r="H54" s="34">
        <f>H37+VLOOKUP($A$1,'Pri Housing Generation'!$A$96:$DQ$118, 120, FALSE)</f>
        <v>148</v>
      </c>
      <c r="I54" s="99">
        <f t="shared" si="19"/>
        <v>145</v>
      </c>
      <c r="K54" s="83"/>
      <c r="L54" s="83"/>
      <c r="M54" s="107">
        <f t="shared" si="14"/>
        <v>0.97455274565453742</v>
      </c>
      <c r="O54" s="35">
        <f t="shared" si="15"/>
        <v>142</v>
      </c>
      <c r="Q54" s="25">
        <f t="shared" si="20"/>
        <v>2032</v>
      </c>
      <c r="R54" s="20">
        <f t="shared" si="16"/>
        <v>155</v>
      </c>
      <c r="S54" s="53">
        <f t="shared" si="21"/>
        <v>140</v>
      </c>
      <c r="T54" s="53">
        <f t="shared" si="21"/>
        <v>140</v>
      </c>
      <c r="U54" s="53">
        <f t="shared" si="21"/>
        <v>140</v>
      </c>
      <c r="V54" s="34">
        <f t="shared" si="22"/>
        <v>127</v>
      </c>
      <c r="W54" s="34">
        <f t="shared" si="23"/>
        <v>107</v>
      </c>
      <c r="X54" s="101">
        <f t="shared" si="17"/>
        <v>809</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258</v>
      </c>
      <c r="F58" s="132"/>
      <c r="G58" s="181"/>
      <c r="H58" s="131"/>
      <c r="I58" s="131"/>
      <c r="J58" s="131"/>
    </row>
    <row r="59" spans="1:24" x14ac:dyDescent="0.25">
      <c r="A59" s="21"/>
      <c r="F59" s="132"/>
      <c r="G59" s="181"/>
      <c r="H59" s="131"/>
      <c r="I59" s="131"/>
      <c r="J59" s="131"/>
    </row>
    <row r="60" spans="1:24" ht="33" customHeight="1" x14ac:dyDescent="0.25">
      <c r="A60" s="136"/>
      <c r="B60" s="138" t="s">
        <v>225</v>
      </c>
      <c r="C60" s="413" t="s">
        <v>226</v>
      </c>
      <c r="D60" s="414"/>
      <c r="F60" s="132"/>
      <c r="G60" s="181"/>
      <c r="H60" s="130"/>
      <c r="I60" s="130"/>
      <c r="J60" s="130"/>
    </row>
    <row r="61" spans="1:24" x14ac:dyDescent="0.25">
      <c r="A61" s="25">
        <v>2011</v>
      </c>
      <c r="B61" s="128">
        <v>676</v>
      </c>
      <c r="C61" s="415">
        <f t="shared" ref="C61:C66" si="24">1-(I13/(I13+B61))</f>
        <v>0.83870967741935487</v>
      </c>
      <c r="D61" s="388"/>
      <c r="F61" s="133"/>
      <c r="G61" s="181"/>
      <c r="H61" s="54"/>
      <c r="I61" s="54"/>
      <c r="J61" s="54"/>
    </row>
    <row r="62" spans="1:24" x14ac:dyDescent="0.25">
      <c r="A62" s="25">
        <v>2012</v>
      </c>
      <c r="B62" s="128">
        <v>729</v>
      </c>
      <c r="C62" s="415">
        <f t="shared" si="24"/>
        <v>0.86992840095465396</v>
      </c>
      <c r="D62" s="388"/>
      <c r="F62" s="133"/>
      <c r="G62" s="181"/>
      <c r="H62" s="54"/>
      <c r="I62" s="54"/>
      <c r="J62" s="54"/>
      <c r="K62" s="181"/>
      <c r="N62" s="109"/>
      <c r="S62" s="82"/>
    </row>
    <row r="63" spans="1:24" x14ac:dyDescent="0.25">
      <c r="A63" s="25">
        <v>2013</v>
      </c>
      <c r="B63" s="128">
        <v>723</v>
      </c>
      <c r="C63" s="415">
        <f t="shared" si="24"/>
        <v>0.84462616822429903</v>
      </c>
      <c r="D63" s="388"/>
      <c r="F63" s="133"/>
      <c r="G63" s="181"/>
      <c r="H63" s="54"/>
      <c r="I63" s="54"/>
      <c r="J63" s="54"/>
      <c r="K63" s="181"/>
      <c r="N63" s="109"/>
      <c r="S63" s="82"/>
    </row>
    <row r="64" spans="1:24" x14ac:dyDescent="0.25">
      <c r="A64" s="25">
        <v>2014</v>
      </c>
      <c r="B64" s="128">
        <v>712</v>
      </c>
      <c r="C64" s="415">
        <f t="shared" si="24"/>
        <v>0.84061393152302244</v>
      </c>
      <c r="D64" s="388"/>
      <c r="F64" s="133"/>
      <c r="G64" s="181"/>
      <c r="H64" s="54"/>
      <c r="I64" s="54"/>
      <c r="J64" s="54"/>
      <c r="K64" s="181"/>
      <c r="N64" s="109"/>
      <c r="S64" s="82"/>
    </row>
    <row r="65" spans="1:19" x14ac:dyDescent="0.25">
      <c r="A65" s="25">
        <v>2015</v>
      </c>
      <c r="B65" s="128">
        <v>713</v>
      </c>
      <c r="C65" s="415">
        <f t="shared" si="24"/>
        <v>0.8538922155688623</v>
      </c>
      <c r="D65" s="388"/>
      <c r="F65" s="133"/>
      <c r="G65" s="181"/>
      <c r="H65" s="54"/>
      <c r="I65" s="54"/>
      <c r="J65" s="54"/>
      <c r="K65" s="181"/>
      <c r="N65" s="109"/>
      <c r="S65" s="82"/>
    </row>
    <row r="66" spans="1:19" x14ac:dyDescent="0.25">
      <c r="A66" s="25">
        <v>2016</v>
      </c>
      <c r="B66" s="128"/>
      <c r="C66" s="415">
        <f t="shared" si="24"/>
        <v>0</v>
      </c>
      <c r="D66" s="388"/>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C62:D62"/>
    <mergeCell ref="C63:D63"/>
    <mergeCell ref="C64:D64"/>
    <mergeCell ref="C65:D65"/>
    <mergeCell ref="K39:K40"/>
    <mergeCell ref="M39:M40"/>
    <mergeCell ref="O39:O40"/>
    <mergeCell ref="C60:D60"/>
    <mergeCell ref="C61:D61"/>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72">
    <cfRule type="cellIs" dxfId="11" priority="11" operator="greaterThan">
      <formula>$C$7</formula>
    </cfRule>
  </conditionalFormatting>
  <conditionalFormatting sqref="X41:X72">
    <cfRule type="cellIs" dxfId="10" priority="10"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A84"/>
  <sheetViews>
    <sheetView tabSelected="1" workbookViewId="0">
      <selection activeCell="E7" sqref="E7"/>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110</v>
      </c>
    </row>
    <row r="2" spans="1:24" x14ac:dyDescent="0.25">
      <c r="A2" t="s">
        <v>400</v>
      </c>
    </row>
    <row r="4" spans="1:24" x14ac:dyDescent="0.25">
      <c r="A4" s="21" t="s">
        <v>192</v>
      </c>
    </row>
    <row r="5" spans="1:24" x14ac:dyDescent="0.25">
      <c r="A5" s="21"/>
    </row>
    <row r="6" spans="1:24" x14ac:dyDescent="0.25">
      <c r="A6" s="21" t="s">
        <v>193</v>
      </c>
      <c r="C6" s="100">
        <f>VLOOKUP(A1,'Projection Summary'!A5:C50,3,FALSE)</f>
        <v>1200</v>
      </c>
    </row>
    <row r="7" spans="1:24" x14ac:dyDescent="0.25">
      <c r="A7" s="21" t="s">
        <v>191</v>
      </c>
      <c r="B7" s="21"/>
      <c r="C7" s="100">
        <f>VLOOKUP(A1,'Projection Summary'!A5:C50,2,FALSE)</f>
        <v>220</v>
      </c>
    </row>
    <row r="9" spans="1:24" ht="15.75" x14ac:dyDescent="0.25">
      <c r="A9" s="129" t="s">
        <v>197</v>
      </c>
      <c r="R9" s="129" t="s">
        <v>198</v>
      </c>
      <c r="T9" s="173"/>
    </row>
    <row r="10" spans="1:24" x14ac:dyDescent="0.25">
      <c r="A10" s="21"/>
    </row>
    <row r="11" spans="1:24" x14ac:dyDescent="0.25">
      <c r="A11" s="21" t="s">
        <v>296</v>
      </c>
      <c r="K11" s="406" t="s">
        <v>137</v>
      </c>
      <c r="L11" s="407"/>
      <c r="M11" s="412" t="s">
        <v>139</v>
      </c>
      <c r="N11" s="49"/>
      <c r="O11" s="394" t="s">
        <v>136</v>
      </c>
      <c r="R11" s="21" t="s">
        <v>297</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269</v>
      </c>
      <c r="C13" s="19">
        <f>VLOOKUP($A$1,'Primary Catchment Analysis'!$A$3:$BE$25, 38, FALSE)</f>
        <v>231</v>
      </c>
      <c r="D13" s="27">
        <f>VLOOKUP($A$1,'Primary Catchment Analysis'!$A$3:$BE$25, 39, FALSE)</f>
        <v>236</v>
      </c>
      <c r="E13" s="27">
        <f>VLOOKUP($A$1,'Primary Catchment Analysis'!$A$3:$BE$25, 40, FALSE)</f>
        <v>232</v>
      </c>
      <c r="F13" s="27">
        <f>VLOOKUP($A$1,'Primary Catchment Analysis'!$A$3:$BE$25, 41, FALSE)</f>
        <v>208</v>
      </c>
      <c r="G13" s="126">
        <f>VLOOKUP($A$1,'Primary Catchment Analysis'!$A$3:$BE$25, 42, FALSE)</f>
        <v>223</v>
      </c>
      <c r="H13" s="28">
        <f>VLOOKUP($A$1,'Primary Catchment Analysis'!$A$3:$BE$25, 43, FALSE)</f>
        <v>185</v>
      </c>
      <c r="I13" s="28">
        <f>VLOOKUP($A$1,'S1 Catchment Analysis'!A3:I25, 7, FALSE)</f>
        <v>205</v>
      </c>
      <c r="J13" s="23"/>
      <c r="K13" s="410"/>
      <c r="L13" s="411"/>
      <c r="M13" s="399"/>
      <c r="N13" s="50"/>
      <c r="O13" s="399"/>
      <c r="P13" s="50"/>
      <c r="Q13" s="25">
        <f>A13</f>
        <v>2013</v>
      </c>
      <c r="R13" s="69">
        <f>VLOOKUP($A$1,'Secondary Rolls'!$A$3:$BE$25, 37, FALSE)</f>
        <v>218</v>
      </c>
      <c r="S13" s="53">
        <f>VLOOKUP($A$1,'Secondary Rolls'!$A$3:$BE$25, 38, FALSE)</f>
        <v>200</v>
      </c>
      <c r="T13" s="53">
        <f>VLOOKUP($A$1,'Secondary Rolls'!$A$3:$BE$25, 39, FALSE)</f>
        <v>220</v>
      </c>
      <c r="U13" s="122">
        <f>VLOOKUP($A$1,'Secondary Rolls'!$A$3:$BE$25, 40, FALSE)</f>
        <v>220</v>
      </c>
      <c r="V13" s="63">
        <f>VLOOKUP($A$1,'Secondary Rolls'!$A$3:$BE$25, 41, FALSE)</f>
        <v>208</v>
      </c>
      <c r="W13" s="53">
        <f>VLOOKUP($A$1,'Secondary Rolls'!$A$3:$BE$25, 42, FALSE)</f>
        <v>170</v>
      </c>
      <c r="X13" s="62">
        <f t="shared" ref="X13:X17" si="0">SUM(R13:W13)</f>
        <v>1236</v>
      </c>
    </row>
    <row r="14" spans="1:24" ht="15.75" thickBot="1" x14ac:dyDescent="0.3">
      <c r="A14" s="25">
        <f>VLOOKUP($A$12,'S1 Catchment Analysis'!A2:I2, 6, FALSE)</f>
        <v>2014</v>
      </c>
      <c r="B14" s="45">
        <f>VLOOKUP($A$1,'Primary Catchment Analysis'!$A$3:$BE$25, 30, FALSE)</f>
        <v>246</v>
      </c>
      <c r="C14" s="44">
        <f>VLOOKUP($A$1,'Primary Catchment Analysis'!$A$3:$BE$25, 31, FALSE)</f>
        <v>275</v>
      </c>
      <c r="D14" s="19">
        <f>VLOOKUP($A$1,'Primary Catchment Analysis'!$A$3:$BE$25, 32, FALSE)</f>
        <v>234</v>
      </c>
      <c r="E14" s="27">
        <f>VLOOKUP($A$1,'Primary Catchment Analysis'!$A$3:$BE$25, 33, FALSE)</f>
        <v>230</v>
      </c>
      <c r="F14" s="27">
        <f>VLOOKUP($A$1,'Primary Catchment Analysis'!$A$3:$BE$25, 34, FALSE)</f>
        <v>234</v>
      </c>
      <c r="G14" s="126">
        <f>VLOOKUP($A$1,'Primary Catchment Analysis'!$A$3:$BE$25, 35, FALSE)</f>
        <v>205</v>
      </c>
      <c r="H14" s="28">
        <f>VLOOKUP($A$1,'Primary Catchment Analysis'!$A$3:$BE$25, 36, FALSE)</f>
        <v>215</v>
      </c>
      <c r="I14" s="27">
        <f>VLOOKUP($A$1,'S1 Catchment Analysis'!A3:I25, 6, FALSE)</f>
        <v>178</v>
      </c>
      <c r="J14" s="23"/>
      <c r="K14" s="400">
        <f>VLOOKUP($A$1,'S1 Catchment Retained'!A2:I25, 6, FALSE)</f>
        <v>163</v>
      </c>
      <c r="L14" s="423"/>
      <c r="M14" s="110">
        <f t="shared" ref="M14:M18" si="1">(K14/I14)</f>
        <v>0.9157303370786517</v>
      </c>
      <c r="N14" s="50"/>
      <c r="O14" s="111">
        <f t="shared" ref="O14:O18" si="2">R14-K14</f>
        <v>56</v>
      </c>
      <c r="P14" s="50"/>
      <c r="Q14" s="25">
        <f t="shared" ref="Q14:Q18" si="3">A14</f>
        <v>2014</v>
      </c>
      <c r="R14" s="67">
        <f>VLOOKUP($A$1,'Secondary Rolls'!$A$3:$BE$25, 30, FALSE)</f>
        <v>219</v>
      </c>
      <c r="S14" s="69">
        <f>VLOOKUP($A$1,'Secondary Rolls'!$A$3:$BE$25, 31, FALSE)</f>
        <v>219</v>
      </c>
      <c r="T14" s="61">
        <f>VLOOKUP($A$1,'Secondary Rolls'!$A$3:$BE$25, 32, FALSE)</f>
        <v>199</v>
      </c>
      <c r="U14" s="61">
        <f>VLOOKUP($A$1,'Secondary Rolls'!$A$3:$BE$25, 33, FALSE)</f>
        <v>218</v>
      </c>
      <c r="V14" s="64">
        <f>VLOOKUP($A$1,'Secondary Rolls'!$A$3:$BE$25, 34, FALSE)</f>
        <v>207</v>
      </c>
      <c r="W14" s="116">
        <f>VLOOKUP($A$1,'Secondary Rolls'!$A$3:$BE$25, 35, FALSE)</f>
        <v>180</v>
      </c>
      <c r="X14" s="62">
        <f t="shared" si="0"/>
        <v>1242</v>
      </c>
    </row>
    <row r="15" spans="1:24" ht="15.75" thickBot="1" x14ac:dyDescent="0.3">
      <c r="A15" s="25">
        <f>VLOOKUP($A$12,'S1 Catchment Analysis'!A2:I2, 5, FALSE)</f>
        <v>2015</v>
      </c>
      <c r="B15" s="19">
        <f>VLOOKUP($A$1,'Primary Catchment Analysis'!$A$3:$BE$25, 23, FALSE)</f>
        <v>266</v>
      </c>
      <c r="C15" s="45">
        <f>VLOOKUP($A$1,'Primary Catchment Analysis'!$A$3:$BE$25, 24, FALSE)</f>
        <v>248</v>
      </c>
      <c r="D15" s="44">
        <f>VLOOKUP($A$1,'Primary Catchment Analysis'!$A$3:$BE$25, 25, FALSE)</f>
        <v>274</v>
      </c>
      <c r="E15" s="19">
        <f>VLOOKUP($A$1,'Primary Catchment Analysis'!$A$3:$BE$25, 26, FALSE)</f>
        <v>239</v>
      </c>
      <c r="F15" s="27">
        <f>VLOOKUP($A$1,'Primary Catchment Analysis'!$A$3:$BE$25, 27, FALSE)</f>
        <v>235</v>
      </c>
      <c r="G15" s="126">
        <f>VLOOKUP($A$1,'Primary Catchment Analysis'!$A$3:$BE$25, 28, FALSE)</f>
        <v>228</v>
      </c>
      <c r="H15" s="30">
        <f>VLOOKUP($A$1,'Primary Catchment Analysis'!$A$3:$BE$25, 29, FALSE)</f>
        <v>213</v>
      </c>
      <c r="I15" s="29">
        <f>VLOOKUP($A$1,'S1 Catchment Analysis'!A3:I25, 5, FALSE)</f>
        <v>216</v>
      </c>
      <c r="J15" s="23"/>
      <c r="K15" s="400">
        <f>VLOOKUP($A$1,'S1 Catchment Retained'!A2:I25, 5, FALSE)</f>
        <v>189</v>
      </c>
      <c r="L15" s="423"/>
      <c r="M15" s="110">
        <f t="shared" si="1"/>
        <v>0.875</v>
      </c>
      <c r="N15" s="50"/>
      <c r="O15" s="111">
        <f t="shared" si="2"/>
        <v>29</v>
      </c>
      <c r="P15" s="50"/>
      <c r="Q15" s="25">
        <f t="shared" si="3"/>
        <v>2015</v>
      </c>
      <c r="R15" s="68">
        <f>VLOOKUP($A$1,'Secondary Rolls'!$A$3:$BE$25, 23, FALSE)</f>
        <v>218</v>
      </c>
      <c r="S15" s="67">
        <f>VLOOKUP($A$1,'Secondary Rolls'!$A$3:$BE$25, 24, FALSE)</f>
        <v>220</v>
      </c>
      <c r="T15" s="71">
        <f>VLOOKUP($A$1,'Secondary Rolls'!$A$3:$BE$25, 25, FALSE)</f>
        <v>219</v>
      </c>
      <c r="U15" s="61">
        <f>VLOOKUP($A$1,'Secondary Rolls'!$A$3:$BE$25, 26, FALSE)</f>
        <v>203</v>
      </c>
      <c r="V15" s="123">
        <f>VLOOKUP($A$1,'Secondary Rolls'!$A$3:$BE$25, 27, FALSE)</f>
        <v>217</v>
      </c>
      <c r="W15" s="64">
        <f>VLOOKUP($A$1,'Secondary Rolls'!$A$3:$BE$25, 28, FALSE)</f>
        <v>183</v>
      </c>
      <c r="X15" s="62">
        <f t="shared" si="0"/>
        <v>1260</v>
      </c>
    </row>
    <row r="16" spans="1:24" ht="15.75" thickBot="1" x14ac:dyDescent="0.3">
      <c r="A16" s="25">
        <f>VLOOKUP($A$12,'S1 Catchment Analysis'!A2:I2, 4, FALSE)</f>
        <v>2016</v>
      </c>
      <c r="B16" s="44">
        <f>VLOOKUP($A$1,'Primary Catchment Analysis'!$A$3:$BE$25, 16, FALSE)</f>
        <v>270</v>
      </c>
      <c r="C16" s="19">
        <f>VLOOKUP($A$1,'Primary Catchment Analysis'!$A$3:$BE$25, 17, FALSE)</f>
        <v>270</v>
      </c>
      <c r="D16" s="45">
        <f>VLOOKUP($A$1,'Primary Catchment Analysis'!$A$3:$BE$25, 18, FALSE)</f>
        <v>244</v>
      </c>
      <c r="E16" s="44">
        <f>VLOOKUP($A$1,'Primary Catchment Analysis'!$A$3:$BE$25, 19, FALSE)</f>
        <v>274</v>
      </c>
      <c r="F16" s="19">
        <f>VLOOKUP($A$1,'Primary Catchment Analysis'!$A$3:$BE$25, 20, FALSE)</f>
        <v>238</v>
      </c>
      <c r="G16" s="126">
        <f>VLOOKUP($A$1,'Primary Catchment Analysis'!$A$3:$BE$25, 21, FALSE)</f>
        <v>219</v>
      </c>
      <c r="H16" s="112">
        <f>VLOOKUP($A$1,'Primary Catchment Analysis'!$A$3:$BE$25, 22, FALSE)</f>
        <v>225</v>
      </c>
      <c r="I16" s="30">
        <f>VLOOKUP($A$1,'S1 Catchment Analysis'!A3:I25, 4, FALSE)</f>
        <v>215</v>
      </c>
      <c r="J16" s="23"/>
      <c r="K16" s="400">
        <f>VLOOKUP($A$1,'S1 Catchment Retained'!A2:I25, 4, FALSE)</f>
        <v>195</v>
      </c>
      <c r="L16" s="424"/>
      <c r="M16" s="56">
        <f t="shared" si="1"/>
        <v>0.90697674418604646</v>
      </c>
      <c r="N16" s="50"/>
      <c r="O16" s="103">
        <f t="shared" si="2"/>
        <v>25</v>
      </c>
      <c r="P16" s="50"/>
      <c r="Q16" s="25">
        <f t="shared" si="3"/>
        <v>2016</v>
      </c>
      <c r="R16" s="69">
        <f>VLOOKUP($A$1,'Secondary Rolls'!$A$3:$BE$25, 16, FALSE)</f>
        <v>220</v>
      </c>
      <c r="S16" s="68">
        <f>VLOOKUP($A$1,'Secondary Rolls'!$A$3:$BE$25, 17, FALSE)</f>
        <v>218</v>
      </c>
      <c r="T16" s="70">
        <f>VLOOKUP($A$1,'Secondary Rolls'!$A$3:$BE$25, 18, FALSE)</f>
        <v>219</v>
      </c>
      <c r="U16" s="71">
        <f>VLOOKUP($A$1,'Secondary Rolls'!$A$3:$BE$25, 19, FALSE)</f>
        <v>216</v>
      </c>
      <c r="V16" s="66">
        <f>VLOOKUP($A$1,'Secondary Rolls'!$A$3:$BE$25, 20, FALSE)</f>
        <v>196</v>
      </c>
      <c r="W16" s="65">
        <f>VLOOKUP($A$1,'Secondary Rolls'!$A$3:$BE$25, 21, FALSE)</f>
        <v>184</v>
      </c>
      <c r="X16" s="62">
        <f t="shared" si="0"/>
        <v>1253</v>
      </c>
    </row>
    <row r="17" spans="1:27" ht="15.75" thickBot="1" x14ac:dyDescent="0.3">
      <c r="A17" s="258">
        <f>VLOOKUP($A$12,'S1 Catchment Analysis'!A2:I2, 3, FALSE)</f>
        <v>2017</v>
      </c>
      <c r="B17" s="259">
        <f>VLOOKUP($A$1,'Primary Catchment Analysis'!$A$3:$BE$25, 9, FALSE)</f>
        <v>288</v>
      </c>
      <c r="C17" s="260">
        <f>VLOOKUP($A$1,'Primary Catchment Analysis'!$A$3:$BE$25, 10, FALSE)</f>
        <v>280</v>
      </c>
      <c r="D17" s="261">
        <f>VLOOKUP($A$1,'Primary Catchment Analysis'!$A$3:$BE$25, 11, FALSE)</f>
        <v>280</v>
      </c>
      <c r="E17" s="259">
        <f>VLOOKUP($A$1,'Primary Catchment Analysis'!$A$3:$BE$25, 12, FALSE)</f>
        <v>247</v>
      </c>
      <c r="F17" s="260">
        <f>VLOOKUP($A$1,'Primary Catchment Analysis'!$A$3:$BE$25, 13, FALSE)</f>
        <v>274</v>
      </c>
      <c r="G17" s="262">
        <f>VLOOKUP($A$1,'Primary Catchment Analysis'!$A$3:$BE$25, 14, FALSE)</f>
        <v>237</v>
      </c>
      <c r="H17" s="113">
        <f>VLOOKUP($A$1,'Primary Catchment Analysis'!$A$3:$BE$25, 15, FALSE)</f>
        <v>214</v>
      </c>
      <c r="I17" s="31">
        <f>VLOOKUP($A$1,'S1 Catchment Analysis'!A3:I25, 3, FALSE)</f>
        <v>216</v>
      </c>
      <c r="J17" s="23"/>
      <c r="K17" s="400">
        <f>VLOOKUP($A$1,'S1 Catchment Retained'!A2:I25, 3, FALSE)</f>
        <v>201</v>
      </c>
      <c r="L17" s="424"/>
      <c r="M17" s="57">
        <f t="shared" si="1"/>
        <v>0.93055555555555558</v>
      </c>
      <c r="N17" s="50"/>
      <c r="O17" s="104">
        <f t="shared" si="2"/>
        <v>19</v>
      </c>
      <c r="P17" s="50"/>
      <c r="Q17" s="25">
        <f t="shared" si="3"/>
        <v>2017</v>
      </c>
      <c r="R17" s="264">
        <f>VLOOKUP($A$1,'Secondary Rolls'!$A$3:$BE$25, 9, FALSE)</f>
        <v>220</v>
      </c>
      <c r="S17" s="265">
        <f>VLOOKUP($A$1,'Secondary Rolls'!$A$3:$BE$25, 10, FALSE)</f>
        <v>220</v>
      </c>
      <c r="T17" s="266">
        <f>VLOOKUP($A$1,'Secondary Rolls'!$A$3:$BE$25, 11, FALSE)</f>
        <v>220</v>
      </c>
      <c r="U17" s="270">
        <f>VLOOKUP($A$1,'Secondary Rolls'!$A$3:$BE$25, 12, FALSE)</f>
        <v>227</v>
      </c>
      <c r="V17" s="271">
        <f>VLOOKUP($A$1,'Secondary Rolls'!$A$3:$BE$25, 13, FALSE)</f>
        <v>210</v>
      </c>
      <c r="W17" s="272">
        <f>VLOOKUP($A$1,'Secondary Rolls'!$A$3:$BE$25, 14, FALSE)</f>
        <v>161</v>
      </c>
      <c r="X17" s="116">
        <f t="shared" si="0"/>
        <v>1258</v>
      </c>
    </row>
    <row r="18" spans="1:27" ht="15.75" thickBot="1" x14ac:dyDescent="0.3">
      <c r="A18" s="25">
        <f>VLOOKUP($A$12,'S1 Catchment Analysis'!A2:I2, 2, FALSE)</f>
        <v>2018</v>
      </c>
      <c r="B18" s="19">
        <f>VLOOKUP($A$1,'Primary Catchment Analysis'!$A$3:$BE$25, 2, FALSE)</f>
        <v>261</v>
      </c>
      <c r="C18" s="45">
        <f>VLOOKUP($A$1,'Primary Catchment Analysis'!$A$3:$BE$25, 3, FALSE)</f>
        <v>289</v>
      </c>
      <c r="D18" s="44">
        <f>VLOOKUP($A$1,'Primary Catchment Analysis'!$A$3:$BE$25, 4, FALSE)</f>
        <v>277</v>
      </c>
      <c r="E18" s="19">
        <f>VLOOKUP($A$1,'Primary Catchment Analysis'!$A$3:$BE$25, 5, FALSE)</f>
        <v>273</v>
      </c>
      <c r="F18" s="45">
        <f>VLOOKUP($A$1,'Primary Catchment Analysis'!$A$3:$BE$25, 6, FALSE)</f>
        <v>235</v>
      </c>
      <c r="G18" s="273">
        <f>VLOOKUP($A$1,'Primary Catchment Analysis'!$A$3:$BE$25, 7, FALSE)</f>
        <v>269</v>
      </c>
      <c r="H18" s="274">
        <f>VLOOKUP($A$1,'Primary Catchment Analysis'!$A$3:$BE$25, 8, FALSE)</f>
        <v>247</v>
      </c>
      <c r="I18" s="32">
        <f>VLOOKUP($A$1,'S1 Catchment Analysis'!A3:I25, 2, FALSE)</f>
        <v>221</v>
      </c>
      <c r="J18" s="23"/>
      <c r="K18" s="400">
        <f>VLOOKUP($A$1,'S1 Catchment Retained'!A2:I25, 2, FALSE)</f>
        <v>205</v>
      </c>
      <c r="L18" s="424"/>
      <c r="M18" s="58">
        <f t="shared" si="1"/>
        <v>0.92760180995475117</v>
      </c>
      <c r="N18" s="50"/>
      <c r="O18" s="105">
        <f t="shared" si="2"/>
        <v>14</v>
      </c>
      <c r="P18" s="50"/>
      <c r="Q18" s="25">
        <f t="shared" si="3"/>
        <v>2018</v>
      </c>
      <c r="R18" s="68">
        <f>VLOOKUP($A$1,'Secondary Rolls'!$A$3:$BE$25, 2, FALSE)</f>
        <v>219</v>
      </c>
      <c r="S18" s="67">
        <f>VLOOKUP($A$1,'Secondary Rolls'!$A$3:$BE$25, 3, FALSE)</f>
        <v>216</v>
      </c>
      <c r="T18" s="69">
        <f>VLOOKUP($A$1,'Secondary Rolls'!$A$3:$BE$25, 4, FALSE)</f>
        <v>220</v>
      </c>
      <c r="U18" s="68">
        <f>VLOOKUP($A$1,'Secondary Rolls'!$A$3:$BE$25, 5, FALSE)</f>
        <v>217</v>
      </c>
      <c r="V18" s="67">
        <f>VLOOKUP($A$1,'Secondary Rolls'!$A$3:$BE$25, 6, FALSE)</f>
        <v>218</v>
      </c>
      <c r="W18" s="69">
        <f>VLOOKUP($A$1,'Secondary Rolls'!$A$3:$BE$25, 7, FALSE)</f>
        <v>178</v>
      </c>
      <c r="X18" s="53">
        <f t="shared" ref="X18" si="4">SUM(R18:W18)</f>
        <v>1268</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-1.8515617748073889E-2</v>
      </c>
      <c r="D20" s="40">
        <f t="shared" ref="D20:I20" si="5">AVERAGE(((C15-D16)/C15),((C16-D17)/C16),((C17-D18)/C17))</f>
        <v>-3.3979063548956016E-3</v>
      </c>
      <c r="E20" s="40">
        <f t="shared" si="5"/>
        <v>4.234972677595629E-3</v>
      </c>
      <c r="F20" s="40">
        <f t="shared" si="5"/>
        <v>1.7589032123275682E-2</v>
      </c>
      <c r="G20" s="40">
        <f t="shared" si="5"/>
        <v>3.0178320745909797E-2</v>
      </c>
      <c r="H20" s="40">
        <f t="shared" si="5"/>
        <v>-2.068382620617204E-3</v>
      </c>
      <c r="I20" s="40">
        <f t="shared" si="5"/>
        <v>-6.9998391177803973E-4</v>
      </c>
      <c r="K20" s="389">
        <f>AVERAGE(M16:M18)</f>
        <v>0.92171136989878433</v>
      </c>
      <c r="L20" s="390"/>
      <c r="M20" s="391"/>
      <c r="O20" s="51">
        <f>ROUNDUP((AVERAGE(O16:O18)),0)</f>
        <v>20</v>
      </c>
      <c r="T20" s="388"/>
      <c r="U20" s="388"/>
      <c r="V20" s="40">
        <f>AVERAGE(((U15-V16)/U15),((U16-V17)/U16),((U17-V18)/U17))</f>
        <v>3.396937116365948E-2</v>
      </c>
      <c r="W20" s="40">
        <f>AVERAGE(((V15-W16)/V15),((V16-W17)/V16),((V17-W18)/V17))</f>
        <v>0.16100870455709168</v>
      </c>
    </row>
    <row r="21" spans="1:27" x14ac:dyDescent="0.25">
      <c r="A21" s="21"/>
      <c r="K21" s="59"/>
      <c r="L21" s="59"/>
    </row>
    <row r="22" spans="1:27" x14ac:dyDescent="0.25">
      <c r="A22" s="21" t="s">
        <v>298</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Projections'!C79+'P1 Catchment Projections'!C80+'P1 Catchment Projections'!C81+'P1 Catchment Projections'!C82</f>
        <v>255</v>
      </c>
      <c r="C24" s="34">
        <f>ROUNDUP((B18-(B18*$C$20)),0)</f>
        <v>266</v>
      </c>
      <c r="D24" s="42">
        <f>ROUNDUP((C18-(C18*$D$20)),0)</f>
        <v>290</v>
      </c>
      <c r="E24" s="43">
        <f>ROUNDUP((D18-(D18*$E$20)),0)</f>
        <v>276</v>
      </c>
      <c r="F24" s="41">
        <f>ROUNDUP((E18-(E18*$F$20)),0)</f>
        <v>269</v>
      </c>
      <c r="G24" s="42">
        <f>ROUNDUP((F18-(F18*$G$20)),0)</f>
        <v>228</v>
      </c>
      <c r="H24" s="43">
        <f>ROUNDUP((G18-(G18*$H$20)),0)</f>
        <v>270</v>
      </c>
      <c r="I24" s="99">
        <f>ROUNDUP((H18-(H18*$I$20)),0)</f>
        <v>248</v>
      </c>
      <c r="J24" s="23"/>
      <c r="K24" s="59"/>
      <c r="L24" s="59"/>
      <c r="Z24" s="109"/>
      <c r="AA24" s="109"/>
    </row>
    <row r="25" spans="1:27" x14ac:dyDescent="0.25">
      <c r="A25" s="25">
        <f>A24+1</f>
        <v>2020</v>
      </c>
      <c r="B25" s="37">
        <f>'P1 Catchment Projections'!D79+'P1 Catchment Projections'!D80+'P1 Catchment Projections'!D81+'P1 Catchment Projections'!D82</f>
        <v>262</v>
      </c>
      <c r="C25" s="34">
        <f t="shared" ref="C25:C37" si="6">ROUNDUP((B24-(B24*$C$20)),0)</f>
        <v>260</v>
      </c>
      <c r="D25" s="34">
        <f t="shared" ref="D25:D37" si="7">ROUNDUP((C24-(C24*$D$20)),0)</f>
        <v>267</v>
      </c>
      <c r="E25" s="42">
        <f t="shared" ref="E25:E37" si="8">ROUNDUP((D24-(D24*$E$20)),0)</f>
        <v>289</v>
      </c>
      <c r="F25" s="43">
        <f t="shared" ref="F25:F37" si="9">ROUNDUP((E24-(E24*$F$20)),0)</f>
        <v>272</v>
      </c>
      <c r="G25" s="41">
        <f t="shared" ref="G25:G37" si="10">ROUNDUP((F24-(F24*$G$20)),0)</f>
        <v>261</v>
      </c>
      <c r="H25" s="42">
        <f t="shared" ref="H25:H37" si="11">ROUNDUP((G24-(G24*$H$20)),0)</f>
        <v>229</v>
      </c>
      <c r="I25" s="99">
        <f t="shared" ref="I25:I37" si="12">ROUNDUP((H24-(H24*$I$20)),0)</f>
        <v>271</v>
      </c>
      <c r="J25" s="23"/>
      <c r="K25" s="59"/>
      <c r="L25" s="59"/>
      <c r="Z25" s="109"/>
      <c r="AA25" s="109"/>
    </row>
    <row r="26" spans="1:27" x14ac:dyDescent="0.25">
      <c r="A26" s="25">
        <f>A25+1</f>
        <v>2021</v>
      </c>
      <c r="B26" s="37">
        <f>'P1 Catchment Projections'!E79+'P1 Catchment Projections'!E80+'P1 Catchment Projections'!E81+'P1 Catchment Projections'!E82</f>
        <v>244</v>
      </c>
      <c r="C26" s="34">
        <f t="shared" si="6"/>
        <v>267</v>
      </c>
      <c r="D26" s="34">
        <f t="shared" si="7"/>
        <v>261</v>
      </c>
      <c r="E26" s="34">
        <f t="shared" si="8"/>
        <v>266</v>
      </c>
      <c r="F26" s="42">
        <f t="shared" si="9"/>
        <v>284</v>
      </c>
      <c r="G26" s="43">
        <f t="shared" si="10"/>
        <v>264</v>
      </c>
      <c r="H26" s="41">
        <f t="shared" si="11"/>
        <v>262</v>
      </c>
      <c r="I26" s="99">
        <f t="shared" si="12"/>
        <v>230</v>
      </c>
      <c r="J26" s="23"/>
      <c r="K26" s="59"/>
      <c r="L26" s="59"/>
      <c r="Z26" s="109"/>
      <c r="AA26" s="109"/>
    </row>
    <row r="27" spans="1:27" x14ac:dyDescent="0.25">
      <c r="A27" s="25">
        <f>A26+1</f>
        <v>2022</v>
      </c>
      <c r="B27" s="37">
        <f>'P1 Catchment Projections'!F79+'P1 Catchment Projections'!F80+'P1 Catchment Projections'!F81+'P1 Catchment Projections'!F82</f>
        <v>228</v>
      </c>
      <c r="C27" s="34">
        <f t="shared" si="6"/>
        <v>249</v>
      </c>
      <c r="D27" s="34">
        <f t="shared" si="7"/>
        <v>268</v>
      </c>
      <c r="E27" s="34">
        <f t="shared" si="8"/>
        <v>260</v>
      </c>
      <c r="F27" s="34">
        <f t="shared" si="9"/>
        <v>262</v>
      </c>
      <c r="G27" s="42">
        <f t="shared" si="10"/>
        <v>276</v>
      </c>
      <c r="H27" s="43">
        <f t="shared" si="11"/>
        <v>265</v>
      </c>
      <c r="I27" s="99">
        <f t="shared" si="12"/>
        <v>263</v>
      </c>
      <c r="J27" s="23"/>
      <c r="K27" s="59"/>
      <c r="L27" s="59"/>
      <c r="Z27" s="109"/>
      <c r="AA27" s="109"/>
    </row>
    <row r="28" spans="1:27" x14ac:dyDescent="0.25">
      <c r="A28" s="25">
        <f t="shared" ref="A28:A37" si="13">A27+1</f>
        <v>2023</v>
      </c>
      <c r="B28" s="37">
        <f>'P1 Catchment Projections'!G79+'P1 Catchment Projections'!G80+'P1 Catchment Projections'!G81+'P1 Catchment Projections'!G82</f>
        <v>247</v>
      </c>
      <c r="C28" s="34">
        <f t="shared" si="6"/>
        <v>233</v>
      </c>
      <c r="D28" s="34">
        <f t="shared" si="7"/>
        <v>250</v>
      </c>
      <c r="E28" s="34">
        <f t="shared" si="8"/>
        <v>267</v>
      </c>
      <c r="F28" s="34">
        <f t="shared" si="9"/>
        <v>256</v>
      </c>
      <c r="G28" s="34">
        <f t="shared" si="10"/>
        <v>255</v>
      </c>
      <c r="H28" s="42">
        <f t="shared" si="11"/>
        <v>277</v>
      </c>
      <c r="I28" s="99">
        <f t="shared" si="12"/>
        <v>266</v>
      </c>
      <c r="J28" s="23"/>
      <c r="K28" s="59"/>
      <c r="L28" s="59"/>
      <c r="Z28" s="109"/>
      <c r="AA28" s="109"/>
    </row>
    <row r="29" spans="1:27" x14ac:dyDescent="0.25">
      <c r="A29" s="25">
        <f t="shared" si="13"/>
        <v>2024</v>
      </c>
      <c r="B29" s="37">
        <f>'P1 Catchment Projections'!H79+'P1 Catchment Projections'!H80+'P1 Catchment Projections'!H81+'P1 Catchment Projections'!H82</f>
        <v>251</v>
      </c>
      <c r="C29" s="34">
        <f t="shared" si="6"/>
        <v>252</v>
      </c>
      <c r="D29" s="34">
        <f t="shared" si="7"/>
        <v>234</v>
      </c>
      <c r="E29" s="34">
        <f t="shared" si="8"/>
        <v>249</v>
      </c>
      <c r="F29" s="34">
        <f t="shared" si="9"/>
        <v>263</v>
      </c>
      <c r="G29" s="34">
        <f t="shared" si="10"/>
        <v>249</v>
      </c>
      <c r="H29" s="34">
        <f t="shared" si="11"/>
        <v>256</v>
      </c>
      <c r="I29" s="99">
        <f t="shared" si="12"/>
        <v>278</v>
      </c>
      <c r="K29" s="59"/>
      <c r="L29" s="59"/>
      <c r="Z29" s="109"/>
      <c r="AA29" s="109"/>
    </row>
    <row r="30" spans="1:27" x14ac:dyDescent="0.25">
      <c r="A30" s="25">
        <f t="shared" si="13"/>
        <v>2025</v>
      </c>
      <c r="B30" s="37">
        <f>'P1 Catchment Projections'!I79+'P1 Catchment Projections'!I80+'P1 Catchment Projections'!I81+'P1 Catchment Projections'!I82</f>
        <v>254</v>
      </c>
      <c r="C30" s="34">
        <f t="shared" si="6"/>
        <v>256</v>
      </c>
      <c r="D30" s="34">
        <f t="shared" si="7"/>
        <v>253</v>
      </c>
      <c r="E30" s="34">
        <f t="shared" si="8"/>
        <v>234</v>
      </c>
      <c r="F30" s="34">
        <f t="shared" si="9"/>
        <v>245</v>
      </c>
      <c r="G30" s="34">
        <f t="shared" si="10"/>
        <v>256</v>
      </c>
      <c r="H30" s="34">
        <f t="shared" si="11"/>
        <v>250</v>
      </c>
      <c r="I30" s="99">
        <f t="shared" si="12"/>
        <v>257</v>
      </c>
      <c r="K30" s="59"/>
      <c r="L30" s="59"/>
      <c r="Z30" s="109"/>
      <c r="AA30" s="109"/>
    </row>
    <row r="31" spans="1:27" x14ac:dyDescent="0.25">
      <c r="A31" s="25">
        <f t="shared" si="13"/>
        <v>2026</v>
      </c>
      <c r="B31" s="37">
        <f>'P1 Catchment Projections'!J79+'P1 Catchment Projections'!J80+'P1 Catchment Projections'!J81+'P1 Catchment Projections'!J82</f>
        <v>256</v>
      </c>
      <c r="C31" s="34">
        <f t="shared" si="6"/>
        <v>259</v>
      </c>
      <c r="D31" s="34">
        <f t="shared" si="7"/>
        <v>257</v>
      </c>
      <c r="E31" s="34">
        <f t="shared" si="8"/>
        <v>252</v>
      </c>
      <c r="F31" s="34">
        <f t="shared" si="9"/>
        <v>230</v>
      </c>
      <c r="G31" s="34">
        <f t="shared" si="10"/>
        <v>238</v>
      </c>
      <c r="H31" s="34">
        <f t="shared" si="11"/>
        <v>257</v>
      </c>
      <c r="I31" s="99">
        <f t="shared" si="12"/>
        <v>251</v>
      </c>
      <c r="K31" s="59"/>
      <c r="L31" s="59"/>
      <c r="Z31" s="109"/>
      <c r="AA31" s="109"/>
    </row>
    <row r="32" spans="1:27" x14ac:dyDescent="0.25">
      <c r="A32" s="25">
        <f t="shared" si="13"/>
        <v>2027</v>
      </c>
      <c r="B32" s="37">
        <f>'P1 Catchment Projections'!K79+'P1 Catchment Projections'!K80+'P1 Catchment Projections'!K81+'P1 Catchment Projections'!K82</f>
        <v>257</v>
      </c>
      <c r="C32" s="34">
        <f t="shared" si="6"/>
        <v>261</v>
      </c>
      <c r="D32" s="34">
        <f t="shared" si="7"/>
        <v>260</v>
      </c>
      <c r="E32" s="34">
        <f t="shared" si="8"/>
        <v>256</v>
      </c>
      <c r="F32" s="34">
        <f t="shared" si="9"/>
        <v>248</v>
      </c>
      <c r="G32" s="34">
        <f t="shared" si="10"/>
        <v>224</v>
      </c>
      <c r="H32" s="34">
        <f t="shared" si="11"/>
        <v>239</v>
      </c>
      <c r="I32" s="99">
        <f t="shared" si="12"/>
        <v>258</v>
      </c>
      <c r="K32" s="59"/>
      <c r="L32" s="59"/>
      <c r="Z32" s="109"/>
      <c r="AA32" s="109"/>
    </row>
    <row r="33" spans="1:24" x14ac:dyDescent="0.25">
      <c r="A33" s="25">
        <f t="shared" si="13"/>
        <v>2028</v>
      </c>
      <c r="B33" s="37">
        <f>'P1 Catchment Projections'!L79+'P1 Catchment Projections'!L80+'P1 Catchment Projections'!L81+'P1 Catchment Projections'!L82</f>
        <v>260</v>
      </c>
      <c r="C33" s="34">
        <f t="shared" si="6"/>
        <v>262</v>
      </c>
      <c r="D33" s="34">
        <f t="shared" si="7"/>
        <v>262</v>
      </c>
      <c r="E33" s="34">
        <f t="shared" si="8"/>
        <v>259</v>
      </c>
      <c r="F33" s="34">
        <f t="shared" si="9"/>
        <v>252</v>
      </c>
      <c r="G33" s="34">
        <f t="shared" si="10"/>
        <v>241</v>
      </c>
      <c r="H33" s="34">
        <f t="shared" si="11"/>
        <v>225</v>
      </c>
      <c r="I33" s="99">
        <f t="shared" si="12"/>
        <v>240</v>
      </c>
      <c r="K33" s="59"/>
      <c r="L33" s="59"/>
    </row>
    <row r="34" spans="1:24" x14ac:dyDescent="0.25">
      <c r="A34" s="25">
        <f t="shared" si="13"/>
        <v>2029</v>
      </c>
      <c r="B34" s="37">
        <f>'P1 Catchment Projections'!M79+'P1 Catchment Projections'!M80+'P1 Catchment Projections'!M81+'P1 Catchment Projections'!M82</f>
        <v>260</v>
      </c>
      <c r="C34" s="34">
        <f t="shared" si="6"/>
        <v>265</v>
      </c>
      <c r="D34" s="34">
        <f t="shared" si="7"/>
        <v>263</v>
      </c>
      <c r="E34" s="34">
        <f t="shared" si="8"/>
        <v>261</v>
      </c>
      <c r="F34" s="34">
        <f t="shared" si="9"/>
        <v>255</v>
      </c>
      <c r="G34" s="34">
        <f t="shared" si="10"/>
        <v>245</v>
      </c>
      <c r="H34" s="34">
        <f t="shared" si="11"/>
        <v>242</v>
      </c>
      <c r="I34" s="99">
        <f t="shared" si="12"/>
        <v>226</v>
      </c>
      <c r="K34" s="59"/>
      <c r="L34" s="59"/>
    </row>
    <row r="35" spans="1:24" x14ac:dyDescent="0.25">
      <c r="A35" s="25">
        <f t="shared" si="13"/>
        <v>2030</v>
      </c>
      <c r="B35" s="37">
        <f>'P1 Catchment Projections'!N79+'P1 Catchment Projections'!N80+'P1 Catchment Projections'!N81+'P1 Catchment Projections'!N82</f>
        <v>260</v>
      </c>
      <c r="C35" s="34">
        <f t="shared" si="6"/>
        <v>265</v>
      </c>
      <c r="D35" s="34">
        <f t="shared" si="7"/>
        <v>266</v>
      </c>
      <c r="E35" s="34">
        <f t="shared" si="8"/>
        <v>262</v>
      </c>
      <c r="F35" s="34">
        <f t="shared" si="9"/>
        <v>257</v>
      </c>
      <c r="G35" s="34">
        <f t="shared" si="10"/>
        <v>248</v>
      </c>
      <c r="H35" s="34">
        <f t="shared" si="11"/>
        <v>246</v>
      </c>
      <c r="I35" s="99">
        <f t="shared" si="12"/>
        <v>243</v>
      </c>
      <c r="K35" s="59"/>
      <c r="L35" s="59"/>
    </row>
    <row r="36" spans="1:24" x14ac:dyDescent="0.25">
      <c r="A36" s="25">
        <f t="shared" si="13"/>
        <v>2031</v>
      </c>
      <c r="B36" s="37">
        <f>'P1 Catchment Projections'!O79+'P1 Catchment Projections'!O80+'P1 Catchment Projections'!O81+'P1 Catchment Projections'!O82</f>
        <v>260</v>
      </c>
      <c r="C36" s="34">
        <f t="shared" si="6"/>
        <v>265</v>
      </c>
      <c r="D36" s="34">
        <f t="shared" si="7"/>
        <v>266</v>
      </c>
      <c r="E36" s="34">
        <f t="shared" si="8"/>
        <v>265</v>
      </c>
      <c r="F36" s="34">
        <f t="shared" si="9"/>
        <v>258</v>
      </c>
      <c r="G36" s="34">
        <f t="shared" si="10"/>
        <v>250</v>
      </c>
      <c r="H36" s="34">
        <f t="shared" si="11"/>
        <v>249</v>
      </c>
      <c r="I36" s="99">
        <f t="shared" si="12"/>
        <v>247</v>
      </c>
      <c r="K36" s="59"/>
      <c r="L36" s="59"/>
    </row>
    <row r="37" spans="1:24" x14ac:dyDescent="0.25">
      <c r="A37" s="25">
        <f t="shared" si="13"/>
        <v>2032</v>
      </c>
      <c r="B37" s="37">
        <f>'P1 Catchment Projections'!P79+'P1 Catchment Projections'!P80+'P1 Catchment Projections'!P81+'P1 Catchment Projections'!P82</f>
        <v>260</v>
      </c>
      <c r="C37" s="34">
        <f t="shared" si="6"/>
        <v>265</v>
      </c>
      <c r="D37" s="34">
        <f t="shared" si="7"/>
        <v>266</v>
      </c>
      <c r="E37" s="34">
        <f t="shared" si="8"/>
        <v>265</v>
      </c>
      <c r="F37" s="34">
        <f t="shared" si="9"/>
        <v>261</v>
      </c>
      <c r="G37" s="34">
        <f t="shared" si="10"/>
        <v>251</v>
      </c>
      <c r="H37" s="34">
        <f t="shared" si="11"/>
        <v>251</v>
      </c>
      <c r="I37" s="99">
        <f t="shared" si="12"/>
        <v>250</v>
      </c>
      <c r="K37" s="59"/>
      <c r="L37" s="59"/>
    </row>
    <row r="38" spans="1:24" x14ac:dyDescent="0.25">
      <c r="K38" s="59"/>
      <c r="L38" s="59"/>
    </row>
    <row r="39" spans="1:24" x14ac:dyDescent="0.25">
      <c r="A39" s="21" t="s">
        <v>298</v>
      </c>
      <c r="K39" s="394" t="s">
        <v>190</v>
      </c>
      <c r="L39" s="55"/>
      <c r="M39" s="394" t="s">
        <v>203</v>
      </c>
      <c r="N39" s="106"/>
      <c r="O39" s="395" t="s">
        <v>204</v>
      </c>
      <c r="R39" s="21" t="s">
        <v>299</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256</v>
      </c>
      <c r="C41" s="34">
        <f>C24+VLOOKUP($A$1,'Pri Housing Generation'!$A$96:$DQ$118, 11, FALSE)</f>
        <v>267</v>
      </c>
      <c r="D41" s="42">
        <f>D24+VLOOKUP($A$1,'Pri Housing Generation'!$A$96:$DQ$118, 12, FALSE)</f>
        <v>291</v>
      </c>
      <c r="E41" s="43">
        <f>E24+VLOOKUP($A$1,'Pri Housing Generation'!$A$96:$DQ$118, 13, FALSE)</f>
        <v>276</v>
      </c>
      <c r="F41" s="41">
        <f>F24+VLOOKUP($A$1,'Pri Housing Generation'!$A$96:$DQ$118, 14, FALSE)</f>
        <v>269</v>
      </c>
      <c r="G41" s="42">
        <f>G24+VLOOKUP($A$1,'Pri Housing Generation'!$A$96:$DQ$118, 15, FALSE)</f>
        <v>228</v>
      </c>
      <c r="H41" s="43">
        <f>H24+VLOOKUP($A$1,'Pri Housing Generation'!$A$96:$DQ$118, 16, FALSE)</f>
        <v>270</v>
      </c>
      <c r="I41" s="99">
        <f>ROUNDUP((H18-(H18*$I$20)),0)</f>
        <v>248</v>
      </c>
      <c r="K41" s="35">
        <f>'Sec Housing Generation'!I22</f>
        <v>1</v>
      </c>
      <c r="L41" s="83"/>
      <c r="M41" s="107">
        <f>K20+0.0034</f>
        <v>0.92511136989878429</v>
      </c>
      <c r="O41" s="35">
        <f t="shared" ref="O41:O54" si="14">ROUNDUP(((I41+K41)*M41),0)</f>
        <v>231</v>
      </c>
      <c r="Q41" s="25">
        <f>A41</f>
        <v>2019</v>
      </c>
      <c r="R41" s="20">
        <f t="shared" ref="R41:R54" si="15">IF(O41&lt;$C$7,(IF((O41+$O$20)&gt;$C$7,$C$7,(O41+$O$20))),(IF((O41+$O$20)&lt;(CEILING((O41),20)),(O41+$O$20),(CEILING((O41),20)))))</f>
        <v>240</v>
      </c>
      <c r="S41" s="53">
        <f>R18</f>
        <v>219</v>
      </c>
      <c r="T41" s="67">
        <f>S18</f>
        <v>216</v>
      </c>
      <c r="U41" s="69">
        <f>T18</f>
        <v>220</v>
      </c>
      <c r="V41" s="41">
        <f>ROUNDUP((U18-(U18*$V$20)),0)</f>
        <v>210</v>
      </c>
      <c r="W41" s="42">
        <f>ROUNDUP((V18-(V18*$W$20)),0)</f>
        <v>183</v>
      </c>
      <c r="X41" s="101">
        <f t="shared" ref="X41:X54" si="16">SUM(R41:W41)</f>
        <v>1288</v>
      </c>
    </row>
    <row r="42" spans="1:24" x14ac:dyDescent="0.25">
      <c r="A42" s="25">
        <f t="shared" ref="A42:A54" si="17">A25</f>
        <v>2020</v>
      </c>
      <c r="B42" s="37">
        <f>B25+VLOOKUP($A$1,'Pri Housing Generation'!$A$96:$DQ$118, 18, FALSE)</f>
        <v>263</v>
      </c>
      <c r="C42" s="34">
        <f>C25+VLOOKUP($A$1,'Pri Housing Generation'!$A$96:$DQ$118, 19, FALSE)</f>
        <v>261</v>
      </c>
      <c r="D42" s="34">
        <f>D25+VLOOKUP($A$1,'Pri Housing Generation'!$A$96:$DQ$118, 20, FALSE)</f>
        <v>268</v>
      </c>
      <c r="E42" s="42">
        <f>E25+VLOOKUP($A$1,'Pri Housing Generation'!$A$96:$DQ$118, 21, FALSE)</f>
        <v>289</v>
      </c>
      <c r="F42" s="43">
        <f>F25+VLOOKUP($A$1,'Pri Housing Generation'!$A$96:$DQ$118, 22, FALSE)</f>
        <v>272</v>
      </c>
      <c r="G42" s="41">
        <f>G25+VLOOKUP($A$1,'Pri Housing Generation'!$A$96:$DQ$118, 23, FALSE)</f>
        <v>261</v>
      </c>
      <c r="H42" s="42">
        <f>H25+VLOOKUP($A$1,'Pri Housing Generation'!$A$96:$DQ$118, 24, FALSE)</f>
        <v>229</v>
      </c>
      <c r="I42" s="99">
        <f t="shared" ref="I42:I54" si="18">ROUNDUP((H41-(H41*$I$20)),0)</f>
        <v>271</v>
      </c>
      <c r="K42" s="35">
        <f>'Sec Housing Generation'!P22</f>
        <v>1</v>
      </c>
      <c r="L42" s="83"/>
      <c r="M42" s="107">
        <f t="shared" ref="M42:M53" si="19">M41+0.0034</f>
        <v>0.92851136989878424</v>
      </c>
      <c r="O42" s="35">
        <f t="shared" si="14"/>
        <v>253</v>
      </c>
      <c r="Q42" s="25">
        <f t="shared" ref="Q42:Q54" si="20">A42</f>
        <v>2020</v>
      </c>
      <c r="R42" s="20">
        <f t="shared" si="15"/>
        <v>260</v>
      </c>
      <c r="S42" s="53">
        <f t="shared" ref="S42:U54" si="21">R41</f>
        <v>240</v>
      </c>
      <c r="T42" s="53">
        <f t="shared" si="21"/>
        <v>219</v>
      </c>
      <c r="U42" s="67">
        <f t="shared" si="21"/>
        <v>216</v>
      </c>
      <c r="V42" s="43">
        <f t="shared" ref="V42:V54" si="22">ROUNDUP((U41-(U41*$V$20)),0)</f>
        <v>213</v>
      </c>
      <c r="W42" s="41">
        <f t="shared" ref="W42:W54" si="23">ROUNDUP((V41-(V41*$W$20)),0)</f>
        <v>177</v>
      </c>
      <c r="X42" s="101">
        <f t="shared" si="16"/>
        <v>1325</v>
      </c>
    </row>
    <row r="43" spans="1:24" x14ac:dyDescent="0.25">
      <c r="A43" s="25">
        <f t="shared" si="17"/>
        <v>2021</v>
      </c>
      <c r="B43" s="37">
        <f>B26+VLOOKUP($A$1,'Pri Housing Generation'!$A$96:$DQ$118, 26, FALSE)</f>
        <v>246</v>
      </c>
      <c r="C43" s="34">
        <f>C26+VLOOKUP($A$1,'Pri Housing Generation'!$A$96:$DQ$118, 27, FALSE)</f>
        <v>269</v>
      </c>
      <c r="D43" s="34">
        <f>D26+VLOOKUP($A$1,'Pri Housing Generation'!$A$96:$DQ$118, 28, FALSE)</f>
        <v>263</v>
      </c>
      <c r="E43" s="34">
        <f>E26+VLOOKUP($A$1,'Pri Housing Generation'!$A$96:$DQ$118, 29, FALSE)</f>
        <v>267</v>
      </c>
      <c r="F43" s="42">
        <f>F26+VLOOKUP($A$1,'Pri Housing Generation'!$A$96:$DQ$118, 30, FALSE)</f>
        <v>284</v>
      </c>
      <c r="G43" s="43">
        <f>G26+VLOOKUP($A$1,'Pri Housing Generation'!$A$96:$DQ$118, 31, FALSE)</f>
        <v>264</v>
      </c>
      <c r="H43" s="41">
        <f>H26+VLOOKUP($A$1,'Pri Housing Generation'!$A$96:$DQ$118, 32, FALSE)</f>
        <v>262</v>
      </c>
      <c r="I43" s="99">
        <f t="shared" si="18"/>
        <v>230</v>
      </c>
      <c r="K43" s="35">
        <f>'Sec Housing Generation'!W22</f>
        <v>1</v>
      </c>
      <c r="L43" s="83"/>
      <c r="M43" s="107">
        <f t="shared" si="19"/>
        <v>0.9319113698987842</v>
      </c>
      <c r="O43" s="35">
        <f t="shared" si="14"/>
        <v>216</v>
      </c>
      <c r="Q43" s="25">
        <f t="shared" si="20"/>
        <v>2021</v>
      </c>
      <c r="R43" s="20">
        <f t="shared" si="15"/>
        <v>220</v>
      </c>
      <c r="S43" s="53">
        <f t="shared" si="21"/>
        <v>260</v>
      </c>
      <c r="T43" s="53">
        <f t="shared" si="21"/>
        <v>240</v>
      </c>
      <c r="U43" s="53">
        <f t="shared" si="21"/>
        <v>219</v>
      </c>
      <c r="V43" s="42">
        <f t="shared" si="22"/>
        <v>209</v>
      </c>
      <c r="W43" s="43">
        <f t="shared" si="23"/>
        <v>179</v>
      </c>
      <c r="X43" s="101">
        <f t="shared" si="16"/>
        <v>1327</v>
      </c>
    </row>
    <row r="44" spans="1:24" x14ac:dyDescent="0.25">
      <c r="A44" s="25">
        <f t="shared" si="17"/>
        <v>2022</v>
      </c>
      <c r="B44" s="37">
        <f>B27+VLOOKUP($A$1,'Pri Housing Generation'!$A$96:$DQ$118, 34, FALSE)</f>
        <v>231</v>
      </c>
      <c r="C44" s="34">
        <f>C27+VLOOKUP($A$1,'Pri Housing Generation'!$A$96:$DQ$118, 35, FALSE)</f>
        <v>252</v>
      </c>
      <c r="D44" s="34">
        <f>D27+VLOOKUP($A$1,'Pri Housing Generation'!$A$96:$DQ$118, 36, FALSE)</f>
        <v>271</v>
      </c>
      <c r="E44" s="34">
        <f>E27+VLOOKUP($A$1,'Pri Housing Generation'!$A$96:$DQ$118, 37, FALSE)</f>
        <v>262</v>
      </c>
      <c r="F44" s="34">
        <f>F27+VLOOKUP($A$1,'Pri Housing Generation'!$A$96:$DQ$118, 38, FALSE)</f>
        <v>263</v>
      </c>
      <c r="G44" s="42">
        <f>G27+VLOOKUP($A$1,'Pri Housing Generation'!$A$96:$DQ$118, 39, FALSE)</f>
        <v>277</v>
      </c>
      <c r="H44" s="43">
        <f>H27+VLOOKUP($A$1,'Pri Housing Generation'!$A$96:$DQ$118, 40, FALSE)</f>
        <v>266</v>
      </c>
      <c r="I44" s="99">
        <f t="shared" si="18"/>
        <v>263</v>
      </c>
      <c r="K44" s="35">
        <f>'Sec Housing Generation'!AD22</f>
        <v>2</v>
      </c>
      <c r="L44" s="83"/>
      <c r="M44" s="107">
        <f t="shared" si="19"/>
        <v>0.93531136989878416</v>
      </c>
      <c r="O44" s="35">
        <f t="shared" si="14"/>
        <v>248</v>
      </c>
      <c r="Q44" s="25">
        <f t="shared" si="20"/>
        <v>2022</v>
      </c>
      <c r="R44" s="20">
        <f t="shared" si="15"/>
        <v>260</v>
      </c>
      <c r="S44" s="53">
        <f t="shared" si="21"/>
        <v>220</v>
      </c>
      <c r="T44" s="53">
        <f t="shared" si="21"/>
        <v>260</v>
      </c>
      <c r="U44" s="53">
        <f t="shared" si="21"/>
        <v>240</v>
      </c>
      <c r="V44" s="34">
        <f t="shared" si="22"/>
        <v>212</v>
      </c>
      <c r="W44" s="42">
        <f t="shared" si="23"/>
        <v>176</v>
      </c>
      <c r="X44" s="101">
        <f t="shared" si="16"/>
        <v>1368</v>
      </c>
    </row>
    <row r="45" spans="1:24" x14ac:dyDescent="0.25">
      <c r="A45" s="25">
        <f t="shared" si="17"/>
        <v>2023</v>
      </c>
      <c r="B45" s="37">
        <f>B28+VLOOKUP($A$1,'Pri Housing Generation'!$A$96:$DQ$118, 42, FALSE)</f>
        <v>252</v>
      </c>
      <c r="C45" s="34">
        <f>C28+VLOOKUP($A$1,'Pri Housing Generation'!$A$96:$DQ$118, 43, FALSE)</f>
        <v>238</v>
      </c>
      <c r="D45" s="34">
        <f>D28+VLOOKUP($A$1,'Pri Housing Generation'!$A$96:$DQ$118, 44, FALSE)</f>
        <v>255</v>
      </c>
      <c r="E45" s="34">
        <f>E28+VLOOKUP($A$1,'Pri Housing Generation'!$A$96:$DQ$118, 45, FALSE)</f>
        <v>271</v>
      </c>
      <c r="F45" s="34">
        <f>F28+VLOOKUP($A$1,'Pri Housing Generation'!$A$96:$DQ$118, 46, FALSE)</f>
        <v>259</v>
      </c>
      <c r="G45" s="34">
        <f>G28+VLOOKUP($A$1,'Pri Housing Generation'!$A$96:$DQ$118, 47, FALSE)</f>
        <v>258</v>
      </c>
      <c r="H45" s="42">
        <f>H28+VLOOKUP($A$1,'Pri Housing Generation'!$A$96:$DQ$118, 48, FALSE)</f>
        <v>280</v>
      </c>
      <c r="I45" s="99">
        <f t="shared" si="18"/>
        <v>267</v>
      </c>
      <c r="J45" s="181"/>
      <c r="K45" s="35">
        <f>'Sec Housing Generation'!AK22</f>
        <v>3</v>
      </c>
      <c r="L45" s="83"/>
      <c r="M45" s="107">
        <f t="shared" si="19"/>
        <v>0.93871136989878412</v>
      </c>
      <c r="O45" s="35">
        <f t="shared" si="14"/>
        <v>254</v>
      </c>
      <c r="Q45" s="25">
        <f t="shared" si="20"/>
        <v>2023</v>
      </c>
      <c r="R45" s="20">
        <f t="shared" si="15"/>
        <v>260</v>
      </c>
      <c r="S45" s="53">
        <f t="shared" si="21"/>
        <v>260</v>
      </c>
      <c r="T45" s="53">
        <f t="shared" si="21"/>
        <v>220</v>
      </c>
      <c r="U45" s="53">
        <f t="shared" si="21"/>
        <v>260</v>
      </c>
      <c r="V45" s="34">
        <f t="shared" si="22"/>
        <v>232</v>
      </c>
      <c r="W45" s="34">
        <f t="shared" si="23"/>
        <v>178</v>
      </c>
      <c r="X45" s="101">
        <f t="shared" si="16"/>
        <v>1410</v>
      </c>
    </row>
    <row r="46" spans="1:24" x14ac:dyDescent="0.25">
      <c r="A46" s="25">
        <f t="shared" si="17"/>
        <v>2024</v>
      </c>
      <c r="B46" s="37">
        <f>B29+VLOOKUP($A$1,'Pri Housing Generation'!$A$96:$DQ$118, 50, FALSE)</f>
        <v>258</v>
      </c>
      <c r="C46" s="34">
        <f>C29+VLOOKUP($A$1,'Pri Housing Generation'!$A$96:$DQ$118, 51, FALSE)</f>
        <v>259</v>
      </c>
      <c r="D46" s="34">
        <f>D29+VLOOKUP($A$1,'Pri Housing Generation'!$A$96:$DQ$118, 52, FALSE)</f>
        <v>241</v>
      </c>
      <c r="E46" s="34">
        <f>E29+VLOOKUP($A$1,'Pri Housing Generation'!$A$96:$DQ$118, 53, FALSE)</f>
        <v>255</v>
      </c>
      <c r="F46" s="34">
        <f>F29+VLOOKUP($A$1,'Pri Housing Generation'!$A$96:$DQ$118, 54, FALSE)</f>
        <v>268</v>
      </c>
      <c r="G46" s="34">
        <f>G29+VLOOKUP($A$1,'Pri Housing Generation'!$A$96:$DQ$118, 55, FALSE)</f>
        <v>254</v>
      </c>
      <c r="H46" s="34">
        <f>H29+VLOOKUP($A$1,'Pri Housing Generation'!$A$96:$DQ$118, 56, FALSE)</f>
        <v>261</v>
      </c>
      <c r="I46" s="99">
        <f t="shared" si="18"/>
        <v>281</v>
      </c>
      <c r="J46" s="181"/>
      <c r="K46" s="35">
        <f>'Sec Housing Generation'!AR22</f>
        <v>4</v>
      </c>
      <c r="L46" s="83"/>
      <c r="M46" s="107">
        <f t="shared" si="19"/>
        <v>0.94211136989878408</v>
      </c>
      <c r="O46" s="35">
        <f t="shared" si="14"/>
        <v>269</v>
      </c>
      <c r="Q46" s="25">
        <f t="shared" si="20"/>
        <v>2024</v>
      </c>
      <c r="R46" s="20">
        <f t="shared" si="15"/>
        <v>280</v>
      </c>
      <c r="S46" s="53">
        <f t="shared" si="21"/>
        <v>260</v>
      </c>
      <c r="T46" s="53">
        <f t="shared" si="21"/>
        <v>260</v>
      </c>
      <c r="U46" s="53">
        <f t="shared" si="21"/>
        <v>220</v>
      </c>
      <c r="V46" s="34">
        <f t="shared" si="22"/>
        <v>252</v>
      </c>
      <c r="W46" s="34">
        <f t="shared" si="23"/>
        <v>195</v>
      </c>
      <c r="X46" s="101">
        <f t="shared" si="16"/>
        <v>1467</v>
      </c>
    </row>
    <row r="47" spans="1:24" x14ac:dyDescent="0.25">
      <c r="A47" s="25">
        <f t="shared" si="17"/>
        <v>2025</v>
      </c>
      <c r="B47" s="37">
        <f>B30+VLOOKUP($A$1,'Pri Housing Generation'!$A$96:$DQ$118, 58, FALSE)</f>
        <v>263</v>
      </c>
      <c r="C47" s="34">
        <f>C30+VLOOKUP($A$1,'Pri Housing Generation'!$A$96:$DQ$118, 59, FALSE)</f>
        <v>265</v>
      </c>
      <c r="D47" s="34">
        <f>D30+VLOOKUP($A$1,'Pri Housing Generation'!$A$96:$DQ$118, 60, FALSE)</f>
        <v>262</v>
      </c>
      <c r="E47" s="34">
        <f>E30+VLOOKUP($A$1,'Pri Housing Generation'!$A$96:$DQ$118, 61, FALSE)</f>
        <v>242</v>
      </c>
      <c r="F47" s="34">
        <f>F30+VLOOKUP($A$1,'Pri Housing Generation'!$A$96:$DQ$118, 62, FALSE)</f>
        <v>252</v>
      </c>
      <c r="G47" s="34">
        <f>G30+VLOOKUP($A$1,'Pri Housing Generation'!$A$96:$DQ$118, 63, FALSE)</f>
        <v>263</v>
      </c>
      <c r="H47" s="34">
        <f>H30+VLOOKUP($A$1,'Pri Housing Generation'!$A$96:$DQ$118, 64, FALSE)</f>
        <v>257</v>
      </c>
      <c r="I47" s="99">
        <f t="shared" si="18"/>
        <v>262</v>
      </c>
      <c r="J47" s="181"/>
      <c r="K47" s="83"/>
      <c r="L47" s="83"/>
      <c r="M47" s="107">
        <f t="shared" si="19"/>
        <v>0.94551136989878404</v>
      </c>
      <c r="O47" s="35">
        <f t="shared" si="14"/>
        <v>248</v>
      </c>
      <c r="Q47" s="25">
        <f t="shared" si="20"/>
        <v>2025</v>
      </c>
      <c r="R47" s="20">
        <f t="shared" si="15"/>
        <v>260</v>
      </c>
      <c r="S47" s="53">
        <f t="shared" si="21"/>
        <v>280</v>
      </c>
      <c r="T47" s="53">
        <f t="shared" si="21"/>
        <v>260</v>
      </c>
      <c r="U47" s="53">
        <f t="shared" si="21"/>
        <v>260</v>
      </c>
      <c r="V47" s="34">
        <f t="shared" si="22"/>
        <v>213</v>
      </c>
      <c r="W47" s="34">
        <f t="shared" si="23"/>
        <v>212</v>
      </c>
      <c r="X47" s="101">
        <f t="shared" si="16"/>
        <v>1485</v>
      </c>
    </row>
    <row r="48" spans="1:24" x14ac:dyDescent="0.25">
      <c r="A48" s="25">
        <f t="shared" si="17"/>
        <v>2026</v>
      </c>
      <c r="B48" s="37">
        <f>B31+VLOOKUP($A$1,'Pri Housing Generation'!$A$96:$DQ$118, 66, FALSE)</f>
        <v>267</v>
      </c>
      <c r="C48" s="34">
        <f>C31+VLOOKUP($A$1,'Pri Housing Generation'!$A$96:$DQ$118, 67, FALSE)</f>
        <v>270</v>
      </c>
      <c r="D48" s="34">
        <f>D31+VLOOKUP($A$1,'Pri Housing Generation'!$A$96:$DQ$118, 68, FALSE)</f>
        <v>268</v>
      </c>
      <c r="E48" s="34">
        <f>E31+VLOOKUP($A$1,'Pri Housing Generation'!$A$96:$DQ$118, 69, FALSE)</f>
        <v>262</v>
      </c>
      <c r="F48" s="34">
        <f>F31+VLOOKUP($A$1,'Pri Housing Generation'!$A$96:$DQ$118, 70, FALSE)</f>
        <v>239</v>
      </c>
      <c r="G48" s="34">
        <f>G31+VLOOKUP($A$1,'Pri Housing Generation'!$A$96:$DQ$118, 71, FALSE)</f>
        <v>247</v>
      </c>
      <c r="H48" s="34">
        <f>H31+VLOOKUP($A$1,'Pri Housing Generation'!$A$96:$DQ$118, 72, FALSE)</f>
        <v>266</v>
      </c>
      <c r="I48" s="99">
        <f t="shared" si="18"/>
        <v>258</v>
      </c>
      <c r="J48" s="181"/>
      <c r="K48" s="83"/>
      <c r="L48" s="83"/>
      <c r="M48" s="107">
        <f t="shared" si="19"/>
        <v>0.948911369898784</v>
      </c>
      <c r="O48" s="35">
        <f t="shared" si="14"/>
        <v>245</v>
      </c>
      <c r="Q48" s="25">
        <f t="shared" si="20"/>
        <v>2026</v>
      </c>
      <c r="R48" s="20">
        <f t="shared" si="15"/>
        <v>260</v>
      </c>
      <c r="S48" s="53">
        <f t="shared" si="21"/>
        <v>260</v>
      </c>
      <c r="T48" s="53">
        <f t="shared" si="21"/>
        <v>280</v>
      </c>
      <c r="U48" s="53">
        <f t="shared" si="21"/>
        <v>260</v>
      </c>
      <c r="V48" s="34">
        <f t="shared" si="22"/>
        <v>252</v>
      </c>
      <c r="W48" s="34">
        <f t="shared" si="23"/>
        <v>179</v>
      </c>
      <c r="X48" s="101">
        <f t="shared" si="16"/>
        <v>1491</v>
      </c>
    </row>
    <row r="49" spans="1:24" x14ac:dyDescent="0.25">
      <c r="A49" s="25">
        <f t="shared" si="17"/>
        <v>2027</v>
      </c>
      <c r="B49" s="37">
        <f>B32+VLOOKUP($A$1,'Pri Housing Generation'!$A$96:$DQ$118, 74, FALSE)</f>
        <v>270</v>
      </c>
      <c r="C49" s="34">
        <f>C32+VLOOKUP($A$1,'Pri Housing Generation'!$A$96:$DQ$118, 75, FALSE)</f>
        <v>274</v>
      </c>
      <c r="D49" s="34">
        <f>D32+VLOOKUP($A$1,'Pri Housing Generation'!$A$96:$DQ$118, 76, FALSE)</f>
        <v>273</v>
      </c>
      <c r="E49" s="34">
        <f>E32+VLOOKUP($A$1,'Pri Housing Generation'!$A$96:$DQ$118, 77, FALSE)</f>
        <v>268</v>
      </c>
      <c r="F49" s="34">
        <f>F32+VLOOKUP($A$1,'Pri Housing Generation'!$A$96:$DQ$118, 78, FALSE)</f>
        <v>259</v>
      </c>
      <c r="G49" s="34">
        <f>G32+VLOOKUP($A$1,'Pri Housing Generation'!$A$96:$DQ$118, 79, FALSE)</f>
        <v>235</v>
      </c>
      <c r="H49" s="34">
        <f>H32+VLOOKUP($A$1,'Pri Housing Generation'!$A$96:$DQ$118, 80, FALSE)</f>
        <v>250</v>
      </c>
      <c r="I49" s="99">
        <f t="shared" si="18"/>
        <v>267</v>
      </c>
      <c r="J49" s="181"/>
      <c r="K49" s="83"/>
      <c r="L49" s="83"/>
      <c r="M49" s="107">
        <f t="shared" si="19"/>
        <v>0.95231136989878395</v>
      </c>
      <c r="O49" s="35">
        <f t="shared" si="14"/>
        <v>255</v>
      </c>
      <c r="Q49" s="25">
        <f t="shared" si="20"/>
        <v>2027</v>
      </c>
      <c r="R49" s="20">
        <f t="shared" si="15"/>
        <v>260</v>
      </c>
      <c r="S49" s="53">
        <f t="shared" si="21"/>
        <v>260</v>
      </c>
      <c r="T49" s="53">
        <f t="shared" si="21"/>
        <v>260</v>
      </c>
      <c r="U49" s="53">
        <f t="shared" si="21"/>
        <v>280</v>
      </c>
      <c r="V49" s="34">
        <f t="shared" si="22"/>
        <v>252</v>
      </c>
      <c r="W49" s="34">
        <f t="shared" si="23"/>
        <v>212</v>
      </c>
      <c r="X49" s="101">
        <f t="shared" si="16"/>
        <v>1524</v>
      </c>
    </row>
    <row r="50" spans="1:24" x14ac:dyDescent="0.25">
      <c r="A50" s="25">
        <f t="shared" si="17"/>
        <v>2028</v>
      </c>
      <c r="B50" s="37">
        <f>B33+VLOOKUP($A$1,'Pri Housing Generation'!$A$96:$DQ$118, 82, FALSE)</f>
        <v>275</v>
      </c>
      <c r="C50" s="34">
        <f>C33+VLOOKUP($A$1,'Pri Housing Generation'!$A$96:$DQ$118, 83, FALSE)</f>
        <v>276</v>
      </c>
      <c r="D50" s="34">
        <f>D33+VLOOKUP($A$1,'Pri Housing Generation'!$A$96:$DQ$118, 84, FALSE)</f>
        <v>276</v>
      </c>
      <c r="E50" s="34">
        <f>E33+VLOOKUP($A$1,'Pri Housing Generation'!$A$96:$DQ$118, 85, FALSE)</f>
        <v>272</v>
      </c>
      <c r="F50" s="34">
        <f>F33+VLOOKUP($A$1,'Pri Housing Generation'!$A$96:$DQ$118, 86, FALSE)</f>
        <v>265</v>
      </c>
      <c r="G50" s="34">
        <f>G33+VLOOKUP($A$1,'Pri Housing Generation'!$A$96:$DQ$118, 87, FALSE)</f>
        <v>254</v>
      </c>
      <c r="H50" s="34">
        <f>H33+VLOOKUP($A$1,'Pri Housing Generation'!$A$96:$DQ$118, 88, FALSE)</f>
        <v>238</v>
      </c>
      <c r="I50" s="99">
        <f t="shared" si="18"/>
        <v>251</v>
      </c>
      <c r="J50" s="181"/>
      <c r="K50" s="83"/>
      <c r="L50" s="83"/>
      <c r="M50" s="107">
        <f t="shared" si="19"/>
        <v>0.95571136989878391</v>
      </c>
      <c r="O50" s="35">
        <f t="shared" si="14"/>
        <v>240</v>
      </c>
      <c r="Q50" s="25">
        <f t="shared" si="20"/>
        <v>2028</v>
      </c>
      <c r="R50" s="20">
        <f t="shared" si="15"/>
        <v>240</v>
      </c>
      <c r="S50" s="53">
        <f t="shared" si="21"/>
        <v>260</v>
      </c>
      <c r="T50" s="53">
        <f t="shared" si="21"/>
        <v>260</v>
      </c>
      <c r="U50" s="53">
        <f t="shared" si="21"/>
        <v>260</v>
      </c>
      <c r="V50" s="34">
        <f t="shared" si="22"/>
        <v>271</v>
      </c>
      <c r="W50" s="34">
        <f t="shared" si="23"/>
        <v>212</v>
      </c>
      <c r="X50" s="101">
        <f t="shared" si="16"/>
        <v>1503</v>
      </c>
    </row>
    <row r="51" spans="1:24" x14ac:dyDescent="0.25">
      <c r="A51" s="25">
        <f t="shared" si="17"/>
        <v>2029</v>
      </c>
      <c r="B51" s="37">
        <f>B34+VLOOKUP($A$1,'Pri Housing Generation'!$A$96:$DQ$118, 90, FALSE)</f>
        <v>275</v>
      </c>
      <c r="C51" s="34">
        <f>C34+VLOOKUP($A$1,'Pri Housing Generation'!$A$96:$DQ$118, 91, FALSE)</f>
        <v>279</v>
      </c>
      <c r="D51" s="34">
        <f>D34+VLOOKUP($A$1,'Pri Housing Generation'!$A$96:$DQ$118, 92, FALSE)</f>
        <v>277</v>
      </c>
      <c r="E51" s="34">
        <f>E34+VLOOKUP($A$1,'Pri Housing Generation'!$A$96:$DQ$118, 93, FALSE)</f>
        <v>274</v>
      </c>
      <c r="F51" s="34">
        <f>F34+VLOOKUP($A$1,'Pri Housing Generation'!$A$96:$DQ$118, 94, FALSE)</f>
        <v>268</v>
      </c>
      <c r="G51" s="34">
        <f>G34+VLOOKUP($A$1,'Pri Housing Generation'!$A$96:$DQ$118, 95, FALSE)</f>
        <v>258</v>
      </c>
      <c r="H51" s="34">
        <f>H34+VLOOKUP($A$1,'Pri Housing Generation'!$A$96:$DQ$118, 96, FALSE)</f>
        <v>255</v>
      </c>
      <c r="I51" s="99">
        <f t="shared" si="18"/>
        <v>239</v>
      </c>
      <c r="J51" s="181"/>
      <c r="K51" s="83"/>
      <c r="L51" s="83"/>
      <c r="M51" s="107">
        <f t="shared" si="19"/>
        <v>0.95911136989878387</v>
      </c>
      <c r="O51" s="35">
        <f t="shared" si="14"/>
        <v>230</v>
      </c>
      <c r="Q51" s="25">
        <f t="shared" si="20"/>
        <v>2029</v>
      </c>
      <c r="R51" s="20">
        <f t="shared" si="15"/>
        <v>240</v>
      </c>
      <c r="S51" s="53">
        <f t="shared" si="21"/>
        <v>240</v>
      </c>
      <c r="T51" s="53">
        <f t="shared" si="21"/>
        <v>260</v>
      </c>
      <c r="U51" s="53">
        <f t="shared" si="21"/>
        <v>260</v>
      </c>
      <c r="V51" s="34">
        <f t="shared" si="22"/>
        <v>252</v>
      </c>
      <c r="W51" s="34">
        <f t="shared" si="23"/>
        <v>228</v>
      </c>
      <c r="X51" s="101">
        <f t="shared" si="16"/>
        <v>1480</v>
      </c>
    </row>
    <row r="52" spans="1:24" x14ac:dyDescent="0.25">
      <c r="A52" s="25">
        <f t="shared" si="17"/>
        <v>2030</v>
      </c>
      <c r="B52" s="37">
        <f>B35+VLOOKUP($A$1,'Pri Housing Generation'!$A$96:$DQ$118, 98, FALSE)</f>
        <v>274</v>
      </c>
      <c r="C52" s="34">
        <f>C35+VLOOKUP($A$1,'Pri Housing Generation'!$A$96:$DQ$118, 99, FALSE)</f>
        <v>278</v>
      </c>
      <c r="D52" s="34">
        <f>D35+VLOOKUP($A$1,'Pri Housing Generation'!$A$96:$DQ$118, 100, FALSE)</f>
        <v>279</v>
      </c>
      <c r="E52" s="34">
        <f>E35+VLOOKUP($A$1,'Pri Housing Generation'!$A$96:$DQ$118, 101, FALSE)</f>
        <v>275</v>
      </c>
      <c r="F52" s="34">
        <f>F35+VLOOKUP($A$1,'Pri Housing Generation'!$A$96:$DQ$118, 102, FALSE)</f>
        <v>270</v>
      </c>
      <c r="G52" s="34">
        <f>G35+VLOOKUP($A$1,'Pri Housing Generation'!$A$96:$DQ$118, 103, FALSE)</f>
        <v>261</v>
      </c>
      <c r="H52" s="34">
        <f>H35+VLOOKUP($A$1,'Pri Housing Generation'!$A$96:$DQ$118, 104, FALSE)</f>
        <v>259</v>
      </c>
      <c r="I52" s="99">
        <f t="shared" si="18"/>
        <v>256</v>
      </c>
      <c r="J52" s="54"/>
      <c r="K52" s="83"/>
      <c r="L52" s="83"/>
      <c r="M52" s="107">
        <f t="shared" si="19"/>
        <v>0.96251136989878383</v>
      </c>
      <c r="O52" s="35">
        <f t="shared" si="14"/>
        <v>247</v>
      </c>
      <c r="Q52" s="25">
        <f t="shared" si="20"/>
        <v>2030</v>
      </c>
      <c r="R52" s="20">
        <f t="shared" si="15"/>
        <v>260</v>
      </c>
      <c r="S52" s="53">
        <f t="shared" si="21"/>
        <v>240</v>
      </c>
      <c r="T52" s="53">
        <f t="shared" si="21"/>
        <v>240</v>
      </c>
      <c r="U52" s="53">
        <f t="shared" si="21"/>
        <v>260</v>
      </c>
      <c r="V52" s="34">
        <f t="shared" si="22"/>
        <v>252</v>
      </c>
      <c r="W52" s="34">
        <f t="shared" si="23"/>
        <v>212</v>
      </c>
      <c r="X52" s="101">
        <f t="shared" si="16"/>
        <v>1464</v>
      </c>
    </row>
    <row r="53" spans="1:24" x14ac:dyDescent="0.25">
      <c r="A53" s="25">
        <f t="shared" si="17"/>
        <v>2031</v>
      </c>
      <c r="B53" s="37">
        <f>B36+VLOOKUP($A$1,'Pri Housing Generation'!$A$96:$DQ$118, 106, FALSE)</f>
        <v>274</v>
      </c>
      <c r="C53" s="34">
        <f>C36+VLOOKUP($A$1,'Pri Housing Generation'!$A$96:$DQ$118, 107, FALSE)</f>
        <v>278</v>
      </c>
      <c r="D53" s="34">
        <f>D36+VLOOKUP($A$1,'Pri Housing Generation'!$A$96:$DQ$118, 108, FALSE)</f>
        <v>279</v>
      </c>
      <c r="E53" s="34">
        <f>E36+VLOOKUP($A$1,'Pri Housing Generation'!$A$96:$DQ$118, 109, FALSE)</f>
        <v>278</v>
      </c>
      <c r="F53" s="34">
        <f>F36+VLOOKUP($A$1,'Pri Housing Generation'!$A$96:$DQ$118, 110, FALSE)</f>
        <v>271</v>
      </c>
      <c r="G53" s="34">
        <f>G36+VLOOKUP($A$1,'Pri Housing Generation'!$A$96:$DQ$118, 111, FALSE)</f>
        <v>263</v>
      </c>
      <c r="H53" s="34">
        <f>H36+VLOOKUP($A$1,'Pri Housing Generation'!$A$96:$DQ$118, 112, FALSE)</f>
        <v>262</v>
      </c>
      <c r="I53" s="99">
        <f t="shared" si="18"/>
        <v>260</v>
      </c>
      <c r="J53" s="54"/>
      <c r="K53" s="83"/>
      <c r="L53" s="83"/>
      <c r="M53" s="107">
        <f t="shared" si="19"/>
        <v>0.96591136989878379</v>
      </c>
      <c r="O53" s="35">
        <f t="shared" si="14"/>
        <v>252</v>
      </c>
      <c r="Q53" s="25">
        <f t="shared" si="20"/>
        <v>2031</v>
      </c>
      <c r="R53" s="20">
        <f t="shared" si="15"/>
        <v>260</v>
      </c>
      <c r="S53" s="53">
        <f t="shared" si="21"/>
        <v>260</v>
      </c>
      <c r="T53" s="53">
        <f t="shared" si="21"/>
        <v>240</v>
      </c>
      <c r="U53" s="53">
        <f t="shared" si="21"/>
        <v>240</v>
      </c>
      <c r="V53" s="34">
        <f t="shared" si="22"/>
        <v>252</v>
      </c>
      <c r="W53" s="34">
        <f t="shared" si="23"/>
        <v>212</v>
      </c>
      <c r="X53" s="101">
        <f t="shared" si="16"/>
        <v>1464</v>
      </c>
    </row>
    <row r="54" spans="1:24" x14ac:dyDescent="0.25">
      <c r="A54" s="25">
        <f t="shared" si="17"/>
        <v>2032</v>
      </c>
      <c r="B54" s="37">
        <f>B37+VLOOKUP($A$1,'Pri Housing Generation'!$A$96:$DQ$118, 114, FALSE)</f>
        <v>274</v>
      </c>
      <c r="C54" s="34">
        <f>C37+VLOOKUP($A$1,'Pri Housing Generation'!$A$96:$DQ$118, 115, FALSE)</f>
        <v>278</v>
      </c>
      <c r="D54" s="34">
        <f>D37+VLOOKUP($A$1,'Pri Housing Generation'!$A$96:$DQ$118, 116, FALSE)</f>
        <v>279</v>
      </c>
      <c r="E54" s="34">
        <f>E37+VLOOKUP($A$1,'Pri Housing Generation'!$A$96:$DQ$118, 117, FALSE)</f>
        <v>278</v>
      </c>
      <c r="F54" s="34">
        <f>F37+VLOOKUP($A$1,'Pri Housing Generation'!$A$96:$DQ$118, 118, FALSE)</f>
        <v>274</v>
      </c>
      <c r="G54" s="34">
        <f>G37+VLOOKUP($A$1,'Pri Housing Generation'!$A$96:$DQ$118, 119, FALSE)</f>
        <v>264</v>
      </c>
      <c r="H54" s="34">
        <f>H37+VLOOKUP($A$1,'Pri Housing Generation'!$A$96:$DQ$118, 120, FALSE)</f>
        <v>264</v>
      </c>
      <c r="I54" s="99">
        <f t="shared" si="18"/>
        <v>263</v>
      </c>
      <c r="K54" s="83"/>
      <c r="L54" s="83"/>
      <c r="M54" s="107">
        <v>0.94699999999999995</v>
      </c>
      <c r="O54" s="35">
        <f t="shared" si="14"/>
        <v>250</v>
      </c>
      <c r="Q54" s="25">
        <f t="shared" si="20"/>
        <v>2032</v>
      </c>
      <c r="R54" s="20">
        <f t="shared" si="15"/>
        <v>260</v>
      </c>
      <c r="S54" s="53">
        <f t="shared" si="21"/>
        <v>260</v>
      </c>
      <c r="T54" s="53">
        <f t="shared" si="21"/>
        <v>260</v>
      </c>
      <c r="U54" s="53">
        <f t="shared" si="21"/>
        <v>240</v>
      </c>
      <c r="V54" s="34">
        <f t="shared" si="22"/>
        <v>232</v>
      </c>
      <c r="W54" s="34">
        <f t="shared" si="23"/>
        <v>212</v>
      </c>
      <c r="X54" s="101">
        <f t="shared" si="16"/>
        <v>1464</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8" t="s">
        <v>225</v>
      </c>
      <c r="C60" s="413" t="s">
        <v>226</v>
      </c>
      <c r="D60" s="414"/>
      <c r="F60" s="132"/>
      <c r="G60" s="181"/>
      <c r="H60" s="130"/>
      <c r="I60" s="130"/>
      <c r="J60" s="130"/>
    </row>
    <row r="61" spans="1:24" x14ac:dyDescent="0.25">
      <c r="A61" s="25">
        <v>2011</v>
      </c>
      <c r="B61" s="128">
        <v>6</v>
      </c>
      <c r="C61" s="415">
        <f t="shared" ref="C61:C66" si="24">1-(I13/(I13+B61))</f>
        <v>2.8436018957345932E-2</v>
      </c>
      <c r="D61" s="388"/>
      <c r="F61" s="133"/>
      <c r="G61" s="181"/>
      <c r="H61" s="54"/>
      <c r="I61" s="54"/>
      <c r="J61" s="54"/>
    </row>
    <row r="62" spans="1:24" x14ac:dyDescent="0.25">
      <c r="A62" s="25">
        <v>2012</v>
      </c>
      <c r="B62" s="128">
        <v>6</v>
      </c>
      <c r="C62" s="415">
        <f t="shared" si="24"/>
        <v>3.2608695652173947E-2</v>
      </c>
      <c r="D62" s="388"/>
      <c r="F62" s="133"/>
      <c r="G62" s="181"/>
      <c r="H62" s="54"/>
      <c r="I62" s="54"/>
      <c r="J62" s="54"/>
      <c r="K62" s="181"/>
      <c r="N62" s="109"/>
      <c r="S62" s="82"/>
    </row>
    <row r="63" spans="1:24" x14ac:dyDescent="0.25">
      <c r="A63" s="25">
        <v>2013</v>
      </c>
      <c r="B63" s="128">
        <v>4</v>
      </c>
      <c r="C63" s="415">
        <f t="shared" si="24"/>
        <v>1.8181818181818188E-2</v>
      </c>
      <c r="D63" s="388"/>
      <c r="F63" s="133"/>
      <c r="G63" s="181"/>
      <c r="H63" s="54"/>
      <c r="I63" s="54"/>
      <c r="J63" s="54"/>
      <c r="K63" s="181"/>
      <c r="N63" s="109"/>
      <c r="S63" s="82"/>
    </row>
    <row r="64" spans="1:24" x14ac:dyDescent="0.25">
      <c r="A64" s="25">
        <v>2014</v>
      </c>
      <c r="B64" s="128">
        <v>3</v>
      </c>
      <c r="C64" s="415">
        <f t="shared" si="24"/>
        <v>1.3761467889908285E-2</v>
      </c>
      <c r="D64" s="388"/>
      <c r="F64" s="133"/>
      <c r="G64" s="181"/>
      <c r="H64" s="54"/>
      <c r="I64" s="54"/>
      <c r="J64" s="54"/>
      <c r="K64" s="181"/>
      <c r="N64" s="109"/>
      <c r="S64" s="82"/>
    </row>
    <row r="65" spans="1:19" x14ac:dyDescent="0.25">
      <c r="A65" s="25">
        <v>2015</v>
      </c>
      <c r="B65" s="128">
        <v>4</v>
      </c>
      <c r="C65" s="415">
        <f t="shared" si="24"/>
        <v>1.8181818181818188E-2</v>
      </c>
      <c r="D65" s="388"/>
      <c r="F65" s="133"/>
      <c r="G65" s="181"/>
      <c r="H65" s="54"/>
      <c r="I65" s="54"/>
      <c r="J65" s="54"/>
      <c r="K65" s="181"/>
      <c r="N65" s="109"/>
      <c r="S65" s="82"/>
    </row>
    <row r="66" spans="1:19" x14ac:dyDescent="0.25">
      <c r="A66" s="25">
        <v>2016</v>
      </c>
      <c r="B66" s="128"/>
      <c r="C66" s="415">
        <f t="shared" si="24"/>
        <v>0</v>
      </c>
      <c r="D66" s="388"/>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A69" t="s">
        <v>392</v>
      </c>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C62:D62"/>
    <mergeCell ref="C63:D63"/>
    <mergeCell ref="C64:D64"/>
    <mergeCell ref="C65:D65"/>
    <mergeCell ref="K39:K40"/>
    <mergeCell ref="M39:M40"/>
    <mergeCell ref="O39:O40"/>
    <mergeCell ref="C60:D60"/>
    <mergeCell ref="C61:D61"/>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72">
    <cfRule type="cellIs" dxfId="9" priority="14" operator="greaterThan">
      <formula>$C$7</formula>
    </cfRule>
  </conditionalFormatting>
  <conditionalFormatting sqref="X41:X72">
    <cfRule type="cellIs" dxfId="8" priority="13"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A84"/>
  <sheetViews>
    <sheetView topLeftCell="A28" workbookViewId="0">
      <selection activeCell="I24" sqref="I24"/>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111</v>
      </c>
    </row>
    <row r="2" spans="1:24" x14ac:dyDescent="0.25">
      <c r="A2" t="s">
        <v>400</v>
      </c>
    </row>
    <row r="4" spans="1:24" x14ac:dyDescent="0.25">
      <c r="A4" s="21" t="s">
        <v>192</v>
      </c>
    </row>
    <row r="5" spans="1:24" x14ac:dyDescent="0.25">
      <c r="A5" s="21"/>
    </row>
    <row r="6" spans="1:24" x14ac:dyDescent="0.25">
      <c r="A6" s="21" t="s">
        <v>193</v>
      </c>
      <c r="C6" s="100">
        <f>VLOOKUP(A1,'Projection Summary'!A5:C50,3,FALSE)</f>
        <v>950</v>
      </c>
    </row>
    <row r="7" spans="1:24" x14ac:dyDescent="0.25">
      <c r="A7" s="21" t="s">
        <v>191</v>
      </c>
      <c r="B7" s="21"/>
      <c r="C7" s="100">
        <f>VLOOKUP(A1,'Projection Summary'!A5:C50,2,FALSE)</f>
        <v>180</v>
      </c>
    </row>
    <row r="9" spans="1:24" ht="15.75" x14ac:dyDescent="0.25">
      <c r="A9" s="129" t="s">
        <v>197</v>
      </c>
      <c r="R9" s="129" t="s">
        <v>198</v>
      </c>
      <c r="T9" s="173"/>
    </row>
    <row r="10" spans="1:24" x14ac:dyDescent="0.25">
      <c r="A10" s="21"/>
    </row>
    <row r="11" spans="1:24" x14ac:dyDescent="0.25">
      <c r="A11" s="21" t="s">
        <v>300</v>
      </c>
      <c r="K11" s="406" t="s">
        <v>137</v>
      </c>
      <c r="L11" s="407"/>
      <c r="M11" s="412" t="s">
        <v>139</v>
      </c>
      <c r="N11" s="49"/>
      <c r="O11" s="394" t="s">
        <v>136</v>
      </c>
      <c r="R11" s="21" t="s">
        <v>301</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173</v>
      </c>
      <c r="C13" s="19">
        <f>VLOOKUP($A$1,'Primary Catchment Analysis'!$A$3:$BE$25, 38, FALSE)</f>
        <v>193</v>
      </c>
      <c r="D13" s="27">
        <f>VLOOKUP($A$1,'Primary Catchment Analysis'!$A$3:$BE$25, 39, FALSE)</f>
        <v>151</v>
      </c>
      <c r="E13" s="27">
        <f>VLOOKUP($A$1,'Primary Catchment Analysis'!$A$3:$BE$25, 40, FALSE)</f>
        <v>142</v>
      </c>
      <c r="F13" s="27">
        <f>VLOOKUP($A$1,'Primary Catchment Analysis'!$A$3:$BE$25, 41, FALSE)</f>
        <v>130</v>
      </c>
      <c r="G13" s="126">
        <f>VLOOKUP($A$1,'Primary Catchment Analysis'!$A$3:$BE$25, 42, FALSE)</f>
        <v>115</v>
      </c>
      <c r="H13" s="28">
        <f>VLOOKUP($A$1,'Primary Catchment Analysis'!$A$3:$BE$25, 43, FALSE)</f>
        <v>119</v>
      </c>
      <c r="I13" s="28">
        <f>VLOOKUP($A$1,'S1 Catchment Analysis'!A3:I25, 7, FALSE)</f>
        <v>119</v>
      </c>
      <c r="J13" s="23"/>
      <c r="K13" s="410"/>
      <c r="L13" s="411"/>
      <c r="M13" s="399"/>
      <c r="N13" s="50"/>
      <c r="O13" s="399"/>
      <c r="P13" s="50"/>
      <c r="Q13" s="25">
        <f>A13</f>
        <v>2013</v>
      </c>
      <c r="R13" s="69">
        <f>VLOOKUP($A$1,'Secondary Rolls'!$A$3:$BE$25, 37, FALSE)</f>
        <v>149</v>
      </c>
      <c r="S13" s="53">
        <f>VLOOKUP($A$1,'Secondary Rolls'!$A$3:$BE$25, 38, FALSE)</f>
        <v>155</v>
      </c>
      <c r="T13" s="53">
        <f>VLOOKUP($A$1,'Secondary Rolls'!$A$3:$BE$25, 39, FALSE)</f>
        <v>136</v>
      </c>
      <c r="U13" s="122">
        <f>VLOOKUP($A$1,'Secondary Rolls'!$A$3:$BE$25, 40, FALSE)</f>
        <v>160</v>
      </c>
      <c r="V13" s="63">
        <f>VLOOKUP($A$1,'Secondary Rolls'!$A$3:$BE$25, 41, FALSE)</f>
        <v>144</v>
      </c>
      <c r="W13" s="53">
        <f>VLOOKUP($A$1,'Secondary Rolls'!$A$3:$BE$25, 42, FALSE)</f>
        <v>107</v>
      </c>
      <c r="X13" s="62">
        <f t="shared" ref="X13:X17" si="0">SUM(R13:W13)</f>
        <v>851</v>
      </c>
    </row>
    <row r="14" spans="1:24" ht="15.75" thickBot="1" x14ac:dyDescent="0.3">
      <c r="A14" s="25">
        <f>VLOOKUP($A$12,'S1 Catchment Analysis'!A2:I2, 6, FALSE)</f>
        <v>2014</v>
      </c>
      <c r="B14" s="45">
        <f>VLOOKUP($A$1,'Primary Catchment Analysis'!$A$3:$BE$25, 30, FALSE)</f>
        <v>188</v>
      </c>
      <c r="C14" s="44">
        <f>VLOOKUP($A$1,'Primary Catchment Analysis'!$A$3:$BE$25, 31, FALSE)</f>
        <v>169</v>
      </c>
      <c r="D14" s="19">
        <f>VLOOKUP($A$1,'Primary Catchment Analysis'!$A$3:$BE$25, 32, FALSE)</f>
        <v>184</v>
      </c>
      <c r="E14" s="27">
        <f>VLOOKUP($A$1,'Primary Catchment Analysis'!$A$3:$BE$25, 33, FALSE)</f>
        <v>155</v>
      </c>
      <c r="F14" s="27">
        <f>VLOOKUP($A$1,'Primary Catchment Analysis'!$A$3:$BE$25, 34, FALSE)</f>
        <v>137</v>
      </c>
      <c r="G14" s="126">
        <f>VLOOKUP($A$1,'Primary Catchment Analysis'!$A$3:$BE$25, 35, FALSE)</f>
        <v>127</v>
      </c>
      <c r="H14" s="28">
        <f>VLOOKUP($A$1,'Primary Catchment Analysis'!$A$3:$BE$25, 36, FALSE)</f>
        <v>111</v>
      </c>
      <c r="I14" s="27">
        <f>VLOOKUP($A$1,'S1 Catchment Analysis'!A3:I25, 6, FALSE)</f>
        <v>124</v>
      </c>
      <c r="J14" s="23"/>
      <c r="K14" s="400">
        <f>VLOOKUP($A$1,'S1 Catchment Retained'!A2:I25, 6, FALSE)</f>
        <v>102</v>
      </c>
      <c r="L14" s="423"/>
      <c r="M14" s="110">
        <f t="shared" ref="M14:M18" si="1">(K14/I14)</f>
        <v>0.82258064516129037</v>
      </c>
      <c r="N14" s="50"/>
      <c r="O14" s="111">
        <f t="shared" ref="O14:O18" si="2">R14-K14</f>
        <v>44</v>
      </c>
      <c r="P14" s="50"/>
      <c r="Q14" s="25">
        <f t="shared" ref="Q14:Q18" si="3">A14</f>
        <v>2014</v>
      </c>
      <c r="R14" s="67">
        <f>VLOOKUP($A$1,'Secondary Rolls'!$A$3:$BE$25, 30, FALSE)</f>
        <v>146</v>
      </c>
      <c r="S14" s="69">
        <f>VLOOKUP($A$1,'Secondary Rolls'!$A$3:$BE$25, 31, FALSE)</f>
        <v>152</v>
      </c>
      <c r="T14" s="61">
        <f>VLOOKUP($A$1,'Secondary Rolls'!$A$3:$BE$25, 32, FALSE)</f>
        <v>157</v>
      </c>
      <c r="U14" s="61">
        <f>VLOOKUP($A$1,'Secondary Rolls'!$A$3:$BE$25, 33, FALSE)</f>
        <v>134</v>
      </c>
      <c r="V14" s="64">
        <f>VLOOKUP($A$1,'Secondary Rolls'!$A$3:$BE$25, 34, FALSE)</f>
        <v>139</v>
      </c>
      <c r="W14" s="116">
        <f>VLOOKUP($A$1,'Secondary Rolls'!$A$3:$BE$25, 35, FALSE)</f>
        <v>120</v>
      </c>
      <c r="X14" s="62">
        <f t="shared" si="0"/>
        <v>848</v>
      </c>
    </row>
    <row r="15" spans="1:24" ht="15.75" thickBot="1" x14ac:dyDescent="0.3">
      <c r="A15" s="25">
        <f>VLOOKUP($A$12,'S1 Catchment Analysis'!A2:I2, 5, FALSE)</f>
        <v>2015</v>
      </c>
      <c r="B15" s="19">
        <f>VLOOKUP($A$1,'Primary Catchment Analysis'!$A$3:$BE$25, 23, FALSE)</f>
        <v>184</v>
      </c>
      <c r="C15" s="45">
        <f>VLOOKUP($A$1,'Primary Catchment Analysis'!$A$3:$BE$25, 24, FALSE)</f>
        <v>190</v>
      </c>
      <c r="D15" s="44">
        <f>VLOOKUP($A$1,'Primary Catchment Analysis'!$A$3:$BE$25, 25, FALSE)</f>
        <v>168</v>
      </c>
      <c r="E15" s="19">
        <f>VLOOKUP($A$1,'Primary Catchment Analysis'!$A$3:$BE$25, 26, FALSE)</f>
        <v>177</v>
      </c>
      <c r="F15" s="27">
        <f>VLOOKUP($A$1,'Primary Catchment Analysis'!$A$3:$BE$25, 27, FALSE)</f>
        <v>147</v>
      </c>
      <c r="G15" s="126">
        <f>VLOOKUP($A$1,'Primary Catchment Analysis'!$A$3:$BE$25, 28, FALSE)</f>
        <v>126</v>
      </c>
      <c r="H15" s="30">
        <f>VLOOKUP($A$1,'Primary Catchment Analysis'!$A$3:$BE$25, 29, FALSE)</f>
        <v>128</v>
      </c>
      <c r="I15" s="29">
        <f>VLOOKUP($A$1,'S1 Catchment Analysis'!A3:I25, 5, FALSE)</f>
        <v>98</v>
      </c>
      <c r="J15" s="23"/>
      <c r="K15" s="400">
        <f>VLOOKUP($A$1,'S1 Catchment Retained'!A2:I25, 5, FALSE)</f>
        <v>81</v>
      </c>
      <c r="L15" s="423"/>
      <c r="M15" s="110">
        <f t="shared" si="1"/>
        <v>0.82653061224489799</v>
      </c>
      <c r="N15" s="50"/>
      <c r="O15" s="111">
        <f t="shared" si="2"/>
        <v>40</v>
      </c>
      <c r="P15" s="50"/>
      <c r="Q15" s="25">
        <f t="shared" si="3"/>
        <v>2015</v>
      </c>
      <c r="R15" s="68">
        <f>VLOOKUP($A$1,'Secondary Rolls'!$A$3:$BE$25, 23, FALSE)</f>
        <v>121</v>
      </c>
      <c r="S15" s="67">
        <f>VLOOKUP($A$1,'Secondary Rolls'!$A$3:$BE$25, 24, FALSE)</f>
        <v>148</v>
      </c>
      <c r="T15" s="71">
        <f>VLOOKUP($A$1,'Secondary Rolls'!$A$3:$BE$25, 25, FALSE)</f>
        <v>151</v>
      </c>
      <c r="U15" s="61">
        <f>VLOOKUP($A$1,'Secondary Rolls'!$A$3:$BE$25, 26, FALSE)</f>
        <v>160</v>
      </c>
      <c r="V15" s="123">
        <f>VLOOKUP($A$1,'Secondary Rolls'!$A$3:$BE$25, 27, FALSE)</f>
        <v>117</v>
      </c>
      <c r="W15" s="64">
        <f>VLOOKUP($A$1,'Secondary Rolls'!$A$3:$BE$25, 28, FALSE)</f>
        <v>96</v>
      </c>
      <c r="X15" s="62">
        <f t="shared" si="0"/>
        <v>793</v>
      </c>
    </row>
    <row r="16" spans="1:24" ht="15.75" thickBot="1" x14ac:dyDescent="0.3">
      <c r="A16" s="25">
        <f>VLOOKUP($A$12,'S1 Catchment Analysis'!A2:I2, 4, FALSE)</f>
        <v>2016</v>
      </c>
      <c r="B16" s="44">
        <f>VLOOKUP($A$1,'Primary Catchment Analysis'!$A$3:$BE$25, 16, FALSE)</f>
        <v>205</v>
      </c>
      <c r="C16" s="19">
        <f>VLOOKUP($A$1,'Primary Catchment Analysis'!$A$3:$BE$25, 17, FALSE)</f>
        <v>176</v>
      </c>
      <c r="D16" s="45">
        <f>VLOOKUP($A$1,'Primary Catchment Analysis'!$A$3:$BE$25, 18, FALSE)</f>
        <v>187</v>
      </c>
      <c r="E16" s="44">
        <f>VLOOKUP($A$1,'Primary Catchment Analysis'!$A$3:$BE$25, 19, FALSE)</f>
        <v>169</v>
      </c>
      <c r="F16" s="19">
        <f>VLOOKUP($A$1,'Primary Catchment Analysis'!$A$3:$BE$25, 20, FALSE)</f>
        <v>172</v>
      </c>
      <c r="G16" s="126">
        <f>VLOOKUP($A$1,'Primary Catchment Analysis'!$A$3:$BE$25, 21, FALSE)</f>
        <v>133</v>
      </c>
      <c r="H16" s="112">
        <f>VLOOKUP($A$1,'Primary Catchment Analysis'!$A$3:$BE$25, 22, FALSE)</f>
        <v>122</v>
      </c>
      <c r="I16" s="30">
        <f>VLOOKUP($A$1,'S1 Catchment Analysis'!A3:I25, 4, FALSE)</f>
        <v>106</v>
      </c>
      <c r="J16" s="23"/>
      <c r="K16" s="400">
        <f>VLOOKUP($A$1,'S1 Catchment Retained'!A2:I25, 4, FALSE)</f>
        <v>100</v>
      </c>
      <c r="L16" s="424"/>
      <c r="M16" s="56">
        <f t="shared" si="1"/>
        <v>0.94339622641509435</v>
      </c>
      <c r="N16" s="50"/>
      <c r="O16" s="103">
        <f t="shared" si="2"/>
        <v>50</v>
      </c>
      <c r="P16" s="50"/>
      <c r="Q16" s="25">
        <f t="shared" si="3"/>
        <v>2016</v>
      </c>
      <c r="R16" s="69">
        <f>VLOOKUP($A$1,'Secondary Rolls'!$A$3:$BE$25, 16, FALSE)</f>
        <v>150</v>
      </c>
      <c r="S16" s="68">
        <f>VLOOKUP($A$1,'Secondary Rolls'!$A$3:$BE$25, 17, FALSE)</f>
        <v>128</v>
      </c>
      <c r="T16" s="70">
        <f>VLOOKUP($A$1,'Secondary Rolls'!$A$3:$BE$25, 18, FALSE)</f>
        <v>151</v>
      </c>
      <c r="U16" s="71">
        <f>VLOOKUP($A$1,'Secondary Rolls'!$A$3:$BE$25, 19, FALSE)</f>
        <v>151</v>
      </c>
      <c r="V16" s="66">
        <f>VLOOKUP($A$1,'Secondary Rolls'!$A$3:$BE$25, 20, FALSE)</f>
        <v>136</v>
      </c>
      <c r="W16" s="65">
        <f>VLOOKUP($A$1,'Secondary Rolls'!$A$3:$BE$25, 21, FALSE)</f>
        <v>95</v>
      </c>
      <c r="X16" s="62">
        <f t="shared" si="0"/>
        <v>811</v>
      </c>
    </row>
    <row r="17" spans="1:27" ht="15.75" thickBot="1" x14ac:dyDescent="0.3">
      <c r="A17" s="258">
        <f>VLOOKUP($A$12,'S1 Catchment Analysis'!A2:I2, 3, FALSE)</f>
        <v>2017</v>
      </c>
      <c r="B17" s="259">
        <f>VLOOKUP($A$1,'Primary Catchment Analysis'!$A$3:$BE$25, 9, FALSE)</f>
        <v>189</v>
      </c>
      <c r="C17" s="260">
        <f>VLOOKUP($A$1,'Primary Catchment Analysis'!$A$3:$BE$25, 10, FALSE)</f>
        <v>202</v>
      </c>
      <c r="D17" s="261">
        <f>VLOOKUP($A$1,'Primary Catchment Analysis'!$A$3:$BE$25, 11, FALSE)</f>
        <v>175</v>
      </c>
      <c r="E17" s="259">
        <f>VLOOKUP($A$1,'Primary Catchment Analysis'!$A$3:$BE$25, 12, FALSE)</f>
        <v>184</v>
      </c>
      <c r="F17" s="260">
        <f>VLOOKUP($A$1,'Primary Catchment Analysis'!$A$3:$BE$25, 13, FALSE)</f>
        <v>159</v>
      </c>
      <c r="G17" s="262">
        <f>VLOOKUP($A$1,'Primary Catchment Analysis'!$A$3:$BE$25, 14, FALSE)</f>
        <v>159</v>
      </c>
      <c r="H17" s="113">
        <f>VLOOKUP($A$1,'Primary Catchment Analysis'!$A$3:$BE$25, 15, FALSE)</f>
        <v>128</v>
      </c>
      <c r="I17" s="31">
        <f>VLOOKUP($A$1,'S1 Catchment Analysis'!A3:I25, 3, FALSE)</f>
        <v>123</v>
      </c>
      <c r="J17" s="23"/>
      <c r="K17" s="400">
        <f>VLOOKUP($A$1,'S1 Catchment Retained'!A2:I25, 3, FALSE)</f>
        <v>105</v>
      </c>
      <c r="L17" s="424"/>
      <c r="M17" s="57">
        <f t="shared" si="1"/>
        <v>0.85365853658536583</v>
      </c>
      <c r="N17" s="50"/>
      <c r="O17" s="104">
        <f t="shared" si="2"/>
        <v>38</v>
      </c>
      <c r="P17" s="50"/>
      <c r="Q17" s="25">
        <f t="shared" si="3"/>
        <v>2017</v>
      </c>
      <c r="R17" s="264">
        <f>VLOOKUP($A$1,'Secondary Rolls'!$A$3:$BE$25, 9, FALSE)</f>
        <v>143</v>
      </c>
      <c r="S17" s="265">
        <f>VLOOKUP($A$1,'Secondary Rolls'!$A$3:$BE$25, 10, FALSE)</f>
        <v>154</v>
      </c>
      <c r="T17" s="266">
        <f>VLOOKUP($A$1,'Secondary Rolls'!$A$3:$BE$25, 11, FALSE)</f>
        <v>131</v>
      </c>
      <c r="U17" s="270">
        <f>VLOOKUP($A$1,'Secondary Rolls'!$A$3:$BE$25, 12, FALSE)</f>
        <v>151</v>
      </c>
      <c r="V17" s="271">
        <f>VLOOKUP($A$1,'Secondary Rolls'!$A$3:$BE$25, 13, FALSE)</f>
        <v>128</v>
      </c>
      <c r="W17" s="272">
        <f>VLOOKUP($A$1,'Secondary Rolls'!$A$3:$BE$25, 14, FALSE)</f>
        <v>104</v>
      </c>
      <c r="X17" s="116">
        <f t="shared" si="0"/>
        <v>811</v>
      </c>
    </row>
    <row r="18" spans="1:27" ht="15.75" thickBot="1" x14ac:dyDescent="0.3">
      <c r="A18" s="25">
        <f>VLOOKUP($A$12,'S1 Catchment Analysis'!A2:I2, 2, FALSE)</f>
        <v>2018</v>
      </c>
      <c r="B18" s="19">
        <f>VLOOKUP($A$1,'Primary Catchment Analysis'!$A$3:$BE$25, 2, FALSE)</f>
        <v>189</v>
      </c>
      <c r="C18" s="45">
        <f>VLOOKUP($A$1,'Primary Catchment Analysis'!$A$3:$BE$25, 3, FALSE)</f>
        <v>196</v>
      </c>
      <c r="D18" s="44">
        <f>VLOOKUP($A$1,'Primary Catchment Analysis'!$A$3:$BE$25, 4, FALSE)</f>
        <v>197</v>
      </c>
      <c r="E18" s="19">
        <f>VLOOKUP($A$1,'Primary Catchment Analysis'!$A$3:$BE$25, 5, FALSE)</f>
        <v>170</v>
      </c>
      <c r="F18" s="45">
        <f>VLOOKUP($A$1,'Primary Catchment Analysis'!$A$3:$BE$25, 6, FALSE)</f>
        <v>184</v>
      </c>
      <c r="G18" s="273">
        <f>VLOOKUP($A$1,'Primary Catchment Analysis'!$A$3:$BE$25, 7, FALSE)</f>
        <v>160</v>
      </c>
      <c r="H18" s="274">
        <f>VLOOKUP($A$1,'Primary Catchment Analysis'!$A$3:$BE$25, 8, FALSE)</f>
        <v>147</v>
      </c>
      <c r="I18" s="32">
        <f>VLOOKUP($A$1,'S1 Catchment Analysis'!A3:I25, 2, FALSE)</f>
        <v>134</v>
      </c>
      <c r="J18" s="23"/>
      <c r="K18" s="400">
        <f>VLOOKUP($A$1,'S1 Catchment Retained'!A2:I25, 2, FALSE)</f>
        <v>117</v>
      </c>
      <c r="L18" s="424"/>
      <c r="M18" s="58">
        <f t="shared" si="1"/>
        <v>0.87313432835820892</v>
      </c>
      <c r="N18" s="50"/>
      <c r="O18" s="105">
        <f t="shared" si="2"/>
        <v>34</v>
      </c>
      <c r="P18" s="50"/>
      <c r="Q18" s="25">
        <f t="shared" si="3"/>
        <v>2018</v>
      </c>
      <c r="R18" s="68">
        <f>VLOOKUP($A$1,'Secondary Rolls'!$A$3:$BE$25, 2, FALSE)</f>
        <v>151</v>
      </c>
      <c r="S18" s="67">
        <f>VLOOKUP($A$1,'Secondary Rolls'!$A$3:$BE$25, 3, FALSE)</f>
        <v>145</v>
      </c>
      <c r="T18" s="69">
        <f>VLOOKUP($A$1,'Secondary Rolls'!$A$3:$BE$25, 4, FALSE)</f>
        <v>157</v>
      </c>
      <c r="U18" s="68">
        <f>VLOOKUP($A$1,'Secondary Rolls'!$A$3:$BE$25, 5, FALSE)</f>
        <v>135</v>
      </c>
      <c r="V18" s="67">
        <f>VLOOKUP($A$1,'Secondary Rolls'!$A$3:$BE$25, 6, FALSE)</f>
        <v>142</v>
      </c>
      <c r="W18" s="69">
        <f>VLOOKUP($A$1,'Secondary Rolls'!$A$3:$BE$25, 7, FALSE)</f>
        <v>91</v>
      </c>
      <c r="X18" s="53">
        <f t="shared" ref="X18" si="4">SUM(R18:W18)</f>
        <v>821</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7.0251233913305317E-3</v>
      </c>
      <c r="D20" s="40">
        <f t="shared" ref="D20:I20" si="5">AVERAGE(((C15-D16)/C15),((C16-D17)/C16),((C17-D18)/C17))</f>
        <v>1.5407922371184489E-2</v>
      </c>
      <c r="E20" s="40">
        <f t="shared" si="5"/>
        <v>1.288727612257024E-2</v>
      </c>
      <c r="F20" s="40">
        <f t="shared" si="5"/>
        <v>2.9140061734585856E-2</v>
      </c>
      <c r="G20" s="40">
        <f t="shared" si="5"/>
        <v>5.4843394136943939E-2</v>
      </c>
      <c r="H20" s="40">
        <f t="shared" si="5"/>
        <v>4.8270571607215096E-2</v>
      </c>
      <c r="I20" s="40">
        <f t="shared" si="5"/>
        <v>3.8934426229508191E-2</v>
      </c>
      <c r="K20" s="389">
        <f>AVERAGE(M16:M18)</f>
        <v>0.8900630304528897</v>
      </c>
      <c r="L20" s="390"/>
      <c r="M20" s="391"/>
      <c r="O20" s="51">
        <f>ROUNDUP((AVERAGE(O16:O18)),0)</f>
        <v>41</v>
      </c>
      <c r="T20" s="388"/>
      <c r="U20" s="388"/>
      <c r="V20" s="40">
        <f>AVERAGE(((U15-V16)/U15),((U16-V17)/U16),((U17-V18)/U17))</f>
        <v>0.1206401766004415</v>
      </c>
      <c r="W20" s="40">
        <f>AVERAGE(((V15-W16)/V15),((V16-W17)/V16),((V17-W18)/V17))</f>
        <v>0.23746360189374896</v>
      </c>
    </row>
    <row r="21" spans="1:27" x14ac:dyDescent="0.25">
      <c r="A21" s="21"/>
      <c r="K21" s="59"/>
      <c r="L21" s="59"/>
    </row>
    <row r="22" spans="1:27" x14ac:dyDescent="0.25">
      <c r="A22" s="21" t="s">
        <v>302</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Projections'!C83+'P1 Catchment Projections'!C84+'P1 Catchment Projections'!C85</f>
        <v>183</v>
      </c>
      <c r="C24" s="34">
        <f>ROUNDUP((B18-(B18*$C$20)),0)</f>
        <v>188</v>
      </c>
      <c r="D24" s="42">
        <f>ROUNDUP((C18-(C18*$D$20)),0)</f>
        <v>193</v>
      </c>
      <c r="E24" s="43">
        <f>ROUNDUP((D18-(D18*$E$20)),0)</f>
        <v>195</v>
      </c>
      <c r="F24" s="41">
        <f>ROUNDUP((E18-(E18*$F$20)),0)</f>
        <v>166</v>
      </c>
      <c r="G24" s="42">
        <f>ROUNDUP((F18-(F18*$G$20)),0)</f>
        <v>174</v>
      </c>
      <c r="H24" s="43">
        <f>ROUNDUP((G18-(G18*$H$20)),0)</f>
        <v>153</v>
      </c>
      <c r="I24" s="99">
        <f>ROUNDUP((H18-(H18*$I$20)),0)</f>
        <v>142</v>
      </c>
      <c r="J24" s="23"/>
      <c r="K24" s="59"/>
      <c r="L24" s="59"/>
      <c r="Z24" s="109"/>
      <c r="AA24" s="109"/>
    </row>
    <row r="25" spans="1:27" x14ac:dyDescent="0.25">
      <c r="A25" s="25">
        <f>A24+1</f>
        <v>2020</v>
      </c>
      <c r="B25" s="37">
        <f>'P1 Catchment Projections'!D83+'P1 Catchment Projections'!D84+'P1 Catchment Projections'!D85</f>
        <v>180</v>
      </c>
      <c r="C25" s="34">
        <f t="shared" ref="C25:C37" si="6">ROUNDUP((B24-(B24*$C$20)),0)</f>
        <v>182</v>
      </c>
      <c r="D25" s="34">
        <f t="shared" ref="D25:D37" si="7">ROUNDUP((C24-(C24*$D$20)),0)</f>
        <v>186</v>
      </c>
      <c r="E25" s="42">
        <f t="shared" ref="E25:E37" si="8">ROUNDUP((D24-(D24*$E$20)),0)</f>
        <v>191</v>
      </c>
      <c r="F25" s="43">
        <f t="shared" ref="F25:F37" si="9">ROUNDUP((E24-(E24*$F$20)),0)</f>
        <v>190</v>
      </c>
      <c r="G25" s="41">
        <f t="shared" ref="G25:G37" si="10">ROUNDUP((F24-(F24*$G$20)),0)</f>
        <v>157</v>
      </c>
      <c r="H25" s="42">
        <f t="shared" ref="H25:H37" si="11">ROUNDUP((G24-(G24*$H$20)),0)</f>
        <v>166</v>
      </c>
      <c r="I25" s="99">
        <f t="shared" ref="I25:I37" si="12">ROUNDUP((H24-(H24*$I$20)),0)</f>
        <v>148</v>
      </c>
      <c r="J25" s="23"/>
      <c r="K25" s="59"/>
      <c r="L25" s="59"/>
      <c r="Z25" s="109"/>
      <c r="AA25" s="109"/>
    </row>
    <row r="26" spans="1:27" x14ac:dyDescent="0.25">
      <c r="A26" s="25">
        <f>A25+1</f>
        <v>2021</v>
      </c>
      <c r="B26" s="37">
        <f>'P1 Catchment Projections'!E83+'P1 Catchment Projections'!E84+'P1 Catchment Projections'!E85</f>
        <v>146</v>
      </c>
      <c r="C26" s="34">
        <f t="shared" si="6"/>
        <v>179</v>
      </c>
      <c r="D26" s="34">
        <f t="shared" si="7"/>
        <v>180</v>
      </c>
      <c r="E26" s="34">
        <f t="shared" si="8"/>
        <v>184</v>
      </c>
      <c r="F26" s="42">
        <f t="shared" si="9"/>
        <v>186</v>
      </c>
      <c r="G26" s="43">
        <f t="shared" si="10"/>
        <v>180</v>
      </c>
      <c r="H26" s="41">
        <f t="shared" si="11"/>
        <v>150</v>
      </c>
      <c r="I26" s="99">
        <f t="shared" si="12"/>
        <v>160</v>
      </c>
      <c r="J26" s="23"/>
      <c r="K26" s="59"/>
      <c r="L26" s="59"/>
      <c r="Z26" s="109"/>
      <c r="AA26" s="109"/>
    </row>
    <row r="27" spans="1:27" x14ac:dyDescent="0.25">
      <c r="A27" s="25">
        <f>A26+1</f>
        <v>2022</v>
      </c>
      <c r="B27" s="37">
        <f>'P1 Catchment Projections'!F83+'P1 Catchment Projections'!F84+'P1 Catchment Projections'!F85</f>
        <v>160</v>
      </c>
      <c r="C27" s="34">
        <f t="shared" si="6"/>
        <v>145</v>
      </c>
      <c r="D27" s="34">
        <f t="shared" si="7"/>
        <v>177</v>
      </c>
      <c r="E27" s="34">
        <f t="shared" si="8"/>
        <v>178</v>
      </c>
      <c r="F27" s="34">
        <f t="shared" si="9"/>
        <v>179</v>
      </c>
      <c r="G27" s="42">
        <f t="shared" si="10"/>
        <v>176</v>
      </c>
      <c r="H27" s="43">
        <f t="shared" si="11"/>
        <v>172</v>
      </c>
      <c r="I27" s="99">
        <f t="shared" si="12"/>
        <v>145</v>
      </c>
      <c r="J27" s="23"/>
      <c r="K27" s="59"/>
      <c r="L27" s="59"/>
      <c r="Z27" s="109"/>
      <c r="AA27" s="109"/>
    </row>
    <row r="28" spans="1:27" x14ac:dyDescent="0.25">
      <c r="A28" s="25">
        <f t="shared" ref="A28:A37" si="13">A27+1</f>
        <v>2023</v>
      </c>
      <c r="B28" s="37">
        <f>'P1 Catchment Projections'!G83+'P1 Catchment Projections'!G84+'P1 Catchment Projections'!G85</f>
        <v>163</v>
      </c>
      <c r="C28" s="34">
        <f t="shared" si="6"/>
        <v>159</v>
      </c>
      <c r="D28" s="34">
        <f t="shared" si="7"/>
        <v>143</v>
      </c>
      <c r="E28" s="34">
        <f t="shared" si="8"/>
        <v>175</v>
      </c>
      <c r="F28" s="34">
        <f t="shared" si="9"/>
        <v>173</v>
      </c>
      <c r="G28" s="34">
        <f t="shared" si="10"/>
        <v>170</v>
      </c>
      <c r="H28" s="42">
        <f t="shared" si="11"/>
        <v>168</v>
      </c>
      <c r="I28" s="99">
        <f t="shared" si="12"/>
        <v>166</v>
      </c>
      <c r="J28" s="23"/>
      <c r="K28" s="59"/>
      <c r="L28" s="59"/>
      <c r="Z28" s="109"/>
      <c r="AA28" s="109"/>
    </row>
    <row r="29" spans="1:27" x14ac:dyDescent="0.25">
      <c r="A29" s="25">
        <f t="shared" si="13"/>
        <v>2024</v>
      </c>
      <c r="B29" s="37">
        <f>'P1 Catchment Projections'!H83+'P1 Catchment Projections'!H84+'P1 Catchment Projections'!H85</f>
        <v>166</v>
      </c>
      <c r="C29" s="34">
        <f t="shared" si="6"/>
        <v>162</v>
      </c>
      <c r="D29" s="34">
        <f t="shared" si="7"/>
        <v>157</v>
      </c>
      <c r="E29" s="34">
        <f t="shared" si="8"/>
        <v>142</v>
      </c>
      <c r="F29" s="34">
        <f t="shared" si="9"/>
        <v>170</v>
      </c>
      <c r="G29" s="34">
        <f t="shared" si="10"/>
        <v>164</v>
      </c>
      <c r="H29" s="34">
        <f t="shared" si="11"/>
        <v>162</v>
      </c>
      <c r="I29" s="99">
        <f t="shared" si="12"/>
        <v>162</v>
      </c>
      <c r="K29" s="59"/>
      <c r="L29" s="59"/>
      <c r="Z29" s="109"/>
      <c r="AA29" s="109"/>
    </row>
    <row r="30" spans="1:27" x14ac:dyDescent="0.25">
      <c r="A30" s="25">
        <f t="shared" si="13"/>
        <v>2025</v>
      </c>
      <c r="B30" s="37">
        <f>'P1 Catchment Projections'!I83+'P1 Catchment Projections'!I84+'P1 Catchment Projections'!I85</f>
        <v>168</v>
      </c>
      <c r="C30" s="34">
        <f t="shared" si="6"/>
        <v>165</v>
      </c>
      <c r="D30" s="34">
        <f t="shared" si="7"/>
        <v>160</v>
      </c>
      <c r="E30" s="34">
        <f t="shared" si="8"/>
        <v>155</v>
      </c>
      <c r="F30" s="34">
        <f t="shared" si="9"/>
        <v>138</v>
      </c>
      <c r="G30" s="34">
        <f t="shared" si="10"/>
        <v>161</v>
      </c>
      <c r="H30" s="34">
        <f t="shared" si="11"/>
        <v>157</v>
      </c>
      <c r="I30" s="99">
        <f t="shared" si="12"/>
        <v>156</v>
      </c>
      <c r="K30" s="59"/>
      <c r="L30" s="59"/>
      <c r="Z30" s="109"/>
      <c r="AA30" s="109"/>
    </row>
    <row r="31" spans="1:27" x14ac:dyDescent="0.25">
      <c r="A31" s="25">
        <f t="shared" si="13"/>
        <v>2026</v>
      </c>
      <c r="B31" s="37">
        <f>'P1 Catchment Projections'!J83+'P1 Catchment Projections'!J84+'P1 Catchment Projections'!J85</f>
        <v>171</v>
      </c>
      <c r="C31" s="34">
        <f t="shared" si="6"/>
        <v>167</v>
      </c>
      <c r="D31" s="34">
        <f t="shared" si="7"/>
        <v>163</v>
      </c>
      <c r="E31" s="34">
        <f t="shared" si="8"/>
        <v>158</v>
      </c>
      <c r="F31" s="34">
        <f t="shared" si="9"/>
        <v>151</v>
      </c>
      <c r="G31" s="34">
        <f t="shared" si="10"/>
        <v>131</v>
      </c>
      <c r="H31" s="34">
        <f t="shared" si="11"/>
        <v>154</v>
      </c>
      <c r="I31" s="99">
        <f t="shared" si="12"/>
        <v>151</v>
      </c>
      <c r="K31" s="59"/>
      <c r="L31" s="59"/>
      <c r="Z31" s="109"/>
      <c r="AA31" s="109"/>
    </row>
    <row r="32" spans="1:27" x14ac:dyDescent="0.25">
      <c r="A32" s="25">
        <f t="shared" si="13"/>
        <v>2027</v>
      </c>
      <c r="B32" s="37">
        <f>'P1 Catchment Projections'!K83+'P1 Catchment Projections'!K84+'P1 Catchment Projections'!K85</f>
        <v>172</v>
      </c>
      <c r="C32" s="34">
        <f t="shared" si="6"/>
        <v>170</v>
      </c>
      <c r="D32" s="34">
        <f t="shared" si="7"/>
        <v>165</v>
      </c>
      <c r="E32" s="34">
        <f t="shared" si="8"/>
        <v>161</v>
      </c>
      <c r="F32" s="34">
        <f t="shared" si="9"/>
        <v>154</v>
      </c>
      <c r="G32" s="34">
        <f t="shared" si="10"/>
        <v>143</v>
      </c>
      <c r="H32" s="34">
        <f t="shared" si="11"/>
        <v>125</v>
      </c>
      <c r="I32" s="99">
        <f t="shared" si="12"/>
        <v>149</v>
      </c>
      <c r="K32" s="59"/>
      <c r="L32" s="59"/>
      <c r="Z32" s="109"/>
      <c r="AA32" s="109"/>
    </row>
    <row r="33" spans="1:24" x14ac:dyDescent="0.25">
      <c r="A33" s="25">
        <f t="shared" si="13"/>
        <v>2028</v>
      </c>
      <c r="B33" s="37">
        <f>'P1 Catchment Projections'!L83+'P1 Catchment Projections'!L84+'P1 Catchment Projections'!L85</f>
        <v>172</v>
      </c>
      <c r="C33" s="34">
        <f t="shared" si="6"/>
        <v>171</v>
      </c>
      <c r="D33" s="34">
        <f t="shared" si="7"/>
        <v>168</v>
      </c>
      <c r="E33" s="34">
        <f t="shared" si="8"/>
        <v>163</v>
      </c>
      <c r="F33" s="34">
        <f t="shared" si="9"/>
        <v>157</v>
      </c>
      <c r="G33" s="34">
        <f t="shared" si="10"/>
        <v>146</v>
      </c>
      <c r="H33" s="34">
        <f t="shared" si="11"/>
        <v>137</v>
      </c>
      <c r="I33" s="99">
        <f t="shared" si="12"/>
        <v>121</v>
      </c>
      <c r="K33" s="59"/>
      <c r="L33" s="59"/>
    </row>
    <row r="34" spans="1:24" x14ac:dyDescent="0.25">
      <c r="A34" s="25">
        <f t="shared" si="13"/>
        <v>2029</v>
      </c>
      <c r="B34" s="37">
        <f>'P1 Catchment Projections'!M83+'P1 Catchment Projections'!M84+'P1 Catchment Projections'!M85</f>
        <v>172</v>
      </c>
      <c r="C34" s="34">
        <f t="shared" si="6"/>
        <v>171</v>
      </c>
      <c r="D34" s="34">
        <f t="shared" si="7"/>
        <v>169</v>
      </c>
      <c r="E34" s="34">
        <f t="shared" si="8"/>
        <v>166</v>
      </c>
      <c r="F34" s="34">
        <f t="shared" si="9"/>
        <v>159</v>
      </c>
      <c r="G34" s="34">
        <f t="shared" si="10"/>
        <v>149</v>
      </c>
      <c r="H34" s="34">
        <f t="shared" si="11"/>
        <v>139</v>
      </c>
      <c r="I34" s="99">
        <f t="shared" si="12"/>
        <v>132</v>
      </c>
      <c r="K34" s="59"/>
      <c r="L34" s="59"/>
    </row>
    <row r="35" spans="1:24" x14ac:dyDescent="0.25">
      <c r="A35" s="25">
        <f t="shared" si="13"/>
        <v>2030</v>
      </c>
      <c r="B35" s="37">
        <f>'P1 Catchment Projections'!N83+'P1 Catchment Projections'!N84+'P1 Catchment Projections'!N85</f>
        <v>173</v>
      </c>
      <c r="C35" s="34">
        <f t="shared" si="6"/>
        <v>171</v>
      </c>
      <c r="D35" s="34">
        <f t="shared" si="7"/>
        <v>169</v>
      </c>
      <c r="E35" s="34">
        <f t="shared" si="8"/>
        <v>167</v>
      </c>
      <c r="F35" s="34">
        <f t="shared" si="9"/>
        <v>162</v>
      </c>
      <c r="G35" s="34">
        <f t="shared" si="10"/>
        <v>151</v>
      </c>
      <c r="H35" s="34">
        <f t="shared" si="11"/>
        <v>142</v>
      </c>
      <c r="I35" s="99">
        <f t="shared" si="12"/>
        <v>134</v>
      </c>
      <c r="K35" s="59"/>
      <c r="L35" s="59"/>
    </row>
    <row r="36" spans="1:24" x14ac:dyDescent="0.25">
      <c r="A36" s="25">
        <f t="shared" si="13"/>
        <v>2031</v>
      </c>
      <c r="B36" s="37">
        <f>'P1 Catchment Projections'!O83+'P1 Catchment Projections'!O84+'P1 Catchment Projections'!O85</f>
        <v>173</v>
      </c>
      <c r="C36" s="34">
        <f t="shared" si="6"/>
        <v>172</v>
      </c>
      <c r="D36" s="34">
        <f t="shared" si="7"/>
        <v>169</v>
      </c>
      <c r="E36" s="34">
        <f t="shared" si="8"/>
        <v>167</v>
      </c>
      <c r="F36" s="34">
        <f t="shared" si="9"/>
        <v>163</v>
      </c>
      <c r="G36" s="34">
        <f t="shared" si="10"/>
        <v>154</v>
      </c>
      <c r="H36" s="34">
        <f t="shared" si="11"/>
        <v>144</v>
      </c>
      <c r="I36" s="99">
        <f t="shared" si="12"/>
        <v>137</v>
      </c>
      <c r="K36" s="59"/>
      <c r="L36" s="59"/>
    </row>
    <row r="37" spans="1:24" x14ac:dyDescent="0.25">
      <c r="A37" s="25">
        <f t="shared" si="13"/>
        <v>2032</v>
      </c>
      <c r="B37" s="37">
        <f>'P1 Catchment Projections'!P83+'P1 Catchment Projections'!P84+'P1 Catchment Projections'!P85</f>
        <v>173</v>
      </c>
      <c r="C37" s="34">
        <f t="shared" si="6"/>
        <v>172</v>
      </c>
      <c r="D37" s="34">
        <f t="shared" si="7"/>
        <v>170</v>
      </c>
      <c r="E37" s="34">
        <f t="shared" si="8"/>
        <v>167</v>
      </c>
      <c r="F37" s="34">
        <f t="shared" si="9"/>
        <v>163</v>
      </c>
      <c r="G37" s="34">
        <f t="shared" si="10"/>
        <v>155</v>
      </c>
      <c r="H37" s="34">
        <f t="shared" si="11"/>
        <v>147</v>
      </c>
      <c r="I37" s="99">
        <f t="shared" si="12"/>
        <v>139</v>
      </c>
      <c r="K37" s="59"/>
      <c r="L37" s="59"/>
    </row>
    <row r="38" spans="1:24" x14ac:dyDescent="0.25">
      <c r="K38" s="59"/>
      <c r="L38" s="59"/>
    </row>
    <row r="39" spans="1:24" x14ac:dyDescent="0.25">
      <c r="A39" s="21" t="s">
        <v>302</v>
      </c>
      <c r="K39" s="394" t="s">
        <v>190</v>
      </c>
      <c r="L39" s="55"/>
      <c r="M39" s="394" t="s">
        <v>203</v>
      </c>
      <c r="N39" s="106"/>
      <c r="O39" s="395" t="s">
        <v>204</v>
      </c>
      <c r="R39" s="21" t="s">
        <v>303</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186</v>
      </c>
      <c r="C41" s="34">
        <f>C24+VLOOKUP($A$1,'Pri Housing Generation'!$A$96:$DQ$118, 11, FALSE)</f>
        <v>190</v>
      </c>
      <c r="D41" s="42">
        <f>D24+VLOOKUP($A$1,'Pri Housing Generation'!$A$96:$DQ$118, 12, FALSE)</f>
        <v>194</v>
      </c>
      <c r="E41" s="43">
        <f>E24+VLOOKUP($A$1,'Pri Housing Generation'!$A$96:$DQ$118, 13, FALSE)</f>
        <v>195</v>
      </c>
      <c r="F41" s="41">
        <f>F24+VLOOKUP($A$1,'Pri Housing Generation'!$A$96:$DQ$118, 14, FALSE)</f>
        <v>166</v>
      </c>
      <c r="G41" s="42">
        <f>G24+VLOOKUP($A$1,'Pri Housing Generation'!$A$96:$DQ$118, 15, FALSE)</f>
        <v>174</v>
      </c>
      <c r="H41" s="43">
        <f>H24+VLOOKUP($A$1,'Pri Housing Generation'!$A$96:$DQ$118, 16, FALSE)</f>
        <v>153</v>
      </c>
      <c r="I41" s="99">
        <f>ROUNDUP((H18-(H18*$I$20)),0)</f>
        <v>142</v>
      </c>
      <c r="K41" s="35">
        <f>'Sec Housing Generation'!I23</f>
        <v>1</v>
      </c>
      <c r="L41" s="83"/>
      <c r="M41" s="107">
        <f>K20+0.0061</f>
        <v>0.8961630304528897</v>
      </c>
      <c r="O41" s="35">
        <f t="shared" ref="O41:O54" si="14">ROUNDUP(((I41+K41)*M41),0)</f>
        <v>129</v>
      </c>
      <c r="Q41" s="25">
        <f>A41</f>
        <v>2019</v>
      </c>
      <c r="R41" s="20">
        <f t="shared" ref="R41:R54" si="15">IF(O41&lt;$C$7,(IF((O41+$O$20)&gt;$C$7,$C$7,(O41+$O$20))),(IF((O41+$O$20)&lt;(CEILING((O41),20)),(O41+$O$20),(CEILING((O41),20)))))</f>
        <v>170</v>
      </c>
      <c r="S41" s="53">
        <f>R18</f>
        <v>151</v>
      </c>
      <c r="T41" s="67">
        <f>S18</f>
        <v>145</v>
      </c>
      <c r="U41" s="69">
        <f>T18</f>
        <v>157</v>
      </c>
      <c r="V41" s="41">
        <f>ROUNDUP((U18-(U18*$V$20)),0)</f>
        <v>119</v>
      </c>
      <c r="W41" s="42">
        <f>ROUNDUP((V18-(V18*$W$20)),0)</f>
        <v>109</v>
      </c>
      <c r="X41" s="101">
        <f t="shared" ref="X41:X54" si="16">SUM(R41:W41)</f>
        <v>851</v>
      </c>
    </row>
    <row r="42" spans="1:24" x14ac:dyDescent="0.25">
      <c r="A42" s="25">
        <f t="shared" ref="A42:A54" si="17">A25</f>
        <v>2020</v>
      </c>
      <c r="B42" s="37">
        <f>B25+VLOOKUP($A$1,'Pri Housing Generation'!$A$96:$DQ$118, 18, FALSE)</f>
        <v>184</v>
      </c>
      <c r="C42" s="34">
        <f>C25+VLOOKUP($A$1,'Pri Housing Generation'!$A$96:$DQ$118, 19, FALSE)</f>
        <v>185</v>
      </c>
      <c r="D42" s="34">
        <f>D25+VLOOKUP($A$1,'Pri Housing Generation'!$A$96:$DQ$118, 20, FALSE)</f>
        <v>188</v>
      </c>
      <c r="E42" s="42">
        <f>E25+VLOOKUP($A$1,'Pri Housing Generation'!$A$96:$DQ$118, 21, FALSE)</f>
        <v>193</v>
      </c>
      <c r="F42" s="43">
        <f>F25+VLOOKUP($A$1,'Pri Housing Generation'!$A$96:$DQ$118, 22, FALSE)</f>
        <v>192</v>
      </c>
      <c r="G42" s="41">
        <f>G25+VLOOKUP($A$1,'Pri Housing Generation'!$A$96:$DQ$118, 23, FALSE)</f>
        <v>158</v>
      </c>
      <c r="H42" s="42">
        <f>H25+VLOOKUP($A$1,'Pri Housing Generation'!$A$96:$DQ$118, 24, FALSE)</f>
        <v>167</v>
      </c>
      <c r="I42" s="99">
        <f t="shared" ref="I42:I54" si="18">ROUNDUP((H41-(H41*$I$20)),0)</f>
        <v>148</v>
      </c>
      <c r="K42" s="35">
        <f>'Sec Housing Generation'!P23</f>
        <v>2</v>
      </c>
      <c r="L42" s="83"/>
      <c r="M42" s="107">
        <f t="shared" ref="M42:M53" si="19">M41+0.0061</f>
        <v>0.90226303045288969</v>
      </c>
      <c r="O42" s="35">
        <f t="shared" si="14"/>
        <v>136</v>
      </c>
      <c r="Q42" s="25">
        <f t="shared" ref="Q42:Q54" si="20">A42</f>
        <v>2020</v>
      </c>
      <c r="R42" s="20">
        <f t="shared" si="15"/>
        <v>177</v>
      </c>
      <c r="S42" s="53">
        <f t="shared" ref="S42:U54" si="21">R41</f>
        <v>170</v>
      </c>
      <c r="T42" s="53">
        <f t="shared" si="21"/>
        <v>151</v>
      </c>
      <c r="U42" s="67">
        <f t="shared" si="21"/>
        <v>145</v>
      </c>
      <c r="V42" s="43">
        <f t="shared" ref="V42:V54" si="22">ROUNDUP((U41-(U41*$V$20)),0)</f>
        <v>139</v>
      </c>
      <c r="W42" s="41">
        <f t="shared" ref="W42:W54" si="23">ROUNDUP((V41-(V41*$W$20)),0)</f>
        <v>91</v>
      </c>
      <c r="X42" s="101">
        <f t="shared" si="16"/>
        <v>873</v>
      </c>
    </row>
    <row r="43" spans="1:24" x14ac:dyDescent="0.25">
      <c r="A43" s="25">
        <f t="shared" si="17"/>
        <v>2021</v>
      </c>
      <c r="B43" s="37">
        <f>B26+VLOOKUP($A$1,'Pri Housing Generation'!$A$96:$DQ$118, 26, FALSE)</f>
        <v>152</v>
      </c>
      <c r="C43" s="34">
        <f>C26+VLOOKUP($A$1,'Pri Housing Generation'!$A$96:$DQ$118, 27, FALSE)</f>
        <v>184</v>
      </c>
      <c r="D43" s="34">
        <f>D26+VLOOKUP($A$1,'Pri Housing Generation'!$A$96:$DQ$118, 28, FALSE)</f>
        <v>183</v>
      </c>
      <c r="E43" s="34">
        <f>E26+VLOOKUP($A$1,'Pri Housing Generation'!$A$96:$DQ$118, 29, FALSE)</f>
        <v>187</v>
      </c>
      <c r="F43" s="42">
        <f>F26+VLOOKUP($A$1,'Pri Housing Generation'!$A$96:$DQ$118, 30, FALSE)</f>
        <v>189</v>
      </c>
      <c r="G43" s="43">
        <f>G26+VLOOKUP($A$1,'Pri Housing Generation'!$A$96:$DQ$118, 31, FALSE)</f>
        <v>183</v>
      </c>
      <c r="H43" s="41">
        <f>H26+VLOOKUP($A$1,'Pri Housing Generation'!$A$96:$DQ$118, 32, FALSE)</f>
        <v>153</v>
      </c>
      <c r="I43" s="99">
        <f t="shared" si="18"/>
        <v>161</v>
      </c>
      <c r="K43" s="35">
        <f>'Sec Housing Generation'!W23</f>
        <v>3</v>
      </c>
      <c r="L43" s="83"/>
      <c r="M43" s="107">
        <f t="shared" si="19"/>
        <v>0.90836303045288969</v>
      </c>
      <c r="O43" s="35">
        <f t="shared" si="14"/>
        <v>149</v>
      </c>
      <c r="Q43" s="25">
        <f t="shared" si="20"/>
        <v>2021</v>
      </c>
      <c r="R43" s="20">
        <f t="shared" si="15"/>
        <v>180</v>
      </c>
      <c r="S43" s="53">
        <f t="shared" si="21"/>
        <v>177</v>
      </c>
      <c r="T43" s="53">
        <f t="shared" si="21"/>
        <v>170</v>
      </c>
      <c r="U43" s="53">
        <f t="shared" si="21"/>
        <v>151</v>
      </c>
      <c r="V43" s="42">
        <f t="shared" si="22"/>
        <v>128</v>
      </c>
      <c r="W43" s="43">
        <f t="shared" si="23"/>
        <v>106</v>
      </c>
      <c r="X43" s="101">
        <f t="shared" si="16"/>
        <v>912</v>
      </c>
    </row>
    <row r="44" spans="1:24" x14ac:dyDescent="0.25">
      <c r="A44" s="25">
        <f t="shared" si="17"/>
        <v>2022</v>
      </c>
      <c r="B44" s="37">
        <f>B27+VLOOKUP($A$1,'Pri Housing Generation'!$A$96:$DQ$118, 34, FALSE)</f>
        <v>167</v>
      </c>
      <c r="C44" s="34">
        <f>C27+VLOOKUP($A$1,'Pri Housing Generation'!$A$96:$DQ$118, 35, FALSE)</f>
        <v>151</v>
      </c>
      <c r="D44" s="34">
        <f>D27+VLOOKUP($A$1,'Pri Housing Generation'!$A$96:$DQ$118, 36, FALSE)</f>
        <v>182</v>
      </c>
      <c r="E44" s="34">
        <f>E27+VLOOKUP($A$1,'Pri Housing Generation'!$A$96:$DQ$118, 37, FALSE)</f>
        <v>183</v>
      </c>
      <c r="F44" s="34">
        <f>F27+VLOOKUP($A$1,'Pri Housing Generation'!$A$96:$DQ$118, 38, FALSE)</f>
        <v>184</v>
      </c>
      <c r="G44" s="42">
        <f>G27+VLOOKUP($A$1,'Pri Housing Generation'!$A$96:$DQ$118, 39, FALSE)</f>
        <v>181</v>
      </c>
      <c r="H44" s="43">
        <f>H27+VLOOKUP($A$1,'Pri Housing Generation'!$A$96:$DQ$118, 40, FALSE)</f>
        <v>177</v>
      </c>
      <c r="I44" s="99">
        <f t="shared" si="18"/>
        <v>148</v>
      </c>
      <c r="K44" s="35">
        <f>'Sec Housing Generation'!AD23</f>
        <v>3</v>
      </c>
      <c r="L44" s="83"/>
      <c r="M44" s="107">
        <f t="shared" si="19"/>
        <v>0.91446303045288968</v>
      </c>
      <c r="O44" s="35">
        <f t="shared" si="14"/>
        <v>139</v>
      </c>
      <c r="Q44" s="25">
        <f t="shared" si="20"/>
        <v>2022</v>
      </c>
      <c r="R44" s="20">
        <f t="shared" si="15"/>
        <v>180</v>
      </c>
      <c r="S44" s="53">
        <f t="shared" si="21"/>
        <v>180</v>
      </c>
      <c r="T44" s="53">
        <f t="shared" si="21"/>
        <v>177</v>
      </c>
      <c r="U44" s="53">
        <f t="shared" si="21"/>
        <v>170</v>
      </c>
      <c r="V44" s="34">
        <f t="shared" si="22"/>
        <v>133</v>
      </c>
      <c r="W44" s="42">
        <f t="shared" si="23"/>
        <v>98</v>
      </c>
      <c r="X44" s="101">
        <f t="shared" si="16"/>
        <v>938</v>
      </c>
    </row>
    <row r="45" spans="1:24" x14ac:dyDescent="0.25">
      <c r="A45" s="25">
        <f t="shared" si="17"/>
        <v>2023</v>
      </c>
      <c r="B45" s="37">
        <f>B28+VLOOKUP($A$1,'Pri Housing Generation'!$A$96:$DQ$118, 42, FALSE)</f>
        <v>172</v>
      </c>
      <c r="C45" s="34">
        <f>C28+VLOOKUP($A$1,'Pri Housing Generation'!$A$96:$DQ$118, 43, FALSE)</f>
        <v>167</v>
      </c>
      <c r="D45" s="34">
        <f>D28+VLOOKUP($A$1,'Pri Housing Generation'!$A$96:$DQ$118, 44, FALSE)</f>
        <v>151</v>
      </c>
      <c r="E45" s="34">
        <f>E28+VLOOKUP($A$1,'Pri Housing Generation'!$A$96:$DQ$118, 45, FALSE)</f>
        <v>182</v>
      </c>
      <c r="F45" s="34">
        <f>F28+VLOOKUP($A$1,'Pri Housing Generation'!$A$96:$DQ$118, 46, FALSE)</f>
        <v>180</v>
      </c>
      <c r="G45" s="34">
        <f>G28+VLOOKUP($A$1,'Pri Housing Generation'!$A$96:$DQ$118, 47, FALSE)</f>
        <v>176</v>
      </c>
      <c r="H45" s="42">
        <f>H28+VLOOKUP($A$1,'Pri Housing Generation'!$A$96:$DQ$118, 48, FALSE)</f>
        <v>174</v>
      </c>
      <c r="I45" s="99">
        <f t="shared" si="18"/>
        <v>171</v>
      </c>
      <c r="J45" s="181"/>
      <c r="K45" s="35">
        <f>'Sec Housing Generation'!AK23</f>
        <v>5</v>
      </c>
      <c r="L45" s="83"/>
      <c r="M45" s="107">
        <f t="shared" si="19"/>
        <v>0.92056303045288967</v>
      </c>
      <c r="O45" s="35">
        <f t="shared" si="14"/>
        <v>163</v>
      </c>
      <c r="Q45" s="25">
        <f t="shared" si="20"/>
        <v>2023</v>
      </c>
      <c r="R45" s="20">
        <f t="shared" si="15"/>
        <v>180</v>
      </c>
      <c r="S45" s="53">
        <f t="shared" si="21"/>
        <v>180</v>
      </c>
      <c r="T45" s="53">
        <f t="shared" si="21"/>
        <v>180</v>
      </c>
      <c r="U45" s="53">
        <f t="shared" si="21"/>
        <v>177</v>
      </c>
      <c r="V45" s="34">
        <f t="shared" si="22"/>
        <v>150</v>
      </c>
      <c r="W45" s="34">
        <f t="shared" si="23"/>
        <v>102</v>
      </c>
      <c r="X45" s="101">
        <f t="shared" si="16"/>
        <v>969</v>
      </c>
    </row>
    <row r="46" spans="1:24" x14ac:dyDescent="0.25">
      <c r="A46" s="25">
        <f t="shared" si="17"/>
        <v>2024</v>
      </c>
      <c r="B46" s="37">
        <f>B29+VLOOKUP($A$1,'Pri Housing Generation'!$A$96:$DQ$118, 50, FALSE)</f>
        <v>178</v>
      </c>
      <c r="C46" s="34">
        <f>C29+VLOOKUP($A$1,'Pri Housing Generation'!$A$96:$DQ$118, 51, FALSE)</f>
        <v>172</v>
      </c>
      <c r="D46" s="34">
        <f>D29+VLOOKUP($A$1,'Pri Housing Generation'!$A$96:$DQ$118, 52, FALSE)</f>
        <v>167</v>
      </c>
      <c r="E46" s="34">
        <f>E29+VLOOKUP($A$1,'Pri Housing Generation'!$A$96:$DQ$118, 53, FALSE)</f>
        <v>152</v>
      </c>
      <c r="F46" s="34">
        <f>F29+VLOOKUP($A$1,'Pri Housing Generation'!$A$96:$DQ$118, 54, FALSE)</f>
        <v>180</v>
      </c>
      <c r="G46" s="34">
        <f>G29+VLOOKUP($A$1,'Pri Housing Generation'!$A$96:$DQ$118, 55, FALSE)</f>
        <v>174</v>
      </c>
      <c r="H46" s="34">
        <f>H29+VLOOKUP($A$1,'Pri Housing Generation'!$A$96:$DQ$118, 56, FALSE)</f>
        <v>171</v>
      </c>
      <c r="I46" s="99">
        <f t="shared" si="18"/>
        <v>168</v>
      </c>
      <c r="J46" s="181"/>
      <c r="K46" s="35">
        <f>'Sec Housing Generation'!AR23</f>
        <v>7</v>
      </c>
      <c r="L46" s="83"/>
      <c r="M46" s="107">
        <f t="shared" si="19"/>
        <v>0.92666303045288967</v>
      </c>
      <c r="O46" s="35">
        <f t="shared" si="14"/>
        <v>163</v>
      </c>
      <c r="Q46" s="25">
        <f t="shared" si="20"/>
        <v>2024</v>
      </c>
      <c r="R46" s="20">
        <f t="shared" si="15"/>
        <v>180</v>
      </c>
      <c r="S46" s="53">
        <f t="shared" si="21"/>
        <v>180</v>
      </c>
      <c r="T46" s="53">
        <f t="shared" si="21"/>
        <v>180</v>
      </c>
      <c r="U46" s="53">
        <f t="shared" si="21"/>
        <v>180</v>
      </c>
      <c r="V46" s="34">
        <f t="shared" si="22"/>
        <v>156</v>
      </c>
      <c r="W46" s="34">
        <f t="shared" si="23"/>
        <v>115</v>
      </c>
      <c r="X46" s="101">
        <f t="shared" si="16"/>
        <v>991</v>
      </c>
    </row>
    <row r="47" spans="1:24" x14ac:dyDescent="0.25">
      <c r="A47" s="25">
        <f t="shared" si="17"/>
        <v>2025</v>
      </c>
      <c r="B47" s="37">
        <f>B30+VLOOKUP($A$1,'Pri Housing Generation'!$A$96:$DQ$118, 58, FALSE)</f>
        <v>184</v>
      </c>
      <c r="C47" s="34">
        <f>C30+VLOOKUP($A$1,'Pri Housing Generation'!$A$96:$DQ$118, 59, FALSE)</f>
        <v>179</v>
      </c>
      <c r="D47" s="34">
        <f>D30+VLOOKUP($A$1,'Pri Housing Generation'!$A$96:$DQ$118, 60, FALSE)</f>
        <v>174</v>
      </c>
      <c r="E47" s="34">
        <f>E30+VLOOKUP($A$1,'Pri Housing Generation'!$A$96:$DQ$118, 61, FALSE)</f>
        <v>168</v>
      </c>
      <c r="F47" s="34">
        <f>F30+VLOOKUP($A$1,'Pri Housing Generation'!$A$96:$DQ$118, 62, FALSE)</f>
        <v>151</v>
      </c>
      <c r="G47" s="34">
        <f>G30+VLOOKUP($A$1,'Pri Housing Generation'!$A$96:$DQ$118, 63, FALSE)</f>
        <v>174</v>
      </c>
      <c r="H47" s="34">
        <f>H30+VLOOKUP($A$1,'Pri Housing Generation'!$A$96:$DQ$118, 64, FALSE)</f>
        <v>170</v>
      </c>
      <c r="I47" s="99">
        <f t="shared" si="18"/>
        <v>165</v>
      </c>
      <c r="J47" s="181"/>
      <c r="K47" s="83"/>
      <c r="L47" s="83"/>
      <c r="M47" s="107">
        <f t="shared" si="19"/>
        <v>0.93276303045288966</v>
      </c>
      <c r="O47" s="35">
        <f t="shared" si="14"/>
        <v>154</v>
      </c>
      <c r="Q47" s="25">
        <f t="shared" si="20"/>
        <v>2025</v>
      </c>
      <c r="R47" s="20">
        <f t="shared" si="15"/>
        <v>180</v>
      </c>
      <c r="S47" s="53">
        <f t="shared" si="21"/>
        <v>180</v>
      </c>
      <c r="T47" s="53">
        <f t="shared" si="21"/>
        <v>180</v>
      </c>
      <c r="U47" s="53">
        <f t="shared" si="21"/>
        <v>180</v>
      </c>
      <c r="V47" s="34">
        <f t="shared" si="22"/>
        <v>159</v>
      </c>
      <c r="W47" s="34">
        <f t="shared" si="23"/>
        <v>119</v>
      </c>
      <c r="X47" s="101">
        <f t="shared" si="16"/>
        <v>998</v>
      </c>
    </row>
    <row r="48" spans="1:24" x14ac:dyDescent="0.25">
      <c r="A48" s="25">
        <f t="shared" si="17"/>
        <v>2026</v>
      </c>
      <c r="B48" s="37">
        <f>B31+VLOOKUP($A$1,'Pri Housing Generation'!$A$96:$DQ$118, 66, FALSE)</f>
        <v>190</v>
      </c>
      <c r="C48" s="34">
        <f>C31+VLOOKUP($A$1,'Pri Housing Generation'!$A$96:$DQ$118, 67, FALSE)</f>
        <v>185</v>
      </c>
      <c r="D48" s="34">
        <f>D31+VLOOKUP($A$1,'Pri Housing Generation'!$A$96:$DQ$118, 68, FALSE)</f>
        <v>181</v>
      </c>
      <c r="E48" s="34">
        <f>E31+VLOOKUP($A$1,'Pri Housing Generation'!$A$96:$DQ$118, 69, FALSE)</f>
        <v>176</v>
      </c>
      <c r="F48" s="34">
        <f>F31+VLOOKUP($A$1,'Pri Housing Generation'!$A$96:$DQ$118, 70, FALSE)</f>
        <v>169</v>
      </c>
      <c r="G48" s="34">
        <f>G31+VLOOKUP($A$1,'Pri Housing Generation'!$A$96:$DQ$118, 71, FALSE)</f>
        <v>147</v>
      </c>
      <c r="H48" s="34">
        <f>H31+VLOOKUP($A$1,'Pri Housing Generation'!$A$96:$DQ$118, 72, FALSE)</f>
        <v>170</v>
      </c>
      <c r="I48" s="99">
        <f t="shared" si="18"/>
        <v>164</v>
      </c>
      <c r="J48" s="181"/>
      <c r="K48" s="83"/>
      <c r="L48" s="83"/>
      <c r="M48" s="107">
        <f t="shared" si="19"/>
        <v>0.93886303045288966</v>
      </c>
      <c r="O48" s="35">
        <f t="shared" si="14"/>
        <v>154</v>
      </c>
      <c r="Q48" s="25">
        <f t="shared" si="20"/>
        <v>2026</v>
      </c>
      <c r="R48" s="20">
        <f t="shared" si="15"/>
        <v>180</v>
      </c>
      <c r="S48" s="53">
        <f t="shared" si="21"/>
        <v>180</v>
      </c>
      <c r="T48" s="53">
        <f t="shared" si="21"/>
        <v>180</v>
      </c>
      <c r="U48" s="53">
        <f t="shared" si="21"/>
        <v>180</v>
      </c>
      <c r="V48" s="34">
        <f t="shared" si="22"/>
        <v>159</v>
      </c>
      <c r="W48" s="34">
        <f t="shared" si="23"/>
        <v>122</v>
      </c>
      <c r="X48" s="101">
        <f t="shared" si="16"/>
        <v>1001</v>
      </c>
    </row>
    <row r="49" spans="1:24" x14ac:dyDescent="0.25">
      <c r="A49" s="25">
        <f t="shared" si="17"/>
        <v>2027</v>
      </c>
      <c r="B49" s="37">
        <f>B32+VLOOKUP($A$1,'Pri Housing Generation'!$A$96:$DQ$118, 74, FALSE)</f>
        <v>195</v>
      </c>
      <c r="C49" s="34">
        <f>C32+VLOOKUP($A$1,'Pri Housing Generation'!$A$96:$DQ$118, 75, FALSE)</f>
        <v>192</v>
      </c>
      <c r="D49" s="34">
        <f>D32+VLOOKUP($A$1,'Pri Housing Generation'!$A$96:$DQ$118, 76, FALSE)</f>
        <v>186</v>
      </c>
      <c r="E49" s="34">
        <f>E32+VLOOKUP($A$1,'Pri Housing Generation'!$A$96:$DQ$118, 77, FALSE)</f>
        <v>182</v>
      </c>
      <c r="F49" s="34">
        <f>F32+VLOOKUP($A$1,'Pri Housing Generation'!$A$96:$DQ$118, 78, FALSE)</f>
        <v>175</v>
      </c>
      <c r="G49" s="34">
        <f>G32+VLOOKUP($A$1,'Pri Housing Generation'!$A$96:$DQ$118, 79, FALSE)</f>
        <v>164</v>
      </c>
      <c r="H49" s="34">
        <f>H32+VLOOKUP($A$1,'Pri Housing Generation'!$A$96:$DQ$118, 80, FALSE)</f>
        <v>145</v>
      </c>
      <c r="I49" s="99">
        <f t="shared" si="18"/>
        <v>164</v>
      </c>
      <c r="J49" s="181"/>
      <c r="K49" s="83"/>
      <c r="L49" s="83"/>
      <c r="M49" s="107">
        <f t="shared" si="19"/>
        <v>0.94496303045288965</v>
      </c>
      <c r="O49" s="35">
        <f t="shared" si="14"/>
        <v>155</v>
      </c>
      <c r="Q49" s="25">
        <f t="shared" si="20"/>
        <v>2027</v>
      </c>
      <c r="R49" s="20">
        <f t="shared" si="15"/>
        <v>180</v>
      </c>
      <c r="S49" s="53">
        <f t="shared" si="21"/>
        <v>180</v>
      </c>
      <c r="T49" s="53">
        <f t="shared" si="21"/>
        <v>180</v>
      </c>
      <c r="U49" s="53">
        <f t="shared" si="21"/>
        <v>180</v>
      </c>
      <c r="V49" s="34">
        <f t="shared" si="22"/>
        <v>159</v>
      </c>
      <c r="W49" s="34">
        <f t="shared" si="23"/>
        <v>122</v>
      </c>
      <c r="X49" s="101">
        <f t="shared" si="16"/>
        <v>1001</v>
      </c>
    </row>
    <row r="50" spans="1:24" x14ac:dyDescent="0.25">
      <c r="A50" s="25">
        <f t="shared" si="17"/>
        <v>2028</v>
      </c>
      <c r="B50" s="37">
        <f>B33+VLOOKUP($A$1,'Pri Housing Generation'!$A$96:$DQ$118, 82, FALSE)</f>
        <v>198</v>
      </c>
      <c r="C50" s="34">
        <f>C33+VLOOKUP($A$1,'Pri Housing Generation'!$A$96:$DQ$118, 83, FALSE)</f>
        <v>196</v>
      </c>
      <c r="D50" s="34">
        <f>D33+VLOOKUP($A$1,'Pri Housing Generation'!$A$96:$DQ$118, 84, FALSE)</f>
        <v>193</v>
      </c>
      <c r="E50" s="34">
        <f>E33+VLOOKUP($A$1,'Pri Housing Generation'!$A$96:$DQ$118, 85, FALSE)</f>
        <v>188</v>
      </c>
      <c r="F50" s="34">
        <f>F33+VLOOKUP($A$1,'Pri Housing Generation'!$A$96:$DQ$118, 86, FALSE)</f>
        <v>182</v>
      </c>
      <c r="G50" s="34">
        <f>G33+VLOOKUP($A$1,'Pri Housing Generation'!$A$96:$DQ$118, 87, FALSE)</f>
        <v>171</v>
      </c>
      <c r="H50" s="34">
        <f>H33+VLOOKUP($A$1,'Pri Housing Generation'!$A$96:$DQ$118, 88, FALSE)</f>
        <v>161</v>
      </c>
      <c r="I50" s="99">
        <f t="shared" si="18"/>
        <v>140</v>
      </c>
      <c r="J50" s="181"/>
      <c r="K50" s="83"/>
      <c r="L50" s="83"/>
      <c r="M50" s="107">
        <f t="shared" si="19"/>
        <v>0.95106303045288965</v>
      </c>
      <c r="O50" s="35">
        <f t="shared" si="14"/>
        <v>134</v>
      </c>
      <c r="Q50" s="25">
        <f t="shared" si="20"/>
        <v>2028</v>
      </c>
      <c r="R50" s="20">
        <f t="shared" si="15"/>
        <v>175</v>
      </c>
      <c r="S50" s="53">
        <f t="shared" si="21"/>
        <v>180</v>
      </c>
      <c r="T50" s="53">
        <f t="shared" si="21"/>
        <v>180</v>
      </c>
      <c r="U50" s="53">
        <f t="shared" si="21"/>
        <v>180</v>
      </c>
      <c r="V50" s="34">
        <f t="shared" si="22"/>
        <v>159</v>
      </c>
      <c r="W50" s="34">
        <f t="shared" si="23"/>
        <v>122</v>
      </c>
      <c r="X50" s="101">
        <f t="shared" si="16"/>
        <v>996</v>
      </c>
    </row>
    <row r="51" spans="1:24" x14ac:dyDescent="0.25">
      <c r="A51" s="25">
        <f t="shared" si="17"/>
        <v>2029</v>
      </c>
      <c r="B51" s="37">
        <f>B34+VLOOKUP($A$1,'Pri Housing Generation'!$A$96:$DQ$118, 90, FALSE)</f>
        <v>202</v>
      </c>
      <c r="C51" s="34">
        <f>C34+VLOOKUP($A$1,'Pri Housing Generation'!$A$96:$DQ$118, 91, FALSE)</f>
        <v>199</v>
      </c>
      <c r="D51" s="34">
        <f>D34+VLOOKUP($A$1,'Pri Housing Generation'!$A$96:$DQ$118, 92, FALSE)</f>
        <v>197</v>
      </c>
      <c r="E51" s="34">
        <f>E34+VLOOKUP($A$1,'Pri Housing Generation'!$A$96:$DQ$118, 93, FALSE)</f>
        <v>194</v>
      </c>
      <c r="F51" s="34">
        <f>F34+VLOOKUP($A$1,'Pri Housing Generation'!$A$96:$DQ$118, 94, FALSE)</f>
        <v>187</v>
      </c>
      <c r="G51" s="34">
        <f>G34+VLOOKUP($A$1,'Pri Housing Generation'!$A$96:$DQ$118, 95, FALSE)</f>
        <v>177</v>
      </c>
      <c r="H51" s="34">
        <f>H34+VLOOKUP($A$1,'Pri Housing Generation'!$A$96:$DQ$118, 96, FALSE)</f>
        <v>166</v>
      </c>
      <c r="I51" s="99">
        <f t="shared" si="18"/>
        <v>155</v>
      </c>
      <c r="J51" s="181"/>
      <c r="K51" s="83"/>
      <c r="L51" s="83"/>
      <c r="M51" s="107">
        <f t="shared" si="19"/>
        <v>0.95716303045288964</v>
      </c>
      <c r="O51" s="35">
        <f t="shared" si="14"/>
        <v>149</v>
      </c>
      <c r="Q51" s="25">
        <f t="shared" si="20"/>
        <v>2029</v>
      </c>
      <c r="R51" s="20">
        <f t="shared" si="15"/>
        <v>180</v>
      </c>
      <c r="S51" s="53">
        <f t="shared" si="21"/>
        <v>175</v>
      </c>
      <c r="T51" s="53">
        <f t="shared" si="21"/>
        <v>180</v>
      </c>
      <c r="U51" s="53">
        <f t="shared" si="21"/>
        <v>180</v>
      </c>
      <c r="V51" s="34">
        <f t="shared" si="22"/>
        <v>159</v>
      </c>
      <c r="W51" s="34">
        <f t="shared" si="23"/>
        <v>122</v>
      </c>
      <c r="X51" s="101">
        <f t="shared" si="16"/>
        <v>996</v>
      </c>
    </row>
    <row r="52" spans="1:24" x14ac:dyDescent="0.25">
      <c r="A52" s="25">
        <f t="shared" si="17"/>
        <v>2030</v>
      </c>
      <c r="B52" s="37">
        <f>B35+VLOOKUP($A$1,'Pri Housing Generation'!$A$96:$DQ$118, 98, FALSE)</f>
        <v>206</v>
      </c>
      <c r="C52" s="34">
        <f>C35+VLOOKUP($A$1,'Pri Housing Generation'!$A$96:$DQ$118, 99, FALSE)</f>
        <v>203</v>
      </c>
      <c r="D52" s="34">
        <f>D35+VLOOKUP($A$1,'Pri Housing Generation'!$A$96:$DQ$118, 100, FALSE)</f>
        <v>201</v>
      </c>
      <c r="E52" s="34">
        <f>E35+VLOOKUP($A$1,'Pri Housing Generation'!$A$96:$DQ$118, 101, FALSE)</f>
        <v>198</v>
      </c>
      <c r="F52" s="34">
        <f>F35+VLOOKUP($A$1,'Pri Housing Generation'!$A$96:$DQ$118, 102, FALSE)</f>
        <v>193</v>
      </c>
      <c r="G52" s="34">
        <f>G35+VLOOKUP($A$1,'Pri Housing Generation'!$A$96:$DQ$118, 103, FALSE)</f>
        <v>181</v>
      </c>
      <c r="H52" s="34">
        <f>H35+VLOOKUP($A$1,'Pri Housing Generation'!$A$96:$DQ$118, 104, FALSE)</f>
        <v>172</v>
      </c>
      <c r="I52" s="99">
        <f t="shared" si="18"/>
        <v>160</v>
      </c>
      <c r="J52" s="54"/>
      <c r="K52" s="83"/>
      <c r="L52" s="83"/>
      <c r="M52" s="107">
        <f t="shared" si="19"/>
        <v>0.96326303045288963</v>
      </c>
      <c r="O52" s="35">
        <f t="shared" si="14"/>
        <v>155</v>
      </c>
      <c r="Q52" s="25">
        <f t="shared" si="20"/>
        <v>2030</v>
      </c>
      <c r="R52" s="20">
        <f t="shared" si="15"/>
        <v>180</v>
      </c>
      <c r="S52" s="53">
        <f t="shared" si="21"/>
        <v>180</v>
      </c>
      <c r="T52" s="53">
        <f t="shared" si="21"/>
        <v>175</v>
      </c>
      <c r="U52" s="53">
        <f t="shared" si="21"/>
        <v>180</v>
      </c>
      <c r="V52" s="34">
        <f t="shared" si="22"/>
        <v>159</v>
      </c>
      <c r="W52" s="34">
        <f t="shared" si="23"/>
        <v>122</v>
      </c>
      <c r="X52" s="101">
        <f t="shared" si="16"/>
        <v>996</v>
      </c>
    </row>
    <row r="53" spans="1:24" x14ac:dyDescent="0.25">
      <c r="A53" s="25">
        <f t="shared" si="17"/>
        <v>2031</v>
      </c>
      <c r="B53" s="37">
        <f>B36+VLOOKUP($A$1,'Pri Housing Generation'!$A$96:$DQ$118, 106, FALSE)</f>
        <v>209</v>
      </c>
      <c r="C53" s="34">
        <f>C36+VLOOKUP($A$1,'Pri Housing Generation'!$A$96:$DQ$118, 107, FALSE)</f>
        <v>207</v>
      </c>
      <c r="D53" s="34">
        <f>D36+VLOOKUP($A$1,'Pri Housing Generation'!$A$96:$DQ$118, 108, FALSE)</f>
        <v>204</v>
      </c>
      <c r="E53" s="34">
        <f>E36+VLOOKUP($A$1,'Pri Housing Generation'!$A$96:$DQ$118, 109, FALSE)</f>
        <v>202</v>
      </c>
      <c r="F53" s="34">
        <f>F36+VLOOKUP($A$1,'Pri Housing Generation'!$A$96:$DQ$118, 110, FALSE)</f>
        <v>197</v>
      </c>
      <c r="G53" s="34">
        <f>G36+VLOOKUP($A$1,'Pri Housing Generation'!$A$96:$DQ$118, 111, FALSE)</f>
        <v>188</v>
      </c>
      <c r="H53" s="34">
        <f>H36+VLOOKUP($A$1,'Pri Housing Generation'!$A$96:$DQ$118, 112, FALSE)</f>
        <v>177</v>
      </c>
      <c r="I53" s="99">
        <f t="shared" si="18"/>
        <v>166</v>
      </c>
      <c r="J53" s="54"/>
      <c r="K53" s="83"/>
      <c r="L53" s="83"/>
      <c r="M53" s="107">
        <f t="shared" si="19"/>
        <v>0.96936303045288963</v>
      </c>
      <c r="O53" s="35">
        <f t="shared" si="14"/>
        <v>161</v>
      </c>
      <c r="Q53" s="25">
        <f t="shared" si="20"/>
        <v>2031</v>
      </c>
      <c r="R53" s="20">
        <f t="shared" si="15"/>
        <v>180</v>
      </c>
      <c r="S53" s="53">
        <f t="shared" si="21"/>
        <v>180</v>
      </c>
      <c r="T53" s="53">
        <f t="shared" si="21"/>
        <v>180</v>
      </c>
      <c r="U53" s="53">
        <f t="shared" si="21"/>
        <v>175</v>
      </c>
      <c r="V53" s="34">
        <f t="shared" si="22"/>
        <v>159</v>
      </c>
      <c r="W53" s="34">
        <f t="shared" si="23"/>
        <v>122</v>
      </c>
      <c r="X53" s="101">
        <f t="shared" si="16"/>
        <v>996</v>
      </c>
    </row>
    <row r="54" spans="1:24" x14ac:dyDescent="0.25">
      <c r="A54" s="25">
        <f t="shared" si="17"/>
        <v>2032</v>
      </c>
      <c r="B54" s="37">
        <f>B37+VLOOKUP($A$1,'Pri Housing Generation'!$A$96:$DQ$118, 114, FALSE)</f>
        <v>213</v>
      </c>
      <c r="C54" s="34">
        <f>C37+VLOOKUP($A$1,'Pri Housing Generation'!$A$96:$DQ$118, 115, FALSE)</f>
        <v>210</v>
      </c>
      <c r="D54" s="34">
        <f>D37+VLOOKUP($A$1,'Pri Housing Generation'!$A$96:$DQ$118, 116, FALSE)</f>
        <v>208</v>
      </c>
      <c r="E54" s="34">
        <f>E37+VLOOKUP($A$1,'Pri Housing Generation'!$A$96:$DQ$118, 117, FALSE)</f>
        <v>204</v>
      </c>
      <c r="F54" s="34">
        <f>F37+VLOOKUP($A$1,'Pri Housing Generation'!$A$96:$DQ$118, 118, FALSE)</f>
        <v>200</v>
      </c>
      <c r="G54" s="34">
        <f>G37+VLOOKUP($A$1,'Pri Housing Generation'!$A$96:$DQ$118, 119, FALSE)</f>
        <v>192</v>
      </c>
      <c r="H54" s="34">
        <f>H37+VLOOKUP($A$1,'Pri Housing Generation'!$A$96:$DQ$118, 120, FALSE)</f>
        <v>184</v>
      </c>
      <c r="I54" s="99">
        <f t="shared" si="18"/>
        <v>171</v>
      </c>
      <c r="K54" s="83"/>
      <c r="L54" s="83"/>
      <c r="M54" s="107">
        <v>0.91900000000000004</v>
      </c>
      <c r="O54" s="35">
        <f t="shared" si="14"/>
        <v>158</v>
      </c>
      <c r="Q54" s="25">
        <f t="shared" si="20"/>
        <v>2032</v>
      </c>
      <c r="R54" s="20">
        <f t="shared" si="15"/>
        <v>180</v>
      </c>
      <c r="S54" s="53">
        <f t="shared" si="21"/>
        <v>180</v>
      </c>
      <c r="T54" s="53">
        <f t="shared" si="21"/>
        <v>180</v>
      </c>
      <c r="U54" s="53">
        <f t="shared" si="21"/>
        <v>180</v>
      </c>
      <c r="V54" s="34">
        <f t="shared" si="22"/>
        <v>154</v>
      </c>
      <c r="W54" s="34">
        <f t="shared" si="23"/>
        <v>122</v>
      </c>
      <c r="X54" s="101">
        <f t="shared" si="16"/>
        <v>996</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8" t="s">
        <v>225</v>
      </c>
      <c r="C60" s="413" t="s">
        <v>226</v>
      </c>
      <c r="D60" s="414"/>
      <c r="F60" s="132"/>
      <c r="G60" s="181"/>
      <c r="H60" s="130"/>
      <c r="I60" s="130"/>
      <c r="J60" s="130"/>
    </row>
    <row r="61" spans="1:24" x14ac:dyDescent="0.25">
      <c r="A61" s="25">
        <v>2011</v>
      </c>
      <c r="B61" s="128">
        <v>13</v>
      </c>
      <c r="C61" s="415">
        <f t="shared" ref="C61:C66" si="24">1-(I13/(I13+B61))</f>
        <v>9.8484848484848508E-2</v>
      </c>
      <c r="D61" s="388"/>
      <c r="F61" s="133"/>
      <c r="G61" s="181"/>
      <c r="H61" s="54"/>
      <c r="I61" s="54"/>
      <c r="J61" s="54"/>
    </row>
    <row r="62" spans="1:24" x14ac:dyDescent="0.25">
      <c r="A62" s="25">
        <v>2012</v>
      </c>
      <c r="B62" s="128">
        <v>21</v>
      </c>
      <c r="C62" s="415">
        <f t="shared" si="24"/>
        <v>0.14482758620689651</v>
      </c>
      <c r="D62" s="388"/>
      <c r="F62" s="133"/>
      <c r="G62" s="181"/>
      <c r="H62" s="54"/>
      <c r="I62" s="54"/>
      <c r="J62" s="54"/>
      <c r="K62" s="181"/>
      <c r="N62" s="109"/>
      <c r="S62" s="82"/>
    </row>
    <row r="63" spans="1:24" x14ac:dyDescent="0.25">
      <c r="A63" s="25">
        <v>2013</v>
      </c>
      <c r="B63" s="128">
        <v>21</v>
      </c>
      <c r="C63" s="415">
        <f t="shared" si="24"/>
        <v>0.17647058823529416</v>
      </c>
      <c r="D63" s="388"/>
      <c r="F63" s="133"/>
      <c r="G63" s="181"/>
      <c r="H63" s="54"/>
      <c r="I63" s="54"/>
      <c r="J63" s="54"/>
      <c r="K63" s="181"/>
      <c r="N63" s="109"/>
      <c r="S63" s="82"/>
    </row>
    <row r="64" spans="1:24" x14ac:dyDescent="0.25">
      <c r="A64" s="25">
        <v>2014</v>
      </c>
      <c r="B64" s="128">
        <v>19</v>
      </c>
      <c r="C64" s="415">
        <f t="shared" si="24"/>
        <v>0.15200000000000002</v>
      </c>
      <c r="D64" s="388"/>
      <c r="F64" s="133"/>
      <c r="G64" s="181"/>
      <c r="H64" s="54"/>
      <c r="I64" s="54"/>
      <c r="J64" s="54"/>
      <c r="K64" s="181"/>
      <c r="N64" s="109"/>
      <c r="S64" s="82"/>
    </row>
    <row r="65" spans="1:19" x14ac:dyDescent="0.25">
      <c r="A65" s="25">
        <v>2015</v>
      </c>
      <c r="B65" s="128">
        <v>25</v>
      </c>
      <c r="C65" s="415">
        <f t="shared" si="24"/>
        <v>0.16891891891891897</v>
      </c>
      <c r="D65" s="388"/>
      <c r="F65" s="133"/>
      <c r="G65" s="181"/>
      <c r="H65" s="54"/>
      <c r="I65" s="54"/>
      <c r="J65" s="54"/>
      <c r="K65" s="181"/>
      <c r="N65" s="109"/>
      <c r="S65" s="82"/>
    </row>
    <row r="66" spans="1:19" x14ac:dyDescent="0.25">
      <c r="A66" s="25">
        <v>2016</v>
      </c>
      <c r="B66" s="128"/>
      <c r="C66" s="415">
        <f t="shared" si="24"/>
        <v>0</v>
      </c>
      <c r="D66" s="388"/>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A69" t="s">
        <v>391</v>
      </c>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C62:D62"/>
    <mergeCell ref="C63:D63"/>
    <mergeCell ref="C64:D64"/>
    <mergeCell ref="C65:D65"/>
    <mergeCell ref="K39:K40"/>
    <mergeCell ref="M39:M40"/>
    <mergeCell ref="O39:O40"/>
    <mergeCell ref="C60:D60"/>
    <mergeCell ref="C61:D61"/>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72">
    <cfRule type="cellIs" dxfId="7" priority="17" operator="greaterThan">
      <formula>$C$7</formula>
    </cfRule>
  </conditionalFormatting>
  <conditionalFormatting sqref="X41:X72">
    <cfRule type="cellIs" dxfId="6" priority="16"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AA84"/>
  <sheetViews>
    <sheetView topLeftCell="N28" workbookViewId="0">
      <selection activeCell="V58" sqref="V58:Z5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112</v>
      </c>
    </row>
    <row r="2" spans="1:24" x14ac:dyDescent="0.25">
      <c r="A2" t="s">
        <v>400</v>
      </c>
    </row>
    <row r="4" spans="1:24" x14ac:dyDescent="0.25">
      <c r="A4" s="21" t="s">
        <v>192</v>
      </c>
    </row>
    <row r="5" spans="1:24" x14ac:dyDescent="0.25">
      <c r="A5" s="21"/>
    </row>
    <row r="6" spans="1:24" x14ac:dyDescent="0.25">
      <c r="A6" s="21" t="s">
        <v>193</v>
      </c>
      <c r="C6" s="100">
        <f>VLOOKUP(A1,'Projection Summary'!A5:C50,3,FALSE)</f>
        <v>900</v>
      </c>
    </row>
    <row r="7" spans="1:24" x14ac:dyDescent="0.25">
      <c r="A7" s="21" t="s">
        <v>191</v>
      </c>
      <c r="B7" s="21"/>
      <c r="C7" s="100">
        <f>VLOOKUP(A1,'Projection Summary'!A5:C50,2,FALSE)</f>
        <v>180</v>
      </c>
    </row>
    <row r="9" spans="1:24" ht="15.75" x14ac:dyDescent="0.25">
      <c r="A9" s="129" t="s">
        <v>197</v>
      </c>
      <c r="R9" s="129" t="s">
        <v>198</v>
      </c>
      <c r="T9" s="173"/>
    </row>
    <row r="10" spans="1:24" x14ac:dyDescent="0.25">
      <c r="A10" s="21"/>
    </row>
    <row r="11" spans="1:24" x14ac:dyDescent="0.25">
      <c r="A11" s="21" t="s">
        <v>304</v>
      </c>
      <c r="K11" s="406" t="s">
        <v>137</v>
      </c>
      <c r="L11" s="407"/>
      <c r="M11" s="412" t="s">
        <v>139</v>
      </c>
      <c r="N11" s="49"/>
      <c r="O11" s="394" t="s">
        <v>136</v>
      </c>
      <c r="R11" s="21" t="s">
        <v>305</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199</v>
      </c>
      <c r="C13" s="19">
        <f>VLOOKUP($A$1,'Primary Catchment Analysis'!$A$3:$BE$25, 38, FALSE)</f>
        <v>198</v>
      </c>
      <c r="D13" s="27">
        <f>VLOOKUP($A$1,'Primary Catchment Analysis'!$A$3:$BE$25, 39, FALSE)</f>
        <v>208</v>
      </c>
      <c r="E13" s="27">
        <f>VLOOKUP($A$1,'Primary Catchment Analysis'!$A$3:$BE$25, 40, FALSE)</f>
        <v>167</v>
      </c>
      <c r="F13" s="27">
        <f>VLOOKUP($A$1,'Primary Catchment Analysis'!$A$3:$BE$25, 41, FALSE)</f>
        <v>169</v>
      </c>
      <c r="G13" s="126">
        <f>VLOOKUP($A$1,'Primary Catchment Analysis'!$A$3:$BE$25, 42, FALSE)</f>
        <v>150</v>
      </c>
      <c r="H13" s="28">
        <f>VLOOKUP($A$1,'Primary Catchment Analysis'!$A$3:$BE$25, 43, FALSE)</f>
        <v>132</v>
      </c>
      <c r="I13" s="28">
        <f>VLOOKUP($A$1,'S1 Catchment Analysis'!A3:I25, 7, FALSE)</f>
        <v>125</v>
      </c>
      <c r="J13" s="23"/>
      <c r="K13" s="410"/>
      <c r="L13" s="411"/>
      <c r="M13" s="399"/>
      <c r="N13" s="50"/>
      <c r="O13" s="399"/>
      <c r="P13" s="50"/>
      <c r="Q13" s="25">
        <f>A13</f>
        <v>2013</v>
      </c>
      <c r="R13" s="69">
        <f>VLOOKUP($A$1,'Secondary Rolls'!$A$3:$BE$25, 37, FALSE)</f>
        <v>109</v>
      </c>
      <c r="S13" s="53">
        <f>VLOOKUP($A$1,'Secondary Rolls'!$A$3:$BE$25, 38, FALSE)</f>
        <v>79</v>
      </c>
      <c r="T13" s="53">
        <f>VLOOKUP($A$1,'Secondary Rolls'!$A$3:$BE$25, 39, FALSE)</f>
        <v>86</v>
      </c>
      <c r="U13" s="122">
        <f>VLOOKUP($A$1,'Secondary Rolls'!$A$3:$BE$25, 40, FALSE)</f>
        <v>111</v>
      </c>
      <c r="V13" s="63">
        <f>VLOOKUP($A$1,'Secondary Rolls'!$A$3:$BE$25, 41, FALSE)</f>
        <v>80</v>
      </c>
      <c r="W13" s="53">
        <f>VLOOKUP($A$1,'Secondary Rolls'!$A$3:$BE$25, 42, FALSE)</f>
        <v>59</v>
      </c>
      <c r="X13" s="62">
        <f t="shared" ref="X13:X17" si="0">SUM(R13:W13)</f>
        <v>524</v>
      </c>
    </row>
    <row r="14" spans="1:24" ht="15.75" thickBot="1" x14ac:dyDescent="0.3">
      <c r="A14" s="25">
        <f>VLOOKUP($A$12,'S1 Catchment Analysis'!A2:I2, 6, FALSE)</f>
        <v>2014</v>
      </c>
      <c r="B14" s="45">
        <f>VLOOKUP($A$1,'Primary Catchment Analysis'!$A$3:$BE$25, 30, FALSE)</f>
        <v>230</v>
      </c>
      <c r="C14" s="44">
        <f>VLOOKUP($A$1,'Primary Catchment Analysis'!$A$3:$BE$25, 31, FALSE)</f>
        <v>190</v>
      </c>
      <c r="D14" s="19">
        <f>VLOOKUP($A$1,'Primary Catchment Analysis'!$A$3:$BE$25, 32, FALSE)</f>
        <v>186</v>
      </c>
      <c r="E14" s="27">
        <f>VLOOKUP($A$1,'Primary Catchment Analysis'!$A$3:$BE$25, 33, FALSE)</f>
        <v>207</v>
      </c>
      <c r="F14" s="27">
        <f>VLOOKUP($A$1,'Primary Catchment Analysis'!$A$3:$BE$25, 34, FALSE)</f>
        <v>169</v>
      </c>
      <c r="G14" s="126">
        <f>VLOOKUP($A$1,'Primary Catchment Analysis'!$A$3:$BE$25, 35, FALSE)</f>
        <v>156</v>
      </c>
      <c r="H14" s="28">
        <f>VLOOKUP($A$1,'Primary Catchment Analysis'!$A$3:$BE$25, 36, FALSE)</f>
        <v>140</v>
      </c>
      <c r="I14" s="27">
        <f>VLOOKUP($A$1,'S1 Catchment Analysis'!A3:I25, 6, FALSE)</f>
        <v>120</v>
      </c>
      <c r="J14" s="23"/>
      <c r="K14" s="400">
        <f>VLOOKUP($A$1,'S1 Catchment Retained'!A2:I25, 6, FALSE)</f>
        <v>65</v>
      </c>
      <c r="L14" s="423"/>
      <c r="M14" s="110">
        <f t="shared" ref="M14:M18" si="1">(K14/I14)</f>
        <v>0.54166666666666663</v>
      </c>
      <c r="N14" s="50"/>
      <c r="O14" s="111">
        <f t="shared" ref="O14:O18" si="2">R14-K14</f>
        <v>18</v>
      </c>
      <c r="P14" s="50"/>
      <c r="Q14" s="25">
        <f t="shared" ref="Q14:Q18" si="3">A14</f>
        <v>2014</v>
      </c>
      <c r="R14" s="67">
        <f>VLOOKUP($A$1,'Secondary Rolls'!$A$3:$BE$25, 30, FALSE)</f>
        <v>83</v>
      </c>
      <c r="S14" s="69">
        <f>VLOOKUP($A$1,'Secondary Rolls'!$A$3:$BE$25, 31, FALSE)</f>
        <v>116</v>
      </c>
      <c r="T14" s="61">
        <f>VLOOKUP($A$1,'Secondary Rolls'!$A$3:$BE$25, 32, FALSE)</f>
        <v>83</v>
      </c>
      <c r="U14" s="61">
        <f>VLOOKUP($A$1,'Secondary Rolls'!$A$3:$BE$25, 33, FALSE)</f>
        <v>91</v>
      </c>
      <c r="V14" s="64">
        <f>VLOOKUP($A$1,'Secondary Rolls'!$A$3:$BE$25, 34, FALSE)</f>
        <v>100</v>
      </c>
      <c r="W14" s="116">
        <f>VLOOKUP($A$1,'Secondary Rolls'!$A$3:$BE$25, 35, FALSE)</f>
        <v>50</v>
      </c>
      <c r="X14" s="62">
        <f t="shared" si="0"/>
        <v>523</v>
      </c>
    </row>
    <row r="15" spans="1:24" ht="15.75" thickBot="1" x14ac:dyDescent="0.3">
      <c r="A15" s="25">
        <f>VLOOKUP($A$12,'S1 Catchment Analysis'!A2:I2, 5, FALSE)</f>
        <v>2015</v>
      </c>
      <c r="B15" s="19">
        <f>VLOOKUP($A$1,'Primary Catchment Analysis'!$A$3:$BE$25, 23, FALSE)</f>
        <v>203</v>
      </c>
      <c r="C15" s="45">
        <f>VLOOKUP($A$1,'Primary Catchment Analysis'!$A$3:$BE$25, 24, FALSE)</f>
        <v>213</v>
      </c>
      <c r="D15" s="44">
        <f>VLOOKUP($A$1,'Primary Catchment Analysis'!$A$3:$BE$25, 25, FALSE)</f>
        <v>191</v>
      </c>
      <c r="E15" s="19">
        <f>VLOOKUP($A$1,'Primary Catchment Analysis'!$A$3:$BE$25, 26, FALSE)</f>
        <v>164</v>
      </c>
      <c r="F15" s="27">
        <f>VLOOKUP($A$1,'Primary Catchment Analysis'!$A$3:$BE$25, 27, FALSE)</f>
        <v>191</v>
      </c>
      <c r="G15" s="126">
        <f>VLOOKUP($A$1,'Primary Catchment Analysis'!$A$3:$BE$25, 28, FALSE)</f>
        <v>155</v>
      </c>
      <c r="H15" s="30">
        <f>VLOOKUP($A$1,'Primary Catchment Analysis'!$A$3:$BE$25, 29, FALSE)</f>
        <v>144</v>
      </c>
      <c r="I15" s="29">
        <f>VLOOKUP($A$1,'S1 Catchment Analysis'!A3:I25, 5, FALSE)</f>
        <v>133</v>
      </c>
      <c r="J15" s="23"/>
      <c r="K15" s="400">
        <f>VLOOKUP($A$1,'S1 Catchment Retained'!A2:I25, 5, FALSE)</f>
        <v>81</v>
      </c>
      <c r="L15" s="423"/>
      <c r="M15" s="110">
        <f t="shared" si="1"/>
        <v>0.60902255639097747</v>
      </c>
      <c r="N15" s="50"/>
      <c r="O15" s="111">
        <f t="shared" si="2"/>
        <v>22</v>
      </c>
      <c r="P15" s="50"/>
      <c r="Q15" s="25">
        <f t="shared" si="3"/>
        <v>2015</v>
      </c>
      <c r="R15" s="68">
        <f>VLOOKUP($A$1,'Secondary Rolls'!$A$3:$BE$25, 23, FALSE)</f>
        <v>103</v>
      </c>
      <c r="S15" s="67">
        <f>VLOOKUP($A$1,'Secondary Rolls'!$A$3:$BE$25, 24, FALSE)</f>
        <v>82</v>
      </c>
      <c r="T15" s="71">
        <f>VLOOKUP($A$1,'Secondary Rolls'!$A$3:$BE$25, 25, FALSE)</f>
        <v>112</v>
      </c>
      <c r="U15" s="61">
        <f>VLOOKUP($A$1,'Secondary Rolls'!$A$3:$BE$25, 26, FALSE)</f>
        <v>88</v>
      </c>
      <c r="V15" s="123">
        <f>VLOOKUP($A$1,'Secondary Rolls'!$A$3:$BE$25, 27, FALSE)</f>
        <v>69</v>
      </c>
      <c r="W15" s="64">
        <f>VLOOKUP($A$1,'Secondary Rolls'!$A$3:$BE$25, 28, FALSE)</f>
        <v>65</v>
      </c>
      <c r="X15" s="62">
        <f t="shared" si="0"/>
        <v>519</v>
      </c>
    </row>
    <row r="16" spans="1:24" ht="15.75" thickBot="1" x14ac:dyDescent="0.3">
      <c r="A16" s="25">
        <f>VLOOKUP($A$12,'S1 Catchment Analysis'!A2:I2, 4, FALSE)</f>
        <v>2016</v>
      </c>
      <c r="B16" s="44">
        <f>VLOOKUP($A$1,'Primary Catchment Analysis'!$A$3:$BE$25, 16, FALSE)</f>
        <v>224</v>
      </c>
      <c r="C16" s="19">
        <f>VLOOKUP($A$1,'Primary Catchment Analysis'!$A$3:$BE$25, 17, FALSE)</f>
        <v>193</v>
      </c>
      <c r="D16" s="45">
        <f>VLOOKUP($A$1,'Primary Catchment Analysis'!$A$3:$BE$25, 18, FALSE)</f>
        <v>195</v>
      </c>
      <c r="E16" s="44">
        <f>VLOOKUP($A$1,'Primary Catchment Analysis'!$A$3:$BE$25, 19, FALSE)</f>
        <v>190</v>
      </c>
      <c r="F16" s="19">
        <f>VLOOKUP($A$1,'Primary Catchment Analysis'!$A$3:$BE$25, 20, FALSE)</f>
        <v>153</v>
      </c>
      <c r="G16" s="126">
        <f>VLOOKUP($A$1,'Primary Catchment Analysis'!$A$3:$BE$25, 21, FALSE)</f>
        <v>187</v>
      </c>
      <c r="H16" s="112">
        <f>VLOOKUP($A$1,'Primary Catchment Analysis'!$A$3:$BE$25, 22, FALSE)</f>
        <v>147</v>
      </c>
      <c r="I16" s="30">
        <f>VLOOKUP($A$1,'S1 Catchment Analysis'!A3:I25, 4, FALSE)</f>
        <v>127</v>
      </c>
      <c r="J16" s="23"/>
      <c r="K16" s="400">
        <f>VLOOKUP($A$1,'S1 Catchment Retained'!A2:I25, 4, FALSE)</f>
        <v>79</v>
      </c>
      <c r="L16" s="424"/>
      <c r="M16" s="56">
        <f t="shared" si="1"/>
        <v>0.62204724409448819</v>
      </c>
      <c r="N16" s="50"/>
      <c r="O16" s="103">
        <f t="shared" si="2"/>
        <v>25</v>
      </c>
      <c r="P16" s="50"/>
      <c r="Q16" s="25">
        <f t="shared" si="3"/>
        <v>2016</v>
      </c>
      <c r="R16" s="69">
        <f>VLOOKUP($A$1,'Secondary Rolls'!$A$3:$BE$25, 16, FALSE)</f>
        <v>104</v>
      </c>
      <c r="S16" s="68">
        <f>VLOOKUP($A$1,'Secondary Rolls'!$A$3:$BE$25, 17, FALSE)</f>
        <v>101</v>
      </c>
      <c r="T16" s="70">
        <f>VLOOKUP($A$1,'Secondary Rolls'!$A$3:$BE$25, 18, FALSE)</f>
        <v>83</v>
      </c>
      <c r="U16" s="71">
        <f>VLOOKUP($A$1,'Secondary Rolls'!$A$3:$BE$25, 19, FALSE)</f>
        <v>113</v>
      </c>
      <c r="V16" s="66">
        <f>VLOOKUP($A$1,'Secondary Rolls'!$A$3:$BE$25, 20, FALSE)</f>
        <v>65</v>
      </c>
      <c r="W16" s="65">
        <f>VLOOKUP($A$1,'Secondary Rolls'!$A$3:$BE$25, 21, FALSE)</f>
        <v>41</v>
      </c>
      <c r="X16" s="62">
        <f t="shared" si="0"/>
        <v>507</v>
      </c>
    </row>
    <row r="17" spans="1:27" ht="15.75" thickBot="1" x14ac:dyDescent="0.3">
      <c r="A17" s="258">
        <f>VLOOKUP($A$12,'S1 Catchment Analysis'!A2:I2, 3, FALSE)</f>
        <v>2017</v>
      </c>
      <c r="B17" s="259">
        <f>VLOOKUP($A$1,'Primary Catchment Analysis'!$A$3:$BE$25, 9, FALSE)</f>
        <v>221</v>
      </c>
      <c r="C17" s="260">
        <f>VLOOKUP($A$1,'Primary Catchment Analysis'!$A$3:$BE$25, 10, FALSE)</f>
        <v>204</v>
      </c>
      <c r="D17" s="261">
        <f>VLOOKUP($A$1,'Primary Catchment Analysis'!$A$3:$BE$25, 11, FALSE)</f>
        <v>191</v>
      </c>
      <c r="E17" s="259">
        <f>VLOOKUP($A$1,'Primary Catchment Analysis'!$A$3:$BE$25, 12, FALSE)</f>
        <v>180</v>
      </c>
      <c r="F17" s="260">
        <f>VLOOKUP($A$1,'Primary Catchment Analysis'!$A$3:$BE$25, 13, FALSE)</f>
        <v>176</v>
      </c>
      <c r="G17" s="262">
        <f>VLOOKUP($A$1,'Primary Catchment Analysis'!$A$3:$BE$25, 14, FALSE)</f>
        <v>147</v>
      </c>
      <c r="H17" s="113">
        <f>VLOOKUP($A$1,'Primary Catchment Analysis'!$A$3:$BE$25, 15, FALSE)</f>
        <v>173</v>
      </c>
      <c r="I17" s="31">
        <f>VLOOKUP($A$1,'S1 Catchment Analysis'!A3:I25, 3, FALSE)</f>
        <v>131</v>
      </c>
      <c r="J17" s="23"/>
      <c r="K17" s="400">
        <f>VLOOKUP($A$1,'S1 Catchment Retained'!A2:I25, 3, FALSE)</f>
        <v>79</v>
      </c>
      <c r="L17" s="424"/>
      <c r="M17" s="57">
        <f t="shared" si="1"/>
        <v>0.60305343511450382</v>
      </c>
      <c r="N17" s="50"/>
      <c r="O17" s="104">
        <f t="shared" si="2"/>
        <v>34</v>
      </c>
      <c r="P17" s="50"/>
      <c r="Q17" s="25">
        <f t="shared" si="3"/>
        <v>2017</v>
      </c>
      <c r="R17" s="264">
        <f>VLOOKUP($A$1,'Secondary Rolls'!$A$3:$BE$25, 9, FALSE)</f>
        <v>113</v>
      </c>
      <c r="S17" s="265">
        <f>VLOOKUP($A$1,'Secondary Rolls'!$A$3:$BE$25, 10, FALSE)</f>
        <v>109</v>
      </c>
      <c r="T17" s="266">
        <f>VLOOKUP($A$1,'Secondary Rolls'!$A$3:$BE$25, 11, FALSE)</f>
        <v>109</v>
      </c>
      <c r="U17" s="270">
        <f>VLOOKUP($A$1,'Secondary Rolls'!$A$3:$BE$25, 12, FALSE)</f>
        <v>82</v>
      </c>
      <c r="V17" s="271">
        <f>VLOOKUP($A$1,'Secondary Rolls'!$A$3:$BE$25, 13, FALSE)</f>
        <v>86</v>
      </c>
      <c r="W17" s="272">
        <f>VLOOKUP($A$1,'Secondary Rolls'!$A$3:$BE$25, 14, FALSE)</f>
        <v>49</v>
      </c>
      <c r="X17" s="116">
        <f t="shared" si="0"/>
        <v>548</v>
      </c>
    </row>
    <row r="18" spans="1:27" ht="15.75" thickBot="1" x14ac:dyDescent="0.3">
      <c r="A18" s="25">
        <f>VLOOKUP($A$12,'S1 Catchment Analysis'!A2:I2, 2, FALSE)</f>
        <v>2018</v>
      </c>
      <c r="B18" s="19">
        <f>VLOOKUP($A$1,'Primary Catchment Analysis'!$A$3:$BE$25, 2, FALSE)</f>
        <v>217</v>
      </c>
      <c r="C18" s="45">
        <f>VLOOKUP($A$1,'Primary Catchment Analysis'!$A$3:$BE$25, 3, FALSE)</f>
        <v>217</v>
      </c>
      <c r="D18" s="44">
        <f>VLOOKUP($A$1,'Primary Catchment Analysis'!$A$3:$BE$25, 4, FALSE)</f>
        <v>202</v>
      </c>
      <c r="E18" s="19">
        <f>VLOOKUP($A$1,'Primary Catchment Analysis'!$A$3:$BE$25, 5, FALSE)</f>
        <v>195</v>
      </c>
      <c r="F18" s="45">
        <f>VLOOKUP($A$1,'Primary Catchment Analysis'!$A$3:$BE$25, 6, FALSE)</f>
        <v>171</v>
      </c>
      <c r="G18" s="273">
        <f>VLOOKUP($A$1,'Primary Catchment Analysis'!$A$3:$BE$25, 7, FALSE)</f>
        <v>172</v>
      </c>
      <c r="H18" s="274">
        <f>VLOOKUP($A$1,'Primary Catchment Analysis'!$A$3:$BE$25, 8, FALSE)</f>
        <v>136</v>
      </c>
      <c r="I18" s="32">
        <f>VLOOKUP($A$1,'S1 Catchment Analysis'!A3:I25, 2, FALSE)</f>
        <v>149</v>
      </c>
      <c r="J18" s="23"/>
      <c r="K18" s="400">
        <f>VLOOKUP($A$1,'S1 Catchment Retained'!A2:I25, 2, FALSE)</f>
        <v>117</v>
      </c>
      <c r="L18" s="424"/>
      <c r="M18" s="58">
        <f t="shared" si="1"/>
        <v>0.78523489932885904</v>
      </c>
      <c r="N18" s="50"/>
      <c r="O18" s="105">
        <f t="shared" si="2"/>
        <v>23</v>
      </c>
      <c r="P18" s="50"/>
      <c r="Q18" s="25">
        <f t="shared" si="3"/>
        <v>2018</v>
      </c>
      <c r="R18" s="68">
        <f>VLOOKUP($A$1,'Secondary Rolls'!$A$3:$BE$25, 2, FALSE)</f>
        <v>140</v>
      </c>
      <c r="S18" s="67">
        <f>VLOOKUP($A$1,'Secondary Rolls'!$A$3:$BE$25, 3, FALSE)</f>
        <v>115</v>
      </c>
      <c r="T18" s="69">
        <f>VLOOKUP($A$1,'Secondary Rolls'!$A$3:$BE$25, 4, FALSE)</f>
        <v>112</v>
      </c>
      <c r="U18" s="68">
        <f>VLOOKUP($A$1,'Secondary Rolls'!$A$3:$BE$25, 5, FALSE)</f>
        <v>106</v>
      </c>
      <c r="V18" s="67">
        <f>VLOOKUP($A$1,'Secondary Rolls'!$A$3:$BE$25, 6, FALSE)</f>
        <v>65</v>
      </c>
      <c r="W18" s="69">
        <f>VLOOKUP($A$1,'Secondary Rolls'!$A$3:$BE$25, 7, FALSE)</f>
        <v>68</v>
      </c>
      <c r="X18" s="53">
        <f t="shared" ref="X18" si="4">SUM(R18:W18)</f>
        <v>606</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5.2215448513622954E-2</v>
      </c>
      <c r="D20" s="40">
        <f t="shared" ref="D20:I20" si="5">AVERAGE(((C15-D16)/C15),((C16-D17)/C16),((C17-D18)/C17))</f>
        <v>3.4891219374222238E-2</v>
      </c>
      <c r="E20" s="40">
        <f t="shared" si="5"/>
        <v>2.0405423546784807E-2</v>
      </c>
      <c r="F20" s="40">
        <f t="shared" si="5"/>
        <v>6.3585793752674369E-2</v>
      </c>
      <c r="G20" s="40">
        <f t="shared" si="5"/>
        <v>2.7628455792915296E-2</v>
      </c>
      <c r="H20" s="40">
        <f t="shared" si="5"/>
        <v>6.7103048453007783E-2</v>
      </c>
      <c r="I20" s="40">
        <f t="shared" si="5"/>
        <v>0.12187580555664783</v>
      </c>
      <c r="K20" s="389">
        <f>AVERAGE(M16:M18)</f>
        <v>0.67011185951261698</v>
      </c>
      <c r="L20" s="390"/>
      <c r="M20" s="391"/>
      <c r="O20" s="51">
        <f>ROUNDUP((AVERAGE(O16:O18)),0)</f>
        <v>28</v>
      </c>
      <c r="T20" s="388"/>
      <c r="U20" s="388"/>
      <c r="V20" s="40">
        <f>AVERAGE(((U15-V16)/U15),((U16-V17)/U16),((U17-V18)/U17))</f>
        <v>0.23587292087723774</v>
      </c>
      <c r="W20" s="40">
        <f>AVERAGE(((V15-W16)/V15),((V16-W17)/V16),((V17-W18)/V17))</f>
        <v>0.287084424394839</v>
      </c>
    </row>
    <row r="21" spans="1:27" x14ac:dyDescent="0.25">
      <c r="A21" s="21"/>
      <c r="K21" s="59"/>
      <c r="L21" s="59"/>
    </row>
    <row r="22" spans="1:27" x14ac:dyDescent="0.25">
      <c r="A22" s="21" t="s">
        <v>306</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Projections'!C86+'P1 Catchment Projections'!C87+'P1 Catchment Projections'!C88+'P1 Catchment Projections'!C89</f>
        <v>200</v>
      </c>
      <c r="C24" s="34">
        <f>ROUNDUP((B18-(B18*$C$20)),0)</f>
        <v>206</v>
      </c>
      <c r="D24" s="42">
        <f>ROUNDUP((C18-(C18*$D$20)),0)</f>
        <v>210</v>
      </c>
      <c r="E24" s="43">
        <f>ROUNDUP((D18-(D18*$E$20)),0)</f>
        <v>198</v>
      </c>
      <c r="F24" s="41">
        <f>ROUNDUP((E18-(E18*$F$20)),0)</f>
        <v>183</v>
      </c>
      <c r="G24" s="42">
        <f>ROUNDUP((F18-(F18*$G$20)),0)</f>
        <v>167</v>
      </c>
      <c r="H24" s="43">
        <f>ROUNDUP((G18-(G18*$H$20)),0)</f>
        <v>161</v>
      </c>
      <c r="I24" s="99">
        <f>ROUNDUP((H18-(H18*$I$20)),0)</f>
        <v>120</v>
      </c>
      <c r="J24" s="23"/>
      <c r="K24" s="59"/>
      <c r="L24" s="59"/>
      <c r="Z24" s="109"/>
      <c r="AA24" s="109"/>
    </row>
    <row r="25" spans="1:27" x14ac:dyDescent="0.25">
      <c r="A25" s="25">
        <f>A24+1</f>
        <v>2020</v>
      </c>
      <c r="B25" s="37">
        <f>'P1 Catchment Projections'!D86+'P1 Catchment Projections'!D87+'P1 Catchment Projections'!D88+'P1 Catchment Projections'!D89</f>
        <v>200</v>
      </c>
      <c r="C25" s="34">
        <f t="shared" ref="C25:C37" si="6">ROUNDUP((B24-(B24*$C$20)),0)</f>
        <v>190</v>
      </c>
      <c r="D25" s="34">
        <f t="shared" ref="D25:D37" si="7">ROUNDUP((C24-(C24*$D$20)),0)</f>
        <v>199</v>
      </c>
      <c r="E25" s="42">
        <f t="shared" ref="E25:E37" si="8">ROUNDUP((D24-(D24*$E$20)),0)</f>
        <v>206</v>
      </c>
      <c r="F25" s="43">
        <f t="shared" ref="F25:F37" si="9">ROUNDUP((E24-(E24*$F$20)),0)</f>
        <v>186</v>
      </c>
      <c r="G25" s="41">
        <f t="shared" ref="G25:G37" si="10">ROUNDUP((F24-(F24*$G$20)),0)</f>
        <v>178</v>
      </c>
      <c r="H25" s="42">
        <f t="shared" ref="H25:H37" si="11">ROUNDUP((G24-(G24*$H$20)),0)</f>
        <v>156</v>
      </c>
      <c r="I25" s="99">
        <f t="shared" ref="I25:I37" si="12">ROUNDUP((H24-(H24*$I$20)),0)</f>
        <v>142</v>
      </c>
      <c r="J25" s="23"/>
      <c r="K25" s="59"/>
      <c r="L25" s="59"/>
      <c r="Z25" s="109"/>
      <c r="AA25" s="109"/>
    </row>
    <row r="26" spans="1:27" x14ac:dyDescent="0.25">
      <c r="A26" s="25">
        <f>A25+1</f>
        <v>2021</v>
      </c>
      <c r="B26" s="37">
        <f>'P1 Catchment Projections'!E86+'P1 Catchment Projections'!E87+'P1 Catchment Projections'!E88+'P1 Catchment Projections'!E89</f>
        <v>190</v>
      </c>
      <c r="C26" s="34">
        <f t="shared" si="6"/>
        <v>190</v>
      </c>
      <c r="D26" s="34">
        <f t="shared" si="7"/>
        <v>184</v>
      </c>
      <c r="E26" s="34">
        <f t="shared" si="8"/>
        <v>195</v>
      </c>
      <c r="F26" s="42">
        <f t="shared" si="9"/>
        <v>193</v>
      </c>
      <c r="G26" s="43">
        <f t="shared" si="10"/>
        <v>181</v>
      </c>
      <c r="H26" s="41">
        <f t="shared" si="11"/>
        <v>167</v>
      </c>
      <c r="I26" s="99">
        <f t="shared" si="12"/>
        <v>137</v>
      </c>
      <c r="J26" s="23"/>
      <c r="K26" s="59"/>
      <c r="L26" s="59"/>
      <c r="Z26" s="109"/>
      <c r="AA26" s="109"/>
    </row>
    <row r="27" spans="1:27" x14ac:dyDescent="0.25">
      <c r="A27" s="25">
        <f>A26+1</f>
        <v>2022</v>
      </c>
      <c r="B27" s="37">
        <f>'P1 Catchment Projections'!F86+'P1 Catchment Projections'!F87+'P1 Catchment Projections'!F88+'P1 Catchment Projections'!F89</f>
        <v>164</v>
      </c>
      <c r="C27" s="34">
        <f t="shared" si="6"/>
        <v>181</v>
      </c>
      <c r="D27" s="34">
        <f t="shared" si="7"/>
        <v>184</v>
      </c>
      <c r="E27" s="34">
        <f t="shared" si="8"/>
        <v>181</v>
      </c>
      <c r="F27" s="34">
        <f t="shared" si="9"/>
        <v>183</v>
      </c>
      <c r="G27" s="42">
        <f t="shared" si="10"/>
        <v>188</v>
      </c>
      <c r="H27" s="43">
        <f t="shared" si="11"/>
        <v>169</v>
      </c>
      <c r="I27" s="99">
        <f t="shared" si="12"/>
        <v>147</v>
      </c>
      <c r="J27" s="23"/>
      <c r="K27" s="59"/>
      <c r="L27" s="59"/>
      <c r="Z27" s="109"/>
      <c r="AA27" s="109"/>
    </row>
    <row r="28" spans="1:27" x14ac:dyDescent="0.25">
      <c r="A28" s="25">
        <f t="shared" ref="A28:A37" si="13">A27+1</f>
        <v>2023</v>
      </c>
      <c r="B28" s="37">
        <f>'P1 Catchment Projections'!G86+'P1 Catchment Projections'!G87+'P1 Catchment Projections'!G88+'P1 Catchment Projections'!G89</f>
        <v>186</v>
      </c>
      <c r="C28" s="34">
        <f t="shared" si="6"/>
        <v>156</v>
      </c>
      <c r="D28" s="34">
        <f t="shared" si="7"/>
        <v>175</v>
      </c>
      <c r="E28" s="34">
        <f t="shared" si="8"/>
        <v>181</v>
      </c>
      <c r="F28" s="34">
        <f t="shared" si="9"/>
        <v>170</v>
      </c>
      <c r="G28" s="34">
        <f t="shared" si="10"/>
        <v>178</v>
      </c>
      <c r="H28" s="42">
        <f t="shared" si="11"/>
        <v>176</v>
      </c>
      <c r="I28" s="99">
        <f t="shared" si="12"/>
        <v>149</v>
      </c>
      <c r="J28" s="23"/>
      <c r="K28" s="59"/>
      <c r="L28" s="59"/>
      <c r="Z28" s="109"/>
      <c r="AA28" s="109"/>
    </row>
    <row r="29" spans="1:27" x14ac:dyDescent="0.25">
      <c r="A29" s="25">
        <f t="shared" si="13"/>
        <v>2024</v>
      </c>
      <c r="B29" s="37">
        <f>'P1 Catchment Projections'!H86+'P1 Catchment Projections'!H87+'P1 Catchment Projections'!H88+'P1 Catchment Projections'!H89</f>
        <v>189</v>
      </c>
      <c r="C29" s="34">
        <f t="shared" si="6"/>
        <v>177</v>
      </c>
      <c r="D29" s="34">
        <f t="shared" si="7"/>
        <v>151</v>
      </c>
      <c r="E29" s="34">
        <f t="shared" si="8"/>
        <v>172</v>
      </c>
      <c r="F29" s="34">
        <f t="shared" si="9"/>
        <v>170</v>
      </c>
      <c r="G29" s="34">
        <f t="shared" si="10"/>
        <v>166</v>
      </c>
      <c r="H29" s="34">
        <f t="shared" si="11"/>
        <v>167</v>
      </c>
      <c r="I29" s="99">
        <f t="shared" si="12"/>
        <v>155</v>
      </c>
      <c r="K29" s="59"/>
      <c r="L29" s="59"/>
      <c r="Z29" s="109"/>
      <c r="AA29" s="109"/>
    </row>
    <row r="30" spans="1:27" x14ac:dyDescent="0.25">
      <c r="A30" s="25">
        <f t="shared" si="13"/>
        <v>2025</v>
      </c>
      <c r="B30" s="37">
        <f>'P1 Catchment Projections'!I86+'P1 Catchment Projections'!I87+'P1 Catchment Projections'!I88+'P1 Catchment Projections'!I89</f>
        <v>192</v>
      </c>
      <c r="C30" s="34">
        <f t="shared" si="6"/>
        <v>180</v>
      </c>
      <c r="D30" s="34">
        <f t="shared" si="7"/>
        <v>171</v>
      </c>
      <c r="E30" s="34">
        <f t="shared" si="8"/>
        <v>148</v>
      </c>
      <c r="F30" s="34">
        <f t="shared" si="9"/>
        <v>162</v>
      </c>
      <c r="G30" s="34">
        <f t="shared" si="10"/>
        <v>166</v>
      </c>
      <c r="H30" s="34">
        <f t="shared" si="11"/>
        <v>155</v>
      </c>
      <c r="I30" s="99">
        <f t="shared" si="12"/>
        <v>147</v>
      </c>
      <c r="K30" s="59"/>
      <c r="L30" s="59"/>
      <c r="Z30" s="109"/>
      <c r="AA30" s="109"/>
    </row>
    <row r="31" spans="1:27" x14ac:dyDescent="0.25">
      <c r="A31" s="25">
        <f t="shared" si="13"/>
        <v>2026</v>
      </c>
      <c r="B31" s="37">
        <f>'P1 Catchment Projections'!J86+'P1 Catchment Projections'!J87+'P1 Catchment Projections'!J88+'P1 Catchment Projections'!J89</f>
        <v>193</v>
      </c>
      <c r="C31" s="34">
        <f t="shared" si="6"/>
        <v>182</v>
      </c>
      <c r="D31" s="34">
        <f t="shared" si="7"/>
        <v>174</v>
      </c>
      <c r="E31" s="34">
        <f t="shared" si="8"/>
        <v>168</v>
      </c>
      <c r="F31" s="34">
        <f t="shared" si="9"/>
        <v>139</v>
      </c>
      <c r="G31" s="34">
        <f t="shared" si="10"/>
        <v>158</v>
      </c>
      <c r="H31" s="34">
        <f t="shared" si="11"/>
        <v>155</v>
      </c>
      <c r="I31" s="99">
        <f t="shared" si="12"/>
        <v>137</v>
      </c>
      <c r="K31" s="59"/>
      <c r="L31" s="59"/>
      <c r="Z31" s="109"/>
      <c r="AA31" s="109"/>
    </row>
    <row r="32" spans="1:27" x14ac:dyDescent="0.25">
      <c r="A32" s="25">
        <f t="shared" si="13"/>
        <v>2027</v>
      </c>
      <c r="B32" s="37">
        <f>'P1 Catchment Projections'!K86+'P1 Catchment Projections'!K87+'P1 Catchment Projections'!K88+'P1 Catchment Projections'!K89</f>
        <v>194</v>
      </c>
      <c r="C32" s="34">
        <f t="shared" si="6"/>
        <v>183</v>
      </c>
      <c r="D32" s="34">
        <f t="shared" si="7"/>
        <v>176</v>
      </c>
      <c r="E32" s="34">
        <f t="shared" si="8"/>
        <v>171</v>
      </c>
      <c r="F32" s="34">
        <f t="shared" si="9"/>
        <v>158</v>
      </c>
      <c r="G32" s="34">
        <f t="shared" si="10"/>
        <v>136</v>
      </c>
      <c r="H32" s="34">
        <f t="shared" si="11"/>
        <v>148</v>
      </c>
      <c r="I32" s="99">
        <f t="shared" si="12"/>
        <v>137</v>
      </c>
      <c r="K32" s="59"/>
      <c r="L32" s="59"/>
      <c r="Z32" s="109"/>
      <c r="AA32" s="109"/>
    </row>
    <row r="33" spans="1:24" x14ac:dyDescent="0.25">
      <c r="A33" s="25">
        <f t="shared" si="13"/>
        <v>2028</v>
      </c>
      <c r="B33" s="37">
        <f>'P1 Catchment Projections'!L86+'P1 Catchment Projections'!L87+'P1 Catchment Projections'!L88+'P1 Catchment Projections'!L89</f>
        <v>195</v>
      </c>
      <c r="C33" s="34">
        <f t="shared" si="6"/>
        <v>184</v>
      </c>
      <c r="D33" s="34">
        <f t="shared" si="7"/>
        <v>177</v>
      </c>
      <c r="E33" s="34">
        <f t="shared" si="8"/>
        <v>173</v>
      </c>
      <c r="F33" s="34">
        <f t="shared" si="9"/>
        <v>161</v>
      </c>
      <c r="G33" s="34">
        <f t="shared" si="10"/>
        <v>154</v>
      </c>
      <c r="H33" s="34">
        <f t="shared" si="11"/>
        <v>127</v>
      </c>
      <c r="I33" s="99">
        <f t="shared" si="12"/>
        <v>130</v>
      </c>
      <c r="K33" s="59"/>
      <c r="L33" s="59"/>
    </row>
    <row r="34" spans="1:24" x14ac:dyDescent="0.25">
      <c r="A34" s="25">
        <f t="shared" si="13"/>
        <v>2029</v>
      </c>
      <c r="B34" s="37">
        <f>'P1 Catchment Projections'!M86+'P1 Catchment Projections'!M87+'P1 Catchment Projections'!M88+'P1 Catchment Projections'!M89</f>
        <v>195</v>
      </c>
      <c r="C34" s="34">
        <f t="shared" si="6"/>
        <v>185</v>
      </c>
      <c r="D34" s="34">
        <f t="shared" si="7"/>
        <v>178</v>
      </c>
      <c r="E34" s="34">
        <f t="shared" si="8"/>
        <v>174</v>
      </c>
      <c r="F34" s="34">
        <f t="shared" si="9"/>
        <v>162</v>
      </c>
      <c r="G34" s="34">
        <f t="shared" si="10"/>
        <v>157</v>
      </c>
      <c r="H34" s="34">
        <f t="shared" si="11"/>
        <v>144</v>
      </c>
      <c r="I34" s="99">
        <f t="shared" si="12"/>
        <v>112</v>
      </c>
      <c r="K34" s="59"/>
      <c r="L34" s="59"/>
    </row>
    <row r="35" spans="1:24" x14ac:dyDescent="0.25">
      <c r="A35" s="25">
        <f t="shared" si="13"/>
        <v>2030</v>
      </c>
      <c r="B35" s="37">
        <f>'P1 Catchment Projections'!N86+'P1 Catchment Projections'!N87+'P1 Catchment Projections'!N88+'P1 Catchment Projections'!N89</f>
        <v>196</v>
      </c>
      <c r="C35" s="34">
        <f t="shared" si="6"/>
        <v>185</v>
      </c>
      <c r="D35" s="34">
        <f t="shared" si="7"/>
        <v>179</v>
      </c>
      <c r="E35" s="34">
        <f t="shared" si="8"/>
        <v>175</v>
      </c>
      <c r="F35" s="34">
        <f t="shared" si="9"/>
        <v>163</v>
      </c>
      <c r="G35" s="34">
        <f t="shared" si="10"/>
        <v>158</v>
      </c>
      <c r="H35" s="34">
        <f t="shared" si="11"/>
        <v>147</v>
      </c>
      <c r="I35" s="99">
        <f t="shared" si="12"/>
        <v>127</v>
      </c>
      <c r="K35" s="59"/>
      <c r="L35" s="59"/>
    </row>
    <row r="36" spans="1:24" x14ac:dyDescent="0.25">
      <c r="A36" s="25">
        <f t="shared" si="13"/>
        <v>2031</v>
      </c>
      <c r="B36" s="37">
        <f>'P1 Catchment Projections'!O86+'P1 Catchment Projections'!O87+'P1 Catchment Projections'!O88+'P1 Catchment Projections'!O89</f>
        <v>197</v>
      </c>
      <c r="C36" s="34">
        <f t="shared" si="6"/>
        <v>186</v>
      </c>
      <c r="D36" s="34">
        <f t="shared" si="7"/>
        <v>179</v>
      </c>
      <c r="E36" s="34">
        <f t="shared" si="8"/>
        <v>176</v>
      </c>
      <c r="F36" s="34">
        <f t="shared" si="9"/>
        <v>164</v>
      </c>
      <c r="G36" s="34">
        <f t="shared" si="10"/>
        <v>159</v>
      </c>
      <c r="H36" s="34">
        <f t="shared" si="11"/>
        <v>148</v>
      </c>
      <c r="I36" s="99">
        <f t="shared" si="12"/>
        <v>130</v>
      </c>
      <c r="K36" s="59"/>
      <c r="L36" s="59"/>
    </row>
    <row r="37" spans="1:24" x14ac:dyDescent="0.25">
      <c r="A37" s="25">
        <f t="shared" si="13"/>
        <v>2032</v>
      </c>
      <c r="B37" s="37">
        <f>'P1 Catchment Projections'!P86+'P1 Catchment Projections'!P87+'P1 Catchment Projections'!P88+'P1 Catchment Projections'!P89</f>
        <v>196</v>
      </c>
      <c r="C37" s="34">
        <f t="shared" si="6"/>
        <v>187</v>
      </c>
      <c r="D37" s="34">
        <f t="shared" si="7"/>
        <v>180</v>
      </c>
      <c r="E37" s="34">
        <f t="shared" si="8"/>
        <v>176</v>
      </c>
      <c r="F37" s="34">
        <f t="shared" si="9"/>
        <v>165</v>
      </c>
      <c r="G37" s="34">
        <f t="shared" si="10"/>
        <v>160</v>
      </c>
      <c r="H37" s="34">
        <f t="shared" si="11"/>
        <v>149</v>
      </c>
      <c r="I37" s="99">
        <f t="shared" si="12"/>
        <v>130</v>
      </c>
      <c r="K37" s="59"/>
      <c r="L37" s="59"/>
    </row>
    <row r="38" spans="1:24" x14ac:dyDescent="0.25">
      <c r="K38" s="59"/>
      <c r="L38" s="59"/>
    </row>
    <row r="39" spans="1:24" x14ac:dyDescent="0.25">
      <c r="A39" s="21" t="s">
        <v>389</v>
      </c>
      <c r="K39" s="394" t="s">
        <v>190</v>
      </c>
      <c r="L39" s="55"/>
      <c r="M39" s="394" t="s">
        <v>203</v>
      </c>
      <c r="N39" s="106"/>
      <c r="O39" s="395" t="s">
        <v>204</v>
      </c>
      <c r="R39" s="21" t="s">
        <v>307</v>
      </c>
      <c r="S39" s="52"/>
      <c r="T39" s="52"/>
      <c r="U39" s="52"/>
      <c r="V39" s="52"/>
      <c r="W39" s="52"/>
      <c r="X39" s="52"/>
    </row>
    <row r="40" spans="1:24"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201</v>
      </c>
      <c r="C41" s="34">
        <f>C24+VLOOKUP($A$1,'Pri Housing Generation'!$A$96:$DQ$118, 11, FALSE)</f>
        <v>207</v>
      </c>
      <c r="D41" s="42">
        <f>D24+VLOOKUP($A$1,'Pri Housing Generation'!$A$96:$DQ$118, 12, FALSE)</f>
        <v>211</v>
      </c>
      <c r="E41" s="43">
        <f>E24+VLOOKUP($A$1,'Pri Housing Generation'!$A$96:$DQ$118, 13, FALSE)</f>
        <v>199</v>
      </c>
      <c r="F41" s="41">
        <f>F24+VLOOKUP($A$1,'Pri Housing Generation'!$A$96:$DQ$118, 14, FALSE)</f>
        <v>183</v>
      </c>
      <c r="G41" s="42">
        <f>G24+VLOOKUP($A$1,'Pri Housing Generation'!$A$96:$DQ$118, 15, FALSE)</f>
        <v>167</v>
      </c>
      <c r="H41" s="43">
        <f>H24+VLOOKUP($A$1,'Pri Housing Generation'!$A$96:$DQ$118, 16, FALSE)</f>
        <v>161</v>
      </c>
      <c r="I41" s="99">
        <f>ROUNDUP((H18-(H18*$I$20)),0)</f>
        <v>120</v>
      </c>
      <c r="K41" s="35">
        <f>'Sec Housing Generation'!I24</f>
        <v>1</v>
      </c>
      <c r="L41" s="83"/>
      <c r="M41" s="107">
        <f>K20+0.0088</f>
        <v>0.67891185951261701</v>
      </c>
      <c r="O41" s="35">
        <f t="shared" ref="O41:O54" si="14">ROUNDUP(((I41+K41)*M41),0)</f>
        <v>83</v>
      </c>
      <c r="Q41" s="25">
        <f>A41</f>
        <v>2019</v>
      </c>
      <c r="R41" s="20">
        <f t="shared" ref="R41:R54" si="15">IF(O41&lt;$C$7,(IF((O41+$O$20)&gt;$C$7,$C$7,(O41+$O$20))),(IF((O41+$O$20)&lt;(CEILING((O41),20)),(O41+$O$20),(CEILING((O41),20)))))</f>
        <v>111</v>
      </c>
      <c r="S41" s="53">
        <f>R18</f>
        <v>140</v>
      </c>
      <c r="T41" s="67">
        <f>S18</f>
        <v>115</v>
      </c>
      <c r="U41" s="69">
        <f>T18</f>
        <v>112</v>
      </c>
      <c r="V41" s="41">
        <f>ROUNDUP((U18-(U18*$V$20)),0)</f>
        <v>81</v>
      </c>
      <c r="W41" s="42">
        <f>ROUNDUP((V18-(V18*$W$20)),0)</f>
        <v>47</v>
      </c>
      <c r="X41" s="101">
        <f t="shared" ref="X41:X54" si="16">SUM(R41:W41)</f>
        <v>606</v>
      </c>
    </row>
    <row r="42" spans="1:24" x14ac:dyDescent="0.25">
      <c r="A42" s="25">
        <f t="shared" ref="A42:A54" si="17">A25</f>
        <v>2020</v>
      </c>
      <c r="B42" s="37">
        <f>B25+VLOOKUP($A$1,'Pri Housing Generation'!$A$96:$DQ$118, 18, FALSE)</f>
        <v>203</v>
      </c>
      <c r="C42" s="34">
        <f>C25+VLOOKUP($A$1,'Pri Housing Generation'!$A$96:$DQ$118, 19, FALSE)</f>
        <v>192</v>
      </c>
      <c r="D42" s="34">
        <f>D25+VLOOKUP($A$1,'Pri Housing Generation'!$A$96:$DQ$118, 20, FALSE)</f>
        <v>201</v>
      </c>
      <c r="E42" s="42">
        <f>E25+VLOOKUP($A$1,'Pri Housing Generation'!$A$96:$DQ$118, 21, FALSE)</f>
        <v>207</v>
      </c>
      <c r="F42" s="43">
        <f>F25+VLOOKUP($A$1,'Pri Housing Generation'!$A$96:$DQ$118, 22, FALSE)</f>
        <v>187</v>
      </c>
      <c r="G42" s="41">
        <f>G25+VLOOKUP($A$1,'Pri Housing Generation'!$A$96:$DQ$118, 23, FALSE)</f>
        <v>179</v>
      </c>
      <c r="H42" s="42">
        <f>H25+VLOOKUP($A$1,'Pri Housing Generation'!$A$96:$DQ$118, 24, FALSE)</f>
        <v>157</v>
      </c>
      <c r="I42" s="99">
        <f t="shared" ref="I42:I54" si="18">ROUNDUP((H41-(H41*$I$20)),0)</f>
        <v>142</v>
      </c>
      <c r="K42" s="35">
        <f>'Sec Housing Generation'!P24</f>
        <v>1</v>
      </c>
      <c r="L42" s="83"/>
      <c r="M42" s="107">
        <f t="shared" ref="M42:M53" si="19">M41+0.0088</f>
        <v>0.68771185951261704</v>
      </c>
      <c r="O42" s="35">
        <f t="shared" si="14"/>
        <v>99</v>
      </c>
      <c r="Q42" s="25">
        <f t="shared" ref="Q42:Q54" si="20">A42</f>
        <v>2020</v>
      </c>
      <c r="R42" s="20">
        <f t="shared" si="15"/>
        <v>127</v>
      </c>
      <c r="S42" s="53">
        <f t="shared" ref="S42:U54" si="21">R41</f>
        <v>111</v>
      </c>
      <c r="T42" s="53">
        <f t="shared" si="21"/>
        <v>140</v>
      </c>
      <c r="U42" s="67">
        <f t="shared" si="21"/>
        <v>115</v>
      </c>
      <c r="V42" s="43">
        <f t="shared" ref="V42:V54" si="22">ROUNDUP((U41-(U41*$V$20)),0)</f>
        <v>86</v>
      </c>
      <c r="W42" s="41">
        <f t="shared" ref="W42:W54" si="23">ROUNDUP((V41-(V41*$W$20)),0)</f>
        <v>58</v>
      </c>
      <c r="X42" s="101">
        <f t="shared" si="16"/>
        <v>637</v>
      </c>
    </row>
    <row r="43" spans="1:24" x14ac:dyDescent="0.25">
      <c r="A43" s="25">
        <f t="shared" si="17"/>
        <v>2021</v>
      </c>
      <c r="B43" s="37">
        <f>B26+VLOOKUP($A$1,'Pri Housing Generation'!$A$96:$DQ$118, 26, FALSE)</f>
        <v>194</v>
      </c>
      <c r="C43" s="34">
        <f>C26+VLOOKUP($A$1,'Pri Housing Generation'!$A$96:$DQ$118, 27, FALSE)</f>
        <v>194</v>
      </c>
      <c r="D43" s="34">
        <f>D26+VLOOKUP($A$1,'Pri Housing Generation'!$A$96:$DQ$118, 28, FALSE)</f>
        <v>186</v>
      </c>
      <c r="E43" s="34">
        <f>E26+VLOOKUP($A$1,'Pri Housing Generation'!$A$96:$DQ$118, 29, FALSE)</f>
        <v>197</v>
      </c>
      <c r="F43" s="42">
        <f>F26+VLOOKUP($A$1,'Pri Housing Generation'!$A$96:$DQ$118, 30, FALSE)</f>
        <v>195</v>
      </c>
      <c r="G43" s="43">
        <f>G26+VLOOKUP($A$1,'Pri Housing Generation'!$A$96:$DQ$118, 31, FALSE)</f>
        <v>183</v>
      </c>
      <c r="H43" s="41">
        <f>H26+VLOOKUP($A$1,'Pri Housing Generation'!$A$96:$DQ$118, 32, FALSE)</f>
        <v>169</v>
      </c>
      <c r="I43" s="99">
        <f t="shared" si="18"/>
        <v>138</v>
      </c>
      <c r="K43" s="35">
        <f>'Sec Housing Generation'!W24</f>
        <v>2</v>
      </c>
      <c r="L43" s="83"/>
      <c r="M43" s="107">
        <f t="shared" si="19"/>
        <v>0.69651185951261707</v>
      </c>
      <c r="O43" s="35">
        <f t="shared" si="14"/>
        <v>98</v>
      </c>
      <c r="Q43" s="25">
        <f t="shared" si="20"/>
        <v>2021</v>
      </c>
      <c r="R43" s="20">
        <f t="shared" si="15"/>
        <v>126</v>
      </c>
      <c r="S43" s="53">
        <f t="shared" si="21"/>
        <v>127</v>
      </c>
      <c r="T43" s="53">
        <f t="shared" si="21"/>
        <v>111</v>
      </c>
      <c r="U43" s="53">
        <f t="shared" si="21"/>
        <v>140</v>
      </c>
      <c r="V43" s="42">
        <f t="shared" si="22"/>
        <v>88</v>
      </c>
      <c r="W43" s="43">
        <f t="shared" si="23"/>
        <v>62</v>
      </c>
      <c r="X43" s="101">
        <f t="shared" si="16"/>
        <v>654</v>
      </c>
    </row>
    <row r="44" spans="1:24" x14ac:dyDescent="0.25">
      <c r="A44" s="25">
        <f t="shared" si="17"/>
        <v>2022</v>
      </c>
      <c r="B44" s="37">
        <f>B27+VLOOKUP($A$1,'Pri Housing Generation'!$A$96:$DQ$118, 34, FALSE)</f>
        <v>169</v>
      </c>
      <c r="C44" s="34">
        <f>C27+VLOOKUP($A$1,'Pri Housing Generation'!$A$96:$DQ$118, 35, FALSE)</f>
        <v>186</v>
      </c>
      <c r="D44" s="34">
        <f>D27+VLOOKUP($A$1,'Pri Housing Generation'!$A$96:$DQ$118, 36, FALSE)</f>
        <v>189</v>
      </c>
      <c r="E44" s="34">
        <f>E27+VLOOKUP($A$1,'Pri Housing Generation'!$A$96:$DQ$118, 37, FALSE)</f>
        <v>185</v>
      </c>
      <c r="F44" s="34">
        <f>F27+VLOOKUP($A$1,'Pri Housing Generation'!$A$96:$DQ$118, 38, FALSE)</f>
        <v>186</v>
      </c>
      <c r="G44" s="42">
        <f>G27+VLOOKUP($A$1,'Pri Housing Generation'!$A$96:$DQ$118, 39, FALSE)</f>
        <v>191</v>
      </c>
      <c r="H44" s="43">
        <f>H27+VLOOKUP($A$1,'Pri Housing Generation'!$A$96:$DQ$118, 40, FALSE)</f>
        <v>172</v>
      </c>
      <c r="I44" s="99">
        <f t="shared" si="18"/>
        <v>149</v>
      </c>
      <c r="K44" s="35">
        <f>'Sec Housing Generation'!AD24</f>
        <v>3</v>
      </c>
      <c r="L44" s="83"/>
      <c r="M44" s="107">
        <f t="shared" si="19"/>
        <v>0.7053118595126171</v>
      </c>
      <c r="O44" s="35">
        <f t="shared" si="14"/>
        <v>108</v>
      </c>
      <c r="Q44" s="25">
        <f t="shared" si="20"/>
        <v>2022</v>
      </c>
      <c r="R44" s="20">
        <f t="shared" si="15"/>
        <v>136</v>
      </c>
      <c r="S44" s="53">
        <f t="shared" si="21"/>
        <v>126</v>
      </c>
      <c r="T44" s="53">
        <f t="shared" si="21"/>
        <v>127</v>
      </c>
      <c r="U44" s="53">
        <f t="shared" si="21"/>
        <v>111</v>
      </c>
      <c r="V44" s="34">
        <f t="shared" si="22"/>
        <v>107</v>
      </c>
      <c r="W44" s="42">
        <f t="shared" si="23"/>
        <v>63</v>
      </c>
      <c r="X44" s="101">
        <f t="shared" si="16"/>
        <v>670</v>
      </c>
    </row>
    <row r="45" spans="1:24" x14ac:dyDescent="0.25">
      <c r="A45" s="25">
        <f t="shared" si="17"/>
        <v>2023</v>
      </c>
      <c r="B45" s="37">
        <f>B28+VLOOKUP($A$1,'Pri Housing Generation'!$A$96:$DQ$118, 42, FALSE)</f>
        <v>192</v>
      </c>
      <c r="C45" s="34">
        <f>C28+VLOOKUP($A$1,'Pri Housing Generation'!$A$96:$DQ$118, 43, FALSE)</f>
        <v>162</v>
      </c>
      <c r="D45" s="34">
        <f>D28+VLOOKUP($A$1,'Pri Housing Generation'!$A$96:$DQ$118, 44, FALSE)</f>
        <v>181</v>
      </c>
      <c r="E45" s="34">
        <f>E28+VLOOKUP($A$1,'Pri Housing Generation'!$A$96:$DQ$118, 45, FALSE)</f>
        <v>187</v>
      </c>
      <c r="F45" s="34">
        <f>F28+VLOOKUP($A$1,'Pri Housing Generation'!$A$96:$DQ$118, 46, FALSE)</f>
        <v>174</v>
      </c>
      <c r="G45" s="34">
        <f>G28+VLOOKUP($A$1,'Pri Housing Generation'!$A$96:$DQ$118, 47, FALSE)</f>
        <v>182</v>
      </c>
      <c r="H45" s="42">
        <f>H28+VLOOKUP($A$1,'Pri Housing Generation'!$A$96:$DQ$118, 48, FALSE)</f>
        <v>179</v>
      </c>
      <c r="I45" s="99">
        <f t="shared" si="18"/>
        <v>152</v>
      </c>
      <c r="J45" s="181"/>
      <c r="K45" s="35">
        <f>'Sec Housing Generation'!AK24</f>
        <v>3</v>
      </c>
      <c r="L45" s="83"/>
      <c r="M45" s="107">
        <f t="shared" si="19"/>
        <v>0.71411185951261713</v>
      </c>
      <c r="O45" s="35">
        <f t="shared" si="14"/>
        <v>111</v>
      </c>
      <c r="Q45" s="25">
        <f t="shared" si="20"/>
        <v>2023</v>
      </c>
      <c r="R45" s="20">
        <f t="shared" si="15"/>
        <v>139</v>
      </c>
      <c r="S45" s="53">
        <f t="shared" si="21"/>
        <v>136</v>
      </c>
      <c r="T45" s="53">
        <f t="shared" si="21"/>
        <v>126</v>
      </c>
      <c r="U45" s="53">
        <f t="shared" si="21"/>
        <v>127</v>
      </c>
      <c r="V45" s="34">
        <f t="shared" si="22"/>
        <v>85</v>
      </c>
      <c r="W45" s="34">
        <f t="shared" si="23"/>
        <v>77</v>
      </c>
      <c r="X45" s="101">
        <f t="shared" si="16"/>
        <v>690</v>
      </c>
    </row>
    <row r="46" spans="1:24" x14ac:dyDescent="0.25">
      <c r="A46" s="25">
        <f t="shared" si="17"/>
        <v>2024</v>
      </c>
      <c r="B46" s="37">
        <f>B29+VLOOKUP($A$1,'Pri Housing Generation'!$A$96:$DQ$118, 50, FALSE)</f>
        <v>197</v>
      </c>
      <c r="C46" s="34">
        <f>C29+VLOOKUP($A$1,'Pri Housing Generation'!$A$96:$DQ$118, 51, FALSE)</f>
        <v>185</v>
      </c>
      <c r="D46" s="34">
        <f>D29+VLOOKUP($A$1,'Pri Housing Generation'!$A$96:$DQ$118, 52, FALSE)</f>
        <v>158</v>
      </c>
      <c r="E46" s="34">
        <f>E29+VLOOKUP($A$1,'Pri Housing Generation'!$A$96:$DQ$118, 53, FALSE)</f>
        <v>179</v>
      </c>
      <c r="F46" s="34">
        <f>F29+VLOOKUP($A$1,'Pri Housing Generation'!$A$96:$DQ$118, 54, FALSE)</f>
        <v>176</v>
      </c>
      <c r="G46" s="34">
        <f>G29+VLOOKUP($A$1,'Pri Housing Generation'!$A$96:$DQ$118, 55, FALSE)</f>
        <v>171</v>
      </c>
      <c r="H46" s="34">
        <f>H29+VLOOKUP($A$1,'Pri Housing Generation'!$A$96:$DQ$118, 56, FALSE)</f>
        <v>172</v>
      </c>
      <c r="I46" s="99">
        <f t="shared" si="18"/>
        <v>158</v>
      </c>
      <c r="J46" s="181"/>
      <c r="K46" s="35">
        <f>'Sec Housing Generation'!AR24</f>
        <v>4</v>
      </c>
      <c r="L46" s="83"/>
      <c r="M46" s="107">
        <f t="shared" si="19"/>
        <v>0.72291185951261716</v>
      </c>
      <c r="O46" s="35">
        <f t="shared" si="14"/>
        <v>118</v>
      </c>
      <c r="Q46" s="25">
        <f t="shared" si="20"/>
        <v>2024</v>
      </c>
      <c r="R46" s="20">
        <f t="shared" si="15"/>
        <v>146</v>
      </c>
      <c r="S46" s="53">
        <f t="shared" si="21"/>
        <v>139</v>
      </c>
      <c r="T46" s="53">
        <f t="shared" si="21"/>
        <v>136</v>
      </c>
      <c r="U46" s="53">
        <f t="shared" si="21"/>
        <v>126</v>
      </c>
      <c r="V46" s="34">
        <f t="shared" si="22"/>
        <v>98</v>
      </c>
      <c r="W46" s="34">
        <f t="shared" si="23"/>
        <v>61</v>
      </c>
      <c r="X46" s="101">
        <f t="shared" si="16"/>
        <v>706</v>
      </c>
    </row>
    <row r="47" spans="1:24" x14ac:dyDescent="0.25">
      <c r="A47" s="25">
        <f t="shared" si="17"/>
        <v>2025</v>
      </c>
      <c r="B47" s="37">
        <f>B30+VLOOKUP($A$1,'Pri Housing Generation'!$A$96:$DQ$118, 58, FALSE)</f>
        <v>201</v>
      </c>
      <c r="C47" s="34">
        <f>C30+VLOOKUP($A$1,'Pri Housing Generation'!$A$96:$DQ$118, 59, FALSE)</f>
        <v>188</v>
      </c>
      <c r="D47" s="34">
        <f>D30+VLOOKUP($A$1,'Pri Housing Generation'!$A$96:$DQ$118, 60, FALSE)</f>
        <v>179</v>
      </c>
      <c r="E47" s="34">
        <f>E30+VLOOKUP($A$1,'Pri Housing Generation'!$A$96:$DQ$118, 61, FALSE)</f>
        <v>156</v>
      </c>
      <c r="F47" s="34">
        <f>F30+VLOOKUP($A$1,'Pri Housing Generation'!$A$96:$DQ$118, 62, FALSE)</f>
        <v>169</v>
      </c>
      <c r="G47" s="34">
        <f>G30+VLOOKUP($A$1,'Pri Housing Generation'!$A$96:$DQ$118, 63, FALSE)</f>
        <v>173</v>
      </c>
      <c r="H47" s="34">
        <f>H30+VLOOKUP($A$1,'Pri Housing Generation'!$A$96:$DQ$118, 64, FALSE)</f>
        <v>162</v>
      </c>
      <c r="I47" s="99">
        <f t="shared" si="18"/>
        <v>152</v>
      </c>
      <c r="J47" s="181"/>
      <c r="K47" s="83"/>
      <c r="L47" s="83"/>
      <c r="M47" s="107">
        <f t="shared" si="19"/>
        <v>0.73171185951261719</v>
      </c>
      <c r="O47" s="35">
        <f t="shared" si="14"/>
        <v>112</v>
      </c>
      <c r="Q47" s="25">
        <f t="shared" si="20"/>
        <v>2025</v>
      </c>
      <c r="R47" s="20">
        <f t="shared" si="15"/>
        <v>140</v>
      </c>
      <c r="S47" s="53">
        <f t="shared" si="21"/>
        <v>146</v>
      </c>
      <c r="T47" s="53">
        <f t="shared" si="21"/>
        <v>139</v>
      </c>
      <c r="U47" s="53">
        <f t="shared" si="21"/>
        <v>136</v>
      </c>
      <c r="V47" s="34">
        <f t="shared" si="22"/>
        <v>97</v>
      </c>
      <c r="W47" s="34">
        <f t="shared" si="23"/>
        <v>70</v>
      </c>
      <c r="X47" s="101">
        <f t="shared" si="16"/>
        <v>728</v>
      </c>
    </row>
    <row r="48" spans="1:24" x14ac:dyDescent="0.25">
      <c r="A48" s="25">
        <f t="shared" si="17"/>
        <v>2026</v>
      </c>
      <c r="B48" s="37">
        <f>B31+VLOOKUP($A$1,'Pri Housing Generation'!$A$96:$DQ$118, 66, FALSE)</f>
        <v>204</v>
      </c>
      <c r="C48" s="34">
        <f>C31+VLOOKUP($A$1,'Pri Housing Generation'!$A$96:$DQ$118, 67, FALSE)</f>
        <v>192</v>
      </c>
      <c r="D48" s="34">
        <f>D31+VLOOKUP($A$1,'Pri Housing Generation'!$A$96:$DQ$118, 68, FALSE)</f>
        <v>184</v>
      </c>
      <c r="E48" s="34">
        <f>E31+VLOOKUP($A$1,'Pri Housing Generation'!$A$96:$DQ$118, 69, FALSE)</f>
        <v>178</v>
      </c>
      <c r="F48" s="34">
        <f>F31+VLOOKUP($A$1,'Pri Housing Generation'!$A$96:$DQ$118, 70, FALSE)</f>
        <v>147</v>
      </c>
      <c r="G48" s="34">
        <f>G31+VLOOKUP($A$1,'Pri Housing Generation'!$A$96:$DQ$118, 71, FALSE)</f>
        <v>166</v>
      </c>
      <c r="H48" s="34">
        <f>H31+VLOOKUP($A$1,'Pri Housing Generation'!$A$96:$DQ$118, 72, FALSE)</f>
        <v>163</v>
      </c>
      <c r="I48" s="99">
        <f t="shared" si="18"/>
        <v>143</v>
      </c>
      <c r="J48" s="181"/>
      <c r="K48" s="83"/>
      <c r="L48" s="83"/>
      <c r="M48" s="107">
        <f t="shared" si="19"/>
        <v>0.74051185951261722</v>
      </c>
      <c r="O48" s="35">
        <f t="shared" si="14"/>
        <v>106</v>
      </c>
      <c r="Q48" s="25">
        <f t="shared" si="20"/>
        <v>2026</v>
      </c>
      <c r="R48" s="20">
        <f t="shared" si="15"/>
        <v>134</v>
      </c>
      <c r="S48" s="53">
        <f t="shared" si="21"/>
        <v>140</v>
      </c>
      <c r="T48" s="53">
        <f t="shared" si="21"/>
        <v>146</v>
      </c>
      <c r="U48" s="53">
        <f t="shared" si="21"/>
        <v>139</v>
      </c>
      <c r="V48" s="34">
        <f t="shared" si="22"/>
        <v>104</v>
      </c>
      <c r="W48" s="34">
        <f t="shared" si="23"/>
        <v>70</v>
      </c>
      <c r="X48" s="101">
        <f t="shared" si="16"/>
        <v>733</v>
      </c>
    </row>
    <row r="49" spans="1:24" x14ac:dyDescent="0.25">
      <c r="A49" s="25">
        <f t="shared" si="17"/>
        <v>2027</v>
      </c>
      <c r="B49" s="37">
        <f>B32+VLOOKUP($A$1,'Pri Housing Generation'!$A$96:$DQ$118, 74, FALSE)</f>
        <v>206</v>
      </c>
      <c r="C49" s="34">
        <f>C32+VLOOKUP($A$1,'Pri Housing Generation'!$A$96:$DQ$118, 75, FALSE)</f>
        <v>195</v>
      </c>
      <c r="D49" s="34">
        <f>D32+VLOOKUP($A$1,'Pri Housing Generation'!$A$96:$DQ$118, 76, FALSE)</f>
        <v>187</v>
      </c>
      <c r="E49" s="34">
        <f>E32+VLOOKUP($A$1,'Pri Housing Generation'!$A$96:$DQ$118, 77, FALSE)</f>
        <v>182</v>
      </c>
      <c r="F49" s="34">
        <f>F32+VLOOKUP($A$1,'Pri Housing Generation'!$A$96:$DQ$118, 78, FALSE)</f>
        <v>168</v>
      </c>
      <c r="G49" s="34">
        <f>G32+VLOOKUP($A$1,'Pri Housing Generation'!$A$96:$DQ$118, 79, FALSE)</f>
        <v>146</v>
      </c>
      <c r="H49" s="34">
        <f>H32+VLOOKUP($A$1,'Pri Housing Generation'!$A$96:$DQ$118, 80, FALSE)</f>
        <v>158</v>
      </c>
      <c r="I49" s="99">
        <f t="shared" si="18"/>
        <v>144</v>
      </c>
      <c r="J49" s="181"/>
      <c r="K49" s="83"/>
      <c r="L49" s="83"/>
      <c r="M49" s="107">
        <f t="shared" si="19"/>
        <v>0.74931185951261725</v>
      </c>
      <c r="O49" s="35">
        <f t="shared" si="14"/>
        <v>108</v>
      </c>
      <c r="Q49" s="25">
        <f t="shared" si="20"/>
        <v>2027</v>
      </c>
      <c r="R49" s="20">
        <f t="shared" si="15"/>
        <v>136</v>
      </c>
      <c r="S49" s="53">
        <f t="shared" si="21"/>
        <v>134</v>
      </c>
      <c r="T49" s="53">
        <f t="shared" si="21"/>
        <v>140</v>
      </c>
      <c r="U49" s="53">
        <f t="shared" si="21"/>
        <v>146</v>
      </c>
      <c r="V49" s="34">
        <f t="shared" si="22"/>
        <v>107</v>
      </c>
      <c r="W49" s="34">
        <f t="shared" si="23"/>
        <v>75</v>
      </c>
      <c r="X49" s="101">
        <f t="shared" si="16"/>
        <v>738</v>
      </c>
    </row>
    <row r="50" spans="1:24" x14ac:dyDescent="0.25">
      <c r="A50" s="25">
        <f t="shared" si="17"/>
        <v>2028</v>
      </c>
      <c r="B50" s="37">
        <f>B33+VLOOKUP($A$1,'Pri Housing Generation'!$A$96:$DQ$118, 82, FALSE)</f>
        <v>207</v>
      </c>
      <c r="C50" s="34">
        <f>C33+VLOOKUP($A$1,'Pri Housing Generation'!$A$96:$DQ$118, 83, FALSE)</f>
        <v>196</v>
      </c>
      <c r="D50" s="34">
        <f>D33+VLOOKUP($A$1,'Pri Housing Generation'!$A$96:$DQ$118, 84, FALSE)</f>
        <v>189</v>
      </c>
      <c r="E50" s="34">
        <f>E33+VLOOKUP($A$1,'Pri Housing Generation'!$A$96:$DQ$118, 85, FALSE)</f>
        <v>185</v>
      </c>
      <c r="F50" s="34">
        <f>F33+VLOOKUP($A$1,'Pri Housing Generation'!$A$96:$DQ$118, 86, FALSE)</f>
        <v>172</v>
      </c>
      <c r="G50" s="34">
        <f>G33+VLOOKUP($A$1,'Pri Housing Generation'!$A$96:$DQ$118, 87, FALSE)</f>
        <v>165</v>
      </c>
      <c r="H50" s="34">
        <f>H33+VLOOKUP($A$1,'Pri Housing Generation'!$A$96:$DQ$118, 88, FALSE)</f>
        <v>138</v>
      </c>
      <c r="I50" s="99">
        <f t="shared" si="18"/>
        <v>139</v>
      </c>
      <c r="J50" s="181"/>
      <c r="K50" s="83"/>
      <c r="L50" s="83"/>
      <c r="M50" s="107">
        <f t="shared" si="19"/>
        <v>0.75811185951261728</v>
      </c>
      <c r="O50" s="35">
        <f t="shared" si="14"/>
        <v>106</v>
      </c>
      <c r="Q50" s="25">
        <f t="shared" si="20"/>
        <v>2028</v>
      </c>
      <c r="R50" s="20">
        <f t="shared" si="15"/>
        <v>134</v>
      </c>
      <c r="S50" s="53">
        <f t="shared" si="21"/>
        <v>136</v>
      </c>
      <c r="T50" s="53">
        <f t="shared" si="21"/>
        <v>134</v>
      </c>
      <c r="U50" s="53">
        <f t="shared" si="21"/>
        <v>140</v>
      </c>
      <c r="V50" s="34">
        <f t="shared" si="22"/>
        <v>112</v>
      </c>
      <c r="W50" s="34">
        <f t="shared" si="23"/>
        <v>77</v>
      </c>
      <c r="X50" s="101">
        <f t="shared" si="16"/>
        <v>733</v>
      </c>
    </row>
    <row r="51" spans="1:24" x14ac:dyDescent="0.25">
      <c r="A51" s="25">
        <f t="shared" si="17"/>
        <v>2029</v>
      </c>
      <c r="B51" s="37">
        <f>B34+VLOOKUP($A$1,'Pri Housing Generation'!$A$96:$DQ$118, 90, FALSE)</f>
        <v>208</v>
      </c>
      <c r="C51" s="34">
        <f>C34+VLOOKUP($A$1,'Pri Housing Generation'!$A$96:$DQ$118, 91, FALSE)</f>
        <v>198</v>
      </c>
      <c r="D51" s="34">
        <f>D34+VLOOKUP($A$1,'Pri Housing Generation'!$A$96:$DQ$118, 92, FALSE)</f>
        <v>190</v>
      </c>
      <c r="E51" s="34">
        <f>E34+VLOOKUP($A$1,'Pri Housing Generation'!$A$96:$DQ$118, 93, FALSE)</f>
        <v>186</v>
      </c>
      <c r="F51" s="34">
        <f>F34+VLOOKUP($A$1,'Pri Housing Generation'!$A$96:$DQ$118, 94, FALSE)</f>
        <v>173</v>
      </c>
      <c r="G51" s="34">
        <f>G34+VLOOKUP($A$1,'Pri Housing Generation'!$A$96:$DQ$118, 95, FALSE)</f>
        <v>168</v>
      </c>
      <c r="H51" s="34">
        <f>H34+VLOOKUP($A$1,'Pri Housing Generation'!$A$96:$DQ$118, 96, FALSE)</f>
        <v>155</v>
      </c>
      <c r="I51" s="99">
        <f t="shared" si="18"/>
        <v>122</v>
      </c>
      <c r="J51" s="181"/>
      <c r="K51" s="83"/>
      <c r="L51" s="83"/>
      <c r="M51" s="107">
        <f t="shared" si="19"/>
        <v>0.76691185951261731</v>
      </c>
      <c r="O51" s="35">
        <f t="shared" si="14"/>
        <v>94</v>
      </c>
      <c r="Q51" s="25">
        <f t="shared" si="20"/>
        <v>2029</v>
      </c>
      <c r="R51" s="20">
        <f t="shared" si="15"/>
        <v>122</v>
      </c>
      <c r="S51" s="53">
        <f t="shared" si="21"/>
        <v>134</v>
      </c>
      <c r="T51" s="53">
        <f t="shared" si="21"/>
        <v>136</v>
      </c>
      <c r="U51" s="53">
        <f t="shared" si="21"/>
        <v>134</v>
      </c>
      <c r="V51" s="34">
        <f t="shared" si="22"/>
        <v>107</v>
      </c>
      <c r="W51" s="34">
        <f t="shared" si="23"/>
        <v>80</v>
      </c>
      <c r="X51" s="101">
        <f t="shared" si="16"/>
        <v>713</v>
      </c>
    </row>
    <row r="52" spans="1:24" x14ac:dyDescent="0.25">
      <c r="A52" s="25">
        <f t="shared" si="17"/>
        <v>2030</v>
      </c>
      <c r="B52" s="37">
        <f>B35+VLOOKUP($A$1,'Pri Housing Generation'!$A$96:$DQ$118, 98, FALSE)</f>
        <v>209</v>
      </c>
      <c r="C52" s="34">
        <f>C35+VLOOKUP($A$1,'Pri Housing Generation'!$A$96:$DQ$118, 99, FALSE)</f>
        <v>198</v>
      </c>
      <c r="D52" s="34">
        <f>D35+VLOOKUP($A$1,'Pri Housing Generation'!$A$96:$DQ$118, 100, FALSE)</f>
        <v>191</v>
      </c>
      <c r="E52" s="34">
        <f>E35+VLOOKUP($A$1,'Pri Housing Generation'!$A$96:$DQ$118, 101, FALSE)</f>
        <v>187</v>
      </c>
      <c r="F52" s="34">
        <f>F35+VLOOKUP($A$1,'Pri Housing Generation'!$A$96:$DQ$118, 102, FALSE)</f>
        <v>174</v>
      </c>
      <c r="G52" s="34">
        <f>G35+VLOOKUP($A$1,'Pri Housing Generation'!$A$96:$DQ$118, 103, FALSE)</f>
        <v>169</v>
      </c>
      <c r="H52" s="34">
        <f>H35+VLOOKUP($A$1,'Pri Housing Generation'!$A$96:$DQ$118, 104, FALSE)</f>
        <v>158</v>
      </c>
      <c r="I52" s="99">
        <f t="shared" si="18"/>
        <v>137</v>
      </c>
      <c r="J52" s="54"/>
      <c r="K52" s="83"/>
      <c r="L52" s="83"/>
      <c r="M52" s="107">
        <f t="shared" si="19"/>
        <v>0.77571185951261734</v>
      </c>
      <c r="O52" s="35">
        <f t="shared" si="14"/>
        <v>107</v>
      </c>
      <c r="Q52" s="25">
        <f t="shared" si="20"/>
        <v>2030</v>
      </c>
      <c r="R52" s="20">
        <f t="shared" si="15"/>
        <v>135</v>
      </c>
      <c r="S52" s="53">
        <f t="shared" si="21"/>
        <v>122</v>
      </c>
      <c r="T52" s="53">
        <f t="shared" si="21"/>
        <v>134</v>
      </c>
      <c r="U52" s="53">
        <f t="shared" si="21"/>
        <v>136</v>
      </c>
      <c r="V52" s="34">
        <f t="shared" si="22"/>
        <v>103</v>
      </c>
      <c r="W52" s="34">
        <f t="shared" si="23"/>
        <v>77</v>
      </c>
      <c r="X52" s="101">
        <f t="shared" si="16"/>
        <v>707</v>
      </c>
    </row>
    <row r="53" spans="1:24" x14ac:dyDescent="0.25">
      <c r="A53" s="25">
        <f t="shared" si="17"/>
        <v>2031</v>
      </c>
      <c r="B53" s="37">
        <f>B36+VLOOKUP($A$1,'Pri Housing Generation'!$A$96:$DQ$118, 106, FALSE)</f>
        <v>210</v>
      </c>
      <c r="C53" s="34">
        <f>C36+VLOOKUP($A$1,'Pri Housing Generation'!$A$96:$DQ$118, 107, FALSE)</f>
        <v>199</v>
      </c>
      <c r="D53" s="34">
        <f>D36+VLOOKUP($A$1,'Pri Housing Generation'!$A$96:$DQ$118, 108, FALSE)</f>
        <v>191</v>
      </c>
      <c r="E53" s="34">
        <f>E36+VLOOKUP($A$1,'Pri Housing Generation'!$A$96:$DQ$118, 109, FALSE)</f>
        <v>188</v>
      </c>
      <c r="F53" s="34">
        <f>F36+VLOOKUP($A$1,'Pri Housing Generation'!$A$96:$DQ$118, 110, FALSE)</f>
        <v>175</v>
      </c>
      <c r="G53" s="34">
        <f>G36+VLOOKUP($A$1,'Pri Housing Generation'!$A$96:$DQ$118, 111, FALSE)</f>
        <v>170</v>
      </c>
      <c r="H53" s="34">
        <f>H36+VLOOKUP($A$1,'Pri Housing Generation'!$A$96:$DQ$118, 112, FALSE)</f>
        <v>159</v>
      </c>
      <c r="I53" s="99">
        <f t="shared" si="18"/>
        <v>139</v>
      </c>
      <c r="J53" s="54"/>
      <c r="K53" s="83"/>
      <c r="L53" s="83"/>
      <c r="M53" s="107">
        <f t="shared" si="19"/>
        <v>0.78451185951261737</v>
      </c>
      <c r="O53" s="35">
        <f t="shared" si="14"/>
        <v>110</v>
      </c>
      <c r="Q53" s="25">
        <f t="shared" si="20"/>
        <v>2031</v>
      </c>
      <c r="R53" s="20">
        <f t="shared" si="15"/>
        <v>138</v>
      </c>
      <c r="S53" s="53">
        <f t="shared" si="21"/>
        <v>135</v>
      </c>
      <c r="T53" s="53">
        <f t="shared" si="21"/>
        <v>122</v>
      </c>
      <c r="U53" s="53">
        <f t="shared" si="21"/>
        <v>134</v>
      </c>
      <c r="V53" s="34">
        <f t="shared" si="22"/>
        <v>104</v>
      </c>
      <c r="W53" s="34">
        <f t="shared" si="23"/>
        <v>74</v>
      </c>
      <c r="X53" s="101">
        <f t="shared" si="16"/>
        <v>707</v>
      </c>
    </row>
    <row r="54" spans="1:24" x14ac:dyDescent="0.25">
      <c r="A54" s="25">
        <f t="shared" si="17"/>
        <v>2032</v>
      </c>
      <c r="B54" s="37">
        <f>B37+VLOOKUP($A$1,'Pri Housing Generation'!$A$96:$DQ$118, 114, FALSE)</f>
        <v>209</v>
      </c>
      <c r="C54" s="34">
        <f>C37+VLOOKUP($A$1,'Pri Housing Generation'!$A$96:$DQ$118, 115, FALSE)</f>
        <v>200</v>
      </c>
      <c r="D54" s="34">
        <f>D37+VLOOKUP($A$1,'Pri Housing Generation'!$A$96:$DQ$118, 116, FALSE)</f>
        <v>192</v>
      </c>
      <c r="E54" s="34">
        <f>E37+VLOOKUP($A$1,'Pri Housing Generation'!$A$96:$DQ$118, 117, FALSE)</f>
        <v>188</v>
      </c>
      <c r="F54" s="34">
        <f>F37+VLOOKUP($A$1,'Pri Housing Generation'!$A$96:$DQ$118, 118, FALSE)</f>
        <v>176</v>
      </c>
      <c r="G54" s="34">
        <f>G37+VLOOKUP($A$1,'Pri Housing Generation'!$A$96:$DQ$118, 119, FALSE)</f>
        <v>171</v>
      </c>
      <c r="H54" s="34">
        <f>H37+VLOOKUP($A$1,'Pri Housing Generation'!$A$96:$DQ$118, 120, FALSE)</f>
        <v>160</v>
      </c>
      <c r="I54" s="99">
        <f t="shared" si="18"/>
        <v>140</v>
      </c>
      <c r="K54" s="83"/>
      <c r="L54" s="83"/>
      <c r="M54" s="107">
        <v>0.71699999999999997</v>
      </c>
      <c r="O54" s="35">
        <f t="shared" si="14"/>
        <v>101</v>
      </c>
      <c r="Q54" s="25">
        <f t="shared" si="20"/>
        <v>2032</v>
      </c>
      <c r="R54" s="20">
        <f t="shared" si="15"/>
        <v>129</v>
      </c>
      <c r="S54" s="53">
        <f t="shared" si="21"/>
        <v>138</v>
      </c>
      <c r="T54" s="53">
        <f t="shared" si="21"/>
        <v>135</v>
      </c>
      <c r="U54" s="53">
        <f t="shared" si="21"/>
        <v>122</v>
      </c>
      <c r="V54" s="34">
        <f t="shared" si="22"/>
        <v>103</v>
      </c>
      <c r="W54" s="34">
        <f t="shared" si="23"/>
        <v>75</v>
      </c>
      <c r="X54" s="101">
        <f t="shared" si="16"/>
        <v>702</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8" t="s">
        <v>225</v>
      </c>
      <c r="C60" s="413" t="s">
        <v>226</v>
      </c>
      <c r="D60" s="414"/>
      <c r="F60" s="132"/>
      <c r="G60" s="181"/>
      <c r="H60" s="130"/>
      <c r="I60" s="130"/>
      <c r="J60" s="130"/>
    </row>
    <row r="61" spans="1:24" x14ac:dyDescent="0.25">
      <c r="A61" s="25">
        <v>2011</v>
      </c>
      <c r="B61" s="128">
        <v>24</v>
      </c>
      <c r="C61" s="415">
        <f t="shared" ref="C61:C66" si="24">1-(I13/(I13+B61))</f>
        <v>0.16107382550335569</v>
      </c>
      <c r="D61" s="388"/>
      <c r="F61" s="133"/>
      <c r="G61" s="181"/>
      <c r="H61" s="54"/>
      <c r="I61" s="54"/>
      <c r="J61" s="54"/>
    </row>
    <row r="62" spans="1:24" x14ac:dyDescent="0.25">
      <c r="A62" s="25">
        <v>2012</v>
      </c>
      <c r="B62" s="128">
        <v>15</v>
      </c>
      <c r="C62" s="415">
        <f t="shared" si="24"/>
        <v>0.11111111111111116</v>
      </c>
      <c r="D62" s="388"/>
      <c r="F62" s="133"/>
      <c r="G62" s="181"/>
      <c r="H62" s="54"/>
      <c r="I62" s="54"/>
      <c r="J62" s="54"/>
      <c r="K62" s="181"/>
      <c r="N62" s="109"/>
      <c r="S62" s="82"/>
    </row>
    <row r="63" spans="1:24" x14ac:dyDescent="0.25">
      <c r="A63" s="25">
        <v>2013</v>
      </c>
      <c r="B63" s="128">
        <v>20</v>
      </c>
      <c r="C63" s="415">
        <f t="shared" si="24"/>
        <v>0.13071895424836599</v>
      </c>
      <c r="D63" s="388"/>
      <c r="F63" s="133"/>
      <c r="G63" s="181"/>
      <c r="H63" s="54"/>
      <c r="I63" s="54"/>
      <c r="J63" s="54"/>
      <c r="K63" s="181"/>
      <c r="N63" s="109"/>
      <c r="S63" s="82"/>
    </row>
    <row r="64" spans="1:24" x14ac:dyDescent="0.25">
      <c r="A64" s="25">
        <v>2014</v>
      </c>
      <c r="B64" s="128">
        <v>20</v>
      </c>
      <c r="C64" s="415">
        <f t="shared" si="24"/>
        <v>0.13605442176870752</v>
      </c>
      <c r="D64" s="388"/>
      <c r="F64" s="133"/>
      <c r="G64" s="181"/>
      <c r="H64" s="54"/>
      <c r="I64" s="54"/>
      <c r="J64" s="54"/>
      <c r="K64" s="181"/>
      <c r="N64" s="109"/>
      <c r="S64" s="82"/>
    </row>
    <row r="65" spans="1:19" x14ac:dyDescent="0.25">
      <c r="A65" s="25">
        <v>2015</v>
      </c>
      <c r="B65" s="128">
        <v>22</v>
      </c>
      <c r="C65" s="415">
        <f t="shared" si="24"/>
        <v>0.14379084967320266</v>
      </c>
      <c r="D65" s="388"/>
      <c r="F65" s="133"/>
      <c r="G65" s="181"/>
      <c r="H65" s="54"/>
      <c r="I65" s="54"/>
      <c r="J65" s="54"/>
      <c r="K65" s="181"/>
      <c r="N65" s="109"/>
      <c r="S65" s="82"/>
    </row>
    <row r="66" spans="1:19" x14ac:dyDescent="0.25">
      <c r="A66" s="25">
        <v>2016</v>
      </c>
      <c r="B66" s="128"/>
      <c r="C66" s="415">
        <f t="shared" si="24"/>
        <v>0</v>
      </c>
      <c r="D66" s="388"/>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A69" t="s">
        <v>339</v>
      </c>
      <c r="K69" s="54"/>
      <c r="N69" s="109"/>
      <c r="S69" s="82"/>
    </row>
    <row r="70" spans="1:19" x14ac:dyDescent="0.25">
      <c r="A70" t="s">
        <v>393</v>
      </c>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C62:D62"/>
    <mergeCell ref="C63:D63"/>
    <mergeCell ref="C64:D64"/>
    <mergeCell ref="C65:D65"/>
    <mergeCell ref="K39:K40"/>
    <mergeCell ref="M39:M40"/>
    <mergeCell ref="O39:O40"/>
    <mergeCell ref="C60:D60"/>
    <mergeCell ref="C61:D61"/>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72">
    <cfRule type="cellIs" dxfId="5" priority="20" operator="greaterThan">
      <formula>$C$7</formula>
    </cfRule>
  </conditionalFormatting>
  <conditionalFormatting sqref="X41:X72">
    <cfRule type="cellIs" dxfId="4" priority="19"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AA84"/>
  <sheetViews>
    <sheetView topLeftCell="L34" workbookViewId="0">
      <selection activeCell="U60" sqref="U60"/>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113</v>
      </c>
    </row>
    <row r="2" spans="1:24" x14ac:dyDescent="0.25">
      <c r="A2" t="s">
        <v>400</v>
      </c>
    </row>
    <row r="4" spans="1:24" x14ac:dyDescent="0.25">
      <c r="A4" s="21" t="s">
        <v>192</v>
      </c>
    </row>
    <row r="5" spans="1:24" x14ac:dyDescent="0.25">
      <c r="A5" s="21"/>
    </row>
    <row r="6" spans="1:24" x14ac:dyDescent="0.25">
      <c r="A6" s="21" t="s">
        <v>193</v>
      </c>
      <c r="C6" s="100">
        <f>VLOOKUP(A1,'Projection Summary'!A5:C50,3,FALSE)</f>
        <v>750</v>
      </c>
    </row>
    <row r="7" spans="1:24" x14ac:dyDescent="0.25">
      <c r="A7" s="21" t="s">
        <v>191</v>
      </c>
      <c r="B7" s="21"/>
      <c r="C7" s="100">
        <f>VLOOKUP(A1,'Projection Summary'!A5:C50,2,FALSE)</f>
        <v>140</v>
      </c>
    </row>
    <row r="9" spans="1:24" ht="15.75" x14ac:dyDescent="0.25">
      <c r="A9" s="129" t="s">
        <v>197</v>
      </c>
      <c r="Q9" s="129" t="s">
        <v>198</v>
      </c>
      <c r="S9" s="173"/>
      <c r="X9"/>
    </row>
    <row r="10" spans="1:24" x14ac:dyDescent="0.25">
      <c r="A10" s="21"/>
      <c r="Q10" s="39"/>
      <c r="X10"/>
    </row>
    <row r="11" spans="1:24" x14ac:dyDescent="0.25">
      <c r="A11" s="21" t="s">
        <v>308</v>
      </c>
      <c r="K11" s="406" t="s">
        <v>137</v>
      </c>
      <c r="L11" s="407"/>
      <c r="M11" s="412" t="s">
        <v>139</v>
      </c>
      <c r="N11" s="49"/>
      <c r="O11" s="394" t="s">
        <v>136</v>
      </c>
      <c r="Q11" s="21" t="s">
        <v>309</v>
      </c>
      <c r="R11" s="52"/>
      <c r="S11" s="52"/>
      <c r="T11" s="52"/>
      <c r="U11" s="52"/>
      <c r="V11" s="52"/>
      <c r="W11" s="52"/>
      <c r="X11"/>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151</v>
      </c>
      <c r="C13" s="19">
        <f>VLOOKUP($A$1,'Primary Catchment Analysis'!$A$3:$BE$25, 38, FALSE)</f>
        <v>161</v>
      </c>
      <c r="D13" s="27">
        <f>VLOOKUP($A$1,'Primary Catchment Analysis'!$A$3:$BE$25, 39, FALSE)</f>
        <v>135</v>
      </c>
      <c r="E13" s="27">
        <f>VLOOKUP($A$1,'Primary Catchment Analysis'!$A$3:$BE$25, 40, FALSE)</f>
        <v>130</v>
      </c>
      <c r="F13" s="27">
        <f>VLOOKUP($A$1,'Primary Catchment Analysis'!$A$3:$BE$25, 41, FALSE)</f>
        <v>97</v>
      </c>
      <c r="G13" s="126">
        <f>VLOOKUP($A$1,'Primary Catchment Analysis'!$A$3:$BE$25, 42, FALSE)</f>
        <v>119</v>
      </c>
      <c r="H13" s="28">
        <f>VLOOKUP($A$1,'Primary Catchment Analysis'!$A$3:$BE$25, 43, FALSE)</f>
        <v>105</v>
      </c>
      <c r="I13" s="28">
        <f>VLOOKUP($A$1,'S1 Catchment Analysis'!A3:I25, 7, FALSE)</f>
        <v>101</v>
      </c>
      <c r="J13" s="23"/>
      <c r="K13" s="410"/>
      <c r="L13" s="411"/>
      <c r="M13" s="399"/>
      <c r="N13" s="50"/>
      <c r="O13" s="399"/>
      <c r="P13" s="50"/>
      <c r="Q13" s="25">
        <f>A13</f>
        <v>2013</v>
      </c>
      <c r="R13" s="69">
        <f>VLOOKUP($A$1,'Secondary Rolls'!$A$3:$BE$25, 37, FALSE)</f>
        <v>51</v>
      </c>
      <c r="S13" s="53">
        <f>VLOOKUP($A$1,'Secondary Rolls'!$A$3:$BE$25, 38, FALSE)</f>
        <v>43</v>
      </c>
      <c r="T13" s="53">
        <f>VLOOKUP($A$1,'Secondary Rolls'!$A$3:$BE$25, 39, FALSE)</f>
        <v>47</v>
      </c>
      <c r="U13" s="122">
        <f>VLOOKUP($A$1,'Secondary Rolls'!$A$3:$BE$25, 40, FALSE)</f>
        <v>70</v>
      </c>
      <c r="V13" s="63">
        <f>VLOOKUP($A$1,'Secondary Rolls'!$A$3:$BE$25, 41, FALSE)</f>
        <v>50</v>
      </c>
      <c r="W13" s="53">
        <f>VLOOKUP($A$1,'Secondary Rolls'!$A$3:$BE$25, 42, FALSE)</f>
        <v>35</v>
      </c>
      <c r="X13" s="62">
        <f t="shared" ref="X13:X17" si="0">SUM(R13:W13)</f>
        <v>296</v>
      </c>
    </row>
    <row r="14" spans="1:24" ht="15.75" thickBot="1" x14ac:dyDescent="0.3">
      <c r="A14" s="25">
        <f>VLOOKUP($A$12,'S1 Catchment Analysis'!A2:I2, 6, FALSE)</f>
        <v>2014</v>
      </c>
      <c r="B14" s="45">
        <f>VLOOKUP($A$1,'Primary Catchment Analysis'!$A$3:$BE$25, 30, FALSE)</f>
        <v>168</v>
      </c>
      <c r="C14" s="44">
        <f>VLOOKUP($A$1,'Primary Catchment Analysis'!$A$3:$BE$25, 31, FALSE)</f>
        <v>156</v>
      </c>
      <c r="D14" s="19">
        <f>VLOOKUP($A$1,'Primary Catchment Analysis'!$A$3:$BE$25, 32, FALSE)</f>
        <v>162</v>
      </c>
      <c r="E14" s="27">
        <f>VLOOKUP($A$1,'Primary Catchment Analysis'!$A$3:$BE$25, 33, FALSE)</f>
        <v>149</v>
      </c>
      <c r="F14" s="27">
        <f>VLOOKUP($A$1,'Primary Catchment Analysis'!$A$3:$BE$25, 34, FALSE)</f>
        <v>125</v>
      </c>
      <c r="G14" s="126">
        <f>VLOOKUP($A$1,'Primary Catchment Analysis'!$A$3:$BE$25, 35, FALSE)</f>
        <v>99</v>
      </c>
      <c r="H14" s="28">
        <f>VLOOKUP($A$1,'Primary Catchment Analysis'!$A$3:$BE$25, 36, FALSE)</f>
        <v>121</v>
      </c>
      <c r="I14" s="27">
        <f>VLOOKUP($A$1,'S1 Catchment Analysis'!A3:I25, 6, FALSE)</f>
        <v>96</v>
      </c>
      <c r="J14" s="23"/>
      <c r="K14" s="400">
        <f>VLOOKUP($A$1,'S1 Catchment Retained'!A2:I25, 6, FALSE)</f>
        <v>40</v>
      </c>
      <c r="L14" s="423"/>
      <c r="M14" s="110">
        <f t="shared" ref="M14:M18" si="1">(K14/I14)</f>
        <v>0.41666666666666669</v>
      </c>
      <c r="N14" s="50"/>
      <c r="O14" s="111">
        <f t="shared" ref="O14:O18" si="2">R14-K14</f>
        <v>5</v>
      </c>
      <c r="P14" s="50"/>
      <c r="Q14" s="25">
        <f t="shared" ref="Q14:Q18" si="3">A14</f>
        <v>2014</v>
      </c>
      <c r="R14" s="67">
        <f>VLOOKUP($A$1,'Secondary Rolls'!$A$3:$BE$25, 30, FALSE)</f>
        <v>45</v>
      </c>
      <c r="S14" s="69">
        <f>VLOOKUP($A$1,'Secondary Rolls'!$A$3:$BE$25, 31, FALSE)</f>
        <v>56</v>
      </c>
      <c r="T14" s="61">
        <f>VLOOKUP($A$1,'Secondary Rolls'!$A$3:$BE$25, 32, FALSE)</f>
        <v>54</v>
      </c>
      <c r="U14" s="61">
        <f>VLOOKUP($A$1,'Secondary Rolls'!$A$3:$BE$25, 33, FALSE)</f>
        <v>50</v>
      </c>
      <c r="V14" s="64">
        <f>VLOOKUP($A$1,'Secondary Rolls'!$A$3:$BE$25, 34, FALSE)</f>
        <v>50</v>
      </c>
      <c r="W14" s="116">
        <f>VLOOKUP($A$1,'Secondary Rolls'!$A$3:$BE$25, 35, FALSE)</f>
        <v>19</v>
      </c>
      <c r="X14" s="62">
        <f t="shared" si="0"/>
        <v>274</v>
      </c>
    </row>
    <row r="15" spans="1:24" ht="15.75" thickBot="1" x14ac:dyDescent="0.3">
      <c r="A15" s="25">
        <f>VLOOKUP($A$12,'S1 Catchment Analysis'!A2:I2, 5, FALSE)</f>
        <v>2015</v>
      </c>
      <c r="B15" s="19">
        <f>VLOOKUP($A$1,'Primary Catchment Analysis'!$A$3:$BE$25, 23, FALSE)</f>
        <v>163</v>
      </c>
      <c r="C15" s="45">
        <f>VLOOKUP($A$1,'Primary Catchment Analysis'!$A$3:$BE$25, 24, FALSE)</f>
        <v>167</v>
      </c>
      <c r="D15" s="44">
        <f>VLOOKUP($A$1,'Primary Catchment Analysis'!$A$3:$BE$25, 25, FALSE)</f>
        <v>163</v>
      </c>
      <c r="E15" s="19">
        <f>VLOOKUP($A$1,'Primary Catchment Analysis'!$A$3:$BE$25, 26, FALSE)</f>
        <v>151</v>
      </c>
      <c r="F15" s="27">
        <f>VLOOKUP($A$1,'Primary Catchment Analysis'!$A$3:$BE$25, 27, FALSE)</f>
        <v>145</v>
      </c>
      <c r="G15" s="126">
        <f>VLOOKUP($A$1,'Primary Catchment Analysis'!$A$3:$BE$25, 28, FALSE)</f>
        <v>122</v>
      </c>
      <c r="H15" s="30">
        <f>VLOOKUP($A$1,'Primary Catchment Analysis'!$A$3:$BE$25, 29, FALSE)</f>
        <v>105</v>
      </c>
      <c r="I15" s="29">
        <f>VLOOKUP($A$1,'S1 Catchment Analysis'!A3:I25, 5, FALSE)</f>
        <v>106</v>
      </c>
      <c r="J15" s="23"/>
      <c r="K15" s="400">
        <f>VLOOKUP($A$1,'S1 Catchment Retained'!A2:I25, 5, FALSE)</f>
        <v>54</v>
      </c>
      <c r="L15" s="423"/>
      <c r="M15" s="110">
        <f t="shared" si="1"/>
        <v>0.50943396226415094</v>
      </c>
      <c r="N15" s="50"/>
      <c r="O15" s="111">
        <f t="shared" si="2"/>
        <v>4</v>
      </c>
      <c r="P15" s="50"/>
      <c r="Q15" s="25">
        <f t="shared" si="3"/>
        <v>2015</v>
      </c>
      <c r="R15" s="68">
        <f>VLOOKUP($A$1,'Secondary Rolls'!$A$3:$BE$25, 23, FALSE)</f>
        <v>58</v>
      </c>
      <c r="S15" s="67">
        <f>VLOOKUP($A$1,'Secondary Rolls'!$A$3:$BE$25, 24, FALSE)</f>
        <v>53</v>
      </c>
      <c r="T15" s="71">
        <f>VLOOKUP($A$1,'Secondary Rolls'!$A$3:$BE$25, 25, FALSE)</f>
        <v>60</v>
      </c>
      <c r="U15" s="61">
        <f>VLOOKUP($A$1,'Secondary Rolls'!$A$3:$BE$25, 26, FALSE)</f>
        <v>58</v>
      </c>
      <c r="V15" s="123">
        <f>VLOOKUP($A$1,'Secondary Rolls'!$A$3:$BE$25, 27, FALSE)</f>
        <v>32</v>
      </c>
      <c r="W15" s="64">
        <f>VLOOKUP($A$1,'Secondary Rolls'!$A$3:$BE$25, 28, FALSE)</f>
        <v>29</v>
      </c>
      <c r="X15" s="62">
        <f t="shared" si="0"/>
        <v>290</v>
      </c>
    </row>
    <row r="16" spans="1:24" ht="15.75" thickBot="1" x14ac:dyDescent="0.3">
      <c r="A16" s="25">
        <f>VLOOKUP($A$12,'S1 Catchment Analysis'!A2:I2, 4, FALSE)</f>
        <v>2016</v>
      </c>
      <c r="B16" s="44">
        <f>VLOOKUP($A$1,'Primary Catchment Analysis'!$A$3:$BE$25, 16, FALSE)</f>
        <v>151</v>
      </c>
      <c r="C16" s="19">
        <f>VLOOKUP($A$1,'Primary Catchment Analysis'!$A$3:$BE$25, 17, FALSE)</f>
        <v>148</v>
      </c>
      <c r="D16" s="45">
        <f>VLOOKUP($A$1,'Primary Catchment Analysis'!$A$3:$BE$25, 18, FALSE)</f>
        <v>164</v>
      </c>
      <c r="E16" s="44">
        <f>VLOOKUP($A$1,'Primary Catchment Analysis'!$A$3:$BE$25, 19, FALSE)</f>
        <v>160</v>
      </c>
      <c r="F16" s="19">
        <f>VLOOKUP($A$1,'Primary Catchment Analysis'!$A$3:$BE$25, 20, FALSE)</f>
        <v>155</v>
      </c>
      <c r="G16" s="126">
        <f>VLOOKUP($A$1,'Primary Catchment Analysis'!$A$3:$BE$25, 21, FALSE)</f>
        <v>154</v>
      </c>
      <c r="H16" s="112">
        <f>VLOOKUP($A$1,'Primary Catchment Analysis'!$A$3:$BE$25, 22, FALSE)</f>
        <v>120</v>
      </c>
      <c r="I16" s="30">
        <f>VLOOKUP($A$1,'S1 Catchment Analysis'!A3:I25, 4, FALSE)</f>
        <v>88</v>
      </c>
      <c r="J16" s="23"/>
      <c r="K16" s="400">
        <f>VLOOKUP($A$1,'S1 Catchment Retained'!A2:I25, 4, FALSE)</f>
        <v>41</v>
      </c>
      <c r="L16" s="424"/>
      <c r="M16" s="56">
        <f t="shared" si="1"/>
        <v>0.46590909090909088</v>
      </c>
      <c r="N16" s="50"/>
      <c r="O16" s="103">
        <f t="shared" si="2"/>
        <v>2</v>
      </c>
      <c r="P16" s="50"/>
      <c r="Q16" s="25">
        <f t="shared" si="3"/>
        <v>2016</v>
      </c>
      <c r="R16" s="69">
        <f>VLOOKUP($A$1,'Secondary Rolls'!$A$3:$BE$25, 16, FALSE)</f>
        <v>43</v>
      </c>
      <c r="S16" s="68">
        <f>VLOOKUP($A$1,'Secondary Rolls'!$A$3:$BE$25, 17, FALSE)</f>
        <v>59</v>
      </c>
      <c r="T16" s="70">
        <f>VLOOKUP($A$1,'Secondary Rolls'!$A$3:$BE$25, 18, FALSE)</f>
        <v>56</v>
      </c>
      <c r="U16" s="71">
        <f>VLOOKUP($A$1,'Secondary Rolls'!$A$3:$BE$25, 19, FALSE)</f>
        <v>55</v>
      </c>
      <c r="V16" s="66">
        <f>VLOOKUP($A$1,'Secondary Rolls'!$A$3:$BE$25, 20, FALSE)</f>
        <v>38</v>
      </c>
      <c r="W16" s="65">
        <f>VLOOKUP($A$1,'Secondary Rolls'!$A$3:$BE$25, 21, FALSE)</f>
        <v>22</v>
      </c>
      <c r="X16" s="62">
        <f t="shared" si="0"/>
        <v>273</v>
      </c>
    </row>
    <row r="17" spans="1:27" ht="15.75" thickBot="1" x14ac:dyDescent="0.3">
      <c r="A17" s="258">
        <f>VLOOKUP($A$12,'S1 Catchment Analysis'!A2:I2, 3, FALSE)</f>
        <v>2017</v>
      </c>
      <c r="B17" s="259">
        <f>VLOOKUP($A$1,'Primary Catchment Analysis'!$A$3:$BE$25, 9, FALSE)</f>
        <v>168</v>
      </c>
      <c r="C17" s="260">
        <f>VLOOKUP($A$1,'Primary Catchment Analysis'!$A$3:$BE$25, 10, FALSE)</f>
        <v>153</v>
      </c>
      <c r="D17" s="261">
        <f>VLOOKUP($A$1,'Primary Catchment Analysis'!$A$3:$BE$25, 11, FALSE)</f>
        <v>147</v>
      </c>
      <c r="E17" s="259">
        <f>VLOOKUP($A$1,'Primary Catchment Analysis'!$A$3:$BE$25, 12, FALSE)</f>
        <v>173</v>
      </c>
      <c r="F17" s="260">
        <f>VLOOKUP($A$1,'Primary Catchment Analysis'!$A$3:$BE$25, 13, FALSE)</f>
        <v>165</v>
      </c>
      <c r="G17" s="262">
        <f>VLOOKUP($A$1,'Primary Catchment Analysis'!$A$3:$BE$25, 14, FALSE)</f>
        <v>154</v>
      </c>
      <c r="H17" s="113">
        <f>VLOOKUP($A$1,'Primary Catchment Analysis'!$A$3:$BE$25, 15, FALSE)</f>
        <v>154</v>
      </c>
      <c r="I17" s="31">
        <f>VLOOKUP($A$1,'S1 Catchment Analysis'!A3:I25, 3, FALSE)</f>
        <v>105</v>
      </c>
      <c r="J17" s="23"/>
      <c r="K17" s="400">
        <f>VLOOKUP($A$1,'S1 Catchment Retained'!A2:I25, 3, FALSE)</f>
        <v>60</v>
      </c>
      <c r="L17" s="424"/>
      <c r="M17" s="57">
        <f t="shared" si="1"/>
        <v>0.5714285714285714</v>
      </c>
      <c r="N17" s="50"/>
      <c r="O17" s="104">
        <f t="shared" si="2"/>
        <v>6</v>
      </c>
      <c r="P17" s="50"/>
      <c r="Q17" s="25">
        <f t="shared" si="3"/>
        <v>2017</v>
      </c>
      <c r="R17" s="264">
        <f>VLOOKUP($A$1,'Secondary Rolls'!$A$3:$BE$25, 9, FALSE)</f>
        <v>66</v>
      </c>
      <c r="S17" s="265">
        <f>VLOOKUP($A$1,'Secondary Rolls'!$A$3:$BE$25, 10, FALSE)</f>
        <v>46</v>
      </c>
      <c r="T17" s="266">
        <f>VLOOKUP($A$1,'Secondary Rolls'!$A$3:$BE$25, 11, FALSE)</f>
        <v>59</v>
      </c>
      <c r="U17" s="270">
        <f>VLOOKUP($A$1,'Secondary Rolls'!$A$3:$BE$25, 12, FALSE)</f>
        <v>60</v>
      </c>
      <c r="V17" s="271">
        <f>VLOOKUP($A$1,'Secondary Rolls'!$A$3:$BE$25, 13, FALSE)</f>
        <v>44</v>
      </c>
      <c r="W17" s="272">
        <f>VLOOKUP($A$1,'Secondary Rolls'!$A$3:$BE$25, 14, FALSE)</f>
        <v>25</v>
      </c>
      <c r="X17" s="116">
        <f t="shared" si="0"/>
        <v>300</v>
      </c>
    </row>
    <row r="18" spans="1:27" ht="15.75" thickBot="1" x14ac:dyDescent="0.3">
      <c r="A18" s="25">
        <f>VLOOKUP($A$12,'S1 Catchment Analysis'!A2:I2, 2, FALSE)</f>
        <v>2018</v>
      </c>
      <c r="B18" s="19">
        <f>VLOOKUP($A$1,'Primary Catchment Analysis'!$A$3:$BE$25, 2, FALSE)</f>
        <v>145</v>
      </c>
      <c r="C18" s="45">
        <f>VLOOKUP($A$1,'Primary Catchment Analysis'!$A$3:$BE$25, 3, FALSE)</f>
        <v>173</v>
      </c>
      <c r="D18" s="44">
        <f>VLOOKUP($A$1,'Primary Catchment Analysis'!$A$3:$BE$25, 4, FALSE)</f>
        <v>149</v>
      </c>
      <c r="E18" s="19">
        <f>VLOOKUP($A$1,'Primary Catchment Analysis'!$A$3:$BE$25, 5, FALSE)</f>
        <v>149</v>
      </c>
      <c r="F18" s="45">
        <f>VLOOKUP($A$1,'Primary Catchment Analysis'!$A$3:$BE$25, 6, FALSE)</f>
        <v>178</v>
      </c>
      <c r="G18" s="273">
        <f>VLOOKUP($A$1,'Primary Catchment Analysis'!$A$3:$BE$25, 7, FALSE)</f>
        <v>161</v>
      </c>
      <c r="H18" s="274">
        <f>VLOOKUP($A$1,'Primary Catchment Analysis'!$A$3:$BE$25, 8, FALSE)</f>
        <v>156</v>
      </c>
      <c r="I18" s="32">
        <f>VLOOKUP($A$1,'S1 Catchment Analysis'!A3:I25, 2, FALSE)</f>
        <v>145</v>
      </c>
      <c r="J18" s="23"/>
      <c r="K18" s="400">
        <f>VLOOKUP($A$1,'S1 Catchment Retained'!A2:I25, 2, FALSE)</f>
        <v>76</v>
      </c>
      <c r="L18" s="424"/>
      <c r="M18" s="58">
        <f t="shared" si="1"/>
        <v>0.52413793103448281</v>
      </c>
      <c r="N18" s="50"/>
      <c r="O18" s="105">
        <f t="shared" si="2"/>
        <v>4</v>
      </c>
      <c r="P18" s="50"/>
      <c r="Q18" s="25">
        <f t="shared" si="3"/>
        <v>2018</v>
      </c>
      <c r="R18" s="68">
        <f>VLOOKUP($A$1,'Secondary Rolls'!$A$3:$BE$25, 2, FALSE)</f>
        <v>80</v>
      </c>
      <c r="S18" s="67">
        <f>VLOOKUP($A$1,'Secondary Rolls'!$A$3:$BE$25, 3, FALSE)</f>
        <v>63</v>
      </c>
      <c r="T18" s="69">
        <f>VLOOKUP($A$1,'Secondary Rolls'!$A$3:$BE$25, 4, FALSE)</f>
        <v>52</v>
      </c>
      <c r="U18" s="68">
        <f>VLOOKUP($A$1,'Secondary Rolls'!$A$3:$BE$25, 5, FALSE)</f>
        <v>64</v>
      </c>
      <c r="V18" s="67">
        <f>VLOOKUP($A$1,'Secondary Rolls'!$A$3:$BE$25, 6, FALSE)</f>
        <v>44</v>
      </c>
      <c r="W18" s="69">
        <f>VLOOKUP($A$1,'Secondary Rolls'!$A$3:$BE$25, 7, FALSE)</f>
        <v>23</v>
      </c>
      <c r="X18" s="53">
        <f t="shared" ref="X18" si="4">SUM(R18:W18)</f>
        <v>326</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1.6339200667604355E-2</v>
      </c>
      <c r="D20" s="40">
        <f t="shared" ref="D20:I20" si="5">AVERAGE(((C15-D16)/C15),((C16-D17)/C16),((C17-D18)/C17))</f>
        <v>1.6954873154239127E-2</v>
      </c>
      <c r="E20" s="40">
        <f t="shared" si="5"/>
        <v>-1.6692860993966146E-2</v>
      </c>
      <c r="F20" s="40">
        <f t="shared" si="5"/>
        <v>-2.8880600109737267E-2</v>
      </c>
      <c r="G20" s="40">
        <f t="shared" si="5"/>
        <v>-1.0458309457197107E-2</v>
      </c>
      <c r="H20" s="40">
        <f t="shared" si="5"/>
        <v>1.1354765453126109E-3</v>
      </c>
      <c r="I20" s="40">
        <f t="shared" si="5"/>
        <v>0.11511544011544012</v>
      </c>
      <c r="K20" s="389">
        <f>AVERAGE(M16:M18)</f>
        <v>0.5204918644573816</v>
      </c>
      <c r="L20" s="390"/>
      <c r="M20" s="391"/>
      <c r="O20" s="51">
        <f>ROUNDUP((AVERAGE(O16:O18)),0)</f>
        <v>4</v>
      </c>
      <c r="T20" s="388"/>
      <c r="U20" s="388"/>
      <c r="V20" s="40">
        <f>AVERAGE(((U15-V16)/U15),((U16-V17)/U16),((U17-V18)/U17))</f>
        <v>0.27049808429118771</v>
      </c>
      <c r="W20" s="40">
        <f>AVERAGE(((V15-W16)/V15),((V16-W17)/V16),((V17-W18)/V17))</f>
        <v>0.37729266347687401</v>
      </c>
    </row>
    <row r="21" spans="1:27" ht="27.75" customHeight="1" x14ac:dyDescent="0.25">
      <c r="A21" s="21"/>
      <c r="K21" s="59"/>
      <c r="L21" s="59"/>
    </row>
    <row r="22" spans="1:27" x14ac:dyDescent="0.25">
      <c r="A22" s="21" t="s">
        <v>310</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Projections'!C90+'P1 Catchment Projections'!C91+'P1 Catchment Projections'!C92</f>
        <v>136</v>
      </c>
      <c r="C24" s="34">
        <f>ROUNDUP((B18-(B18*$C$20)),0)</f>
        <v>143</v>
      </c>
      <c r="D24" s="42">
        <f>ROUNDUP((C18-(C18*$D$20)),0)</f>
        <v>171</v>
      </c>
      <c r="E24" s="43">
        <f>ROUNDUP((D18-(D18*$E$20)),0)</f>
        <v>152</v>
      </c>
      <c r="F24" s="41">
        <f>ROUNDUP((E18-(E18*$F$20)),0)</f>
        <v>154</v>
      </c>
      <c r="G24" s="42">
        <f>ROUNDUP((F18-(F18*$G$20)),0)</f>
        <v>180</v>
      </c>
      <c r="H24" s="43">
        <f>ROUNDUP((G18-(G18*$H$20)),0)</f>
        <v>161</v>
      </c>
      <c r="I24" s="99">
        <f>ROUNDUP((H18-(H18*$I$20)),0)</f>
        <v>139</v>
      </c>
      <c r="J24" s="23"/>
      <c r="K24" s="59"/>
      <c r="L24" s="59"/>
      <c r="Z24" s="109"/>
      <c r="AA24" s="109"/>
    </row>
    <row r="25" spans="1:27" x14ac:dyDescent="0.25">
      <c r="A25" s="25">
        <f>A24+1</f>
        <v>2020</v>
      </c>
      <c r="B25" s="37">
        <f>'P1 Catchment Projections'!D90+'P1 Catchment Projections'!D91+'P1 Catchment Projections'!D92</f>
        <v>128</v>
      </c>
      <c r="C25" s="34">
        <f t="shared" ref="C25:C37" si="6">ROUNDUP((B24-(B24*$C$20)),0)</f>
        <v>134</v>
      </c>
      <c r="D25" s="34">
        <f t="shared" ref="D25:D37" si="7">ROUNDUP((C24-(C24*$D$20)),0)</f>
        <v>141</v>
      </c>
      <c r="E25" s="42">
        <f t="shared" ref="E25:E37" si="8">ROUNDUP((D24-(D24*$E$20)),0)</f>
        <v>174</v>
      </c>
      <c r="F25" s="43">
        <f t="shared" ref="F25:F37" si="9">ROUNDUP((E24-(E24*$F$20)),0)</f>
        <v>157</v>
      </c>
      <c r="G25" s="41">
        <f t="shared" ref="G25:G37" si="10">ROUNDUP((F24-(F24*$G$20)),0)</f>
        <v>156</v>
      </c>
      <c r="H25" s="42">
        <f t="shared" ref="H25:H37" si="11">ROUNDUP((G24-(G24*$H$20)),0)</f>
        <v>180</v>
      </c>
      <c r="I25" s="99">
        <f t="shared" ref="I25:I37" si="12">ROUNDUP((H24-(H24*$I$20)),0)</f>
        <v>143</v>
      </c>
      <c r="J25" s="23"/>
      <c r="K25" s="59"/>
      <c r="L25" s="59"/>
      <c r="Z25" s="109"/>
      <c r="AA25" s="109"/>
    </row>
    <row r="26" spans="1:27" x14ac:dyDescent="0.25">
      <c r="A26" s="25">
        <f>A25+1</f>
        <v>2021</v>
      </c>
      <c r="B26" s="37">
        <f>'P1 Catchment Projections'!E90+'P1 Catchment Projections'!E91+'P1 Catchment Projections'!E92</f>
        <v>126</v>
      </c>
      <c r="C26" s="34">
        <f t="shared" si="6"/>
        <v>126</v>
      </c>
      <c r="D26" s="34">
        <f t="shared" si="7"/>
        <v>132</v>
      </c>
      <c r="E26" s="34">
        <f t="shared" si="8"/>
        <v>144</v>
      </c>
      <c r="F26" s="42">
        <f t="shared" si="9"/>
        <v>180</v>
      </c>
      <c r="G26" s="43">
        <f t="shared" si="10"/>
        <v>159</v>
      </c>
      <c r="H26" s="41">
        <f t="shared" si="11"/>
        <v>156</v>
      </c>
      <c r="I26" s="99">
        <f t="shared" si="12"/>
        <v>160</v>
      </c>
      <c r="J26" s="23"/>
      <c r="K26" s="59"/>
      <c r="L26" s="59"/>
      <c r="Z26" s="109"/>
      <c r="AA26" s="109"/>
    </row>
    <row r="27" spans="1:27" x14ac:dyDescent="0.25">
      <c r="A27" s="25">
        <f>A26+1</f>
        <v>2022</v>
      </c>
      <c r="B27" s="37">
        <f>'P1 Catchment Projections'!F90+'P1 Catchment Projections'!F91+'P1 Catchment Projections'!F92</f>
        <v>131</v>
      </c>
      <c r="C27" s="34">
        <f t="shared" si="6"/>
        <v>124</v>
      </c>
      <c r="D27" s="34">
        <f t="shared" si="7"/>
        <v>124</v>
      </c>
      <c r="E27" s="34">
        <f t="shared" si="8"/>
        <v>135</v>
      </c>
      <c r="F27" s="34">
        <f t="shared" si="9"/>
        <v>149</v>
      </c>
      <c r="G27" s="42">
        <f t="shared" si="10"/>
        <v>182</v>
      </c>
      <c r="H27" s="43">
        <f t="shared" si="11"/>
        <v>159</v>
      </c>
      <c r="I27" s="99">
        <f t="shared" si="12"/>
        <v>139</v>
      </c>
      <c r="J27" s="23"/>
      <c r="K27" s="59"/>
      <c r="L27" s="59"/>
      <c r="Z27" s="109"/>
      <c r="AA27" s="109"/>
    </row>
    <row r="28" spans="1:27" x14ac:dyDescent="0.25">
      <c r="A28" s="25">
        <f t="shared" ref="A28:A37" si="13">A27+1</f>
        <v>2023</v>
      </c>
      <c r="B28" s="37">
        <f>'P1 Catchment Projections'!G90+'P1 Catchment Projections'!G91+'P1 Catchment Projections'!G92</f>
        <v>129</v>
      </c>
      <c r="C28" s="34">
        <f t="shared" si="6"/>
        <v>129</v>
      </c>
      <c r="D28" s="34">
        <f t="shared" si="7"/>
        <v>122</v>
      </c>
      <c r="E28" s="34">
        <f t="shared" si="8"/>
        <v>127</v>
      </c>
      <c r="F28" s="34">
        <f t="shared" si="9"/>
        <v>139</v>
      </c>
      <c r="G28" s="34">
        <f t="shared" si="10"/>
        <v>151</v>
      </c>
      <c r="H28" s="42">
        <f t="shared" si="11"/>
        <v>182</v>
      </c>
      <c r="I28" s="99">
        <f t="shared" si="12"/>
        <v>141</v>
      </c>
      <c r="J28" s="23"/>
      <c r="K28" s="59"/>
      <c r="L28" s="59"/>
      <c r="Z28" s="109"/>
      <c r="AA28" s="109"/>
    </row>
    <row r="29" spans="1:27" x14ac:dyDescent="0.25">
      <c r="A29" s="25">
        <f t="shared" si="13"/>
        <v>2024</v>
      </c>
      <c r="B29" s="37">
        <f>'P1 Catchment Projections'!H90+'P1 Catchment Projections'!H91+'P1 Catchment Projections'!H92</f>
        <v>131</v>
      </c>
      <c r="C29" s="34">
        <f t="shared" si="6"/>
        <v>127</v>
      </c>
      <c r="D29" s="34">
        <f t="shared" si="7"/>
        <v>127</v>
      </c>
      <c r="E29" s="34">
        <f t="shared" si="8"/>
        <v>125</v>
      </c>
      <c r="F29" s="34">
        <f t="shared" si="9"/>
        <v>131</v>
      </c>
      <c r="G29" s="34">
        <f t="shared" si="10"/>
        <v>141</v>
      </c>
      <c r="H29" s="34">
        <f t="shared" si="11"/>
        <v>151</v>
      </c>
      <c r="I29" s="99">
        <f t="shared" si="12"/>
        <v>162</v>
      </c>
      <c r="K29" s="59"/>
      <c r="L29" s="59"/>
      <c r="Z29" s="109"/>
      <c r="AA29" s="109"/>
    </row>
    <row r="30" spans="1:27" x14ac:dyDescent="0.25">
      <c r="A30" s="25">
        <f t="shared" si="13"/>
        <v>2025</v>
      </c>
      <c r="B30" s="37">
        <f>'P1 Catchment Projections'!I90+'P1 Catchment Projections'!I91+'P1 Catchment Projections'!I92</f>
        <v>134</v>
      </c>
      <c r="C30" s="34">
        <f t="shared" si="6"/>
        <v>129</v>
      </c>
      <c r="D30" s="34">
        <f t="shared" si="7"/>
        <v>125</v>
      </c>
      <c r="E30" s="34">
        <f t="shared" si="8"/>
        <v>130</v>
      </c>
      <c r="F30" s="34">
        <f t="shared" si="9"/>
        <v>129</v>
      </c>
      <c r="G30" s="34">
        <f t="shared" si="10"/>
        <v>133</v>
      </c>
      <c r="H30" s="34">
        <f t="shared" si="11"/>
        <v>141</v>
      </c>
      <c r="I30" s="99">
        <f t="shared" si="12"/>
        <v>134</v>
      </c>
      <c r="K30" s="59"/>
      <c r="L30" s="59"/>
      <c r="Z30" s="109"/>
      <c r="AA30" s="109"/>
    </row>
    <row r="31" spans="1:27" x14ac:dyDescent="0.25">
      <c r="A31" s="25">
        <f t="shared" si="13"/>
        <v>2026</v>
      </c>
      <c r="B31" s="37">
        <f>'P1 Catchment Projections'!J90+'P1 Catchment Projections'!J91+'P1 Catchment Projections'!J92</f>
        <v>134</v>
      </c>
      <c r="C31" s="34">
        <f t="shared" si="6"/>
        <v>132</v>
      </c>
      <c r="D31" s="34">
        <f t="shared" si="7"/>
        <v>127</v>
      </c>
      <c r="E31" s="34">
        <f t="shared" si="8"/>
        <v>128</v>
      </c>
      <c r="F31" s="34">
        <f t="shared" si="9"/>
        <v>134</v>
      </c>
      <c r="G31" s="34">
        <f t="shared" si="10"/>
        <v>131</v>
      </c>
      <c r="H31" s="34">
        <f t="shared" si="11"/>
        <v>133</v>
      </c>
      <c r="I31" s="99">
        <f t="shared" si="12"/>
        <v>125</v>
      </c>
      <c r="K31" s="59"/>
      <c r="L31" s="59"/>
      <c r="Z31" s="109"/>
      <c r="AA31" s="109"/>
    </row>
    <row r="32" spans="1:27" x14ac:dyDescent="0.25">
      <c r="A32" s="25">
        <f t="shared" si="13"/>
        <v>2027</v>
      </c>
      <c r="B32" s="37">
        <f>'P1 Catchment Projections'!K90+'P1 Catchment Projections'!K91+'P1 Catchment Projections'!K92</f>
        <v>136</v>
      </c>
      <c r="C32" s="34">
        <f t="shared" si="6"/>
        <v>132</v>
      </c>
      <c r="D32" s="34">
        <f t="shared" si="7"/>
        <v>130</v>
      </c>
      <c r="E32" s="34">
        <f t="shared" si="8"/>
        <v>130</v>
      </c>
      <c r="F32" s="34">
        <f t="shared" si="9"/>
        <v>132</v>
      </c>
      <c r="G32" s="34">
        <f t="shared" si="10"/>
        <v>136</v>
      </c>
      <c r="H32" s="34">
        <f t="shared" si="11"/>
        <v>131</v>
      </c>
      <c r="I32" s="99">
        <f t="shared" si="12"/>
        <v>118</v>
      </c>
      <c r="K32" s="59"/>
      <c r="L32" s="59"/>
      <c r="Z32" s="109"/>
      <c r="AA32" s="109"/>
    </row>
    <row r="33" spans="1:24" x14ac:dyDescent="0.25">
      <c r="A33" s="25">
        <f t="shared" si="13"/>
        <v>2028</v>
      </c>
      <c r="B33" s="37">
        <f>'P1 Catchment Projections'!L90+'P1 Catchment Projections'!L91+'P1 Catchment Projections'!L92</f>
        <v>136</v>
      </c>
      <c r="C33" s="34">
        <f t="shared" si="6"/>
        <v>134</v>
      </c>
      <c r="D33" s="34">
        <f t="shared" si="7"/>
        <v>130</v>
      </c>
      <c r="E33" s="34">
        <f t="shared" si="8"/>
        <v>133</v>
      </c>
      <c r="F33" s="34">
        <f t="shared" si="9"/>
        <v>134</v>
      </c>
      <c r="G33" s="34">
        <f t="shared" si="10"/>
        <v>134</v>
      </c>
      <c r="H33" s="34">
        <f t="shared" si="11"/>
        <v>136</v>
      </c>
      <c r="I33" s="99">
        <f t="shared" si="12"/>
        <v>116</v>
      </c>
      <c r="K33" s="59"/>
      <c r="L33" s="59"/>
    </row>
    <row r="34" spans="1:24" x14ac:dyDescent="0.25">
      <c r="A34" s="25">
        <f t="shared" si="13"/>
        <v>2029</v>
      </c>
      <c r="B34" s="37">
        <f>'P1 Catchment Projections'!M90+'P1 Catchment Projections'!M91+'P1 Catchment Projections'!M92</f>
        <v>137</v>
      </c>
      <c r="C34" s="34">
        <f t="shared" si="6"/>
        <v>134</v>
      </c>
      <c r="D34" s="34">
        <f t="shared" si="7"/>
        <v>132</v>
      </c>
      <c r="E34" s="34">
        <f t="shared" si="8"/>
        <v>133</v>
      </c>
      <c r="F34" s="34">
        <f t="shared" si="9"/>
        <v>137</v>
      </c>
      <c r="G34" s="34">
        <f t="shared" si="10"/>
        <v>136</v>
      </c>
      <c r="H34" s="34">
        <f t="shared" si="11"/>
        <v>134</v>
      </c>
      <c r="I34" s="99">
        <f t="shared" si="12"/>
        <v>121</v>
      </c>
      <c r="K34" s="59"/>
      <c r="L34" s="59"/>
    </row>
    <row r="35" spans="1:24" x14ac:dyDescent="0.25">
      <c r="A35" s="25">
        <f t="shared" si="13"/>
        <v>2030</v>
      </c>
      <c r="B35" s="37">
        <f>'P1 Catchment Projections'!N90+'P1 Catchment Projections'!N91+'P1 Catchment Projections'!N92</f>
        <v>137</v>
      </c>
      <c r="C35" s="34">
        <f t="shared" si="6"/>
        <v>135</v>
      </c>
      <c r="D35" s="34">
        <f t="shared" si="7"/>
        <v>132</v>
      </c>
      <c r="E35" s="34">
        <f t="shared" si="8"/>
        <v>135</v>
      </c>
      <c r="F35" s="34">
        <f t="shared" si="9"/>
        <v>137</v>
      </c>
      <c r="G35" s="34">
        <f t="shared" si="10"/>
        <v>139</v>
      </c>
      <c r="H35" s="34">
        <f t="shared" si="11"/>
        <v>136</v>
      </c>
      <c r="I35" s="99">
        <f t="shared" si="12"/>
        <v>119</v>
      </c>
      <c r="K35" s="59"/>
      <c r="L35" s="59"/>
    </row>
    <row r="36" spans="1:24" x14ac:dyDescent="0.25">
      <c r="A36" s="25">
        <f t="shared" si="13"/>
        <v>2031</v>
      </c>
      <c r="B36" s="37">
        <f>'P1 Catchment Projections'!O90+'P1 Catchment Projections'!O91+'P1 Catchment Projections'!O92</f>
        <v>137</v>
      </c>
      <c r="C36" s="34">
        <f t="shared" si="6"/>
        <v>135</v>
      </c>
      <c r="D36" s="34">
        <f t="shared" si="7"/>
        <v>133</v>
      </c>
      <c r="E36" s="34">
        <f t="shared" si="8"/>
        <v>135</v>
      </c>
      <c r="F36" s="34">
        <f t="shared" si="9"/>
        <v>139</v>
      </c>
      <c r="G36" s="34">
        <f t="shared" si="10"/>
        <v>139</v>
      </c>
      <c r="H36" s="34">
        <f t="shared" si="11"/>
        <v>139</v>
      </c>
      <c r="I36" s="99">
        <f t="shared" si="12"/>
        <v>121</v>
      </c>
      <c r="K36" s="59"/>
      <c r="L36" s="59"/>
    </row>
    <row r="37" spans="1:24" x14ac:dyDescent="0.25">
      <c r="A37" s="25">
        <f t="shared" si="13"/>
        <v>2032</v>
      </c>
      <c r="B37" s="37">
        <f>'P1 Catchment Projections'!P90+'P1 Catchment Projections'!P91+'P1 Catchment Projections'!P92</f>
        <v>137</v>
      </c>
      <c r="C37" s="34">
        <f t="shared" si="6"/>
        <v>135</v>
      </c>
      <c r="D37" s="34">
        <f t="shared" si="7"/>
        <v>133</v>
      </c>
      <c r="E37" s="34">
        <f t="shared" si="8"/>
        <v>136</v>
      </c>
      <c r="F37" s="34">
        <f t="shared" si="9"/>
        <v>139</v>
      </c>
      <c r="G37" s="34">
        <f t="shared" si="10"/>
        <v>141</v>
      </c>
      <c r="H37" s="34">
        <f t="shared" si="11"/>
        <v>139</v>
      </c>
      <c r="I37" s="99">
        <f t="shared" si="12"/>
        <v>123</v>
      </c>
      <c r="K37" s="59"/>
      <c r="L37" s="59"/>
    </row>
    <row r="38" spans="1:24" x14ac:dyDescent="0.25">
      <c r="K38" s="59"/>
      <c r="L38" s="59"/>
    </row>
    <row r="39" spans="1:24" x14ac:dyDescent="0.25">
      <c r="A39" s="21" t="s">
        <v>310</v>
      </c>
      <c r="K39" s="394" t="s">
        <v>190</v>
      </c>
      <c r="L39" s="55"/>
      <c r="M39" s="394" t="s">
        <v>203</v>
      </c>
      <c r="N39" s="106"/>
      <c r="O39" s="395" t="s">
        <v>204</v>
      </c>
      <c r="Q39" s="21" t="s">
        <v>311</v>
      </c>
      <c r="R39" s="52"/>
      <c r="S39" s="52"/>
      <c r="T39" s="52"/>
      <c r="U39" s="52"/>
      <c r="V39" s="52"/>
      <c r="W39" s="52"/>
      <c r="X39"/>
    </row>
    <row r="40" spans="1:24"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4" x14ac:dyDescent="0.25">
      <c r="A41" s="25">
        <f>A24</f>
        <v>2019</v>
      </c>
      <c r="B41" s="37">
        <f>B24+VLOOKUP($A$1,'Pri Housing Generation'!$A$96:$DQ$118, 10, FALSE)</f>
        <v>138</v>
      </c>
      <c r="C41" s="34">
        <f>C24+VLOOKUP($A$1,'Pri Housing Generation'!$A$96:$DQ$118, 11, FALSE)</f>
        <v>145</v>
      </c>
      <c r="D41" s="42">
        <f>D24+VLOOKUP($A$1,'Pri Housing Generation'!$A$96:$DQ$118, 12, FALSE)</f>
        <v>172</v>
      </c>
      <c r="E41" s="43">
        <f>E24+VLOOKUP($A$1,'Pri Housing Generation'!$A$96:$DQ$118, 13, FALSE)</f>
        <v>152</v>
      </c>
      <c r="F41" s="41">
        <f>F24+VLOOKUP($A$1,'Pri Housing Generation'!$A$96:$DQ$118, 14, FALSE)</f>
        <v>154</v>
      </c>
      <c r="G41" s="42">
        <f>G24+VLOOKUP($A$1,'Pri Housing Generation'!$A$96:$DQ$118, 15, FALSE)</f>
        <v>180</v>
      </c>
      <c r="H41" s="43">
        <f>H24+VLOOKUP($A$1,'Pri Housing Generation'!$A$96:$DQ$118, 16, FALSE)</f>
        <v>161</v>
      </c>
      <c r="I41" s="99">
        <f>ROUNDUP((H18-(H18*$I$20)),0)</f>
        <v>139</v>
      </c>
      <c r="K41" s="35">
        <f>'Sec Housing Generation'!I25</f>
        <v>1</v>
      </c>
      <c r="L41" s="83"/>
      <c r="M41" s="107">
        <f t="shared" ref="M41:M54" si="14">$K$20</f>
        <v>0.5204918644573816</v>
      </c>
      <c r="O41" s="35">
        <f t="shared" ref="O41:O54" si="15">ROUNDUP(((I41+K41)*M41),0)</f>
        <v>73</v>
      </c>
      <c r="Q41" s="25">
        <f>A41</f>
        <v>2019</v>
      </c>
      <c r="R41" s="20">
        <f t="shared" ref="R41:R54" si="16">IF(O41&lt;$C$7,(IF((O41+$O$20)&gt;$C$7,$C$7,(O41+$O$20))),(IF((O41+$O$20)&lt;(CEILING((O41),20)),(O41+$O$20),(CEILING((O41),20)))))</f>
        <v>77</v>
      </c>
      <c r="S41" s="53">
        <f>R18</f>
        <v>80</v>
      </c>
      <c r="T41" s="67">
        <f>S18</f>
        <v>63</v>
      </c>
      <c r="U41" s="69">
        <f>T18</f>
        <v>52</v>
      </c>
      <c r="V41" s="41">
        <f>ROUNDUP((U18-(U18*$V$20)),0)</f>
        <v>47</v>
      </c>
      <c r="W41" s="42">
        <f>ROUNDUP((V18-(V18*$W$20)),0)</f>
        <v>28</v>
      </c>
      <c r="X41" s="101">
        <f t="shared" ref="X41:X54" si="17">SUM(R41:W41)</f>
        <v>347</v>
      </c>
    </row>
    <row r="42" spans="1:24" x14ac:dyDescent="0.25">
      <c r="A42" s="25">
        <f t="shared" ref="A42:A54" si="18">A25</f>
        <v>2020</v>
      </c>
      <c r="B42" s="37">
        <f>B25+VLOOKUP($A$1,'Pri Housing Generation'!$A$96:$DQ$118, 18, FALSE)</f>
        <v>130</v>
      </c>
      <c r="C42" s="34">
        <f>C25+VLOOKUP($A$1,'Pri Housing Generation'!$A$96:$DQ$118, 19, FALSE)</f>
        <v>136</v>
      </c>
      <c r="D42" s="34">
        <f>D25+VLOOKUP($A$1,'Pri Housing Generation'!$A$96:$DQ$118, 20, FALSE)</f>
        <v>143</v>
      </c>
      <c r="E42" s="42">
        <f>E25+VLOOKUP($A$1,'Pri Housing Generation'!$A$96:$DQ$118, 21, FALSE)</f>
        <v>176</v>
      </c>
      <c r="F42" s="43">
        <f>F25+VLOOKUP($A$1,'Pri Housing Generation'!$A$96:$DQ$118, 22, FALSE)</f>
        <v>159</v>
      </c>
      <c r="G42" s="41">
        <f>G25+VLOOKUP($A$1,'Pri Housing Generation'!$A$96:$DQ$118, 23, FALSE)</f>
        <v>158</v>
      </c>
      <c r="H42" s="42">
        <f>H25+VLOOKUP($A$1,'Pri Housing Generation'!$A$96:$DQ$118, 24, FALSE)</f>
        <v>181</v>
      </c>
      <c r="I42" s="99">
        <f t="shared" ref="I42:I54" si="19">ROUNDUP((H41-(H41*$I$20)),0)</f>
        <v>143</v>
      </c>
      <c r="K42" s="35">
        <f>'Sec Housing Generation'!P25</f>
        <v>2</v>
      </c>
      <c r="L42" s="83"/>
      <c r="M42" s="107">
        <f t="shared" si="14"/>
        <v>0.5204918644573816</v>
      </c>
      <c r="O42" s="35">
        <f t="shared" si="15"/>
        <v>76</v>
      </c>
      <c r="Q42" s="25">
        <f t="shared" ref="Q42:Q54" si="20">A42</f>
        <v>2020</v>
      </c>
      <c r="R42" s="20">
        <f t="shared" si="16"/>
        <v>80</v>
      </c>
      <c r="S42" s="53">
        <f t="shared" ref="S42:U54" si="21">R41</f>
        <v>77</v>
      </c>
      <c r="T42" s="53">
        <f t="shared" si="21"/>
        <v>80</v>
      </c>
      <c r="U42" s="67">
        <f t="shared" si="21"/>
        <v>63</v>
      </c>
      <c r="V42" s="43">
        <f t="shared" ref="V42:V54" si="22">ROUNDUP((U41-(U41*$V$20)),0)</f>
        <v>38</v>
      </c>
      <c r="W42" s="41">
        <f t="shared" ref="W42:W54" si="23">ROUNDUP((V41-(V41*$W$20)),0)</f>
        <v>30</v>
      </c>
      <c r="X42" s="101">
        <f t="shared" si="17"/>
        <v>368</v>
      </c>
    </row>
    <row r="43" spans="1:24" x14ac:dyDescent="0.25">
      <c r="A43" s="25">
        <f t="shared" si="18"/>
        <v>2021</v>
      </c>
      <c r="B43" s="37">
        <f>B26+VLOOKUP($A$1,'Pri Housing Generation'!$A$96:$DQ$118, 26, FALSE)</f>
        <v>128</v>
      </c>
      <c r="C43" s="34">
        <f>C26+VLOOKUP($A$1,'Pri Housing Generation'!$A$96:$DQ$118, 27, FALSE)</f>
        <v>128</v>
      </c>
      <c r="D43" s="34">
        <f>D26+VLOOKUP($A$1,'Pri Housing Generation'!$A$96:$DQ$118, 28, FALSE)</f>
        <v>134</v>
      </c>
      <c r="E43" s="34">
        <f>E26+VLOOKUP($A$1,'Pri Housing Generation'!$A$96:$DQ$118, 29, FALSE)</f>
        <v>146</v>
      </c>
      <c r="F43" s="42">
        <f>F26+VLOOKUP($A$1,'Pri Housing Generation'!$A$96:$DQ$118, 30, FALSE)</f>
        <v>182</v>
      </c>
      <c r="G43" s="43">
        <f>G26+VLOOKUP($A$1,'Pri Housing Generation'!$A$96:$DQ$118, 31, FALSE)</f>
        <v>161</v>
      </c>
      <c r="H43" s="41">
        <f>H26+VLOOKUP($A$1,'Pri Housing Generation'!$A$96:$DQ$118, 32, FALSE)</f>
        <v>158</v>
      </c>
      <c r="I43" s="99">
        <f t="shared" si="19"/>
        <v>161</v>
      </c>
      <c r="K43" s="35">
        <f>'Sec Housing Generation'!W25</f>
        <v>2</v>
      </c>
      <c r="L43" s="83"/>
      <c r="M43" s="107">
        <f t="shared" si="14"/>
        <v>0.5204918644573816</v>
      </c>
      <c r="O43" s="35">
        <f t="shared" si="15"/>
        <v>85</v>
      </c>
      <c r="Q43" s="25">
        <f t="shared" si="20"/>
        <v>2021</v>
      </c>
      <c r="R43" s="20">
        <f t="shared" si="16"/>
        <v>89</v>
      </c>
      <c r="S43" s="53">
        <f t="shared" si="21"/>
        <v>80</v>
      </c>
      <c r="T43" s="53">
        <f t="shared" si="21"/>
        <v>77</v>
      </c>
      <c r="U43" s="53">
        <f t="shared" si="21"/>
        <v>80</v>
      </c>
      <c r="V43" s="42">
        <f t="shared" si="22"/>
        <v>46</v>
      </c>
      <c r="W43" s="43">
        <f t="shared" si="23"/>
        <v>24</v>
      </c>
      <c r="X43" s="101">
        <f t="shared" si="17"/>
        <v>396</v>
      </c>
    </row>
    <row r="44" spans="1:24" x14ac:dyDescent="0.25">
      <c r="A44" s="25">
        <f t="shared" si="18"/>
        <v>2022</v>
      </c>
      <c r="B44" s="37">
        <f>B27+VLOOKUP($A$1,'Pri Housing Generation'!$A$96:$DQ$118, 34, FALSE)</f>
        <v>133</v>
      </c>
      <c r="C44" s="34">
        <f>C27+VLOOKUP($A$1,'Pri Housing Generation'!$A$96:$DQ$118, 35, FALSE)</f>
        <v>126</v>
      </c>
      <c r="D44" s="34">
        <f>D27+VLOOKUP($A$1,'Pri Housing Generation'!$A$96:$DQ$118, 36, FALSE)</f>
        <v>126</v>
      </c>
      <c r="E44" s="34">
        <f>E27+VLOOKUP($A$1,'Pri Housing Generation'!$A$96:$DQ$118, 37, FALSE)</f>
        <v>137</v>
      </c>
      <c r="F44" s="34">
        <f>F27+VLOOKUP($A$1,'Pri Housing Generation'!$A$96:$DQ$118, 38, FALSE)</f>
        <v>151</v>
      </c>
      <c r="G44" s="42">
        <f>G27+VLOOKUP($A$1,'Pri Housing Generation'!$A$96:$DQ$118, 39, FALSE)</f>
        <v>184</v>
      </c>
      <c r="H44" s="43">
        <f>H27+VLOOKUP($A$1,'Pri Housing Generation'!$A$96:$DQ$118, 40, FALSE)</f>
        <v>161</v>
      </c>
      <c r="I44" s="99">
        <f t="shared" si="19"/>
        <v>140</v>
      </c>
      <c r="K44" s="35">
        <f>'Sec Housing Generation'!AD25</f>
        <v>2</v>
      </c>
      <c r="L44" s="83"/>
      <c r="M44" s="107">
        <f t="shared" si="14"/>
        <v>0.5204918644573816</v>
      </c>
      <c r="O44" s="35">
        <f t="shared" si="15"/>
        <v>74</v>
      </c>
      <c r="Q44" s="25">
        <f t="shared" si="20"/>
        <v>2022</v>
      </c>
      <c r="R44" s="20">
        <f t="shared" si="16"/>
        <v>78</v>
      </c>
      <c r="S44" s="53">
        <f t="shared" si="21"/>
        <v>89</v>
      </c>
      <c r="T44" s="53">
        <f t="shared" si="21"/>
        <v>80</v>
      </c>
      <c r="U44" s="53">
        <f t="shared" si="21"/>
        <v>77</v>
      </c>
      <c r="V44" s="34">
        <f t="shared" si="22"/>
        <v>59</v>
      </c>
      <c r="W44" s="42">
        <f t="shared" si="23"/>
        <v>29</v>
      </c>
      <c r="X44" s="101">
        <f t="shared" si="17"/>
        <v>412</v>
      </c>
    </row>
    <row r="45" spans="1:24" x14ac:dyDescent="0.25">
      <c r="A45" s="25">
        <f t="shared" si="18"/>
        <v>2023</v>
      </c>
      <c r="B45" s="37">
        <f>B28+VLOOKUP($A$1,'Pri Housing Generation'!$A$96:$DQ$118, 42, FALSE)</f>
        <v>131</v>
      </c>
      <c r="C45" s="34">
        <f>C28+VLOOKUP($A$1,'Pri Housing Generation'!$A$96:$DQ$118, 43, FALSE)</f>
        <v>131</v>
      </c>
      <c r="D45" s="34">
        <f>D28+VLOOKUP($A$1,'Pri Housing Generation'!$A$96:$DQ$118, 44, FALSE)</f>
        <v>124</v>
      </c>
      <c r="E45" s="34">
        <f>E28+VLOOKUP($A$1,'Pri Housing Generation'!$A$96:$DQ$118, 45, FALSE)</f>
        <v>129</v>
      </c>
      <c r="F45" s="34">
        <f>F28+VLOOKUP($A$1,'Pri Housing Generation'!$A$96:$DQ$118, 46, FALSE)</f>
        <v>141</v>
      </c>
      <c r="G45" s="34">
        <f>G28+VLOOKUP($A$1,'Pri Housing Generation'!$A$96:$DQ$118, 47, FALSE)</f>
        <v>153</v>
      </c>
      <c r="H45" s="42">
        <f>H28+VLOOKUP($A$1,'Pri Housing Generation'!$A$96:$DQ$118, 48, FALSE)</f>
        <v>184</v>
      </c>
      <c r="I45" s="99">
        <f t="shared" si="19"/>
        <v>143</v>
      </c>
      <c r="J45" s="181"/>
      <c r="K45" s="35">
        <f>'Sec Housing Generation'!AK25</f>
        <v>2</v>
      </c>
      <c r="L45" s="83"/>
      <c r="M45" s="107">
        <f t="shared" si="14"/>
        <v>0.5204918644573816</v>
      </c>
      <c r="O45" s="35">
        <f t="shared" si="15"/>
        <v>76</v>
      </c>
      <c r="Q45" s="25">
        <f t="shared" si="20"/>
        <v>2023</v>
      </c>
      <c r="R45" s="20">
        <f t="shared" si="16"/>
        <v>80</v>
      </c>
      <c r="S45" s="53">
        <f t="shared" si="21"/>
        <v>78</v>
      </c>
      <c r="T45" s="53">
        <f t="shared" si="21"/>
        <v>89</v>
      </c>
      <c r="U45" s="53">
        <f t="shared" si="21"/>
        <v>80</v>
      </c>
      <c r="V45" s="34">
        <f t="shared" si="22"/>
        <v>57</v>
      </c>
      <c r="W45" s="34">
        <f t="shared" si="23"/>
        <v>37</v>
      </c>
      <c r="X45" s="101">
        <f t="shared" si="17"/>
        <v>421</v>
      </c>
    </row>
    <row r="46" spans="1:24" x14ac:dyDescent="0.25">
      <c r="A46" s="25">
        <f t="shared" si="18"/>
        <v>2024</v>
      </c>
      <c r="B46" s="37">
        <f>B29+VLOOKUP($A$1,'Pri Housing Generation'!$A$96:$DQ$118, 50, FALSE)</f>
        <v>133</v>
      </c>
      <c r="C46" s="34">
        <f>C29+VLOOKUP($A$1,'Pri Housing Generation'!$A$96:$DQ$118, 51, FALSE)</f>
        <v>129</v>
      </c>
      <c r="D46" s="34">
        <f>D29+VLOOKUP($A$1,'Pri Housing Generation'!$A$96:$DQ$118, 52, FALSE)</f>
        <v>129</v>
      </c>
      <c r="E46" s="34">
        <f>E29+VLOOKUP($A$1,'Pri Housing Generation'!$A$96:$DQ$118, 53, FALSE)</f>
        <v>127</v>
      </c>
      <c r="F46" s="34">
        <f>F29+VLOOKUP($A$1,'Pri Housing Generation'!$A$96:$DQ$118, 54, FALSE)</f>
        <v>133</v>
      </c>
      <c r="G46" s="34">
        <f>G29+VLOOKUP($A$1,'Pri Housing Generation'!$A$96:$DQ$118, 55, FALSE)</f>
        <v>143</v>
      </c>
      <c r="H46" s="34">
        <f>H29+VLOOKUP($A$1,'Pri Housing Generation'!$A$96:$DQ$118, 56, FALSE)</f>
        <v>153</v>
      </c>
      <c r="I46" s="99">
        <f t="shared" si="19"/>
        <v>163</v>
      </c>
      <c r="J46" s="181"/>
      <c r="K46" s="35">
        <f>'Sec Housing Generation'!AR25</f>
        <v>2</v>
      </c>
      <c r="L46" s="83"/>
      <c r="M46" s="107">
        <f>K20</f>
        <v>0.5204918644573816</v>
      </c>
      <c r="O46" s="35">
        <f t="shared" si="15"/>
        <v>86</v>
      </c>
      <c r="Q46" s="25">
        <f t="shared" si="20"/>
        <v>2024</v>
      </c>
      <c r="R46" s="20">
        <f t="shared" si="16"/>
        <v>90</v>
      </c>
      <c r="S46" s="53">
        <f t="shared" si="21"/>
        <v>80</v>
      </c>
      <c r="T46" s="53">
        <f t="shared" si="21"/>
        <v>78</v>
      </c>
      <c r="U46" s="53">
        <f t="shared" si="21"/>
        <v>89</v>
      </c>
      <c r="V46" s="34">
        <f t="shared" si="22"/>
        <v>59</v>
      </c>
      <c r="W46" s="34">
        <f t="shared" si="23"/>
        <v>36</v>
      </c>
      <c r="X46" s="101">
        <f t="shared" si="17"/>
        <v>432</v>
      </c>
    </row>
    <row r="47" spans="1:24" x14ac:dyDescent="0.25">
      <c r="A47" s="25">
        <f t="shared" si="18"/>
        <v>2025</v>
      </c>
      <c r="B47" s="37">
        <f>B30+VLOOKUP($A$1,'Pri Housing Generation'!$A$96:$DQ$118, 58, FALSE)</f>
        <v>136</v>
      </c>
      <c r="C47" s="34">
        <f>C30+VLOOKUP($A$1,'Pri Housing Generation'!$A$96:$DQ$118, 59, FALSE)</f>
        <v>131</v>
      </c>
      <c r="D47" s="34">
        <f>D30+VLOOKUP($A$1,'Pri Housing Generation'!$A$96:$DQ$118, 60, FALSE)</f>
        <v>127</v>
      </c>
      <c r="E47" s="34">
        <f>E30+VLOOKUP($A$1,'Pri Housing Generation'!$A$96:$DQ$118, 61, FALSE)</f>
        <v>132</v>
      </c>
      <c r="F47" s="34">
        <f>F30+VLOOKUP($A$1,'Pri Housing Generation'!$A$96:$DQ$118, 62, FALSE)</f>
        <v>131</v>
      </c>
      <c r="G47" s="34">
        <f>G30+VLOOKUP($A$1,'Pri Housing Generation'!$A$96:$DQ$118, 63, FALSE)</f>
        <v>135</v>
      </c>
      <c r="H47" s="34">
        <f>H30+VLOOKUP($A$1,'Pri Housing Generation'!$A$96:$DQ$118, 64, FALSE)</f>
        <v>143</v>
      </c>
      <c r="I47" s="99">
        <f t="shared" si="19"/>
        <v>136</v>
      </c>
      <c r="J47" s="181"/>
      <c r="K47" s="83"/>
      <c r="L47" s="83"/>
      <c r="M47" s="107">
        <f t="shared" si="14"/>
        <v>0.5204918644573816</v>
      </c>
      <c r="O47" s="35">
        <f t="shared" si="15"/>
        <v>71</v>
      </c>
      <c r="Q47" s="25">
        <f t="shared" si="20"/>
        <v>2025</v>
      </c>
      <c r="R47" s="20">
        <f t="shared" si="16"/>
        <v>75</v>
      </c>
      <c r="S47" s="53">
        <f t="shared" si="21"/>
        <v>90</v>
      </c>
      <c r="T47" s="53">
        <f t="shared" si="21"/>
        <v>80</v>
      </c>
      <c r="U47" s="53">
        <f t="shared" si="21"/>
        <v>78</v>
      </c>
      <c r="V47" s="34">
        <f t="shared" si="22"/>
        <v>65</v>
      </c>
      <c r="W47" s="34">
        <f t="shared" si="23"/>
        <v>37</v>
      </c>
      <c r="X47" s="101">
        <f t="shared" si="17"/>
        <v>425</v>
      </c>
    </row>
    <row r="48" spans="1:24" x14ac:dyDescent="0.25">
      <c r="A48" s="25">
        <f t="shared" si="18"/>
        <v>2026</v>
      </c>
      <c r="B48" s="37">
        <f>B31+VLOOKUP($A$1,'Pri Housing Generation'!$A$96:$DQ$118, 66, FALSE)</f>
        <v>136</v>
      </c>
      <c r="C48" s="34">
        <f>C31+VLOOKUP($A$1,'Pri Housing Generation'!$A$96:$DQ$118, 67, FALSE)</f>
        <v>134</v>
      </c>
      <c r="D48" s="34">
        <f>D31+VLOOKUP($A$1,'Pri Housing Generation'!$A$96:$DQ$118, 68, FALSE)</f>
        <v>129</v>
      </c>
      <c r="E48" s="34">
        <f>E31+VLOOKUP($A$1,'Pri Housing Generation'!$A$96:$DQ$118, 69, FALSE)</f>
        <v>130</v>
      </c>
      <c r="F48" s="34">
        <f>F31+VLOOKUP($A$1,'Pri Housing Generation'!$A$96:$DQ$118, 70, FALSE)</f>
        <v>136</v>
      </c>
      <c r="G48" s="34">
        <f>G31+VLOOKUP($A$1,'Pri Housing Generation'!$A$96:$DQ$118, 71, FALSE)</f>
        <v>133</v>
      </c>
      <c r="H48" s="34">
        <f>H31+VLOOKUP($A$1,'Pri Housing Generation'!$A$96:$DQ$118, 72, FALSE)</f>
        <v>135</v>
      </c>
      <c r="I48" s="99">
        <f t="shared" si="19"/>
        <v>127</v>
      </c>
      <c r="J48" s="181"/>
      <c r="K48" s="83"/>
      <c r="L48" s="83"/>
      <c r="M48" s="107">
        <f t="shared" si="14"/>
        <v>0.5204918644573816</v>
      </c>
      <c r="O48" s="35">
        <f t="shared" si="15"/>
        <v>67</v>
      </c>
      <c r="Q48" s="25">
        <f t="shared" si="20"/>
        <v>2026</v>
      </c>
      <c r="R48" s="20">
        <f t="shared" si="16"/>
        <v>71</v>
      </c>
      <c r="S48" s="53">
        <f t="shared" si="21"/>
        <v>75</v>
      </c>
      <c r="T48" s="53">
        <f t="shared" si="21"/>
        <v>90</v>
      </c>
      <c r="U48" s="53">
        <f t="shared" si="21"/>
        <v>80</v>
      </c>
      <c r="V48" s="34">
        <f t="shared" si="22"/>
        <v>57</v>
      </c>
      <c r="W48" s="34">
        <f t="shared" si="23"/>
        <v>41</v>
      </c>
      <c r="X48" s="101">
        <f t="shared" si="17"/>
        <v>414</v>
      </c>
    </row>
    <row r="49" spans="1:24" x14ac:dyDescent="0.25">
      <c r="A49" s="25">
        <f t="shared" si="18"/>
        <v>2027</v>
      </c>
      <c r="B49" s="37">
        <f>B32+VLOOKUP($A$1,'Pri Housing Generation'!$A$96:$DQ$118, 74, FALSE)</f>
        <v>138</v>
      </c>
      <c r="C49" s="34">
        <f>C32+VLOOKUP($A$1,'Pri Housing Generation'!$A$96:$DQ$118, 75, FALSE)</f>
        <v>134</v>
      </c>
      <c r="D49" s="34">
        <f>D32+VLOOKUP($A$1,'Pri Housing Generation'!$A$96:$DQ$118, 76, FALSE)</f>
        <v>132</v>
      </c>
      <c r="E49" s="34">
        <f>E32+VLOOKUP($A$1,'Pri Housing Generation'!$A$96:$DQ$118, 77, FALSE)</f>
        <v>132</v>
      </c>
      <c r="F49" s="34">
        <f>F32+VLOOKUP($A$1,'Pri Housing Generation'!$A$96:$DQ$118, 78, FALSE)</f>
        <v>134</v>
      </c>
      <c r="G49" s="34">
        <f>G32+VLOOKUP($A$1,'Pri Housing Generation'!$A$96:$DQ$118, 79, FALSE)</f>
        <v>138</v>
      </c>
      <c r="H49" s="34">
        <f>H32+VLOOKUP($A$1,'Pri Housing Generation'!$A$96:$DQ$118, 80, FALSE)</f>
        <v>133</v>
      </c>
      <c r="I49" s="99">
        <f t="shared" si="19"/>
        <v>120</v>
      </c>
      <c r="J49" s="181"/>
      <c r="K49" s="83"/>
      <c r="L49" s="83"/>
      <c r="M49" s="107">
        <f t="shared" si="14"/>
        <v>0.5204918644573816</v>
      </c>
      <c r="O49" s="35">
        <f t="shared" si="15"/>
        <v>63</v>
      </c>
      <c r="Q49" s="25">
        <f t="shared" si="20"/>
        <v>2027</v>
      </c>
      <c r="R49" s="20">
        <f t="shared" si="16"/>
        <v>67</v>
      </c>
      <c r="S49" s="53">
        <f t="shared" si="21"/>
        <v>71</v>
      </c>
      <c r="T49" s="53">
        <f t="shared" si="21"/>
        <v>75</v>
      </c>
      <c r="U49" s="53">
        <f t="shared" si="21"/>
        <v>90</v>
      </c>
      <c r="V49" s="34">
        <f t="shared" si="22"/>
        <v>59</v>
      </c>
      <c r="W49" s="34">
        <f t="shared" si="23"/>
        <v>36</v>
      </c>
      <c r="X49" s="101">
        <f t="shared" si="17"/>
        <v>398</v>
      </c>
    </row>
    <row r="50" spans="1:24" x14ac:dyDescent="0.25">
      <c r="A50" s="25">
        <f t="shared" si="18"/>
        <v>2028</v>
      </c>
      <c r="B50" s="37">
        <f>B33+VLOOKUP($A$1,'Pri Housing Generation'!$A$96:$DQ$118, 82, FALSE)</f>
        <v>138</v>
      </c>
      <c r="C50" s="34">
        <f>C33+VLOOKUP($A$1,'Pri Housing Generation'!$A$96:$DQ$118, 83, FALSE)</f>
        <v>136</v>
      </c>
      <c r="D50" s="34">
        <f>D33+VLOOKUP($A$1,'Pri Housing Generation'!$A$96:$DQ$118, 84, FALSE)</f>
        <v>132</v>
      </c>
      <c r="E50" s="34">
        <f>E33+VLOOKUP($A$1,'Pri Housing Generation'!$A$96:$DQ$118, 85, FALSE)</f>
        <v>135</v>
      </c>
      <c r="F50" s="34">
        <f>F33+VLOOKUP($A$1,'Pri Housing Generation'!$A$96:$DQ$118, 86, FALSE)</f>
        <v>136</v>
      </c>
      <c r="G50" s="34">
        <f>G33+VLOOKUP($A$1,'Pri Housing Generation'!$A$96:$DQ$118, 87, FALSE)</f>
        <v>136</v>
      </c>
      <c r="H50" s="34">
        <f>H33+VLOOKUP($A$1,'Pri Housing Generation'!$A$96:$DQ$118, 88, FALSE)</f>
        <v>138</v>
      </c>
      <c r="I50" s="99">
        <f t="shared" si="19"/>
        <v>118</v>
      </c>
      <c r="J50" s="181"/>
      <c r="K50" s="83"/>
      <c r="L50" s="83"/>
      <c r="M50" s="107">
        <f t="shared" si="14"/>
        <v>0.5204918644573816</v>
      </c>
      <c r="O50" s="35">
        <f t="shared" si="15"/>
        <v>62</v>
      </c>
      <c r="Q50" s="25">
        <f t="shared" si="20"/>
        <v>2028</v>
      </c>
      <c r="R50" s="20">
        <f t="shared" si="16"/>
        <v>66</v>
      </c>
      <c r="S50" s="53">
        <f t="shared" si="21"/>
        <v>67</v>
      </c>
      <c r="T50" s="53">
        <f t="shared" si="21"/>
        <v>71</v>
      </c>
      <c r="U50" s="53">
        <f t="shared" si="21"/>
        <v>75</v>
      </c>
      <c r="V50" s="34">
        <f t="shared" si="22"/>
        <v>66</v>
      </c>
      <c r="W50" s="34">
        <f t="shared" si="23"/>
        <v>37</v>
      </c>
      <c r="X50" s="101">
        <f t="shared" si="17"/>
        <v>382</v>
      </c>
    </row>
    <row r="51" spans="1:24" x14ac:dyDescent="0.25">
      <c r="A51" s="25">
        <f t="shared" si="18"/>
        <v>2029</v>
      </c>
      <c r="B51" s="37">
        <f>B34+VLOOKUP($A$1,'Pri Housing Generation'!$A$96:$DQ$118, 90, FALSE)</f>
        <v>139</v>
      </c>
      <c r="C51" s="34">
        <f>C34+VLOOKUP($A$1,'Pri Housing Generation'!$A$96:$DQ$118, 91, FALSE)</f>
        <v>136</v>
      </c>
      <c r="D51" s="34">
        <f>D34+VLOOKUP($A$1,'Pri Housing Generation'!$A$96:$DQ$118, 92, FALSE)</f>
        <v>134</v>
      </c>
      <c r="E51" s="34">
        <f>E34+VLOOKUP($A$1,'Pri Housing Generation'!$A$96:$DQ$118, 93, FALSE)</f>
        <v>135</v>
      </c>
      <c r="F51" s="34">
        <f>F34+VLOOKUP($A$1,'Pri Housing Generation'!$A$96:$DQ$118, 94, FALSE)</f>
        <v>139</v>
      </c>
      <c r="G51" s="34">
        <f>G34+VLOOKUP($A$1,'Pri Housing Generation'!$A$96:$DQ$118, 95, FALSE)</f>
        <v>138</v>
      </c>
      <c r="H51" s="34">
        <f>H34+VLOOKUP($A$1,'Pri Housing Generation'!$A$96:$DQ$118, 96, FALSE)</f>
        <v>136</v>
      </c>
      <c r="I51" s="99">
        <f t="shared" si="19"/>
        <v>123</v>
      </c>
      <c r="J51" s="181"/>
      <c r="K51" s="83"/>
      <c r="L51" s="83"/>
      <c r="M51" s="107">
        <f t="shared" si="14"/>
        <v>0.5204918644573816</v>
      </c>
      <c r="O51" s="35">
        <f t="shared" si="15"/>
        <v>65</v>
      </c>
      <c r="Q51" s="25">
        <f t="shared" si="20"/>
        <v>2029</v>
      </c>
      <c r="R51" s="20">
        <f t="shared" si="16"/>
        <v>69</v>
      </c>
      <c r="S51" s="53">
        <f t="shared" si="21"/>
        <v>66</v>
      </c>
      <c r="T51" s="53">
        <f t="shared" si="21"/>
        <v>67</v>
      </c>
      <c r="U51" s="53">
        <f t="shared" si="21"/>
        <v>71</v>
      </c>
      <c r="V51" s="34">
        <f t="shared" si="22"/>
        <v>55</v>
      </c>
      <c r="W51" s="34">
        <f t="shared" si="23"/>
        <v>42</v>
      </c>
      <c r="X51" s="101">
        <f t="shared" si="17"/>
        <v>370</v>
      </c>
    </row>
    <row r="52" spans="1:24" x14ac:dyDescent="0.25">
      <c r="A52" s="25">
        <f t="shared" si="18"/>
        <v>2030</v>
      </c>
      <c r="B52" s="37">
        <f>B35+VLOOKUP($A$1,'Pri Housing Generation'!$A$96:$DQ$118, 98, FALSE)</f>
        <v>139</v>
      </c>
      <c r="C52" s="34">
        <f>C35+VLOOKUP($A$1,'Pri Housing Generation'!$A$96:$DQ$118, 99, FALSE)</f>
        <v>137</v>
      </c>
      <c r="D52" s="34">
        <f>D35+VLOOKUP($A$1,'Pri Housing Generation'!$A$96:$DQ$118, 100, FALSE)</f>
        <v>134</v>
      </c>
      <c r="E52" s="34">
        <f>E35+VLOOKUP($A$1,'Pri Housing Generation'!$A$96:$DQ$118, 101, FALSE)</f>
        <v>137</v>
      </c>
      <c r="F52" s="34">
        <f>F35+VLOOKUP($A$1,'Pri Housing Generation'!$A$96:$DQ$118, 102, FALSE)</f>
        <v>139</v>
      </c>
      <c r="G52" s="34">
        <f>G35+VLOOKUP($A$1,'Pri Housing Generation'!$A$96:$DQ$118, 103, FALSE)</f>
        <v>141</v>
      </c>
      <c r="H52" s="34">
        <f>H35+VLOOKUP($A$1,'Pri Housing Generation'!$A$96:$DQ$118, 104, FALSE)</f>
        <v>138</v>
      </c>
      <c r="I52" s="99">
        <f t="shared" si="19"/>
        <v>121</v>
      </c>
      <c r="J52" s="54"/>
      <c r="K52" s="83"/>
      <c r="L52" s="83"/>
      <c r="M52" s="107">
        <f t="shared" si="14"/>
        <v>0.5204918644573816</v>
      </c>
      <c r="O52" s="35">
        <f t="shared" si="15"/>
        <v>63</v>
      </c>
      <c r="Q52" s="25">
        <f t="shared" si="20"/>
        <v>2030</v>
      </c>
      <c r="R52" s="20">
        <f t="shared" si="16"/>
        <v>67</v>
      </c>
      <c r="S52" s="53">
        <f t="shared" si="21"/>
        <v>69</v>
      </c>
      <c r="T52" s="53">
        <f t="shared" si="21"/>
        <v>66</v>
      </c>
      <c r="U52" s="53">
        <f t="shared" si="21"/>
        <v>67</v>
      </c>
      <c r="V52" s="34">
        <f t="shared" si="22"/>
        <v>52</v>
      </c>
      <c r="W52" s="34">
        <f t="shared" si="23"/>
        <v>35</v>
      </c>
      <c r="X52" s="101">
        <f t="shared" si="17"/>
        <v>356</v>
      </c>
    </row>
    <row r="53" spans="1:24" x14ac:dyDescent="0.25">
      <c r="A53" s="25">
        <f t="shared" si="18"/>
        <v>2031</v>
      </c>
      <c r="B53" s="37">
        <f>B36+VLOOKUP($A$1,'Pri Housing Generation'!$A$96:$DQ$118, 106, FALSE)</f>
        <v>139</v>
      </c>
      <c r="C53" s="34">
        <f>C36+VLOOKUP($A$1,'Pri Housing Generation'!$A$96:$DQ$118, 107, FALSE)</f>
        <v>137</v>
      </c>
      <c r="D53" s="34">
        <f>D36+VLOOKUP($A$1,'Pri Housing Generation'!$A$96:$DQ$118, 108, FALSE)</f>
        <v>135</v>
      </c>
      <c r="E53" s="34">
        <f>E36+VLOOKUP($A$1,'Pri Housing Generation'!$A$96:$DQ$118, 109, FALSE)</f>
        <v>137</v>
      </c>
      <c r="F53" s="34">
        <f>F36+VLOOKUP($A$1,'Pri Housing Generation'!$A$96:$DQ$118, 110, FALSE)</f>
        <v>141</v>
      </c>
      <c r="G53" s="34">
        <f>G36+VLOOKUP($A$1,'Pri Housing Generation'!$A$96:$DQ$118, 111, FALSE)</f>
        <v>141</v>
      </c>
      <c r="H53" s="34">
        <f>H36+VLOOKUP($A$1,'Pri Housing Generation'!$A$96:$DQ$118, 112, FALSE)</f>
        <v>141</v>
      </c>
      <c r="I53" s="99">
        <f t="shared" si="19"/>
        <v>123</v>
      </c>
      <c r="J53" s="54"/>
      <c r="K53" s="83"/>
      <c r="L53" s="83"/>
      <c r="M53" s="107">
        <f t="shared" si="14"/>
        <v>0.5204918644573816</v>
      </c>
      <c r="O53" s="35">
        <f t="shared" si="15"/>
        <v>65</v>
      </c>
      <c r="Q53" s="25">
        <f t="shared" si="20"/>
        <v>2031</v>
      </c>
      <c r="R53" s="20">
        <f t="shared" si="16"/>
        <v>69</v>
      </c>
      <c r="S53" s="53">
        <f t="shared" si="21"/>
        <v>67</v>
      </c>
      <c r="T53" s="53">
        <f t="shared" si="21"/>
        <v>69</v>
      </c>
      <c r="U53" s="53">
        <f t="shared" si="21"/>
        <v>66</v>
      </c>
      <c r="V53" s="34">
        <f t="shared" si="22"/>
        <v>49</v>
      </c>
      <c r="W53" s="34">
        <f t="shared" si="23"/>
        <v>33</v>
      </c>
      <c r="X53" s="101">
        <f t="shared" si="17"/>
        <v>353</v>
      </c>
    </row>
    <row r="54" spans="1:24" x14ac:dyDescent="0.25">
      <c r="A54" s="25">
        <f t="shared" si="18"/>
        <v>2032</v>
      </c>
      <c r="B54" s="37">
        <f>B37+VLOOKUP($A$1,'Pri Housing Generation'!$A$96:$DQ$118, 114, FALSE)</f>
        <v>139</v>
      </c>
      <c r="C54" s="34">
        <f>C37+VLOOKUP($A$1,'Pri Housing Generation'!$A$96:$DQ$118, 115, FALSE)</f>
        <v>137</v>
      </c>
      <c r="D54" s="34">
        <f>D37+VLOOKUP($A$1,'Pri Housing Generation'!$A$96:$DQ$118, 116, FALSE)</f>
        <v>135</v>
      </c>
      <c r="E54" s="34">
        <f>E37+VLOOKUP($A$1,'Pri Housing Generation'!$A$96:$DQ$118, 117, FALSE)</f>
        <v>138</v>
      </c>
      <c r="F54" s="34">
        <f>F37+VLOOKUP($A$1,'Pri Housing Generation'!$A$96:$DQ$118, 118, FALSE)</f>
        <v>141</v>
      </c>
      <c r="G54" s="34">
        <f>G37+VLOOKUP($A$1,'Pri Housing Generation'!$A$96:$DQ$118, 119, FALSE)</f>
        <v>143</v>
      </c>
      <c r="H54" s="34">
        <f>H37+VLOOKUP($A$1,'Pri Housing Generation'!$A$96:$DQ$118, 120, FALSE)</f>
        <v>141</v>
      </c>
      <c r="I54" s="99">
        <f t="shared" si="19"/>
        <v>125</v>
      </c>
      <c r="K54" s="83"/>
      <c r="L54" s="83"/>
      <c r="M54" s="107">
        <f t="shared" si="14"/>
        <v>0.5204918644573816</v>
      </c>
      <c r="O54" s="35">
        <f t="shared" si="15"/>
        <v>66</v>
      </c>
      <c r="Q54" s="25">
        <f t="shared" si="20"/>
        <v>2032</v>
      </c>
      <c r="R54" s="20">
        <f t="shared" si="16"/>
        <v>70</v>
      </c>
      <c r="S54" s="53">
        <f t="shared" si="21"/>
        <v>69</v>
      </c>
      <c r="T54" s="53">
        <f t="shared" si="21"/>
        <v>67</v>
      </c>
      <c r="U54" s="53">
        <f t="shared" si="21"/>
        <v>69</v>
      </c>
      <c r="V54" s="34">
        <f t="shared" si="22"/>
        <v>49</v>
      </c>
      <c r="W54" s="34">
        <f t="shared" si="23"/>
        <v>31</v>
      </c>
      <c r="X54" s="101">
        <f t="shared" si="17"/>
        <v>355</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8" t="s">
        <v>225</v>
      </c>
      <c r="C60" s="413" t="s">
        <v>226</v>
      </c>
      <c r="D60" s="414"/>
      <c r="F60" s="132"/>
      <c r="G60" s="181"/>
      <c r="H60" s="130"/>
      <c r="I60" s="130"/>
      <c r="J60" s="130"/>
    </row>
    <row r="61" spans="1:24" x14ac:dyDescent="0.25">
      <c r="A61" s="25">
        <v>2011</v>
      </c>
      <c r="B61" s="128">
        <v>14</v>
      </c>
      <c r="C61" s="415">
        <f t="shared" ref="C61:C66" si="24">1-(I13/(I13+B61))</f>
        <v>0.12173913043478257</v>
      </c>
      <c r="D61" s="388"/>
      <c r="F61" s="133"/>
      <c r="G61" s="181"/>
      <c r="H61" s="54"/>
      <c r="I61" s="54"/>
      <c r="J61" s="54"/>
    </row>
    <row r="62" spans="1:24" x14ac:dyDescent="0.25">
      <c r="A62" s="25">
        <v>2012</v>
      </c>
      <c r="B62" s="128">
        <v>26</v>
      </c>
      <c r="C62" s="415">
        <f t="shared" si="24"/>
        <v>0.21311475409836067</v>
      </c>
      <c r="D62" s="388"/>
      <c r="F62" s="133"/>
      <c r="G62" s="181"/>
      <c r="H62" s="54"/>
      <c r="I62" s="54"/>
      <c r="J62" s="54"/>
      <c r="K62" s="181"/>
      <c r="N62" s="109"/>
      <c r="S62" s="82"/>
    </row>
    <row r="63" spans="1:24" x14ac:dyDescent="0.25">
      <c r="A63" s="25">
        <v>2013</v>
      </c>
      <c r="B63" s="128">
        <v>18</v>
      </c>
      <c r="C63" s="415">
        <f t="shared" si="24"/>
        <v>0.14516129032258063</v>
      </c>
      <c r="D63" s="388"/>
      <c r="F63" s="133"/>
      <c r="G63" s="181"/>
      <c r="H63" s="54"/>
      <c r="I63" s="54"/>
      <c r="J63" s="54"/>
      <c r="K63" s="181"/>
      <c r="N63" s="109"/>
      <c r="S63" s="82"/>
    </row>
    <row r="64" spans="1:24" x14ac:dyDescent="0.25">
      <c r="A64" s="25">
        <v>2014</v>
      </c>
      <c r="B64" s="128">
        <v>26</v>
      </c>
      <c r="C64" s="415">
        <f t="shared" si="24"/>
        <v>0.22807017543859653</v>
      </c>
      <c r="D64" s="388"/>
      <c r="F64" s="133"/>
      <c r="G64" s="181"/>
      <c r="H64" s="54"/>
      <c r="I64" s="54"/>
      <c r="J64" s="54"/>
      <c r="K64" s="181"/>
      <c r="N64" s="109"/>
      <c r="S64" s="82"/>
    </row>
    <row r="65" spans="1:19" x14ac:dyDescent="0.25">
      <c r="A65" s="25">
        <v>2015</v>
      </c>
      <c r="B65" s="128">
        <v>20</v>
      </c>
      <c r="C65" s="415">
        <f t="shared" si="24"/>
        <v>0.16000000000000003</v>
      </c>
      <c r="D65" s="388"/>
      <c r="F65" s="133"/>
      <c r="G65" s="181"/>
      <c r="H65" s="54"/>
      <c r="I65" s="54"/>
      <c r="J65" s="54"/>
      <c r="K65" s="181"/>
      <c r="N65" s="109"/>
      <c r="S65" s="82"/>
    </row>
    <row r="66" spans="1:19" x14ac:dyDescent="0.25">
      <c r="A66" s="25">
        <v>2016</v>
      </c>
      <c r="B66" s="128"/>
      <c r="C66" s="415">
        <f t="shared" si="24"/>
        <v>0</v>
      </c>
      <c r="D66" s="388"/>
      <c r="F66" s="133"/>
      <c r="G66" s="181"/>
      <c r="H66" s="54"/>
      <c r="I66" s="54"/>
      <c r="J66" s="54"/>
      <c r="K66" s="181"/>
      <c r="N66" s="109"/>
      <c r="S66" s="82"/>
    </row>
    <row r="67" spans="1:19" x14ac:dyDescent="0.25">
      <c r="A67" s="21"/>
      <c r="F67" s="48"/>
      <c r="K67" s="181"/>
      <c r="N67" s="109"/>
      <c r="S67" s="82"/>
    </row>
    <row r="68" spans="1:19" x14ac:dyDescent="0.25">
      <c r="A68" s="21" t="s">
        <v>213</v>
      </c>
      <c r="K68" s="181"/>
      <c r="N68" s="109"/>
      <c r="S68" s="82"/>
    </row>
    <row r="69" spans="1:19" x14ac:dyDescent="0.25">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C62:D62"/>
    <mergeCell ref="C63:D63"/>
    <mergeCell ref="C64:D64"/>
    <mergeCell ref="C65:D65"/>
    <mergeCell ref="K39:K40"/>
    <mergeCell ref="M39:M40"/>
    <mergeCell ref="O39:O40"/>
    <mergeCell ref="C60:D60"/>
    <mergeCell ref="C61:D61"/>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72">
    <cfRule type="cellIs" dxfId="3" priority="23" operator="greaterThan">
      <formula>$C$7</formula>
    </cfRule>
  </conditionalFormatting>
  <conditionalFormatting sqref="X41:X72">
    <cfRule type="cellIs" dxfId="2" priority="22"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Y120"/>
  <sheetViews>
    <sheetView workbookViewId="0">
      <selection activeCell="A82" sqref="A82:XFD91"/>
    </sheetView>
  </sheetViews>
  <sheetFormatPr defaultRowHeight="12.75" x14ac:dyDescent="0.2"/>
  <cols>
    <col min="1" max="1" width="47.85546875" style="223" customWidth="1"/>
    <col min="2" max="2" width="3" style="221" customWidth="1"/>
    <col min="3" max="8" width="3.28515625" style="221" customWidth="1"/>
    <col min="9" max="9" width="5.5703125" style="221" bestFit="1" customWidth="1"/>
    <col min="10" max="11" width="4" style="221" bestFit="1" customWidth="1"/>
    <col min="12" max="15" width="3.28515625" style="221" customWidth="1"/>
    <col min="16" max="16" width="3.28515625" style="221" bestFit="1" customWidth="1"/>
    <col min="17" max="17" width="5.5703125" style="222" bestFit="1" customWidth="1"/>
    <col min="18" max="21" width="4" style="221" bestFit="1" customWidth="1"/>
    <col min="22" max="23" width="3.28515625" style="221" customWidth="1"/>
    <col min="24" max="24" width="3.28515625" style="221" bestFit="1" customWidth="1"/>
    <col min="25" max="25" width="5.5703125" style="221" bestFit="1" customWidth="1"/>
    <col min="26" max="32" width="4" style="221" bestFit="1" customWidth="1"/>
    <col min="33" max="33" width="5.5703125" style="221" bestFit="1" customWidth="1"/>
    <col min="34" max="40" width="4" style="221" bestFit="1" customWidth="1"/>
    <col min="41" max="41" width="5.5703125" style="221" bestFit="1" customWidth="1"/>
    <col min="42" max="48" width="4" style="221" bestFit="1" customWidth="1"/>
    <col min="49" max="49" width="5.5703125" style="221" bestFit="1" customWidth="1"/>
    <col min="50" max="56" width="4" style="221" bestFit="1" customWidth="1"/>
    <col min="57" max="57" width="5.5703125" style="221" bestFit="1" customWidth="1"/>
    <col min="58" max="64" width="4" style="221" bestFit="1" customWidth="1"/>
    <col min="65" max="65" width="5.5703125" style="221" bestFit="1" customWidth="1"/>
    <col min="66" max="72" width="4" style="221" bestFit="1" customWidth="1"/>
    <col min="73" max="73" width="5.5703125" style="221" bestFit="1" customWidth="1"/>
    <col min="74" max="80" width="4" style="221" bestFit="1" customWidth="1"/>
    <col min="81" max="81" width="5.5703125" style="221" bestFit="1" customWidth="1"/>
    <col min="82" max="88" width="4" style="221" bestFit="1" customWidth="1"/>
    <col min="89" max="89" width="5.5703125" style="221" bestFit="1" customWidth="1"/>
    <col min="90" max="96" width="4" style="221" bestFit="1" customWidth="1"/>
    <col min="97" max="97" width="5.5703125" style="221" bestFit="1" customWidth="1"/>
    <col min="98" max="104" width="4" style="221" bestFit="1" customWidth="1"/>
    <col min="105" max="105" width="5.5703125" style="221" bestFit="1" customWidth="1"/>
    <col min="106" max="112" width="4" style="221" bestFit="1" customWidth="1"/>
    <col min="113" max="113" width="5.5703125" style="221" bestFit="1" customWidth="1"/>
    <col min="114" max="120" width="4" style="221" bestFit="1" customWidth="1"/>
    <col min="121" max="121" width="5.5703125" style="221" bestFit="1" customWidth="1"/>
    <col min="122" max="16384" width="9.140625" style="221"/>
  </cols>
  <sheetData>
    <row r="1" spans="1:121" x14ac:dyDescent="0.2">
      <c r="A1" s="223" t="str">
        <f>'[1]Housing Generation'!A1</f>
        <v>Housing Development - August 2018</v>
      </c>
      <c r="B1" s="426">
        <f>'[1]Housing Generation'!B1</f>
        <v>2018</v>
      </c>
      <c r="C1" s="426"/>
      <c r="D1" s="426"/>
      <c r="E1" s="426"/>
      <c r="F1" s="426"/>
      <c r="G1" s="426"/>
      <c r="H1" s="426"/>
      <c r="I1" s="426"/>
      <c r="J1" s="427">
        <f>'[1]Housing Generation'!J1</f>
        <v>2019</v>
      </c>
      <c r="K1" s="427"/>
      <c r="L1" s="427"/>
      <c r="M1" s="427"/>
      <c r="N1" s="427"/>
      <c r="O1" s="427"/>
      <c r="P1" s="427"/>
      <c r="Q1" s="427"/>
      <c r="R1" s="426">
        <f>'[1]Housing Generation'!R1</f>
        <v>2020</v>
      </c>
      <c r="S1" s="426"/>
      <c r="T1" s="426"/>
      <c r="U1" s="426"/>
      <c r="V1" s="426"/>
      <c r="W1" s="426"/>
      <c r="X1" s="426"/>
      <c r="Y1" s="426"/>
      <c r="Z1" s="427">
        <f>'[1]Housing Generation'!Z1</f>
        <v>2021</v>
      </c>
      <c r="AA1" s="427"/>
      <c r="AB1" s="427"/>
      <c r="AC1" s="427"/>
      <c r="AD1" s="427"/>
      <c r="AE1" s="427"/>
      <c r="AF1" s="427"/>
      <c r="AG1" s="427"/>
      <c r="AH1" s="426">
        <f>'[1]Housing Generation'!AH1</f>
        <v>2022</v>
      </c>
      <c r="AI1" s="426"/>
      <c r="AJ1" s="426"/>
      <c r="AK1" s="426"/>
      <c r="AL1" s="426"/>
      <c r="AM1" s="426"/>
      <c r="AN1" s="426"/>
      <c r="AO1" s="426"/>
      <c r="AP1" s="427">
        <f>'[1]Housing Generation'!AP1</f>
        <v>2023</v>
      </c>
      <c r="AQ1" s="427"/>
      <c r="AR1" s="427"/>
      <c r="AS1" s="427"/>
      <c r="AT1" s="427"/>
      <c r="AU1" s="427"/>
      <c r="AV1" s="427"/>
      <c r="AW1" s="427"/>
      <c r="AX1" s="426">
        <f>'[1]Housing Generation'!AX1</f>
        <v>2024</v>
      </c>
      <c r="AY1" s="426"/>
      <c r="AZ1" s="426"/>
      <c r="BA1" s="426"/>
      <c r="BB1" s="426"/>
      <c r="BC1" s="426"/>
      <c r="BD1" s="426"/>
      <c r="BE1" s="426"/>
      <c r="BF1" s="427">
        <f>'[1]Housing Generation'!BF1</f>
        <v>2025</v>
      </c>
      <c r="BG1" s="427"/>
      <c r="BH1" s="427"/>
      <c r="BI1" s="427"/>
      <c r="BJ1" s="427"/>
      <c r="BK1" s="427"/>
      <c r="BL1" s="427"/>
      <c r="BM1" s="427"/>
      <c r="BN1" s="426">
        <f>'[1]Housing Generation'!BN1</f>
        <v>2026</v>
      </c>
      <c r="BO1" s="426"/>
      <c r="BP1" s="426"/>
      <c r="BQ1" s="426"/>
      <c r="BR1" s="426"/>
      <c r="BS1" s="426"/>
      <c r="BT1" s="426"/>
      <c r="BU1" s="426"/>
      <c r="BV1" s="427">
        <f>'[1]Housing Generation'!BV1</f>
        <v>2027</v>
      </c>
      <c r="BW1" s="427"/>
      <c r="BX1" s="427"/>
      <c r="BY1" s="427"/>
      <c r="BZ1" s="427"/>
      <c r="CA1" s="427"/>
      <c r="CB1" s="427"/>
      <c r="CC1" s="427"/>
      <c r="CD1" s="426">
        <f>'[1]Housing Generation'!CD1</f>
        <v>2028</v>
      </c>
      <c r="CE1" s="426"/>
      <c r="CF1" s="426"/>
      <c r="CG1" s="426"/>
      <c r="CH1" s="426"/>
      <c r="CI1" s="426"/>
      <c r="CJ1" s="426"/>
      <c r="CK1" s="426"/>
      <c r="CL1" s="427">
        <f>'[1]Housing Generation'!CL1</f>
        <v>2029</v>
      </c>
      <c r="CM1" s="427"/>
      <c r="CN1" s="427"/>
      <c r="CO1" s="427"/>
      <c r="CP1" s="427"/>
      <c r="CQ1" s="427"/>
      <c r="CR1" s="427"/>
      <c r="CS1" s="427"/>
      <c r="CT1" s="426">
        <f>'[1]Housing Generation'!CT1</f>
        <v>2030</v>
      </c>
      <c r="CU1" s="426"/>
      <c r="CV1" s="426"/>
      <c r="CW1" s="426"/>
      <c r="CX1" s="426"/>
      <c r="CY1" s="426"/>
      <c r="CZ1" s="426"/>
      <c r="DA1" s="426"/>
      <c r="DB1" s="427">
        <f>'[1]Housing Generation'!DB1</f>
        <v>2031</v>
      </c>
      <c r="DC1" s="427"/>
      <c r="DD1" s="427"/>
      <c r="DE1" s="427"/>
      <c r="DF1" s="427"/>
      <c r="DG1" s="427"/>
      <c r="DH1" s="427"/>
      <c r="DI1" s="427"/>
      <c r="DJ1" s="426">
        <f>'[1]Housing Generation'!DJ1</f>
        <v>2032</v>
      </c>
      <c r="DK1" s="426"/>
      <c r="DL1" s="426"/>
      <c r="DM1" s="426"/>
      <c r="DN1" s="426"/>
      <c r="DO1" s="426"/>
      <c r="DP1" s="426"/>
      <c r="DQ1" s="426"/>
    </row>
    <row r="2" spans="1:121" s="223" customFormat="1" x14ac:dyDescent="0.2">
      <c r="A2" s="225" t="s">
        <v>2</v>
      </c>
      <c r="B2" s="224" t="s">
        <v>1</v>
      </c>
      <c r="C2" s="224" t="s">
        <v>115</v>
      </c>
      <c r="D2" s="224" t="s">
        <v>116</v>
      </c>
      <c r="E2" s="224" t="s">
        <v>117</v>
      </c>
      <c r="F2" s="224" t="s">
        <v>118</v>
      </c>
      <c r="G2" s="224" t="s">
        <v>119</v>
      </c>
      <c r="H2" s="224" t="s">
        <v>120</v>
      </c>
      <c r="I2" s="224" t="s">
        <v>138</v>
      </c>
      <c r="J2" s="225" t="s">
        <v>1</v>
      </c>
      <c r="K2" s="225" t="s">
        <v>115</v>
      </c>
      <c r="L2" s="225" t="s">
        <v>116</v>
      </c>
      <c r="M2" s="225" t="s">
        <v>117</v>
      </c>
      <c r="N2" s="225" t="s">
        <v>118</v>
      </c>
      <c r="O2" s="225" t="s">
        <v>119</v>
      </c>
      <c r="P2" s="225" t="s">
        <v>120</v>
      </c>
      <c r="Q2" s="225" t="s">
        <v>138</v>
      </c>
      <c r="R2" s="224" t="s">
        <v>1</v>
      </c>
      <c r="S2" s="224" t="s">
        <v>115</v>
      </c>
      <c r="T2" s="224" t="s">
        <v>116</v>
      </c>
      <c r="U2" s="224" t="s">
        <v>117</v>
      </c>
      <c r="V2" s="224" t="s">
        <v>118</v>
      </c>
      <c r="W2" s="224" t="s">
        <v>119</v>
      </c>
      <c r="X2" s="224" t="s">
        <v>120</v>
      </c>
      <c r="Y2" s="224" t="s">
        <v>138</v>
      </c>
      <c r="Z2" s="225" t="s">
        <v>1</v>
      </c>
      <c r="AA2" s="225" t="s">
        <v>115</v>
      </c>
      <c r="AB2" s="225" t="s">
        <v>116</v>
      </c>
      <c r="AC2" s="225" t="s">
        <v>117</v>
      </c>
      <c r="AD2" s="225" t="s">
        <v>118</v>
      </c>
      <c r="AE2" s="225" t="s">
        <v>119</v>
      </c>
      <c r="AF2" s="225" t="s">
        <v>120</v>
      </c>
      <c r="AG2" s="225" t="s">
        <v>138</v>
      </c>
      <c r="AH2" s="224" t="s">
        <v>1</v>
      </c>
      <c r="AI2" s="224" t="s">
        <v>115</v>
      </c>
      <c r="AJ2" s="224" t="s">
        <v>116</v>
      </c>
      <c r="AK2" s="224" t="s">
        <v>117</v>
      </c>
      <c r="AL2" s="224" t="s">
        <v>118</v>
      </c>
      <c r="AM2" s="224" t="s">
        <v>119</v>
      </c>
      <c r="AN2" s="224" t="s">
        <v>120</v>
      </c>
      <c r="AO2" s="224" t="s">
        <v>138</v>
      </c>
      <c r="AP2" s="225" t="s">
        <v>1</v>
      </c>
      <c r="AQ2" s="225" t="s">
        <v>115</v>
      </c>
      <c r="AR2" s="225" t="s">
        <v>116</v>
      </c>
      <c r="AS2" s="225" t="s">
        <v>117</v>
      </c>
      <c r="AT2" s="225" t="s">
        <v>118</v>
      </c>
      <c r="AU2" s="225" t="s">
        <v>119</v>
      </c>
      <c r="AV2" s="225" t="s">
        <v>120</v>
      </c>
      <c r="AW2" s="225" t="s">
        <v>138</v>
      </c>
      <c r="AX2" s="224" t="s">
        <v>1</v>
      </c>
      <c r="AY2" s="224" t="s">
        <v>115</v>
      </c>
      <c r="AZ2" s="224" t="s">
        <v>116</v>
      </c>
      <c r="BA2" s="224" t="s">
        <v>117</v>
      </c>
      <c r="BB2" s="224" t="s">
        <v>118</v>
      </c>
      <c r="BC2" s="224" t="s">
        <v>119</v>
      </c>
      <c r="BD2" s="224" t="s">
        <v>120</v>
      </c>
      <c r="BE2" s="224" t="s">
        <v>138</v>
      </c>
      <c r="BF2" s="225" t="s">
        <v>1</v>
      </c>
      <c r="BG2" s="225" t="s">
        <v>115</v>
      </c>
      <c r="BH2" s="225" t="s">
        <v>116</v>
      </c>
      <c r="BI2" s="225" t="s">
        <v>117</v>
      </c>
      <c r="BJ2" s="225" t="s">
        <v>118</v>
      </c>
      <c r="BK2" s="225" t="s">
        <v>119</v>
      </c>
      <c r="BL2" s="225" t="s">
        <v>120</v>
      </c>
      <c r="BM2" s="225" t="s">
        <v>138</v>
      </c>
      <c r="BN2" s="224" t="s">
        <v>1</v>
      </c>
      <c r="BO2" s="224" t="s">
        <v>115</v>
      </c>
      <c r="BP2" s="224" t="s">
        <v>116</v>
      </c>
      <c r="BQ2" s="224" t="s">
        <v>117</v>
      </c>
      <c r="BR2" s="224" t="s">
        <v>118</v>
      </c>
      <c r="BS2" s="224" t="s">
        <v>119</v>
      </c>
      <c r="BT2" s="224" t="s">
        <v>120</v>
      </c>
      <c r="BU2" s="224" t="s">
        <v>138</v>
      </c>
      <c r="BV2" s="225" t="s">
        <v>1</v>
      </c>
      <c r="BW2" s="225" t="s">
        <v>115</v>
      </c>
      <c r="BX2" s="225" t="s">
        <v>116</v>
      </c>
      <c r="BY2" s="225" t="s">
        <v>117</v>
      </c>
      <c r="BZ2" s="225" t="s">
        <v>118</v>
      </c>
      <c r="CA2" s="225" t="s">
        <v>119</v>
      </c>
      <c r="CB2" s="225" t="s">
        <v>120</v>
      </c>
      <c r="CC2" s="225" t="s">
        <v>138</v>
      </c>
      <c r="CD2" s="224" t="s">
        <v>1</v>
      </c>
      <c r="CE2" s="224" t="s">
        <v>115</v>
      </c>
      <c r="CF2" s="224" t="s">
        <v>116</v>
      </c>
      <c r="CG2" s="224" t="s">
        <v>117</v>
      </c>
      <c r="CH2" s="224" t="s">
        <v>118</v>
      </c>
      <c r="CI2" s="224" t="s">
        <v>119</v>
      </c>
      <c r="CJ2" s="224" t="s">
        <v>120</v>
      </c>
      <c r="CK2" s="224" t="s">
        <v>138</v>
      </c>
      <c r="CL2" s="225" t="s">
        <v>1</v>
      </c>
      <c r="CM2" s="225" t="s">
        <v>115</v>
      </c>
      <c r="CN2" s="225" t="s">
        <v>116</v>
      </c>
      <c r="CO2" s="225" t="s">
        <v>117</v>
      </c>
      <c r="CP2" s="225" t="s">
        <v>118</v>
      </c>
      <c r="CQ2" s="225" t="s">
        <v>119</v>
      </c>
      <c r="CR2" s="225" t="s">
        <v>120</v>
      </c>
      <c r="CS2" s="225" t="s">
        <v>138</v>
      </c>
      <c r="CT2" s="224" t="s">
        <v>1</v>
      </c>
      <c r="CU2" s="224" t="s">
        <v>115</v>
      </c>
      <c r="CV2" s="224" t="s">
        <v>116</v>
      </c>
      <c r="CW2" s="224" t="s">
        <v>117</v>
      </c>
      <c r="CX2" s="224" t="s">
        <v>118</v>
      </c>
      <c r="CY2" s="224" t="s">
        <v>119</v>
      </c>
      <c r="CZ2" s="224" t="s">
        <v>120</v>
      </c>
      <c r="DA2" s="224" t="s">
        <v>138</v>
      </c>
      <c r="DB2" s="225" t="s">
        <v>1</v>
      </c>
      <c r="DC2" s="225" t="s">
        <v>115</v>
      </c>
      <c r="DD2" s="225" t="s">
        <v>116</v>
      </c>
      <c r="DE2" s="225" t="s">
        <v>117</v>
      </c>
      <c r="DF2" s="225" t="s">
        <v>118</v>
      </c>
      <c r="DG2" s="225" t="s">
        <v>119</v>
      </c>
      <c r="DH2" s="225" t="s">
        <v>120</v>
      </c>
      <c r="DI2" s="225" t="s">
        <v>138</v>
      </c>
      <c r="DJ2" s="224" t="s">
        <v>1</v>
      </c>
      <c r="DK2" s="224" t="s">
        <v>115</v>
      </c>
      <c r="DL2" s="224" t="s">
        <v>116</v>
      </c>
      <c r="DM2" s="224" t="s">
        <v>117</v>
      </c>
      <c r="DN2" s="224" t="s">
        <v>118</v>
      </c>
      <c r="DO2" s="224" t="s">
        <v>119</v>
      </c>
      <c r="DP2" s="224" t="s">
        <v>120</v>
      </c>
      <c r="DQ2" s="224" t="s">
        <v>138</v>
      </c>
    </row>
    <row r="3" spans="1:121" x14ac:dyDescent="0.2">
      <c r="A3" s="237" t="s">
        <v>4</v>
      </c>
      <c r="B3" s="227">
        <f>'[1]Housing Generation'!B3</f>
        <v>2</v>
      </c>
      <c r="C3" s="227">
        <f>'[1]Housing Generation'!C3</f>
        <v>2</v>
      </c>
      <c r="D3" s="227">
        <f>'[1]Housing Generation'!D3</f>
        <v>1</v>
      </c>
      <c r="E3" s="227">
        <f>'[1]Housing Generation'!E3</f>
        <v>1</v>
      </c>
      <c r="F3" s="227">
        <f>'[1]Housing Generation'!F3</f>
        <v>1</v>
      </c>
      <c r="G3" s="227">
        <f>'[1]Housing Generation'!G3</f>
        <v>1</v>
      </c>
      <c r="H3" s="227">
        <f>'[1]Housing Generation'!H3</f>
        <v>1</v>
      </c>
      <c r="I3" s="224">
        <f>'[1]Housing Generation'!I3</f>
        <v>9</v>
      </c>
      <c r="J3" s="229">
        <f>'[1]Housing Generation'!J3</f>
        <v>1</v>
      </c>
      <c r="K3" s="229">
        <f>'[1]Housing Generation'!K3</f>
        <v>1</v>
      </c>
      <c r="L3" s="229">
        <f>'[1]Housing Generation'!L3</f>
        <v>1</v>
      </c>
      <c r="M3" s="229">
        <f>'[1]Housing Generation'!M3</f>
        <v>1</v>
      </c>
      <c r="N3" s="229">
        <f>'[1]Housing Generation'!N3</f>
        <v>1</v>
      </c>
      <c r="O3" s="229">
        <f>'[1]Housing Generation'!O3</f>
        <v>1</v>
      </c>
      <c r="P3" s="229">
        <f>'[1]Housing Generation'!P3</f>
        <v>0</v>
      </c>
      <c r="Q3" s="225">
        <f>'[1]Housing Generation'!Q3</f>
        <v>6</v>
      </c>
      <c r="R3" s="227">
        <f>'[1]Housing Generation'!R3</f>
        <v>2</v>
      </c>
      <c r="S3" s="227">
        <f>'[1]Housing Generation'!S3</f>
        <v>2</v>
      </c>
      <c r="T3" s="227">
        <f>'[1]Housing Generation'!T3</f>
        <v>2</v>
      </c>
      <c r="U3" s="227">
        <f>'[1]Housing Generation'!U3</f>
        <v>2</v>
      </c>
      <c r="V3" s="227">
        <f>'[1]Housing Generation'!V3</f>
        <v>2</v>
      </c>
      <c r="W3" s="227">
        <f>'[1]Housing Generation'!W3</f>
        <v>2</v>
      </c>
      <c r="X3" s="227">
        <f>'[1]Housing Generation'!X3</f>
        <v>1</v>
      </c>
      <c r="Y3" s="224">
        <f>'[1]Housing Generation'!Y3</f>
        <v>13</v>
      </c>
      <c r="Z3" s="229">
        <f>'[1]Housing Generation'!Z3</f>
        <v>3</v>
      </c>
      <c r="AA3" s="229">
        <f>'[1]Housing Generation'!AA3</f>
        <v>3</v>
      </c>
      <c r="AB3" s="229">
        <f>'[1]Housing Generation'!AB3</f>
        <v>3</v>
      </c>
      <c r="AC3" s="229">
        <f>'[1]Housing Generation'!AC3</f>
        <v>3</v>
      </c>
      <c r="AD3" s="229">
        <f>'[1]Housing Generation'!AD3</f>
        <v>3</v>
      </c>
      <c r="AE3" s="229">
        <f>'[1]Housing Generation'!AE3</f>
        <v>3</v>
      </c>
      <c r="AF3" s="229">
        <f>'[1]Housing Generation'!AF3</f>
        <v>3</v>
      </c>
      <c r="AG3" s="225">
        <f>'[1]Housing Generation'!AG3</f>
        <v>21</v>
      </c>
      <c r="AH3" s="227">
        <f>'[1]Housing Generation'!AH3</f>
        <v>4</v>
      </c>
      <c r="AI3" s="227">
        <f>'[1]Housing Generation'!AI3</f>
        <v>3</v>
      </c>
      <c r="AJ3" s="227">
        <f>'[1]Housing Generation'!AJ3</f>
        <v>3</v>
      </c>
      <c r="AK3" s="227">
        <f>'[1]Housing Generation'!AK3</f>
        <v>3</v>
      </c>
      <c r="AL3" s="227">
        <f>'[1]Housing Generation'!AL3</f>
        <v>3</v>
      </c>
      <c r="AM3" s="227">
        <f>'[1]Housing Generation'!AM3</f>
        <v>3</v>
      </c>
      <c r="AN3" s="227">
        <f>'[1]Housing Generation'!AN3</f>
        <v>3</v>
      </c>
      <c r="AO3" s="224">
        <f>'[1]Housing Generation'!AO3</f>
        <v>22</v>
      </c>
      <c r="AP3" s="229">
        <f>'[1]Housing Generation'!AP3</f>
        <v>4</v>
      </c>
      <c r="AQ3" s="229">
        <f>'[1]Housing Generation'!AQ3</f>
        <v>3</v>
      </c>
      <c r="AR3" s="229">
        <f>'[1]Housing Generation'!AR3</f>
        <v>3</v>
      </c>
      <c r="AS3" s="229">
        <f>'[1]Housing Generation'!AS3</f>
        <v>3</v>
      </c>
      <c r="AT3" s="229">
        <f>'[1]Housing Generation'!AT3</f>
        <v>3</v>
      </c>
      <c r="AU3" s="229">
        <f>'[1]Housing Generation'!AU3</f>
        <v>3</v>
      </c>
      <c r="AV3" s="229">
        <f>'[1]Housing Generation'!AV3</f>
        <v>3</v>
      </c>
      <c r="AW3" s="225">
        <f>'[1]Housing Generation'!AW3</f>
        <v>22</v>
      </c>
      <c r="AX3" s="227">
        <f>'[1]Housing Generation'!AX3</f>
        <v>4</v>
      </c>
      <c r="AY3" s="227">
        <f>'[1]Housing Generation'!AY3</f>
        <v>3</v>
      </c>
      <c r="AZ3" s="227">
        <f>'[1]Housing Generation'!AZ3</f>
        <v>3</v>
      </c>
      <c r="BA3" s="227">
        <f>'[1]Housing Generation'!BA3</f>
        <v>3</v>
      </c>
      <c r="BB3" s="227">
        <f>'[1]Housing Generation'!BB3</f>
        <v>3</v>
      </c>
      <c r="BC3" s="227">
        <f>'[1]Housing Generation'!BC3</f>
        <v>3</v>
      </c>
      <c r="BD3" s="227">
        <f>'[1]Housing Generation'!BD3</f>
        <v>3</v>
      </c>
      <c r="BE3" s="224">
        <f>'[1]Housing Generation'!BE3</f>
        <v>22</v>
      </c>
      <c r="BF3" s="229">
        <f>'[1]Housing Generation'!BF3</f>
        <v>4</v>
      </c>
      <c r="BG3" s="229">
        <f>'[1]Housing Generation'!BG3</f>
        <v>3</v>
      </c>
      <c r="BH3" s="229">
        <f>'[1]Housing Generation'!BH3</f>
        <v>3</v>
      </c>
      <c r="BI3" s="229">
        <f>'[1]Housing Generation'!BI3</f>
        <v>3</v>
      </c>
      <c r="BJ3" s="229">
        <f>'[1]Housing Generation'!BJ3</f>
        <v>3</v>
      </c>
      <c r="BK3" s="229">
        <f>'[1]Housing Generation'!BK3</f>
        <v>3</v>
      </c>
      <c r="BL3" s="229">
        <f>'[1]Housing Generation'!BL3</f>
        <v>3</v>
      </c>
      <c r="BM3" s="225">
        <f>'[1]Housing Generation'!BM3</f>
        <v>22</v>
      </c>
      <c r="BN3" s="227">
        <f>'[1]Housing Generation'!BN3</f>
        <v>4</v>
      </c>
      <c r="BO3" s="227">
        <f>'[1]Housing Generation'!BO3</f>
        <v>3</v>
      </c>
      <c r="BP3" s="227">
        <f>'[1]Housing Generation'!BP3</f>
        <v>3</v>
      </c>
      <c r="BQ3" s="227">
        <f>'[1]Housing Generation'!BQ3</f>
        <v>3</v>
      </c>
      <c r="BR3" s="227">
        <f>'[1]Housing Generation'!BR3</f>
        <v>3</v>
      </c>
      <c r="BS3" s="227">
        <f>'[1]Housing Generation'!BS3</f>
        <v>3</v>
      </c>
      <c r="BT3" s="227">
        <f>'[1]Housing Generation'!BT3</f>
        <v>3</v>
      </c>
      <c r="BU3" s="224">
        <f>'[1]Housing Generation'!BU3</f>
        <v>22</v>
      </c>
      <c r="BV3" s="229">
        <f>'[1]Housing Generation'!BV3</f>
        <v>4</v>
      </c>
      <c r="BW3" s="229">
        <f>'[1]Housing Generation'!BW3</f>
        <v>3</v>
      </c>
      <c r="BX3" s="229">
        <f>'[1]Housing Generation'!BX3</f>
        <v>3</v>
      </c>
      <c r="BY3" s="229">
        <f>'[1]Housing Generation'!BY3</f>
        <v>3</v>
      </c>
      <c r="BZ3" s="229">
        <f>'[1]Housing Generation'!BZ3</f>
        <v>3</v>
      </c>
      <c r="CA3" s="229">
        <f>'[1]Housing Generation'!CA3</f>
        <v>3</v>
      </c>
      <c r="CB3" s="229">
        <f>'[1]Housing Generation'!CB3</f>
        <v>3</v>
      </c>
      <c r="CC3" s="225">
        <f>'[1]Housing Generation'!CC3</f>
        <v>22</v>
      </c>
      <c r="CD3" s="227">
        <f>'[1]Housing Generation'!CD3</f>
        <v>4</v>
      </c>
      <c r="CE3" s="227">
        <f>'[1]Housing Generation'!CE3</f>
        <v>3</v>
      </c>
      <c r="CF3" s="227">
        <f>'[1]Housing Generation'!CF3</f>
        <v>3</v>
      </c>
      <c r="CG3" s="227">
        <f>'[1]Housing Generation'!CG3</f>
        <v>3</v>
      </c>
      <c r="CH3" s="227">
        <f>'[1]Housing Generation'!CH3</f>
        <v>3</v>
      </c>
      <c r="CI3" s="227">
        <f>'[1]Housing Generation'!CI3</f>
        <v>3</v>
      </c>
      <c r="CJ3" s="227">
        <f>'[1]Housing Generation'!CJ3</f>
        <v>3</v>
      </c>
      <c r="CK3" s="224">
        <f>'[1]Housing Generation'!CK3</f>
        <v>22</v>
      </c>
      <c r="CL3" s="229">
        <f>'[1]Housing Generation'!CL3</f>
        <v>4</v>
      </c>
      <c r="CM3" s="229">
        <f>'[1]Housing Generation'!CM3</f>
        <v>3</v>
      </c>
      <c r="CN3" s="229">
        <f>'[1]Housing Generation'!CN3</f>
        <v>3</v>
      </c>
      <c r="CO3" s="229">
        <f>'[1]Housing Generation'!CO3</f>
        <v>3</v>
      </c>
      <c r="CP3" s="229">
        <f>'[1]Housing Generation'!CP3</f>
        <v>3</v>
      </c>
      <c r="CQ3" s="229">
        <f>'[1]Housing Generation'!CQ3</f>
        <v>3</v>
      </c>
      <c r="CR3" s="229">
        <f>'[1]Housing Generation'!CR3</f>
        <v>3</v>
      </c>
      <c r="CS3" s="225">
        <f>'[1]Housing Generation'!CS3</f>
        <v>22</v>
      </c>
      <c r="CT3" s="227">
        <f>'[1]Housing Generation'!CT3</f>
        <v>4</v>
      </c>
      <c r="CU3" s="227">
        <f>'[1]Housing Generation'!CU3</f>
        <v>3</v>
      </c>
      <c r="CV3" s="227">
        <f>'[1]Housing Generation'!CV3</f>
        <v>3</v>
      </c>
      <c r="CW3" s="227">
        <f>'[1]Housing Generation'!CW3</f>
        <v>3</v>
      </c>
      <c r="CX3" s="227">
        <f>'[1]Housing Generation'!CX3</f>
        <v>3</v>
      </c>
      <c r="CY3" s="227">
        <f>'[1]Housing Generation'!CY3</f>
        <v>3</v>
      </c>
      <c r="CZ3" s="227">
        <f>'[1]Housing Generation'!CZ3</f>
        <v>3</v>
      </c>
      <c r="DA3" s="224">
        <f>'[1]Housing Generation'!DA3</f>
        <v>22</v>
      </c>
      <c r="DB3" s="229">
        <f>'[1]Housing Generation'!DB3</f>
        <v>4</v>
      </c>
      <c r="DC3" s="229">
        <f>'[1]Housing Generation'!DC3</f>
        <v>3</v>
      </c>
      <c r="DD3" s="229">
        <f>'[1]Housing Generation'!DD3</f>
        <v>3</v>
      </c>
      <c r="DE3" s="229">
        <f>'[1]Housing Generation'!DE3</f>
        <v>3</v>
      </c>
      <c r="DF3" s="229">
        <f>'[1]Housing Generation'!DF3</f>
        <v>3</v>
      </c>
      <c r="DG3" s="229">
        <f>'[1]Housing Generation'!DG3</f>
        <v>3</v>
      </c>
      <c r="DH3" s="229">
        <f>'[1]Housing Generation'!DH3</f>
        <v>3</v>
      </c>
      <c r="DI3" s="225">
        <f>'[1]Housing Generation'!DI3</f>
        <v>22</v>
      </c>
      <c r="DJ3" s="227">
        <f>'[1]Housing Generation'!DJ3</f>
        <v>4</v>
      </c>
      <c r="DK3" s="227">
        <f>'[1]Housing Generation'!DK3</f>
        <v>3</v>
      </c>
      <c r="DL3" s="227">
        <f>'[1]Housing Generation'!DL3</f>
        <v>3</v>
      </c>
      <c r="DM3" s="227">
        <f>'[1]Housing Generation'!DM3</f>
        <v>3</v>
      </c>
      <c r="DN3" s="227">
        <f>'[1]Housing Generation'!DN3</f>
        <v>3</v>
      </c>
      <c r="DO3" s="227">
        <f>'[1]Housing Generation'!DO3</f>
        <v>3</v>
      </c>
      <c r="DP3" s="227">
        <f>'[1]Housing Generation'!DP3</f>
        <v>3</v>
      </c>
      <c r="DQ3" s="224">
        <f>'[1]Housing Generation'!DQ3</f>
        <v>22</v>
      </c>
    </row>
    <row r="4" spans="1:121" x14ac:dyDescent="0.2">
      <c r="A4" s="237" t="s">
        <v>5</v>
      </c>
      <c r="B4" s="227">
        <f>'[1]Housing Generation'!B4</f>
        <v>2</v>
      </c>
      <c r="C4" s="227">
        <f>'[1]Housing Generation'!C4</f>
        <v>2</v>
      </c>
      <c r="D4" s="227">
        <f>'[1]Housing Generation'!D4</f>
        <v>2</v>
      </c>
      <c r="E4" s="227">
        <f>'[1]Housing Generation'!E4</f>
        <v>2</v>
      </c>
      <c r="F4" s="227">
        <f>'[1]Housing Generation'!F4</f>
        <v>1</v>
      </c>
      <c r="G4" s="227">
        <f>'[1]Housing Generation'!G4</f>
        <v>1</v>
      </c>
      <c r="H4" s="227">
        <f>'[1]Housing Generation'!H4</f>
        <v>1</v>
      </c>
      <c r="I4" s="224">
        <f>'[1]Housing Generation'!I4</f>
        <v>11</v>
      </c>
      <c r="J4" s="229">
        <f>'[1]Housing Generation'!J4</f>
        <v>0</v>
      </c>
      <c r="K4" s="229">
        <f>'[1]Housing Generation'!K4</f>
        <v>0</v>
      </c>
      <c r="L4" s="229">
        <f>'[1]Housing Generation'!L4</f>
        <v>0</v>
      </c>
      <c r="M4" s="229">
        <f>'[1]Housing Generation'!M4</f>
        <v>0</v>
      </c>
      <c r="N4" s="229">
        <f>'[1]Housing Generation'!N4</f>
        <v>0</v>
      </c>
      <c r="O4" s="229">
        <f>'[1]Housing Generation'!O4</f>
        <v>0</v>
      </c>
      <c r="P4" s="229">
        <f>'[1]Housing Generation'!P4</f>
        <v>0</v>
      </c>
      <c r="Q4" s="225">
        <f>'[1]Housing Generation'!Q4</f>
        <v>0</v>
      </c>
      <c r="R4" s="227">
        <f>'[1]Housing Generation'!R4</f>
        <v>0</v>
      </c>
      <c r="S4" s="227">
        <f>'[1]Housing Generation'!S4</f>
        <v>0</v>
      </c>
      <c r="T4" s="227">
        <f>'[1]Housing Generation'!T4</f>
        <v>0</v>
      </c>
      <c r="U4" s="227">
        <f>'[1]Housing Generation'!U4</f>
        <v>0</v>
      </c>
      <c r="V4" s="227">
        <f>'[1]Housing Generation'!V4</f>
        <v>0</v>
      </c>
      <c r="W4" s="227">
        <f>'[1]Housing Generation'!W4</f>
        <v>0</v>
      </c>
      <c r="X4" s="227">
        <f>'[1]Housing Generation'!X4</f>
        <v>0</v>
      </c>
      <c r="Y4" s="224">
        <f>'[1]Housing Generation'!Y4</f>
        <v>0</v>
      </c>
      <c r="Z4" s="229">
        <f>'[1]Housing Generation'!Z4</f>
        <v>0</v>
      </c>
      <c r="AA4" s="229">
        <f>'[1]Housing Generation'!AA4</f>
        <v>0</v>
      </c>
      <c r="AB4" s="229">
        <f>'[1]Housing Generation'!AB4</f>
        <v>0</v>
      </c>
      <c r="AC4" s="229">
        <f>'[1]Housing Generation'!AC4</f>
        <v>0</v>
      </c>
      <c r="AD4" s="229">
        <f>'[1]Housing Generation'!AD4</f>
        <v>0</v>
      </c>
      <c r="AE4" s="229">
        <f>'[1]Housing Generation'!AE4</f>
        <v>0</v>
      </c>
      <c r="AF4" s="229">
        <f>'[1]Housing Generation'!AF4</f>
        <v>0</v>
      </c>
      <c r="AG4" s="225">
        <f>'[1]Housing Generation'!AG4</f>
        <v>0</v>
      </c>
      <c r="AH4" s="227">
        <f>'[1]Housing Generation'!AH4</f>
        <v>0</v>
      </c>
      <c r="AI4" s="227">
        <f>'[1]Housing Generation'!AI4</f>
        <v>0</v>
      </c>
      <c r="AJ4" s="227">
        <f>'[1]Housing Generation'!AJ4</f>
        <v>0</v>
      </c>
      <c r="AK4" s="227">
        <f>'[1]Housing Generation'!AK4</f>
        <v>0</v>
      </c>
      <c r="AL4" s="227">
        <f>'[1]Housing Generation'!AL4</f>
        <v>0</v>
      </c>
      <c r="AM4" s="227">
        <f>'[1]Housing Generation'!AM4</f>
        <v>0</v>
      </c>
      <c r="AN4" s="227">
        <f>'[1]Housing Generation'!AN4</f>
        <v>0</v>
      </c>
      <c r="AO4" s="224">
        <f>'[1]Housing Generation'!AO4</f>
        <v>0</v>
      </c>
      <c r="AP4" s="229">
        <f>'[1]Housing Generation'!AP4</f>
        <v>1</v>
      </c>
      <c r="AQ4" s="229">
        <f>'[1]Housing Generation'!AQ4</f>
        <v>1</v>
      </c>
      <c r="AR4" s="229">
        <f>'[1]Housing Generation'!AR4</f>
        <v>1</v>
      </c>
      <c r="AS4" s="229">
        <f>'[1]Housing Generation'!AS4</f>
        <v>1</v>
      </c>
      <c r="AT4" s="229">
        <f>'[1]Housing Generation'!AT4</f>
        <v>0</v>
      </c>
      <c r="AU4" s="229">
        <f>'[1]Housing Generation'!AU4</f>
        <v>0</v>
      </c>
      <c r="AV4" s="229">
        <f>'[1]Housing Generation'!AV4</f>
        <v>0</v>
      </c>
      <c r="AW4" s="225">
        <f>'[1]Housing Generation'!AW4</f>
        <v>4</v>
      </c>
      <c r="AX4" s="227">
        <f>'[1]Housing Generation'!AX4</f>
        <v>2</v>
      </c>
      <c r="AY4" s="227">
        <f>'[1]Housing Generation'!AY4</f>
        <v>2</v>
      </c>
      <c r="AZ4" s="227">
        <f>'[1]Housing Generation'!AZ4</f>
        <v>1</v>
      </c>
      <c r="BA4" s="227">
        <f>'[1]Housing Generation'!BA4</f>
        <v>1</v>
      </c>
      <c r="BB4" s="227">
        <f>'[1]Housing Generation'!BB4</f>
        <v>1</v>
      </c>
      <c r="BC4" s="227">
        <f>'[1]Housing Generation'!BC4</f>
        <v>1</v>
      </c>
      <c r="BD4" s="227">
        <f>'[1]Housing Generation'!BD4</f>
        <v>1</v>
      </c>
      <c r="BE4" s="224">
        <f>'[1]Housing Generation'!BE4</f>
        <v>9</v>
      </c>
      <c r="BF4" s="229">
        <f>'[1]Housing Generation'!BF4</f>
        <v>2</v>
      </c>
      <c r="BG4" s="229">
        <f>'[1]Housing Generation'!BG4</f>
        <v>2</v>
      </c>
      <c r="BH4" s="229">
        <f>'[1]Housing Generation'!BH4</f>
        <v>2</v>
      </c>
      <c r="BI4" s="229">
        <f>'[1]Housing Generation'!BI4</f>
        <v>2</v>
      </c>
      <c r="BJ4" s="229">
        <f>'[1]Housing Generation'!BJ4</f>
        <v>2</v>
      </c>
      <c r="BK4" s="229">
        <f>'[1]Housing Generation'!BK4</f>
        <v>2</v>
      </c>
      <c r="BL4" s="229">
        <f>'[1]Housing Generation'!BL4</f>
        <v>2</v>
      </c>
      <c r="BM4" s="225">
        <f>'[1]Housing Generation'!BM4</f>
        <v>14</v>
      </c>
      <c r="BN4" s="227">
        <f>'[1]Housing Generation'!BN4</f>
        <v>4</v>
      </c>
      <c r="BO4" s="227">
        <f>'[1]Housing Generation'!BO4</f>
        <v>3</v>
      </c>
      <c r="BP4" s="227">
        <f>'[1]Housing Generation'!BP4</f>
        <v>3</v>
      </c>
      <c r="BQ4" s="227">
        <f>'[1]Housing Generation'!BQ4</f>
        <v>3</v>
      </c>
      <c r="BR4" s="227">
        <f>'[1]Housing Generation'!BR4</f>
        <v>3</v>
      </c>
      <c r="BS4" s="227">
        <f>'[1]Housing Generation'!BS4</f>
        <v>3</v>
      </c>
      <c r="BT4" s="227">
        <f>'[1]Housing Generation'!BT4</f>
        <v>3</v>
      </c>
      <c r="BU4" s="224">
        <f>'[1]Housing Generation'!BU4</f>
        <v>22</v>
      </c>
      <c r="BV4" s="229">
        <f>'[1]Housing Generation'!BV4</f>
        <v>5</v>
      </c>
      <c r="BW4" s="229">
        <f>'[1]Housing Generation'!BW4</f>
        <v>5</v>
      </c>
      <c r="BX4" s="229">
        <f>'[1]Housing Generation'!BX4</f>
        <v>4</v>
      </c>
      <c r="BY4" s="229">
        <f>'[1]Housing Generation'!BY4</f>
        <v>4</v>
      </c>
      <c r="BZ4" s="229">
        <f>'[1]Housing Generation'!BZ4</f>
        <v>4</v>
      </c>
      <c r="CA4" s="229">
        <f>'[1]Housing Generation'!CA4</f>
        <v>4</v>
      </c>
      <c r="CB4" s="229">
        <f>'[1]Housing Generation'!CB4</f>
        <v>4</v>
      </c>
      <c r="CC4" s="225">
        <f>'[1]Housing Generation'!CC4</f>
        <v>30</v>
      </c>
      <c r="CD4" s="227">
        <f>'[1]Housing Generation'!CD4</f>
        <v>5</v>
      </c>
      <c r="CE4" s="227">
        <f>'[1]Housing Generation'!CE4</f>
        <v>5</v>
      </c>
      <c r="CF4" s="227">
        <f>'[1]Housing Generation'!CF4</f>
        <v>5</v>
      </c>
      <c r="CG4" s="227">
        <f>'[1]Housing Generation'!CG4</f>
        <v>5</v>
      </c>
      <c r="CH4" s="227">
        <f>'[1]Housing Generation'!CH4</f>
        <v>5</v>
      </c>
      <c r="CI4" s="227">
        <f>'[1]Housing Generation'!CI4</f>
        <v>5</v>
      </c>
      <c r="CJ4" s="227">
        <f>'[1]Housing Generation'!CJ4</f>
        <v>5</v>
      </c>
      <c r="CK4" s="224">
        <f>'[1]Housing Generation'!CK4</f>
        <v>35</v>
      </c>
      <c r="CL4" s="229">
        <f>'[1]Housing Generation'!CL4</f>
        <v>6</v>
      </c>
      <c r="CM4" s="229">
        <f>'[1]Housing Generation'!CM4</f>
        <v>6</v>
      </c>
      <c r="CN4" s="229">
        <f>'[1]Housing Generation'!CN4</f>
        <v>5</v>
      </c>
      <c r="CO4" s="229">
        <f>'[1]Housing Generation'!CO4</f>
        <v>5</v>
      </c>
      <c r="CP4" s="229">
        <f>'[1]Housing Generation'!CP4</f>
        <v>5</v>
      </c>
      <c r="CQ4" s="229">
        <f>'[1]Housing Generation'!CQ4</f>
        <v>5</v>
      </c>
      <c r="CR4" s="229">
        <f>'[1]Housing Generation'!CR4</f>
        <v>5</v>
      </c>
      <c r="CS4" s="225">
        <f>'[1]Housing Generation'!CS4</f>
        <v>37</v>
      </c>
      <c r="CT4" s="227">
        <f>'[1]Housing Generation'!CT4</f>
        <v>6</v>
      </c>
      <c r="CU4" s="227">
        <f>'[1]Housing Generation'!CU4</f>
        <v>6</v>
      </c>
      <c r="CV4" s="227">
        <f>'[1]Housing Generation'!CV4</f>
        <v>5</v>
      </c>
      <c r="CW4" s="227">
        <f>'[1]Housing Generation'!CW4</f>
        <v>5</v>
      </c>
      <c r="CX4" s="227">
        <f>'[1]Housing Generation'!CX4</f>
        <v>5</v>
      </c>
      <c r="CY4" s="227">
        <f>'[1]Housing Generation'!CY4</f>
        <v>5</v>
      </c>
      <c r="CZ4" s="227">
        <f>'[1]Housing Generation'!CZ4</f>
        <v>5</v>
      </c>
      <c r="DA4" s="224">
        <f>'[1]Housing Generation'!DA4</f>
        <v>37</v>
      </c>
      <c r="DB4" s="229">
        <f>'[1]Housing Generation'!DB4</f>
        <v>6</v>
      </c>
      <c r="DC4" s="229">
        <f>'[1]Housing Generation'!DC4</f>
        <v>6</v>
      </c>
      <c r="DD4" s="229">
        <f>'[1]Housing Generation'!DD4</f>
        <v>5</v>
      </c>
      <c r="DE4" s="229">
        <f>'[1]Housing Generation'!DE4</f>
        <v>5</v>
      </c>
      <c r="DF4" s="229">
        <f>'[1]Housing Generation'!DF4</f>
        <v>5</v>
      </c>
      <c r="DG4" s="229">
        <f>'[1]Housing Generation'!DG4</f>
        <v>5</v>
      </c>
      <c r="DH4" s="229">
        <f>'[1]Housing Generation'!DH4</f>
        <v>5</v>
      </c>
      <c r="DI4" s="225">
        <f>'[1]Housing Generation'!DI4</f>
        <v>37</v>
      </c>
      <c r="DJ4" s="227">
        <f>'[1]Housing Generation'!DJ4</f>
        <v>6</v>
      </c>
      <c r="DK4" s="227">
        <f>'[1]Housing Generation'!DK4</f>
        <v>6</v>
      </c>
      <c r="DL4" s="227">
        <f>'[1]Housing Generation'!DL4</f>
        <v>5</v>
      </c>
      <c r="DM4" s="227">
        <f>'[1]Housing Generation'!DM4</f>
        <v>5</v>
      </c>
      <c r="DN4" s="227">
        <f>'[1]Housing Generation'!DN4</f>
        <v>5</v>
      </c>
      <c r="DO4" s="227">
        <f>'[1]Housing Generation'!DO4</f>
        <v>5</v>
      </c>
      <c r="DP4" s="227">
        <f>'[1]Housing Generation'!DP4</f>
        <v>5</v>
      </c>
      <c r="DQ4" s="224">
        <f>'[1]Housing Generation'!DQ4</f>
        <v>37</v>
      </c>
    </row>
    <row r="5" spans="1:121" x14ac:dyDescent="0.2">
      <c r="A5" s="237" t="s">
        <v>6</v>
      </c>
      <c r="B5" s="227">
        <f>'[1]Housing Generation'!B5</f>
        <v>0</v>
      </c>
      <c r="C5" s="227">
        <f>'[1]Housing Generation'!C5</f>
        <v>0</v>
      </c>
      <c r="D5" s="227">
        <f>'[1]Housing Generation'!D5</f>
        <v>0</v>
      </c>
      <c r="E5" s="227">
        <f>'[1]Housing Generation'!E5</f>
        <v>0</v>
      </c>
      <c r="F5" s="227">
        <f>'[1]Housing Generation'!F5</f>
        <v>0</v>
      </c>
      <c r="G5" s="227">
        <f>'[1]Housing Generation'!G5</f>
        <v>0</v>
      </c>
      <c r="H5" s="227">
        <f>'[1]Housing Generation'!H5</f>
        <v>0</v>
      </c>
      <c r="I5" s="224">
        <f>'[1]Housing Generation'!I5</f>
        <v>0</v>
      </c>
      <c r="J5" s="229">
        <f>'[1]Housing Generation'!J5</f>
        <v>0</v>
      </c>
      <c r="K5" s="229">
        <f>'[1]Housing Generation'!K5</f>
        <v>0</v>
      </c>
      <c r="L5" s="229">
        <f>'[1]Housing Generation'!L5</f>
        <v>0</v>
      </c>
      <c r="M5" s="229">
        <f>'[1]Housing Generation'!M5</f>
        <v>0</v>
      </c>
      <c r="N5" s="229">
        <f>'[1]Housing Generation'!N5</f>
        <v>0</v>
      </c>
      <c r="O5" s="229">
        <f>'[1]Housing Generation'!O5</f>
        <v>0</v>
      </c>
      <c r="P5" s="229">
        <f>'[1]Housing Generation'!P5</f>
        <v>0</v>
      </c>
      <c r="Q5" s="225">
        <f>'[1]Housing Generation'!Q5</f>
        <v>0</v>
      </c>
      <c r="R5" s="227">
        <f>'[1]Housing Generation'!R5</f>
        <v>0</v>
      </c>
      <c r="S5" s="227">
        <f>'[1]Housing Generation'!S5</f>
        <v>0</v>
      </c>
      <c r="T5" s="227">
        <f>'[1]Housing Generation'!T5</f>
        <v>0</v>
      </c>
      <c r="U5" s="227">
        <f>'[1]Housing Generation'!U5</f>
        <v>0</v>
      </c>
      <c r="V5" s="227">
        <f>'[1]Housing Generation'!V5</f>
        <v>0</v>
      </c>
      <c r="W5" s="227">
        <f>'[1]Housing Generation'!W5</f>
        <v>0</v>
      </c>
      <c r="X5" s="227">
        <f>'[1]Housing Generation'!X5</f>
        <v>0</v>
      </c>
      <c r="Y5" s="224">
        <f>'[1]Housing Generation'!Y5</f>
        <v>0</v>
      </c>
      <c r="Z5" s="229">
        <f>'[1]Housing Generation'!Z5</f>
        <v>0</v>
      </c>
      <c r="AA5" s="229">
        <f>'[1]Housing Generation'!AA5</f>
        <v>0</v>
      </c>
      <c r="AB5" s="229">
        <f>'[1]Housing Generation'!AB5</f>
        <v>0</v>
      </c>
      <c r="AC5" s="229">
        <f>'[1]Housing Generation'!AC5</f>
        <v>0</v>
      </c>
      <c r="AD5" s="229">
        <f>'[1]Housing Generation'!AD5</f>
        <v>0</v>
      </c>
      <c r="AE5" s="229">
        <f>'[1]Housing Generation'!AE5</f>
        <v>0</v>
      </c>
      <c r="AF5" s="229">
        <f>'[1]Housing Generation'!AF5</f>
        <v>0</v>
      </c>
      <c r="AG5" s="225">
        <f>'[1]Housing Generation'!AG5</f>
        <v>0</v>
      </c>
      <c r="AH5" s="227">
        <f>'[1]Housing Generation'!AH5</f>
        <v>0</v>
      </c>
      <c r="AI5" s="227">
        <f>'[1]Housing Generation'!AI5</f>
        <v>0</v>
      </c>
      <c r="AJ5" s="227">
        <f>'[1]Housing Generation'!AJ5</f>
        <v>0</v>
      </c>
      <c r="AK5" s="227">
        <f>'[1]Housing Generation'!AK5</f>
        <v>0</v>
      </c>
      <c r="AL5" s="227">
        <f>'[1]Housing Generation'!AL5</f>
        <v>0</v>
      </c>
      <c r="AM5" s="227">
        <f>'[1]Housing Generation'!AM5</f>
        <v>0</v>
      </c>
      <c r="AN5" s="227">
        <f>'[1]Housing Generation'!AN5</f>
        <v>0</v>
      </c>
      <c r="AO5" s="224">
        <f>'[1]Housing Generation'!AO5</f>
        <v>0</v>
      </c>
      <c r="AP5" s="229">
        <f>'[1]Housing Generation'!AP5</f>
        <v>0</v>
      </c>
      <c r="AQ5" s="229">
        <f>'[1]Housing Generation'!AQ5</f>
        <v>0</v>
      </c>
      <c r="AR5" s="229">
        <f>'[1]Housing Generation'!AR5</f>
        <v>0</v>
      </c>
      <c r="AS5" s="229">
        <f>'[1]Housing Generation'!AS5</f>
        <v>0</v>
      </c>
      <c r="AT5" s="229">
        <f>'[1]Housing Generation'!AT5</f>
        <v>0</v>
      </c>
      <c r="AU5" s="229">
        <f>'[1]Housing Generation'!AU5</f>
        <v>0</v>
      </c>
      <c r="AV5" s="229">
        <f>'[1]Housing Generation'!AV5</f>
        <v>0</v>
      </c>
      <c r="AW5" s="225">
        <f>'[1]Housing Generation'!AW5</f>
        <v>0</v>
      </c>
      <c r="AX5" s="227">
        <f>'[1]Housing Generation'!AX5</f>
        <v>0</v>
      </c>
      <c r="AY5" s="227">
        <f>'[1]Housing Generation'!AY5</f>
        <v>0</v>
      </c>
      <c r="AZ5" s="227">
        <f>'[1]Housing Generation'!AZ5</f>
        <v>0</v>
      </c>
      <c r="BA5" s="227">
        <f>'[1]Housing Generation'!BA5</f>
        <v>0</v>
      </c>
      <c r="BB5" s="227">
        <f>'[1]Housing Generation'!BB5</f>
        <v>0</v>
      </c>
      <c r="BC5" s="227">
        <f>'[1]Housing Generation'!BC5</f>
        <v>0</v>
      </c>
      <c r="BD5" s="227">
        <f>'[1]Housing Generation'!BD5</f>
        <v>0</v>
      </c>
      <c r="BE5" s="224">
        <f>'[1]Housing Generation'!BE5</f>
        <v>0</v>
      </c>
      <c r="BF5" s="229">
        <f>'[1]Housing Generation'!BF5</f>
        <v>0</v>
      </c>
      <c r="BG5" s="229">
        <f>'[1]Housing Generation'!BG5</f>
        <v>0</v>
      </c>
      <c r="BH5" s="229">
        <f>'[1]Housing Generation'!BH5</f>
        <v>0</v>
      </c>
      <c r="BI5" s="229">
        <f>'[1]Housing Generation'!BI5</f>
        <v>0</v>
      </c>
      <c r="BJ5" s="229">
        <f>'[1]Housing Generation'!BJ5</f>
        <v>0</v>
      </c>
      <c r="BK5" s="229">
        <f>'[1]Housing Generation'!BK5</f>
        <v>0</v>
      </c>
      <c r="BL5" s="229">
        <f>'[1]Housing Generation'!BL5</f>
        <v>0</v>
      </c>
      <c r="BM5" s="225">
        <f>'[1]Housing Generation'!BM5</f>
        <v>0</v>
      </c>
      <c r="BN5" s="227">
        <f>'[1]Housing Generation'!BN5</f>
        <v>0</v>
      </c>
      <c r="BO5" s="227">
        <f>'[1]Housing Generation'!BO5</f>
        <v>0</v>
      </c>
      <c r="BP5" s="227">
        <f>'[1]Housing Generation'!BP5</f>
        <v>0</v>
      </c>
      <c r="BQ5" s="227">
        <f>'[1]Housing Generation'!BQ5</f>
        <v>0</v>
      </c>
      <c r="BR5" s="227">
        <f>'[1]Housing Generation'!BR5</f>
        <v>0</v>
      </c>
      <c r="BS5" s="227">
        <f>'[1]Housing Generation'!BS5</f>
        <v>0</v>
      </c>
      <c r="BT5" s="227">
        <f>'[1]Housing Generation'!BT5</f>
        <v>0</v>
      </c>
      <c r="BU5" s="224">
        <f>'[1]Housing Generation'!BU5</f>
        <v>0</v>
      </c>
      <c r="BV5" s="229">
        <f>'[1]Housing Generation'!BV5</f>
        <v>0</v>
      </c>
      <c r="BW5" s="229">
        <f>'[1]Housing Generation'!BW5</f>
        <v>0</v>
      </c>
      <c r="BX5" s="229">
        <f>'[1]Housing Generation'!BX5</f>
        <v>0</v>
      </c>
      <c r="BY5" s="229">
        <f>'[1]Housing Generation'!BY5</f>
        <v>0</v>
      </c>
      <c r="BZ5" s="229">
        <f>'[1]Housing Generation'!BZ5</f>
        <v>0</v>
      </c>
      <c r="CA5" s="229">
        <f>'[1]Housing Generation'!CA5</f>
        <v>0</v>
      </c>
      <c r="CB5" s="229">
        <f>'[1]Housing Generation'!CB5</f>
        <v>0</v>
      </c>
      <c r="CC5" s="225">
        <f>'[1]Housing Generation'!CC5</f>
        <v>0</v>
      </c>
      <c r="CD5" s="227">
        <f>'[1]Housing Generation'!CD5</f>
        <v>0</v>
      </c>
      <c r="CE5" s="227">
        <f>'[1]Housing Generation'!CE5</f>
        <v>0</v>
      </c>
      <c r="CF5" s="227">
        <f>'[1]Housing Generation'!CF5</f>
        <v>0</v>
      </c>
      <c r="CG5" s="227">
        <f>'[1]Housing Generation'!CG5</f>
        <v>0</v>
      </c>
      <c r="CH5" s="227">
        <f>'[1]Housing Generation'!CH5</f>
        <v>0</v>
      </c>
      <c r="CI5" s="227">
        <f>'[1]Housing Generation'!CI5</f>
        <v>0</v>
      </c>
      <c r="CJ5" s="227">
        <f>'[1]Housing Generation'!CJ5</f>
        <v>0</v>
      </c>
      <c r="CK5" s="224">
        <f>'[1]Housing Generation'!CK5</f>
        <v>0</v>
      </c>
      <c r="CL5" s="229">
        <f>'[1]Housing Generation'!CL5</f>
        <v>0</v>
      </c>
      <c r="CM5" s="229">
        <f>'[1]Housing Generation'!CM5</f>
        <v>0</v>
      </c>
      <c r="CN5" s="229">
        <f>'[1]Housing Generation'!CN5</f>
        <v>0</v>
      </c>
      <c r="CO5" s="229">
        <f>'[1]Housing Generation'!CO5</f>
        <v>0</v>
      </c>
      <c r="CP5" s="229">
        <f>'[1]Housing Generation'!CP5</f>
        <v>0</v>
      </c>
      <c r="CQ5" s="229">
        <f>'[1]Housing Generation'!CQ5</f>
        <v>0</v>
      </c>
      <c r="CR5" s="229">
        <f>'[1]Housing Generation'!CR5</f>
        <v>0</v>
      </c>
      <c r="CS5" s="225">
        <f>'[1]Housing Generation'!CS5</f>
        <v>0</v>
      </c>
      <c r="CT5" s="227">
        <f>'[1]Housing Generation'!CT5</f>
        <v>0</v>
      </c>
      <c r="CU5" s="227">
        <f>'[1]Housing Generation'!CU5</f>
        <v>0</v>
      </c>
      <c r="CV5" s="227">
        <f>'[1]Housing Generation'!CV5</f>
        <v>0</v>
      </c>
      <c r="CW5" s="227">
        <f>'[1]Housing Generation'!CW5</f>
        <v>0</v>
      </c>
      <c r="CX5" s="227">
        <f>'[1]Housing Generation'!CX5</f>
        <v>0</v>
      </c>
      <c r="CY5" s="227">
        <f>'[1]Housing Generation'!CY5</f>
        <v>0</v>
      </c>
      <c r="CZ5" s="227">
        <f>'[1]Housing Generation'!CZ5</f>
        <v>0</v>
      </c>
      <c r="DA5" s="224">
        <f>'[1]Housing Generation'!DA5</f>
        <v>0</v>
      </c>
      <c r="DB5" s="229">
        <f>'[1]Housing Generation'!DB5</f>
        <v>0</v>
      </c>
      <c r="DC5" s="229">
        <f>'[1]Housing Generation'!DC5</f>
        <v>0</v>
      </c>
      <c r="DD5" s="229">
        <f>'[1]Housing Generation'!DD5</f>
        <v>0</v>
      </c>
      <c r="DE5" s="229">
        <f>'[1]Housing Generation'!DE5</f>
        <v>0</v>
      </c>
      <c r="DF5" s="229">
        <f>'[1]Housing Generation'!DF5</f>
        <v>0</v>
      </c>
      <c r="DG5" s="229">
        <f>'[1]Housing Generation'!DG5</f>
        <v>0</v>
      </c>
      <c r="DH5" s="229">
        <f>'[1]Housing Generation'!DH5</f>
        <v>0</v>
      </c>
      <c r="DI5" s="225">
        <f>'[1]Housing Generation'!DI5</f>
        <v>0</v>
      </c>
      <c r="DJ5" s="227">
        <f>'[1]Housing Generation'!DJ5</f>
        <v>0</v>
      </c>
      <c r="DK5" s="227">
        <f>'[1]Housing Generation'!DK5</f>
        <v>0</v>
      </c>
      <c r="DL5" s="227">
        <f>'[1]Housing Generation'!DL5</f>
        <v>0</v>
      </c>
      <c r="DM5" s="227">
        <f>'[1]Housing Generation'!DM5</f>
        <v>0</v>
      </c>
      <c r="DN5" s="227">
        <f>'[1]Housing Generation'!DN5</f>
        <v>0</v>
      </c>
      <c r="DO5" s="227">
        <f>'[1]Housing Generation'!DO5</f>
        <v>0</v>
      </c>
      <c r="DP5" s="227">
        <f>'[1]Housing Generation'!DP5</f>
        <v>0</v>
      </c>
      <c r="DQ5" s="224">
        <f>'[1]Housing Generation'!DQ5</f>
        <v>0</v>
      </c>
    </row>
    <row r="6" spans="1:121" x14ac:dyDescent="0.2">
      <c r="A6" s="237" t="s">
        <v>7</v>
      </c>
      <c r="B6" s="227">
        <f>'[1]Housing Generation'!B6</f>
        <v>1</v>
      </c>
      <c r="C6" s="227">
        <f>'[1]Housing Generation'!C6</f>
        <v>1</v>
      </c>
      <c r="D6" s="227">
        <f>'[1]Housing Generation'!D6</f>
        <v>0</v>
      </c>
      <c r="E6" s="227">
        <f>'[1]Housing Generation'!E6</f>
        <v>0</v>
      </c>
      <c r="F6" s="227">
        <f>'[1]Housing Generation'!F6</f>
        <v>0</v>
      </c>
      <c r="G6" s="227">
        <f>'[1]Housing Generation'!G6</f>
        <v>0</v>
      </c>
      <c r="H6" s="227">
        <f>'[1]Housing Generation'!H6</f>
        <v>0</v>
      </c>
      <c r="I6" s="224">
        <f>'[1]Housing Generation'!I6</f>
        <v>2</v>
      </c>
      <c r="J6" s="229">
        <f>'[1]Housing Generation'!J6</f>
        <v>1</v>
      </c>
      <c r="K6" s="229">
        <f>'[1]Housing Generation'!K6</f>
        <v>1</v>
      </c>
      <c r="L6" s="229">
        <f>'[1]Housing Generation'!L6</f>
        <v>0</v>
      </c>
      <c r="M6" s="229">
        <f>'[1]Housing Generation'!M6</f>
        <v>0</v>
      </c>
      <c r="N6" s="229">
        <f>'[1]Housing Generation'!N6</f>
        <v>0</v>
      </c>
      <c r="O6" s="229">
        <f>'[1]Housing Generation'!O6</f>
        <v>0</v>
      </c>
      <c r="P6" s="229">
        <f>'[1]Housing Generation'!P6</f>
        <v>0</v>
      </c>
      <c r="Q6" s="225">
        <f>'[1]Housing Generation'!Q6</f>
        <v>2</v>
      </c>
      <c r="R6" s="227">
        <f>'[1]Housing Generation'!R6</f>
        <v>1</v>
      </c>
      <c r="S6" s="227">
        <f>'[1]Housing Generation'!S6</f>
        <v>1</v>
      </c>
      <c r="T6" s="227">
        <f>'[1]Housing Generation'!T6</f>
        <v>0</v>
      </c>
      <c r="U6" s="227">
        <f>'[1]Housing Generation'!U6</f>
        <v>0</v>
      </c>
      <c r="V6" s="227">
        <f>'[1]Housing Generation'!V6</f>
        <v>0</v>
      </c>
      <c r="W6" s="227">
        <f>'[1]Housing Generation'!W6</f>
        <v>0</v>
      </c>
      <c r="X6" s="227">
        <f>'[1]Housing Generation'!X6</f>
        <v>0</v>
      </c>
      <c r="Y6" s="224">
        <f>'[1]Housing Generation'!Y6</f>
        <v>2</v>
      </c>
      <c r="Z6" s="229">
        <f>'[1]Housing Generation'!Z6</f>
        <v>1</v>
      </c>
      <c r="AA6" s="229">
        <f>'[1]Housing Generation'!AA6</f>
        <v>1</v>
      </c>
      <c r="AB6" s="229">
        <f>'[1]Housing Generation'!AB6</f>
        <v>0</v>
      </c>
      <c r="AC6" s="229">
        <f>'[1]Housing Generation'!AC6</f>
        <v>0</v>
      </c>
      <c r="AD6" s="229">
        <f>'[1]Housing Generation'!AD6</f>
        <v>0</v>
      </c>
      <c r="AE6" s="229">
        <f>'[1]Housing Generation'!AE6</f>
        <v>0</v>
      </c>
      <c r="AF6" s="229">
        <f>'[1]Housing Generation'!AF6</f>
        <v>0</v>
      </c>
      <c r="AG6" s="225">
        <f>'[1]Housing Generation'!AG6</f>
        <v>2</v>
      </c>
      <c r="AH6" s="227">
        <f>'[1]Housing Generation'!AH6</f>
        <v>1</v>
      </c>
      <c r="AI6" s="227">
        <f>'[1]Housing Generation'!AI6</f>
        <v>1</v>
      </c>
      <c r="AJ6" s="227">
        <f>'[1]Housing Generation'!AJ6</f>
        <v>0</v>
      </c>
      <c r="AK6" s="227">
        <f>'[1]Housing Generation'!AK6</f>
        <v>0</v>
      </c>
      <c r="AL6" s="227">
        <f>'[1]Housing Generation'!AL6</f>
        <v>0</v>
      </c>
      <c r="AM6" s="227">
        <f>'[1]Housing Generation'!AM6</f>
        <v>0</v>
      </c>
      <c r="AN6" s="227">
        <f>'[1]Housing Generation'!AN6</f>
        <v>0</v>
      </c>
      <c r="AO6" s="224">
        <f>'[1]Housing Generation'!AO6</f>
        <v>2</v>
      </c>
      <c r="AP6" s="229">
        <f>'[1]Housing Generation'!AP6</f>
        <v>1</v>
      </c>
      <c r="AQ6" s="229">
        <f>'[1]Housing Generation'!AQ6</f>
        <v>1</v>
      </c>
      <c r="AR6" s="229">
        <f>'[1]Housing Generation'!AR6</f>
        <v>0</v>
      </c>
      <c r="AS6" s="229">
        <f>'[1]Housing Generation'!AS6</f>
        <v>0</v>
      </c>
      <c r="AT6" s="229">
        <f>'[1]Housing Generation'!AT6</f>
        <v>0</v>
      </c>
      <c r="AU6" s="229">
        <f>'[1]Housing Generation'!AU6</f>
        <v>0</v>
      </c>
      <c r="AV6" s="229">
        <f>'[1]Housing Generation'!AV6</f>
        <v>0</v>
      </c>
      <c r="AW6" s="225">
        <f>'[1]Housing Generation'!AW6</f>
        <v>2</v>
      </c>
      <c r="AX6" s="227">
        <f>'[1]Housing Generation'!AX6</f>
        <v>1</v>
      </c>
      <c r="AY6" s="227">
        <f>'[1]Housing Generation'!AY6</f>
        <v>1</v>
      </c>
      <c r="AZ6" s="227">
        <f>'[1]Housing Generation'!AZ6</f>
        <v>0</v>
      </c>
      <c r="BA6" s="227">
        <f>'[1]Housing Generation'!BA6</f>
        <v>0</v>
      </c>
      <c r="BB6" s="227">
        <f>'[1]Housing Generation'!BB6</f>
        <v>0</v>
      </c>
      <c r="BC6" s="227">
        <f>'[1]Housing Generation'!BC6</f>
        <v>0</v>
      </c>
      <c r="BD6" s="227">
        <f>'[1]Housing Generation'!BD6</f>
        <v>0</v>
      </c>
      <c r="BE6" s="224">
        <f>'[1]Housing Generation'!BE6</f>
        <v>2</v>
      </c>
      <c r="BF6" s="229">
        <f>'[1]Housing Generation'!BF6</f>
        <v>1</v>
      </c>
      <c r="BG6" s="229">
        <f>'[1]Housing Generation'!BG6</f>
        <v>1</v>
      </c>
      <c r="BH6" s="229">
        <f>'[1]Housing Generation'!BH6</f>
        <v>0</v>
      </c>
      <c r="BI6" s="229">
        <f>'[1]Housing Generation'!BI6</f>
        <v>0</v>
      </c>
      <c r="BJ6" s="229">
        <f>'[1]Housing Generation'!BJ6</f>
        <v>0</v>
      </c>
      <c r="BK6" s="229">
        <f>'[1]Housing Generation'!BK6</f>
        <v>0</v>
      </c>
      <c r="BL6" s="229">
        <f>'[1]Housing Generation'!BL6</f>
        <v>0</v>
      </c>
      <c r="BM6" s="225">
        <f>'[1]Housing Generation'!BM6</f>
        <v>2</v>
      </c>
      <c r="BN6" s="227">
        <f>'[1]Housing Generation'!BN6</f>
        <v>1</v>
      </c>
      <c r="BO6" s="227">
        <f>'[1]Housing Generation'!BO6</f>
        <v>1</v>
      </c>
      <c r="BP6" s="227">
        <f>'[1]Housing Generation'!BP6</f>
        <v>0</v>
      </c>
      <c r="BQ6" s="227">
        <f>'[1]Housing Generation'!BQ6</f>
        <v>0</v>
      </c>
      <c r="BR6" s="227">
        <f>'[1]Housing Generation'!BR6</f>
        <v>0</v>
      </c>
      <c r="BS6" s="227">
        <f>'[1]Housing Generation'!BS6</f>
        <v>0</v>
      </c>
      <c r="BT6" s="227">
        <f>'[1]Housing Generation'!BT6</f>
        <v>0</v>
      </c>
      <c r="BU6" s="224">
        <f>'[1]Housing Generation'!BU6</f>
        <v>2</v>
      </c>
      <c r="BV6" s="229">
        <f>'[1]Housing Generation'!BV6</f>
        <v>1</v>
      </c>
      <c r="BW6" s="229">
        <f>'[1]Housing Generation'!BW6</f>
        <v>1</v>
      </c>
      <c r="BX6" s="229">
        <f>'[1]Housing Generation'!BX6</f>
        <v>0</v>
      </c>
      <c r="BY6" s="229">
        <f>'[1]Housing Generation'!BY6</f>
        <v>0</v>
      </c>
      <c r="BZ6" s="229">
        <f>'[1]Housing Generation'!BZ6</f>
        <v>0</v>
      </c>
      <c r="CA6" s="229">
        <f>'[1]Housing Generation'!CA6</f>
        <v>0</v>
      </c>
      <c r="CB6" s="229">
        <f>'[1]Housing Generation'!CB6</f>
        <v>0</v>
      </c>
      <c r="CC6" s="225">
        <f>'[1]Housing Generation'!CC6</f>
        <v>2</v>
      </c>
      <c r="CD6" s="227">
        <f>'[1]Housing Generation'!CD6</f>
        <v>1</v>
      </c>
      <c r="CE6" s="227">
        <f>'[1]Housing Generation'!CE6</f>
        <v>1</v>
      </c>
      <c r="CF6" s="227">
        <f>'[1]Housing Generation'!CF6</f>
        <v>0</v>
      </c>
      <c r="CG6" s="227">
        <f>'[1]Housing Generation'!CG6</f>
        <v>0</v>
      </c>
      <c r="CH6" s="227">
        <f>'[1]Housing Generation'!CH6</f>
        <v>0</v>
      </c>
      <c r="CI6" s="227">
        <f>'[1]Housing Generation'!CI6</f>
        <v>0</v>
      </c>
      <c r="CJ6" s="227">
        <f>'[1]Housing Generation'!CJ6</f>
        <v>0</v>
      </c>
      <c r="CK6" s="224">
        <f>'[1]Housing Generation'!CK6</f>
        <v>2</v>
      </c>
      <c r="CL6" s="229">
        <f>'[1]Housing Generation'!CL6</f>
        <v>1</v>
      </c>
      <c r="CM6" s="229">
        <f>'[1]Housing Generation'!CM6</f>
        <v>1</v>
      </c>
      <c r="CN6" s="229">
        <f>'[1]Housing Generation'!CN6</f>
        <v>0</v>
      </c>
      <c r="CO6" s="229">
        <f>'[1]Housing Generation'!CO6</f>
        <v>0</v>
      </c>
      <c r="CP6" s="229">
        <f>'[1]Housing Generation'!CP6</f>
        <v>0</v>
      </c>
      <c r="CQ6" s="229">
        <f>'[1]Housing Generation'!CQ6</f>
        <v>0</v>
      </c>
      <c r="CR6" s="229">
        <f>'[1]Housing Generation'!CR6</f>
        <v>0</v>
      </c>
      <c r="CS6" s="225">
        <f>'[1]Housing Generation'!CS6</f>
        <v>2</v>
      </c>
      <c r="CT6" s="227">
        <f>'[1]Housing Generation'!CT6</f>
        <v>1</v>
      </c>
      <c r="CU6" s="227">
        <f>'[1]Housing Generation'!CU6</f>
        <v>1</v>
      </c>
      <c r="CV6" s="227">
        <f>'[1]Housing Generation'!CV6</f>
        <v>0</v>
      </c>
      <c r="CW6" s="227">
        <f>'[1]Housing Generation'!CW6</f>
        <v>0</v>
      </c>
      <c r="CX6" s="227">
        <f>'[1]Housing Generation'!CX6</f>
        <v>0</v>
      </c>
      <c r="CY6" s="227">
        <f>'[1]Housing Generation'!CY6</f>
        <v>0</v>
      </c>
      <c r="CZ6" s="227">
        <f>'[1]Housing Generation'!CZ6</f>
        <v>0</v>
      </c>
      <c r="DA6" s="224">
        <f>'[1]Housing Generation'!DA6</f>
        <v>2</v>
      </c>
      <c r="DB6" s="229">
        <f>'[1]Housing Generation'!DB6</f>
        <v>1</v>
      </c>
      <c r="DC6" s="229">
        <f>'[1]Housing Generation'!DC6</f>
        <v>1</v>
      </c>
      <c r="DD6" s="229">
        <f>'[1]Housing Generation'!DD6</f>
        <v>0</v>
      </c>
      <c r="DE6" s="229">
        <f>'[1]Housing Generation'!DE6</f>
        <v>0</v>
      </c>
      <c r="DF6" s="229">
        <f>'[1]Housing Generation'!DF6</f>
        <v>0</v>
      </c>
      <c r="DG6" s="229">
        <f>'[1]Housing Generation'!DG6</f>
        <v>0</v>
      </c>
      <c r="DH6" s="229">
        <f>'[1]Housing Generation'!DH6</f>
        <v>0</v>
      </c>
      <c r="DI6" s="225">
        <f>'[1]Housing Generation'!DI6</f>
        <v>2</v>
      </c>
      <c r="DJ6" s="227">
        <f>'[1]Housing Generation'!DJ6</f>
        <v>1</v>
      </c>
      <c r="DK6" s="227">
        <f>'[1]Housing Generation'!DK6</f>
        <v>1</v>
      </c>
      <c r="DL6" s="227">
        <f>'[1]Housing Generation'!DL6</f>
        <v>0</v>
      </c>
      <c r="DM6" s="227">
        <f>'[1]Housing Generation'!DM6</f>
        <v>0</v>
      </c>
      <c r="DN6" s="227">
        <f>'[1]Housing Generation'!DN6</f>
        <v>0</v>
      </c>
      <c r="DO6" s="227">
        <f>'[1]Housing Generation'!DO6</f>
        <v>0</v>
      </c>
      <c r="DP6" s="227">
        <f>'[1]Housing Generation'!DP6</f>
        <v>0</v>
      </c>
      <c r="DQ6" s="224">
        <f>'[1]Housing Generation'!DQ6</f>
        <v>2</v>
      </c>
    </row>
    <row r="7" spans="1:121" x14ac:dyDescent="0.2">
      <c r="A7" s="237" t="s">
        <v>8</v>
      </c>
      <c r="B7" s="227">
        <f>'[1]Housing Generation'!B7</f>
        <v>0</v>
      </c>
      <c r="C7" s="227">
        <f>'[1]Housing Generation'!C7</f>
        <v>0</v>
      </c>
      <c r="D7" s="227">
        <f>'[1]Housing Generation'!D7</f>
        <v>0</v>
      </c>
      <c r="E7" s="227">
        <f>'[1]Housing Generation'!E7</f>
        <v>0</v>
      </c>
      <c r="F7" s="227">
        <f>'[1]Housing Generation'!F7</f>
        <v>0</v>
      </c>
      <c r="G7" s="227">
        <f>'[1]Housing Generation'!G7</f>
        <v>0</v>
      </c>
      <c r="H7" s="227">
        <f>'[1]Housing Generation'!H7</f>
        <v>0</v>
      </c>
      <c r="I7" s="224">
        <f>'[1]Housing Generation'!I7</f>
        <v>0</v>
      </c>
      <c r="J7" s="229">
        <f>'[1]Housing Generation'!J7</f>
        <v>3</v>
      </c>
      <c r="K7" s="229">
        <f>'[1]Housing Generation'!K7</f>
        <v>3</v>
      </c>
      <c r="L7" s="229">
        <f>'[1]Housing Generation'!L7</f>
        <v>3</v>
      </c>
      <c r="M7" s="229">
        <f>'[1]Housing Generation'!M7</f>
        <v>2</v>
      </c>
      <c r="N7" s="229">
        <f>'[1]Housing Generation'!N7</f>
        <v>2</v>
      </c>
      <c r="O7" s="229">
        <f>'[1]Housing Generation'!O7</f>
        <v>2</v>
      </c>
      <c r="P7" s="229">
        <f>'[1]Housing Generation'!P7</f>
        <v>2</v>
      </c>
      <c r="Q7" s="225">
        <f>'[1]Housing Generation'!Q7</f>
        <v>17</v>
      </c>
      <c r="R7" s="227">
        <f>'[1]Housing Generation'!R7</f>
        <v>6</v>
      </c>
      <c r="S7" s="227">
        <f>'[1]Housing Generation'!S7</f>
        <v>6</v>
      </c>
      <c r="T7" s="227">
        <f>'[1]Housing Generation'!T7</f>
        <v>6</v>
      </c>
      <c r="U7" s="227">
        <f>'[1]Housing Generation'!U7</f>
        <v>6</v>
      </c>
      <c r="V7" s="227">
        <f>'[1]Housing Generation'!V7</f>
        <v>6</v>
      </c>
      <c r="W7" s="227">
        <f>'[1]Housing Generation'!W7</f>
        <v>6</v>
      </c>
      <c r="X7" s="227">
        <f>'[1]Housing Generation'!X7</f>
        <v>5</v>
      </c>
      <c r="Y7" s="224">
        <f>'[1]Housing Generation'!Y7</f>
        <v>41</v>
      </c>
      <c r="Z7" s="229">
        <f>'[1]Housing Generation'!Z7</f>
        <v>6</v>
      </c>
      <c r="AA7" s="229">
        <f>'[1]Housing Generation'!AA7</f>
        <v>6</v>
      </c>
      <c r="AB7" s="229">
        <f>'[1]Housing Generation'!AB7</f>
        <v>6</v>
      </c>
      <c r="AC7" s="229">
        <f>'[1]Housing Generation'!AC7</f>
        <v>6</v>
      </c>
      <c r="AD7" s="229">
        <f>'[1]Housing Generation'!AD7</f>
        <v>6</v>
      </c>
      <c r="AE7" s="229">
        <f>'[1]Housing Generation'!AE7</f>
        <v>6</v>
      </c>
      <c r="AF7" s="229">
        <f>'[1]Housing Generation'!AF7</f>
        <v>5</v>
      </c>
      <c r="AG7" s="225">
        <f>'[1]Housing Generation'!AG7</f>
        <v>41</v>
      </c>
      <c r="AH7" s="227">
        <f>'[1]Housing Generation'!AH7</f>
        <v>6</v>
      </c>
      <c r="AI7" s="227">
        <f>'[1]Housing Generation'!AI7</f>
        <v>6</v>
      </c>
      <c r="AJ7" s="227">
        <f>'[1]Housing Generation'!AJ7</f>
        <v>6</v>
      </c>
      <c r="AK7" s="227">
        <f>'[1]Housing Generation'!AK7</f>
        <v>6</v>
      </c>
      <c r="AL7" s="227">
        <f>'[1]Housing Generation'!AL7</f>
        <v>6</v>
      </c>
      <c r="AM7" s="227">
        <f>'[1]Housing Generation'!AM7</f>
        <v>6</v>
      </c>
      <c r="AN7" s="227">
        <f>'[1]Housing Generation'!AN7</f>
        <v>5</v>
      </c>
      <c r="AO7" s="224">
        <f>'[1]Housing Generation'!AO7</f>
        <v>41</v>
      </c>
      <c r="AP7" s="229">
        <f>'[1]Housing Generation'!AP7</f>
        <v>6</v>
      </c>
      <c r="AQ7" s="229">
        <f>'[1]Housing Generation'!AQ7</f>
        <v>6</v>
      </c>
      <c r="AR7" s="229">
        <f>'[1]Housing Generation'!AR7</f>
        <v>6</v>
      </c>
      <c r="AS7" s="229">
        <f>'[1]Housing Generation'!AS7</f>
        <v>6</v>
      </c>
      <c r="AT7" s="229">
        <f>'[1]Housing Generation'!AT7</f>
        <v>6</v>
      </c>
      <c r="AU7" s="229">
        <f>'[1]Housing Generation'!AU7</f>
        <v>6</v>
      </c>
      <c r="AV7" s="229">
        <f>'[1]Housing Generation'!AV7</f>
        <v>5</v>
      </c>
      <c r="AW7" s="225">
        <f>'[1]Housing Generation'!AW7</f>
        <v>41</v>
      </c>
      <c r="AX7" s="227">
        <f>'[1]Housing Generation'!AX7</f>
        <v>6</v>
      </c>
      <c r="AY7" s="227">
        <f>'[1]Housing Generation'!AY7</f>
        <v>6</v>
      </c>
      <c r="AZ7" s="227">
        <f>'[1]Housing Generation'!AZ7</f>
        <v>6</v>
      </c>
      <c r="BA7" s="227">
        <f>'[1]Housing Generation'!BA7</f>
        <v>6</v>
      </c>
      <c r="BB7" s="227">
        <f>'[1]Housing Generation'!BB7</f>
        <v>6</v>
      </c>
      <c r="BC7" s="227">
        <f>'[1]Housing Generation'!BC7</f>
        <v>6</v>
      </c>
      <c r="BD7" s="227">
        <f>'[1]Housing Generation'!BD7</f>
        <v>5</v>
      </c>
      <c r="BE7" s="224">
        <f>'[1]Housing Generation'!BE7</f>
        <v>41</v>
      </c>
      <c r="BF7" s="229">
        <f>'[1]Housing Generation'!BF7</f>
        <v>6</v>
      </c>
      <c r="BG7" s="229">
        <f>'[1]Housing Generation'!BG7</f>
        <v>6</v>
      </c>
      <c r="BH7" s="229">
        <f>'[1]Housing Generation'!BH7</f>
        <v>6</v>
      </c>
      <c r="BI7" s="229">
        <f>'[1]Housing Generation'!BI7</f>
        <v>6</v>
      </c>
      <c r="BJ7" s="229">
        <f>'[1]Housing Generation'!BJ7</f>
        <v>6</v>
      </c>
      <c r="BK7" s="229">
        <f>'[1]Housing Generation'!BK7</f>
        <v>6</v>
      </c>
      <c r="BL7" s="229">
        <f>'[1]Housing Generation'!BL7</f>
        <v>5</v>
      </c>
      <c r="BM7" s="225">
        <f>'[1]Housing Generation'!BM7</f>
        <v>41</v>
      </c>
      <c r="BN7" s="227">
        <f>'[1]Housing Generation'!BN7</f>
        <v>6</v>
      </c>
      <c r="BO7" s="227">
        <f>'[1]Housing Generation'!BO7</f>
        <v>6</v>
      </c>
      <c r="BP7" s="227">
        <f>'[1]Housing Generation'!BP7</f>
        <v>6</v>
      </c>
      <c r="BQ7" s="227">
        <f>'[1]Housing Generation'!BQ7</f>
        <v>6</v>
      </c>
      <c r="BR7" s="227">
        <f>'[1]Housing Generation'!BR7</f>
        <v>6</v>
      </c>
      <c r="BS7" s="227">
        <f>'[1]Housing Generation'!BS7</f>
        <v>6</v>
      </c>
      <c r="BT7" s="227">
        <f>'[1]Housing Generation'!BT7</f>
        <v>5</v>
      </c>
      <c r="BU7" s="224">
        <f>'[1]Housing Generation'!BU7</f>
        <v>41</v>
      </c>
      <c r="BV7" s="229">
        <f>'[1]Housing Generation'!BV7</f>
        <v>6</v>
      </c>
      <c r="BW7" s="229">
        <f>'[1]Housing Generation'!BW7</f>
        <v>6</v>
      </c>
      <c r="BX7" s="229">
        <f>'[1]Housing Generation'!BX7</f>
        <v>6</v>
      </c>
      <c r="BY7" s="229">
        <f>'[1]Housing Generation'!BY7</f>
        <v>6</v>
      </c>
      <c r="BZ7" s="229">
        <f>'[1]Housing Generation'!BZ7</f>
        <v>6</v>
      </c>
      <c r="CA7" s="229">
        <f>'[1]Housing Generation'!CA7</f>
        <v>6</v>
      </c>
      <c r="CB7" s="229">
        <f>'[1]Housing Generation'!CB7</f>
        <v>5</v>
      </c>
      <c r="CC7" s="225">
        <f>'[1]Housing Generation'!CC7</f>
        <v>41</v>
      </c>
      <c r="CD7" s="227">
        <f>'[1]Housing Generation'!CD7</f>
        <v>6</v>
      </c>
      <c r="CE7" s="227">
        <f>'[1]Housing Generation'!CE7</f>
        <v>6</v>
      </c>
      <c r="CF7" s="227">
        <f>'[1]Housing Generation'!CF7</f>
        <v>6</v>
      </c>
      <c r="CG7" s="227">
        <f>'[1]Housing Generation'!CG7</f>
        <v>6</v>
      </c>
      <c r="CH7" s="227">
        <f>'[1]Housing Generation'!CH7</f>
        <v>6</v>
      </c>
      <c r="CI7" s="227">
        <f>'[1]Housing Generation'!CI7</f>
        <v>6</v>
      </c>
      <c r="CJ7" s="227">
        <f>'[1]Housing Generation'!CJ7</f>
        <v>5</v>
      </c>
      <c r="CK7" s="224">
        <f>'[1]Housing Generation'!CK7</f>
        <v>41</v>
      </c>
      <c r="CL7" s="229">
        <f>'[1]Housing Generation'!CL7</f>
        <v>6</v>
      </c>
      <c r="CM7" s="229">
        <f>'[1]Housing Generation'!CM7</f>
        <v>6</v>
      </c>
      <c r="CN7" s="229">
        <f>'[1]Housing Generation'!CN7</f>
        <v>6</v>
      </c>
      <c r="CO7" s="229">
        <f>'[1]Housing Generation'!CO7</f>
        <v>6</v>
      </c>
      <c r="CP7" s="229">
        <f>'[1]Housing Generation'!CP7</f>
        <v>6</v>
      </c>
      <c r="CQ7" s="229">
        <f>'[1]Housing Generation'!CQ7</f>
        <v>6</v>
      </c>
      <c r="CR7" s="229">
        <f>'[1]Housing Generation'!CR7</f>
        <v>5</v>
      </c>
      <c r="CS7" s="225">
        <f>'[1]Housing Generation'!CS7</f>
        <v>41</v>
      </c>
      <c r="CT7" s="227">
        <f>'[1]Housing Generation'!CT7</f>
        <v>6</v>
      </c>
      <c r="CU7" s="227">
        <f>'[1]Housing Generation'!CU7</f>
        <v>6</v>
      </c>
      <c r="CV7" s="227">
        <f>'[1]Housing Generation'!CV7</f>
        <v>6</v>
      </c>
      <c r="CW7" s="227">
        <f>'[1]Housing Generation'!CW7</f>
        <v>6</v>
      </c>
      <c r="CX7" s="227">
        <f>'[1]Housing Generation'!CX7</f>
        <v>6</v>
      </c>
      <c r="CY7" s="227">
        <f>'[1]Housing Generation'!CY7</f>
        <v>6</v>
      </c>
      <c r="CZ7" s="227">
        <f>'[1]Housing Generation'!CZ7</f>
        <v>5</v>
      </c>
      <c r="DA7" s="224">
        <f>'[1]Housing Generation'!DA7</f>
        <v>41</v>
      </c>
      <c r="DB7" s="229">
        <f>'[1]Housing Generation'!DB7</f>
        <v>6</v>
      </c>
      <c r="DC7" s="229">
        <f>'[1]Housing Generation'!DC7</f>
        <v>6</v>
      </c>
      <c r="DD7" s="229">
        <f>'[1]Housing Generation'!DD7</f>
        <v>6</v>
      </c>
      <c r="DE7" s="229">
        <f>'[1]Housing Generation'!DE7</f>
        <v>6</v>
      </c>
      <c r="DF7" s="229">
        <f>'[1]Housing Generation'!DF7</f>
        <v>6</v>
      </c>
      <c r="DG7" s="229">
        <f>'[1]Housing Generation'!DG7</f>
        <v>6</v>
      </c>
      <c r="DH7" s="229">
        <f>'[1]Housing Generation'!DH7</f>
        <v>5</v>
      </c>
      <c r="DI7" s="225">
        <f>'[1]Housing Generation'!DI7</f>
        <v>41</v>
      </c>
      <c r="DJ7" s="227">
        <f>'[1]Housing Generation'!DJ7</f>
        <v>6</v>
      </c>
      <c r="DK7" s="227">
        <f>'[1]Housing Generation'!DK7</f>
        <v>6</v>
      </c>
      <c r="DL7" s="227">
        <f>'[1]Housing Generation'!DL7</f>
        <v>6</v>
      </c>
      <c r="DM7" s="227">
        <f>'[1]Housing Generation'!DM7</f>
        <v>6</v>
      </c>
      <c r="DN7" s="227">
        <f>'[1]Housing Generation'!DN7</f>
        <v>6</v>
      </c>
      <c r="DO7" s="227">
        <f>'[1]Housing Generation'!DO7</f>
        <v>6</v>
      </c>
      <c r="DP7" s="227">
        <f>'[1]Housing Generation'!DP7</f>
        <v>5</v>
      </c>
      <c r="DQ7" s="224">
        <f>'[1]Housing Generation'!DQ7</f>
        <v>41</v>
      </c>
    </row>
    <row r="8" spans="1:121" x14ac:dyDescent="0.2">
      <c r="A8" s="237" t="s">
        <v>9</v>
      </c>
      <c r="B8" s="227">
        <f>'[1]Housing Generation'!B8</f>
        <v>2</v>
      </c>
      <c r="C8" s="227">
        <f>'[1]Housing Generation'!C8</f>
        <v>2</v>
      </c>
      <c r="D8" s="227">
        <f>'[1]Housing Generation'!D8</f>
        <v>2</v>
      </c>
      <c r="E8" s="227">
        <f>'[1]Housing Generation'!E8</f>
        <v>2</v>
      </c>
      <c r="F8" s="227">
        <f>'[1]Housing Generation'!F8</f>
        <v>2</v>
      </c>
      <c r="G8" s="227">
        <f>'[1]Housing Generation'!G8</f>
        <v>2</v>
      </c>
      <c r="H8" s="227">
        <f>'[1]Housing Generation'!H8</f>
        <v>1</v>
      </c>
      <c r="I8" s="224">
        <f>'[1]Housing Generation'!I8</f>
        <v>13</v>
      </c>
      <c r="J8" s="229">
        <f>'[1]Housing Generation'!J8</f>
        <v>3</v>
      </c>
      <c r="K8" s="229">
        <f>'[1]Housing Generation'!K8</f>
        <v>3</v>
      </c>
      <c r="L8" s="229">
        <f>'[1]Housing Generation'!L8</f>
        <v>2</v>
      </c>
      <c r="M8" s="229">
        <f>'[1]Housing Generation'!M8</f>
        <v>2</v>
      </c>
      <c r="N8" s="229">
        <f>'[1]Housing Generation'!N8</f>
        <v>2</v>
      </c>
      <c r="O8" s="229">
        <f>'[1]Housing Generation'!O8</f>
        <v>2</v>
      </c>
      <c r="P8" s="229">
        <f>'[1]Housing Generation'!P8</f>
        <v>2</v>
      </c>
      <c r="Q8" s="225">
        <f>'[1]Housing Generation'!Q8</f>
        <v>16</v>
      </c>
      <c r="R8" s="227">
        <f>'[1]Housing Generation'!R8</f>
        <v>4</v>
      </c>
      <c r="S8" s="227">
        <f>'[1]Housing Generation'!S8</f>
        <v>4</v>
      </c>
      <c r="T8" s="227">
        <f>'[1]Housing Generation'!T8</f>
        <v>4</v>
      </c>
      <c r="U8" s="227">
        <f>'[1]Housing Generation'!U8</f>
        <v>4</v>
      </c>
      <c r="V8" s="227">
        <f>'[1]Housing Generation'!V8</f>
        <v>4</v>
      </c>
      <c r="W8" s="227">
        <f>'[1]Housing Generation'!W8</f>
        <v>3</v>
      </c>
      <c r="X8" s="227">
        <f>'[1]Housing Generation'!X8</f>
        <v>3</v>
      </c>
      <c r="Y8" s="224">
        <f>'[1]Housing Generation'!Y8</f>
        <v>26</v>
      </c>
      <c r="Z8" s="229">
        <f>'[1]Housing Generation'!Z8</f>
        <v>6</v>
      </c>
      <c r="AA8" s="229">
        <f>'[1]Housing Generation'!AA8</f>
        <v>6</v>
      </c>
      <c r="AB8" s="229">
        <f>'[1]Housing Generation'!AB8</f>
        <v>6</v>
      </c>
      <c r="AC8" s="229">
        <f>'[1]Housing Generation'!AC8</f>
        <v>6</v>
      </c>
      <c r="AD8" s="229">
        <f>'[1]Housing Generation'!AD8</f>
        <v>6</v>
      </c>
      <c r="AE8" s="229">
        <f>'[1]Housing Generation'!AE8</f>
        <v>6</v>
      </c>
      <c r="AF8" s="229">
        <f>'[1]Housing Generation'!AF8</f>
        <v>6</v>
      </c>
      <c r="AG8" s="225">
        <f>'[1]Housing Generation'!AG8</f>
        <v>42</v>
      </c>
      <c r="AH8" s="227">
        <f>'[1]Housing Generation'!AH8</f>
        <v>9</v>
      </c>
      <c r="AI8" s="227">
        <f>'[1]Housing Generation'!AI8</f>
        <v>8</v>
      </c>
      <c r="AJ8" s="227">
        <f>'[1]Housing Generation'!AJ8</f>
        <v>8</v>
      </c>
      <c r="AK8" s="227">
        <f>'[1]Housing Generation'!AK8</f>
        <v>8</v>
      </c>
      <c r="AL8" s="227">
        <f>'[1]Housing Generation'!AL8</f>
        <v>8</v>
      </c>
      <c r="AM8" s="227">
        <f>'[1]Housing Generation'!AM8</f>
        <v>8</v>
      </c>
      <c r="AN8" s="227">
        <f>'[1]Housing Generation'!AN8</f>
        <v>8</v>
      </c>
      <c r="AO8" s="224">
        <f>'[1]Housing Generation'!AO8</f>
        <v>57</v>
      </c>
      <c r="AP8" s="229">
        <f>'[1]Housing Generation'!AP8</f>
        <v>10</v>
      </c>
      <c r="AQ8" s="229">
        <f>'[1]Housing Generation'!AQ8</f>
        <v>9</v>
      </c>
      <c r="AR8" s="229">
        <f>'[1]Housing Generation'!AR8</f>
        <v>9</v>
      </c>
      <c r="AS8" s="229">
        <f>'[1]Housing Generation'!AS8</f>
        <v>9</v>
      </c>
      <c r="AT8" s="229">
        <f>'[1]Housing Generation'!AT8</f>
        <v>9</v>
      </c>
      <c r="AU8" s="229">
        <f>'[1]Housing Generation'!AU8</f>
        <v>9</v>
      </c>
      <c r="AV8" s="229">
        <f>'[1]Housing Generation'!AV8</f>
        <v>9</v>
      </c>
      <c r="AW8" s="225">
        <f>'[1]Housing Generation'!AW8</f>
        <v>64</v>
      </c>
      <c r="AX8" s="227">
        <f>'[1]Housing Generation'!AX8</f>
        <v>11</v>
      </c>
      <c r="AY8" s="227">
        <f>'[1]Housing Generation'!AY8</f>
        <v>10</v>
      </c>
      <c r="AZ8" s="227">
        <f>'[1]Housing Generation'!AZ8</f>
        <v>10</v>
      </c>
      <c r="BA8" s="227">
        <f>'[1]Housing Generation'!BA8</f>
        <v>10</v>
      </c>
      <c r="BB8" s="227">
        <f>'[1]Housing Generation'!BB8</f>
        <v>10</v>
      </c>
      <c r="BC8" s="227">
        <f>'[1]Housing Generation'!BC8</f>
        <v>10</v>
      </c>
      <c r="BD8" s="227">
        <f>'[1]Housing Generation'!BD8</f>
        <v>10</v>
      </c>
      <c r="BE8" s="224">
        <f>'[1]Housing Generation'!BE8</f>
        <v>71</v>
      </c>
      <c r="BF8" s="229">
        <f>'[1]Housing Generation'!BF8</f>
        <v>11</v>
      </c>
      <c r="BG8" s="229">
        <f>'[1]Housing Generation'!BG8</f>
        <v>11</v>
      </c>
      <c r="BH8" s="229">
        <f>'[1]Housing Generation'!BH8</f>
        <v>11</v>
      </c>
      <c r="BI8" s="229">
        <f>'[1]Housing Generation'!BI8</f>
        <v>11</v>
      </c>
      <c r="BJ8" s="229">
        <f>'[1]Housing Generation'!BJ8</f>
        <v>11</v>
      </c>
      <c r="BK8" s="229">
        <f>'[1]Housing Generation'!BK8</f>
        <v>10</v>
      </c>
      <c r="BL8" s="229">
        <f>'[1]Housing Generation'!BL8</f>
        <v>10</v>
      </c>
      <c r="BM8" s="225">
        <f>'[1]Housing Generation'!BM8</f>
        <v>75</v>
      </c>
      <c r="BN8" s="227">
        <f>'[1]Housing Generation'!BN8</f>
        <v>11</v>
      </c>
      <c r="BO8" s="227">
        <f>'[1]Housing Generation'!BO8</f>
        <v>11</v>
      </c>
      <c r="BP8" s="227">
        <f>'[1]Housing Generation'!BP8</f>
        <v>11</v>
      </c>
      <c r="BQ8" s="227">
        <f>'[1]Housing Generation'!BQ8</f>
        <v>11</v>
      </c>
      <c r="BR8" s="227">
        <f>'[1]Housing Generation'!BR8</f>
        <v>11</v>
      </c>
      <c r="BS8" s="227">
        <f>'[1]Housing Generation'!BS8</f>
        <v>11</v>
      </c>
      <c r="BT8" s="227">
        <f>'[1]Housing Generation'!BT8</f>
        <v>11</v>
      </c>
      <c r="BU8" s="224">
        <f>'[1]Housing Generation'!BU8</f>
        <v>77</v>
      </c>
      <c r="BV8" s="229">
        <f>'[1]Housing Generation'!BV8</f>
        <v>12</v>
      </c>
      <c r="BW8" s="229">
        <f>'[1]Housing Generation'!BW8</f>
        <v>12</v>
      </c>
      <c r="BX8" s="229">
        <f>'[1]Housing Generation'!BX8</f>
        <v>11</v>
      </c>
      <c r="BY8" s="229">
        <f>'[1]Housing Generation'!BY8</f>
        <v>11</v>
      </c>
      <c r="BZ8" s="229">
        <f>'[1]Housing Generation'!BZ8</f>
        <v>11</v>
      </c>
      <c r="CA8" s="229">
        <f>'[1]Housing Generation'!CA8</f>
        <v>11</v>
      </c>
      <c r="CB8" s="229">
        <f>'[1]Housing Generation'!CB8</f>
        <v>11</v>
      </c>
      <c r="CC8" s="225">
        <f>'[1]Housing Generation'!CC8</f>
        <v>79</v>
      </c>
      <c r="CD8" s="227">
        <f>'[1]Housing Generation'!CD8</f>
        <v>12</v>
      </c>
      <c r="CE8" s="227">
        <f>'[1]Housing Generation'!CE8</f>
        <v>12</v>
      </c>
      <c r="CF8" s="227">
        <f>'[1]Housing Generation'!CF8</f>
        <v>11</v>
      </c>
      <c r="CG8" s="227">
        <f>'[1]Housing Generation'!CG8</f>
        <v>11</v>
      </c>
      <c r="CH8" s="227">
        <f>'[1]Housing Generation'!CH8</f>
        <v>11</v>
      </c>
      <c r="CI8" s="227">
        <f>'[1]Housing Generation'!CI8</f>
        <v>11</v>
      </c>
      <c r="CJ8" s="227">
        <f>'[1]Housing Generation'!CJ8</f>
        <v>11</v>
      </c>
      <c r="CK8" s="224">
        <f>'[1]Housing Generation'!CK8</f>
        <v>79</v>
      </c>
      <c r="CL8" s="229">
        <f>'[1]Housing Generation'!CL8</f>
        <v>12</v>
      </c>
      <c r="CM8" s="229">
        <f>'[1]Housing Generation'!CM8</f>
        <v>12</v>
      </c>
      <c r="CN8" s="229">
        <f>'[1]Housing Generation'!CN8</f>
        <v>11</v>
      </c>
      <c r="CO8" s="229">
        <f>'[1]Housing Generation'!CO8</f>
        <v>11</v>
      </c>
      <c r="CP8" s="229">
        <f>'[1]Housing Generation'!CP8</f>
        <v>11</v>
      </c>
      <c r="CQ8" s="229">
        <f>'[1]Housing Generation'!CQ8</f>
        <v>11</v>
      </c>
      <c r="CR8" s="229">
        <f>'[1]Housing Generation'!CR8</f>
        <v>11</v>
      </c>
      <c r="CS8" s="225">
        <f>'[1]Housing Generation'!CS8</f>
        <v>79</v>
      </c>
      <c r="CT8" s="227">
        <f>'[1]Housing Generation'!CT8</f>
        <v>12</v>
      </c>
      <c r="CU8" s="227">
        <f>'[1]Housing Generation'!CU8</f>
        <v>12</v>
      </c>
      <c r="CV8" s="227">
        <f>'[1]Housing Generation'!CV8</f>
        <v>11</v>
      </c>
      <c r="CW8" s="227">
        <f>'[1]Housing Generation'!CW8</f>
        <v>11</v>
      </c>
      <c r="CX8" s="227">
        <f>'[1]Housing Generation'!CX8</f>
        <v>11</v>
      </c>
      <c r="CY8" s="227">
        <f>'[1]Housing Generation'!CY8</f>
        <v>11</v>
      </c>
      <c r="CZ8" s="227">
        <f>'[1]Housing Generation'!CZ8</f>
        <v>11</v>
      </c>
      <c r="DA8" s="224">
        <f>'[1]Housing Generation'!DA8</f>
        <v>79</v>
      </c>
      <c r="DB8" s="229">
        <f>'[1]Housing Generation'!DB8</f>
        <v>12</v>
      </c>
      <c r="DC8" s="229">
        <f>'[1]Housing Generation'!DC8</f>
        <v>12</v>
      </c>
      <c r="DD8" s="229">
        <f>'[1]Housing Generation'!DD8</f>
        <v>11</v>
      </c>
      <c r="DE8" s="229">
        <f>'[1]Housing Generation'!DE8</f>
        <v>11</v>
      </c>
      <c r="DF8" s="229">
        <f>'[1]Housing Generation'!DF8</f>
        <v>11</v>
      </c>
      <c r="DG8" s="229">
        <f>'[1]Housing Generation'!DG8</f>
        <v>11</v>
      </c>
      <c r="DH8" s="229">
        <f>'[1]Housing Generation'!DH8</f>
        <v>11</v>
      </c>
      <c r="DI8" s="225">
        <f>'[1]Housing Generation'!DI8</f>
        <v>79</v>
      </c>
      <c r="DJ8" s="227">
        <f>'[1]Housing Generation'!DJ8</f>
        <v>12</v>
      </c>
      <c r="DK8" s="227">
        <f>'[1]Housing Generation'!DK8</f>
        <v>12</v>
      </c>
      <c r="DL8" s="227">
        <f>'[1]Housing Generation'!DL8</f>
        <v>11</v>
      </c>
      <c r="DM8" s="227">
        <f>'[1]Housing Generation'!DM8</f>
        <v>11</v>
      </c>
      <c r="DN8" s="227">
        <f>'[1]Housing Generation'!DN8</f>
        <v>11</v>
      </c>
      <c r="DO8" s="227">
        <f>'[1]Housing Generation'!DO8</f>
        <v>11</v>
      </c>
      <c r="DP8" s="227">
        <f>'[1]Housing Generation'!DP8</f>
        <v>11</v>
      </c>
      <c r="DQ8" s="224">
        <f>'[1]Housing Generation'!DQ8</f>
        <v>79</v>
      </c>
    </row>
    <row r="9" spans="1:121" x14ac:dyDescent="0.2">
      <c r="A9" s="237" t="s">
        <v>10</v>
      </c>
      <c r="B9" s="227">
        <f>'[1]Housing Generation'!B9</f>
        <v>0</v>
      </c>
      <c r="C9" s="227">
        <f>'[1]Housing Generation'!C9</f>
        <v>0</v>
      </c>
      <c r="D9" s="227">
        <f>'[1]Housing Generation'!D9</f>
        <v>0</v>
      </c>
      <c r="E9" s="227">
        <f>'[1]Housing Generation'!E9</f>
        <v>0</v>
      </c>
      <c r="F9" s="227">
        <f>'[1]Housing Generation'!F9</f>
        <v>0</v>
      </c>
      <c r="G9" s="227">
        <f>'[1]Housing Generation'!G9</f>
        <v>0</v>
      </c>
      <c r="H9" s="227">
        <f>'[1]Housing Generation'!H9</f>
        <v>0</v>
      </c>
      <c r="I9" s="224">
        <f>'[1]Housing Generation'!I9</f>
        <v>0</v>
      </c>
      <c r="J9" s="229">
        <f>'[1]Housing Generation'!J9</f>
        <v>0</v>
      </c>
      <c r="K9" s="229">
        <f>'[1]Housing Generation'!K9</f>
        <v>0</v>
      </c>
      <c r="L9" s="229">
        <f>'[1]Housing Generation'!L9</f>
        <v>0</v>
      </c>
      <c r="M9" s="229">
        <f>'[1]Housing Generation'!M9</f>
        <v>0</v>
      </c>
      <c r="N9" s="229">
        <f>'[1]Housing Generation'!N9</f>
        <v>0</v>
      </c>
      <c r="O9" s="229">
        <f>'[1]Housing Generation'!O9</f>
        <v>0</v>
      </c>
      <c r="P9" s="229">
        <f>'[1]Housing Generation'!P9</f>
        <v>0</v>
      </c>
      <c r="Q9" s="225">
        <f>'[1]Housing Generation'!Q9</f>
        <v>0</v>
      </c>
      <c r="R9" s="227">
        <f>'[1]Housing Generation'!R9</f>
        <v>0</v>
      </c>
      <c r="S9" s="227">
        <f>'[1]Housing Generation'!S9</f>
        <v>0</v>
      </c>
      <c r="T9" s="227">
        <f>'[1]Housing Generation'!T9</f>
        <v>0</v>
      </c>
      <c r="U9" s="227">
        <f>'[1]Housing Generation'!U9</f>
        <v>0</v>
      </c>
      <c r="V9" s="227">
        <f>'[1]Housing Generation'!V9</f>
        <v>0</v>
      </c>
      <c r="W9" s="227">
        <f>'[1]Housing Generation'!W9</f>
        <v>0</v>
      </c>
      <c r="X9" s="227">
        <f>'[1]Housing Generation'!X9</f>
        <v>0</v>
      </c>
      <c r="Y9" s="224">
        <f>'[1]Housing Generation'!Y9</f>
        <v>0</v>
      </c>
      <c r="Z9" s="229">
        <f>'[1]Housing Generation'!Z9</f>
        <v>1</v>
      </c>
      <c r="AA9" s="229">
        <f>'[1]Housing Generation'!AA9</f>
        <v>1</v>
      </c>
      <c r="AB9" s="229">
        <f>'[1]Housing Generation'!AB9</f>
        <v>1</v>
      </c>
      <c r="AC9" s="229">
        <f>'[1]Housing Generation'!AC9</f>
        <v>1</v>
      </c>
      <c r="AD9" s="229">
        <f>'[1]Housing Generation'!AD9</f>
        <v>1</v>
      </c>
      <c r="AE9" s="229">
        <f>'[1]Housing Generation'!AE9</f>
        <v>0</v>
      </c>
      <c r="AF9" s="229">
        <f>'[1]Housing Generation'!AF9</f>
        <v>0</v>
      </c>
      <c r="AG9" s="225">
        <f>'[1]Housing Generation'!AG9</f>
        <v>5</v>
      </c>
      <c r="AH9" s="227">
        <f>'[1]Housing Generation'!AH9</f>
        <v>2</v>
      </c>
      <c r="AI9" s="227">
        <f>'[1]Housing Generation'!AI9</f>
        <v>1</v>
      </c>
      <c r="AJ9" s="227">
        <f>'[1]Housing Generation'!AJ9</f>
        <v>1</v>
      </c>
      <c r="AK9" s="227">
        <f>'[1]Housing Generation'!AK9</f>
        <v>1</v>
      </c>
      <c r="AL9" s="227">
        <f>'[1]Housing Generation'!AL9</f>
        <v>1</v>
      </c>
      <c r="AM9" s="227">
        <f>'[1]Housing Generation'!AM9</f>
        <v>1</v>
      </c>
      <c r="AN9" s="227">
        <f>'[1]Housing Generation'!AN9</f>
        <v>1</v>
      </c>
      <c r="AO9" s="224">
        <f>'[1]Housing Generation'!AO9</f>
        <v>8</v>
      </c>
      <c r="AP9" s="229">
        <f>'[1]Housing Generation'!AP9</f>
        <v>2</v>
      </c>
      <c r="AQ9" s="229">
        <f>'[1]Housing Generation'!AQ9</f>
        <v>2</v>
      </c>
      <c r="AR9" s="229">
        <f>'[1]Housing Generation'!AR9</f>
        <v>2</v>
      </c>
      <c r="AS9" s="229">
        <f>'[1]Housing Generation'!AS9</f>
        <v>2</v>
      </c>
      <c r="AT9" s="229">
        <f>'[1]Housing Generation'!AT9</f>
        <v>1</v>
      </c>
      <c r="AU9" s="229">
        <f>'[1]Housing Generation'!AU9</f>
        <v>1</v>
      </c>
      <c r="AV9" s="229">
        <f>'[1]Housing Generation'!AV9</f>
        <v>1</v>
      </c>
      <c r="AW9" s="225">
        <f>'[1]Housing Generation'!AW9</f>
        <v>11</v>
      </c>
      <c r="AX9" s="227">
        <f>'[1]Housing Generation'!AX9</f>
        <v>3</v>
      </c>
      <c r="AY9" s="227">
        <f>'[1]Housing Generation'!AY9</f>
        <v>2</v>
      </c>
      <c r="AZ9" s="227">
        <f>'[1]Housing Generation'!AZ9</f>
        <v>2</v>
      </c>
      <c r="BA9" s="227">
        <f>'[1]Housing Generation'!BA9</f>
        <v>2</v>
      </c>
      <c r="BB9" s="227">
        <f>'[1]Housing Generation'!BB9</f>
        <v>2</v>
      </c>
      <c r="BC9" s="227">
        <f>'[1]Housing Generation'!BC9</f>
        <v>2</v>
      </c>
      <c r="BD9" s="227">
        <f>'[1]Housing Generation'!BD9</f>
        <v>2</v>
      </c>
      <c r="BE9" s="224">
        <f>'[1]Housing Generation'!BE9</f>
        <v>15</v>
      </c>
      <c r="BF9" s="229">
        <f>'[1]Housing Generation'!BF9</f>
        <v>3</v>
      </c>
      <c r="BG9" s="229">
        <f>'[1]Housing Generation'!BG9</f>
        <v>3</v>
      </c>
      <c r="BH9" s="229">
        <f>'[1]Housing Generation'!BH9</f>
        <v>3</v>
      </c>
      <c r="BI9" s="229">
        <f>'[1]Housing Generation'!BI9</f>
        <v>3</v>
      </c>
      <c r="BJ9" s="229">
        <f>'[1]Housing Generation'!BJ9</f>
        <v>2</v>
      </c>
      <c r="BK9" s="229">
        <f>'[1]Housing Generation'!BK9</f>
        <v>2</v>
      </c>
      <c r="BL9" s="229">
        <f>'[1]Housing Generation'!BL9</f>
        <v>2</v>
      </c>
      <c r="BM9" s="225">
        <f>'[1]Housing Generation'!BM9</f>
        <v>18</v>
      </c>
      <c r="BN9" s="227">
        <f>'[1]Housing Generation'!BN9</f>
        <v>3</v>
      </c>
      <c r="BO9" s="227">
        <f>'[1]Housing Generation'!BO9</f>
        <v>3</v>
      </c>
      <c r="BP9" s="227">
        <f>'[1]Housing Generation'!BP9</f>
        <v>3</v>
      </c>
      <c r="BQ9" s="227">
        <f>'[1]Housing Generation'!BQ9</f>
        <v>3</v>
      </c>
      <c r="BR9" s="227">
        <f>'[1]Housing Generation'!BR9</f>
        <v>3</v>
      </c>
      <c r="BS9" s="227">
        <f>'[1]Housing Generation'!BS9</f>
        <v>3</v>
      </c>
      <c r="BT9" s="227">
        <f>'[1]Housing Generation'!BT9</f>
        <v>3</v>
      </c>
      <c r="BU9" s="224">
        <f>'[1]Housing Generation'!BU9</f>
        <v>21</v>
      </c>
      <c r="BV9" s="229">
        <f>'[1]Housing Generation'!BV9</f>
        <v>4</v>
      </c>
      <c r="BW9" s="229">
        <f>'[1]Housing Generation'!BW9</f>
        <v>3</v>
      </c>
      <c r="BX9" s="229">
        <f>'[1]Housing Generation'!BX9</f>
        <v>3</v>
      </c>
      <c r="BY9" s="229">
        <f>'[1]Housing Generation'!BY9</f>
        <v>3</v>
      </c>
      <c r="BZ9" s="229">
        <f>'[1]Housing Generation'!BZ9</f>
        <v>3</v>
      </c>
      <c r="CA9" s="229">
        <f>'[1]Housing Generation'!CA9</f>
        <v>3</v>
      </c>
      <c r="CB9" s="229">
        <f>'[1]Housing Generation'!CB9</f>
        <v>3</v>
      </c>
      <c r="CC9" s="225">
        <f>'[1]Housing Generation'!CC9</f>
        <v>22</v>
      </c>
      <c r="CD9" s="227">
        <f>'[1]Housing Generation'!CD9</f>
        <v>4</v>
      </c>
      <c r="CE9" s="227">
        <f>'[1]Housing Generation'!CE9</f>
        <v>3</v>
      </c>
      <c r="CF9" s="227">
        <f>'[1]Housing Generation'!CF9</f>
        <v>3</v>
      </c>
      <c r="CG9" s="227">
        <f>'[1]Housing Generation'!CG9</f>
        <v>3</v>
      </c>
      <c r="CH9" s="227">
        <f>'[1]Housing Generation'!CH9</f>
        <v>3</v>
      </c>
      <c r="CI9" s="227">
        <f>'[1]Housing Generation'!CI9</f>
        <v>3</v>
      </c>
      <c r="CJ9" s="227">
        <f>'[1]Housing Generation'!CJ9</f>
        <v>3</v>
      </c>
      <c r="CK9" s="224">
        <f>'[1]Housing Generation'!CK9</f>
        <v>22</v>
      </c>
      <c r="CL9" s="229">
        <f>'[1]Housing Generation'!CL9</f>
        <v>4</v>
      </c>
      <c r="CM9" s="229">
        <f>'[1]Housing Generation'!CM9</f>
        <v>3</v>
      </c>
      <c r="CN9" s="229">
        <f>'[1]Housing Generation'!CN9</f>
        <v>3</v>
      </c>
      <c r="CO9" s="229">
        <f>'[1]Housing Generation'!CO9</f>
        <v>3</v>
      </c>
      <c r="CP9" s="229">
        <f>'[1]Housing Generation'!CP9</f>
        <v>3</v>
      </c>
      <c r="CQ9" s="229">
        <f>'[1]Housing Generation'!CQ9</f>
        <v>3</v>
      </c>
      <c r="CR9" s="229">
        <f>'[1]Housing Generation'!CR9</f>
        <v>3</v>
      </c>
      <c r="CS9" s="225">
        <f>'[1]Housing Generation'!CS9</f>
        <v>22</v>
      </c>
      <c r="CT9" s="227">
        <f>'[1]Housing Generation'!CT9</f>
        <v>4</v>
      </c>
      <c r="CU9" s="227">
        <f>'[1]Housing Generation'!CU9</f>
        <v>3</v>
      </c>
      <c r="CV9" s="227">
        <f>'[1]Housing Generation'!CV9</f>
        <v>3</v>
      </c>
      <c r="CW9" s="227">
        <f>'[1]Housing Generation'!CW9</f>
        <v>3</v>
      </c>
      <c r="CX9" s="227">
        <f>'[1]Housing Generation'!CX9</f>
        <v>3</v>
      </c>
      <c r="CY9" s="227">
        <f>'[1]Housing Generation'!CY9</f>
        <v>3</v>
      </c>
      <c r="CZ9" s="227">
        <f>'[1]Housing Generation'!CZ9</f>
        <v>3</v>
      </c>
      <c r="DA9" s="224">
        <f>'[1]Housing Generation'!DA9</f>
        <v>22</v>
      </c>
      <c r="DB9" s="229">
        <f>'[1]Housing Generation'!DB9</f>
        <v>4</v>
      </c>
      <c r="DC9" s="229">
        <f>'[1]Housing Generation'!DC9</f>
        <v>3</v>
      </c>
      <c r="DD9" s="229">
        <f>'[1]Housing Generation'!DD9</f>
        <v>3</v>
      </c>
      <c r="DE9" s="229">
        <f>'[1]Housing Generation'!DE9</f>
        <v>3</v>
      </c>
      <c r="DF9" s="229">
        <f>'[1]Housing Generation'!DF9</f>
        <v>3</v>
      </c>
      <c r="DG9" s="229">
        <f>'[1]Housing Generation'!DG9</f>
        <v>3</v>
      </c>
      <c r="DH9" s="229">
        <f>'[1]Housing Generation'!DH9</f>
        <v>3</v>
      </c>
      <c r="DI9" s="225">
        <f>'[1]Housing Generation'!DI9</f>
        <v>22</v>
      </c>
      <c r="DJ9" s="227">
        <f>'[1]Housing Generation'!DJ9</f>
        <v>4</v>
      </c>
      <c r="DK9" s="227">
        <f>'[1]Housing Generation'!DK9</f>
        <v>3</v>
      </c>
      <c r="DL9" s="227">
        <f>'[1]Housing Generation'!DL9</f>
        <v>3</v>
      </c>
      <c r="DM9" s="227">
        <f>'[1]Housing Generation'!DM9</f>
        <v>3</v>
      </c>
      <c r="DN9" s="227">
        <f>'[1]Housing Generation'!DN9</f>
        <v>3</v>
      </c>
      <c r="DO9" s="227">
        <f>'[1]Housing Generation'!DO9</f>
        <v>3</v>
      </c>
      <c r="DP9" s="227">
        <f>'[1]Housing Generation'!DP9</f>
        <v>3</v>
      </c>
      <c r="DQ9" s="224">
        <f>'[1]Housing Generation'!DQ9</f>
        <v>22</v>
      </c>
    </row>
    <row r="10" spans="1:121" x14ac:dyDescent="0.2">
      <c r="A10" s="237" t="s">
        <v>11</v>
      </c>
      <c r="B10" s="227">
        <f>'[1]Housing Generation'!B10</f>
        <v>1</v>
      </c>
      <c r="C10" s="227">
        <f>'[1]Housing Generation'!C10</f>
        <v>1</v>
      </c>
      <c r="D10" s="227">
        <f>'[1]Housing Generation'!D10</f>
        <v>1</v>
      </c>
      <c r="E10" s="227">
        <f>'[1]Housing Generation'!E10</f>
        <v>1</v>
      </c>
      <c r="F10" s="227">
        <f>'[1]Housing Generation'!F10</f>
        <v>0</v>
      </c>
      <c r="G10" s="227">
        <f>'[1]Housing Generation'!G10</f>
        <v>0</v>
      </c>
      <c r="H10" s="227">
        <f>'[1]Housing Generation'!H10</f>
        <v>0</v>
      </c>
      <c r="I10" s="224">
        <f>'[1]Housing Generation'!I10</f>
        <v>4</v>
      </c>
      <c r="J10" s="229">
        <f>'[1]Housing Generation'!J10</f>
        <v>0</v>
      </c>
      <c r="K10" s="229">
        <f>'[1]Housing Generation'!K10</f>
        <v>0</v>
      </c>
      <c r="L10" s="229">
        <f>'[1]Housing Generation'!L10</f>
        <v>0</v>
      </c>
      <c r="M10" s="229">
        <f>'[1]Housing Generation'!M10</f>
        <v>0</v>
      </c>
      <c r="N10" s="229">
        <f>'[1]Housing Generation'!N10</f>
        <v>0</v>
      </c>
      <c r="O10" s="229">
        <f>'[1]Housing Generation'!O10</f>
        <v>0</v>
      </c>
      <c r="P10" s="229">
        <f>'[1]Housing Generation'!P10</f>
        <v>0</v>
      </c>
      <c r="Q10" s="225">
        <f>'[1]Housing Generation'!Q10</f>
        <v>0</v>
      </c>
      <c r="R10" s="227">
        <f>'[1]Housing Generation'!R10</f>
        <v>0</v>
      </c>
      <c r="S10" s="227">
        <f>'[1]Housing Generation'!S10</f>
        <v>0</v>
      </c>
      <c r="T10" s="227">
        <f>'[1]Housing Generation'!T10</f>
        <v>0</v>
      </c>
      <c r="U10" s="227">
        <f>'[1]Housing Generation'!U10</f>
        <v>0</v>
      </c>
      <c r="V10" s="227">
        <f>'[1]Housing Generation'!V10</f>
        <v>0</v>
      </c>
      <c r="W10" s="227">
        <f>'[1]Housing Generation'!W10</f>
        <v>0</v>
      </c>
      <c r="X10" s="227">
        <f>'[1]Housing Generation'!X10</f>
        <v>0</v>
      </c>
      <c r="Y10" s="224">
        <f>'[1]Housing Generation'!Y10</f>
        <v>0</v>
      </c>
      <c r="Z10" s="229">
        <f>'[1]Housing Generation'!Z10</f>
        <v>0</v>
      </c>
      <c r="AA10" s="229">
        <f>'[1]Housing Generation'!AA10</f>
        <v>0</v>
      </c>
      <c r="AB10" s="229">
        <f>'[1]Housing Generation'!AB10</f>
        <v>0</v>
      </c>
      <c r="AC10" s="229">
        <f>'[1]Housing Generation'!AC10</f>
        <v>0</v>
      </c>
      <c r="AD10" s="229">
        <f>'[1]Housing Generation'!AD10</f>
        <v>0</v>
      </c>
      <c r="AE10" s="229">
        <f>'[1]Housing Generation'!AE10</f>
        <v>0</v>
      </c>
      <c r="AF10" s="229">
        <f>'[1]Housing Generation'!AF10</f>
        <v>0</v>
      </c>
      <c r="AG10" s="225">
        <f>'[1]Housing Generation'!AG10</f>
        <v>0</v>
      </c>
      <c r="AH10" s="227">
        <f>'[1]Housing Generation'!AH10</f>
        <v>0</v>
      </c>
      <c r="AI10" s="227">
        <f>'[1]Housing Generation'!AI10</f>
        <v>0</v>
      </c>
      <c r="AJ10" s="227">
        <f>'[1]Housing Generation'!AJ10</f>
        <v>0</v>
      </c>
      <c r="AK10" s="227">
        <f>'[1]Housing Generation'!AK10</f>
        <v>0</v>
      </c>
      <c r="AL10" s="227">
        <f>'[1]Housing Generation'!AL10</f>
        <v>0</v>
      </c>
      <c r="AM10" s="227">
        <f>'[1]Housing Generation'!AM10</f>
        <v>0</v>
      </c>
      <c r="AN10" s="227">
        <f>'[1]Housing Generation'!AN10</f>
        <v>0</v>
      </c>
      <c r="AO10" s="224">
        <f>'[1]Housing Generation'!AO10</f>
        <v>0</v>
      </c>
      <c r="AP10" s="229">
        <f>'[1]Housing Generation'!AP10</f>
        <v>0</v>
      </c>
      <c r="AQ10" s="229">
        <f>'[1]Housing Generation'!AQ10</f>
        <v>0</v>
      </c>
      <c r="AR10" s="229">
        <f>'[1]Housing Generation'!AR10</f>
        <v>0</v>
      </c>
      <c r="AS10" s="229">
        <f>'[1]Housing Generation'!AS10</f>
        <v>0</v>
      </c>
      <c r="AT10" s="229">
        <f>'[1]Housing Generation'!AT10</f>
        <v>0</v>
      </c>
      <c r="AU10" s="229">
        <f>'[1]Housing Generation'!AU10</f>
        <v>0</v>
      </c>
      <c r="AV10" s="229">
        <f>'[1]Housing Generation'!AV10</f>
        <v>0</v>
      </c>
      <c r="AW10" s="225">
        <f>'[1]Housing Generation'!AW10</f>
        <v>0</v>
      </c>
      <c r="AX10" s="227">
        <f>'[1]Housing Generation'!AX10</f>
        <v>1</v>
      </c>
      <c r="AY10" s="227">
        <f>'[1]Housing Generation'!AY10</f>
        <v>1</v>
      </c>
      <c r="AZ10" s="227">
        <f>'[1]Housing Generation'!AZ10</f>
        <v>1</v>
      </c>
      <c r="BA10" s="227">
        <f>'[1]Housing Generation'!BA10</f>
        <v>1</v>
      </c>
      <c r="BB10" s="227">
        <f>'[1]Housing Generation'!BB10</f>
        <v>1</v>
      </c>
      <c r="BC10" s="227">
        <f>'[1]Housing Generation'!BC10</f>
        <v>1</v>
      </c>
      <c r="BD10" s="227">
        <f>'[1]Housing Generation'!BD10</f>
        <v>1</v>
      </c>
      <c r="BE10" s="224">
        <f>'[1]Housing Generation'!BE10</f>
        <v>7</v>
      </c>
      <c r="BF10" s="229">
        <f>'[1]Housing Generation'!BF10</f>
        <v>1</v>
      </c>
      <c r="BG10" s="229">
        <f>'[1]Housing Generation'!BG10</f>
        <v>1</v>
      </c>
      <c r="BH10" s="229">
        <f>'[1]Housing Generation'!BH10</f>
        <v>1</v>
      </c>
      <c r="BI10" s="229">
        <f>'[1]Housing Generation'!BI10</f>
        <v>1</v>
      </c>
      <c r="BJ10" s="229">
        <f>'[1]Housing Generation'!BJ10</f>
        <v>1</v>
      </c>
      <c r="BK10" s="229">
        <f>'[1]Housing Generation'!BK10</f>
        <v>1</v>
      </c>
      <c r="BL10" s="229">
        <f>'[1]Housing Generation'!BL10</f>
        <v>1</v>
      </c>
      <c r="BM10" s="225">
        <f>'[1]Housing Generation'!BM10</f>
        <v>7</v>
      </c>
      <c r="BN10" s="227">
        <f>'[1]Housing Generation'!BN10</f>
        <v>1</v>
      </c>
      <c r="BO10" s="227">
        <f>'[1]Housing Generation'!BO10</f>
        <v>1</v>
      </c>
      <c r="BP10" s="227">
        <f>'[1]Housing Generation'!BP10</f>
        <v>1</v>
      </c>
      <c r="BQ10" s="227">
        <f>'[1]Housing Generation'!BQ10</f>
        <v>1</v>
      </c>
      <c r="BR10" s="227">
        <f>'[1]Housing Generation'!BR10</f>
        <v>1</v>
      </c>
      <c r="BS10" s="227">
        <f>'[1]Housing Generation'!BS10</f>
        <v>1</v>
      </c>
      <c r="BT10" s="227">
        <f>'[1]Housing Generation'!BT10</f>
        <v>1</v>
      </c>
      <c r="BU10" s="224">
        <f>'[1]Housing Generation'!BU10</f>
        <v>7</v>
      </c>
      <c r="BV10" s="229">
        <f>'[1]Housing Generation'!BV10</f>
        <v>1</v>
      </c>
      <c r="BW10" s="229">
        <f>'[1]Housing Generation'!BW10</f>
        <v>1</v>
      </c>
      <c r="BX10" s="229">
        <f>'[1]Housing Generation'!BX10</f>
        <v>1</v>
      </c>
      <c r="BY10" s="229">
        <f>'[1]Housing Generation'!BY10</f>
        <v>1</v>
      </c>
      <c r="BZ10" s="229">
        <f>'[1]Housing Generation'!BZ10</f>
        <v>1</v>
      </c>
      <c r="CA10" s="229">
        <f>'[1]Housing Generation'!CA10</f>
        <v>1</v>
      </c>
      <c r="CB10" s="229">
        <f>'[1]Housing Generation'!CB10</f>
        <v>1</v>
      </c>
      <c r="CC10" s="225">
        <f>'[1]Housing Generation'!CC10</f>
        <v>7</v>
      </c>
      <c r="CD10" s="227">
        <f>'[1]Housing Generation'!CD10</f>
        <v>1</v>
      </c>
      <c r="CE10" s="227">
        <f>'[1]Housing Generation'!CE10</f>
        <v>1</v>
      </c>
      <c r="CF10" s="227">
        <f>'[1]Housing Generation'!CF10</f>
        <v>1</v>
      </c>
      <c r="CG10" s="227">
        <f>'[1]Housing Generation'!CG10</f>
        <v>1</v>
      </c>
      <c r="CH10" s="227">
        <f>'[1]Housing Generation'!CH10</f>
        <v>1</v>
      </c>
      <c r="CI10" s="227">
        <f>'[1]Housing Generation'!CI10</f>
        <v>1</v>
      </c>
      <c r="CJ10" s="227">
        <f>'[1]Housing Generation'!CJ10</f>
        <v>1</v>
      </c>
      <c r="CK10" s="224">
        <f>'[1]Housing Generation'!CK10</f>
        <v>7</v>
      </c>
      <c r="CL10" s="229">
        <f>'[1]Housing Generation'!CL10</f>
        <v>1</v>
      </c>
      <c r="CM10" s="229">
        <f>'[1]Housing Generation'!CM10</f>
        <v>1</v>
      </c>
      <c r="CN10" s="229">
        <f>'[1]Housing Generation'!CN10</f>
        <v>1</v>
      </c>
      <c r="CO10" s="229">
        <f>'[1]Housing Generation'!CO10</f>
        <v>1</v>
      </c>
      <c r="CP10" s="229">
        <f>'[1]Housing Generation'!CP10</f>
        <v>1</v>
      </c>
      <c r="CQ10" s="229">
        <f>'[1]Housing Generation'!CQ10</f>
        <v>1</v>
      </c>
      <c r="CR10" s="229">
        <f>'[1]Housing Generation'!CR10</f>
        <v>1</v>
      </c>
      <c r="CS10" s="225">
        <f>'[1]Housing Generation'!CS10</f>
        <v>7</v>
      </c>
      <c r="CT10" s="227">
        <f>'[1]Housing Generation'!CT10</f>
        <v>1</v>
      </c>
      <c r="CU10" s="227">
        <f>'[1]Housing Generation'!CU10</f>
        <v>1</v>
      </c>
      <c r="CV10" s="227">
        <f>'[1]Housing Generation'!CV10</f>
        <v>1</v>
      </c>
      <c r="CW10" s="227">
        <f>'[1]Housing Generation'!CW10</f>
        <v>1</v>
      </c>
      <c r="CX10" s="227">
        <f>'[1]Housing Generation'!CX10</f>
        <v>1</v>
      </c>
      <c r="CY10" s="227">
        <f>'[1]Housing Generation'!CY10</f>
        <v>1</v>
      </c>
      <c r="CZ10" s="227">
        <f>'[1]Housing Generation'!CZ10</f>
        <v>1</v>
      </c>
      <c r="DA10" s="224">
        <f>'[1]Housing Generation'!DA10</f>
        <v>7</v>
      </c>
      <c r="DB10" s="229">
        <f>'[1]Housing Generation'!DB10</f>
        <v>1</v>
      </c>
      <c r="DC10" s="229">
        <f>'[1]Housing Generation'!DC10</f>
        <v>1</v>
      </c>
      <c r="DD10" s="229">
        <f>'[1]Housing Generation'!DD10</f>
        <v>1</v>
      </c>
      <c r="DE10" s="229">
        <f>'[1]Housing Generation'!DE10</f>
        <v>1</v>
      </c>
      <c r="DF10" s="229">
        <f>'[1]Housing Generation'!DF10</f>
        <v>1</v>
      </c>
      <c r="DG10" s="229">
        <f>'[1]Housing Generation'!DG10</f>
        <v>1</v>
      </c>
      <c r="DH10" s="229">
        <f>'[1]Housing Generation'!DH10</f>
        <v>1</v>
      </c>
      <c r="DI10" s="225">
        <f>'[1]Housing Generation'!DI10</f>
        <v>7</v>
      </c>
      <c r="DJ10" s="227">
        <f>'[1]Housing Generation'!DJ10</f>
        <v>1</v>
      </c>
      <c r="DK10" s="227">
        <f>'[1]Housing Generation'!DK10</f>
        <v>1</v>
      </c>
      <c r="DL10" s="227">
        <f>'[1]Housing Generation'!DL10</f>
        <v>1</v>
      </c>
      <c r="DM10" s="227">
        <f>'[1]Housing Generation'!DM10</f>
        <v>1</v>
      </c>
      <c r="DN10" s="227">
        <f>'[1]Housing Generation'!DN10</f>
        <v>1</v>
      </c>
      <c r="DO10" s="227">
        <f>'[1]Housing Generation'!DO10</f>
        <v>1</v>
      </c>
      <c r="DP10" s="227">
        <f>'[1]Housing Generation'!DP10</f>
        <v>1</v>
      </c>
      <c r="DQ10" s="224">
        <f>'[1]Housing Generation'!DQ10</f>
        <v>7</v>
      </c>
    </row>
    <row r="11" spans="1:121" x14ac:dyDescent="0.2">
      <c r="A11" s="237" t="s">
        <v>12</v>
      </c>
      <c r="B11" s="227">
        <f>'[1]Housing Generation'!B11</f>
        <v>1</v>
      </c>
      <c r="C11" s="227">
        <f>'[1]Housing Generation'!C11</f>
        <v>1</v>
      </c>
      <c r="D11" s="227">
        <f>'[1]Housing Generation'!D11</f>
        <v>1</v>
      </c>
      <c r="E11" s="227">
        <f>'[1]Housing Generation'!E11</f>
        <v>1</v>
      </c>
      <c r="F11" s="227">
        <f>'[1]Housing Generation'!F11</f>
        <v>0</v>
      </c>
      <c r="G11" s="227">
        <f>'[1]Housing Generation'!G11</f>
        <v>0</v>
      </c>
      <c r="H11" s="227">
        <f>'[1]Housing Generation'!H11</f>
        <v>0</v>
      </c>
      <c r="I11" s="224">
        <f>'[1]Housing Generation'!I11</f>
        <v>4</v>
      </c>
      <c r="J11" s="229">
        <f>'[1]Housing Generation'!J11</f>
        <v>0</v>
      </c>
      <c r="K11" s="229">
        <f>'[1]Housing Generation'!K11</f>
        <v>0</v>
      </c>
      <c r="L11" s="229">
        <f>'[1]Housing Generation'!L11</f>
        <v>0</v>
      </c>
      <c r="M11" s="229">
        <f>'[1]Housing Generation'!M11</f>
        <v>0</v>
      </c>
      <c r="N11" s="229">
        <f>'[1]Housing Generation'!N11</f>
        <v>0</v>
      </c>
      <c r="O11" s="229">
        <f>'[1]Housing Generation'!O11</f>
        <v>0</v>
      </c>
      <c r="P11" s="229">
        <f>'[1]Housing Generation'!P11</f>
        <v>0</v>
      </c>
      <c r="Q11" s="225">
        <f>'[1]Housing Generation'!Q11</f>
        <v>0</v>
      </c>
      <c r="R11" s="227">
        <f>'[1]Housing Generation'!R11</f>
        <v>0</v>
      </c>
      <c r="S11" s="227">
        <f>'[1]Housing Generation'!S11</f>
        <v>0</v>
      </c>
      <c r="T11" s="227">
        <f>'[1]Housing Generation'!T11</f>
        <v>0</v>
      </c>
      <c r="U11" s="227">
        <f>'[1]Housing Generation'!U11</f>
        <v>0</v>
      </c>
      <c r="V11" s="227">
        <f>'[1]Housing Generation'!V11</f>
        <v>0</v>
      </c>
      <c r="W11" s="227">
        <f>'[1]Housing Generation'!W11</f>
        <v>0</v>
      </c>
      <c r="X11" s="227">
        <f>'[1]Housing Generation'!X11</f>
        <v>0</v>
      </c>
      <c r="Y11" s="224">
        <f>'[1]Housing Generation'!Y11</f>
        <v>0</v>
      </c>
      <c r="Z11" s="229">
        <f>'[1]Housing Generation'!Z11</f>
        <v>0</v>
      </c>
      <c r="AA11" s="229">
        <f>'[1]Housing Generation'!AA11</f>
        <v>0</v>
      </c>
      <c r="AB11" s="229">
        <f>'[1]Housing Generation'!AB11</f>
        <v>0</v>
      </c>
      <c r="AC11" s="229">
        <f>'[1]Housing Generation'!AC11</f>
        <v>0</v>
      </c>
      <c r="AD11" s="229">
        <f>'[1]Housing Generation'!AD11</f>
        <v>0</v>
      </c>
      <c r="AE11" s="229">
        <f>'[1]Housing Generation'!AE11</f>
        <v>0</v>
      </c>
      <c r="AF11" s="229">
        <f>'[1]Housing Generation'!AF11</f>
        <v>0</v>
      </c>
      <c r="AG11" s="225">
        <f>'[1]Housing Generation'!AG11</f>
        <v>0</v>
      </c>
      <c r="AH11" s="227">
        <f>'[1]Housing Generation'!AH11</f>
        <v>0</v>
      </c>
      <c r="AI11" s="227">
        <f>'[1]Housing Generation'!AI11</f>
        <v>0</v>
      </c>
      <c r="AJ11" s="227">
        <f>'[1]Housing Generation'!AJ11</f>
        <v>0</v>
      </c>
      <c r="AK11" s="227">
        <f>'[1]Housing Generation'!AK11</f>
        <v>0</v>
      </c>
      <c r="AL11" s="227">
        <f>'[1]Housing Generation'!AL11</f>
        <v>0</v>
      </c>
      <c r="AM11" s="227">
        <f>'[1]Housing Generation'!AM11</f>
        <v>0</v>
      </c>
      <c r="AN11" s="227">
        <f>'[1]Housing Generation'!AN11</f>
        <v>0</v>
      </c>
      <c r="AO11" s="224">
        <f>'[1]Housing Generation'!AO11</f>
        <v>0</v>
      </c>
      <c r="AP11" s="229">
        <f>'[1]Housing Generation'!AP11</f>
        <v>0</v>
      </c>
      <c r="AQ11" s="229">
        <f>'[1]Housing Generation'!AQ11</f>
        <v>0</v>
      </c>
      <c r="AR11" s="229">
        <f>'[1]Housing Generation'!AR11</f>
        <v>0</v>
      </c>
      <c r="AS11" s="229">
        <f>'[1]Housing Generation'!AS11</f>
        <v>0</v>
      </c>
      <c r="AT11" s="229">
        <f>'[1]Housing Generation'!AT11</f>
        <v>0</v>
      </c>
      <c r="AU11" s="229">
        <f>'[1]Housing Generation'!AU11</f>
        <v>0</v>
      </c>
      <c r="AV11" s="229">
        <f>'[1]Housing Generation'!AV11</f>
        <v>0</v>
      </c>
      <c r="AW11" s="225">
        <f>'[1]Housing Generation'!AW11</f>
        <v>0</v>
      </c>
      <c r="AX11" s="227">
        <f>'[1]Housing Generation'!AX11</f>
        <v>0</v>
      </c>
      <c r="AY11" s="227">
        <f>'[1]Housing Generation'!AY11</f>
        <v>0</v>
      </c>
      <c r="AZ11" s="227">
        <f>'[1]Housing Generation'!AZ11</f>
        <v>0</v>
      </c>
      <c r="BA11" s="227">
        <f>'[1]Housing Generation'!BA11</f>
        <v>0</v>
      </c>
      <c r="BB11" s="227">
        <f>'[1]Housing Generation'!BB11</f>
        <v>0</v>
      </c>
      <c r="BC11" s="227">
        <f>'[1]Housing Generation'!BC11</f>
        <v>0</v>
      </c>
      <c r="BD11" s="227">
        <f>'[1]Housing Generation'!BD11</f>
        <v>0</v>
      </c>
      <c r="BE11" s="224">
        <f>'[1]Housing Generation'!BE11</f>
        <v>0</v>
      </c>
      <c r="BF11" s="229">
        <f>'[1]Housing Generation'!BF11</f>
        <v>0</v>
      </c>
      <c r="BG11" s="229">
        <f>'[1]Housing Generation'!BG11</f>
        <v>0</v>
      </c>
      <c r="BH11" s="229">
        <f>'[1]Housing Generation'!BH11</f>
        <v>0</v>
      </c>
      <c r="BI11" s="229">
        <f>'[1]Housing Generation'!BI11</f>
        <v>0</v>
      </c>
      <c r="BJ11" s="229">
        <f>'[1]Housing Generation'!BJ11</f>
        <v>0</v>
      </c>
      <c r="BK11" s="229">
        <f>'[1]Housing Generation'!BK11</f>
        <v>0</v>
      </c>
      <c r="BL11" s="229">
        <f>'[1]Housing Generation'!BL11</f>
        <v>0</v>
      </c>
      <c r="BM11" s="225">
        <f>'[1]Housing Generation'!BM11</f>
        <v>0</v>
      </c>
      <c r="BN11" s="227">
        <f>'[1]Housing Generation'!BN11</f>
        <v>0</v>
      </c>
      <c r="BO11" s="227">
        <f>'[1]Housing Generation'!BO11</f>
        <v>0</v>
      </c>
      <c r="BP11" s="227">
        <f>'[1]Housing Generation'!BP11</f>
        <v>0</v>
      </c>
      <c r="BQ11" s="227">
        <f>'[1]Housing Generation'!BQ11</f>
        <v>0</v>
      </c>
      <c r="BR11" s="227">
        <f>'[1]Housing Generation'!BR11</f>
        <v>0</v>
      </c>
      <c r="BS11" s="227">
        <f>'[1]Housing Generation'!BS11</f>
        <v>0</v>
      </c>
      <c r="BT11" s="227">
        <f>'[1]Housing Generation'!BT11</f>
        <v>0</v>
      </c>
      <c r="BU11" s="224">
        <f>'[1]Housing Generation'!BU11</f>
        <v>0</v>
      </c>
      <c r="BV11" s="229">
        <f>'[1]Housing Generation'!BV11</f>
        <v>0</v>
      </c>
      <c r="BW11" s="229">
        <f>'[1]Housing Generation'!BW11</f>
        <v>0</v>
      </c>
      <c r="BX11" s="229">
        <f>'[1]Housing Generation'!BX11</f>
        <v>0</v>
      </c>
      <c r="BY11" s="229">
        <f>'[1]Housing Generation'!BY11</f>
        <v>0</v>
      </c>
      <c r="BZ11" s="229">
        <f>'[1]Housing Generation'!BZ11</f>
        <v>0</v>
      </c>
      <c r="CA11" s="229">
        <f>'[1]Housing Generation'!CA11</f>
        <v>0</v>
      </c>
      <c r="CB11" s="229">
        <f>'[1]Housing Generation'!CB11</f>
        <v>0</v>
      </c>
      <c r="CC11" s="225">
        <f>'[1]Housing Generation'!CC11</f>
        <v>0</v>
      </c>
      <c r="CD11" s="227">
        <f>'[1]Housing Generation'!CD11</f>
        <v>0</v>
      </c>
      <c r="CE11" s="227">
        <f>'[1]Housing Generation'!CE11</f>
        <v>0</v>
      </c>
      <c r="CF11" s="227">
        <f>'[1]Housing Generation'!CF11</f>
        <v>0</v>
      </c>
      <c r="CG11" s="227">
        <f>'[1]Housing Generation'!CG11</f>
        <v>0</v>
      </c>
      <c r="CH11" s="227">
        <f>'[1]Housing Generation'!CH11</f>
        <v>0</v>
      </c>
      <c r="CI11" s="227">
        <f>'[1]Housing Generation'!CI11</f>
        <v>0</v>
      </c>
      <c r="CJ11" s="227">
        <f>'[1]Housing Generation'!CJ11</f>
        <v>0</v>
      </c>
      <c r="CK11" s="224">
        <f>'[1]Housing Generation'!CK11</f>
        <v>0</v>
      </c>
      <c r="CL11" s="229">
        <f>'[1]Housing Generation'!CL11</f>
        <v>0</v>
      </c>
      <c r="CM11" s="229">
        <f>'[1]Housing Generation'!CM11</f>
        <v>0</v>
      </c>
      <c r="CN11" s="229">
        <f>'[1]Housing Generation'!CN11</f>
        <v>0</v>
      </c>
      <c r="CO11" s="229">
        <f>'[1]Housing Generation'!CO11</f>
        <v>0</v>
      </c>
      <c r="CP11" s="229">
        <f>'[1]Housing Generation'!CP11</f>
        <v>0</v>
      </c>
      <c r="CQ11" s="229">
        <f>'[1]Housing Generation'!CQ11</f>
        <v>0</v>
      </c>
      <c r="CR11" s="229">
        <f>'[1]Housing Generation'!CR11</f>
        <v>0</v>
      </c>
      <c r="CS11" s="225">
        <f>'[1]Housing Generation'!CS11</f>
        <v>0</v>
      </c>
      <c r="CT11" s="227">
        <f>'[1]Housing Generation'!CT11</f>
        <v>0</v>
      </c>
      <c r="CU11" s="227">
        <f>'[1]Housing Generation'!CU11</f>
        <v>0</v>
      </c>
      <c r="CV11" s="227">
        <f>'[1]Housing Generation'!CV11</f>
        <v>0</v>
      </c>
      <c r="CW11" s="227">
        <f>'[1]Housing Generation'!CW11</f>
        <v>0</v>
      </c>
      <c r="CX11" s="227">
        <f>'[1]Housing Generation'!CX11</f>
        <v>0</v>
      </c>
      <c r="CY11" s="227">
        <f>'[1]Housing Generation'!CY11</f>
        <v>0</v>
      </c>
      <c r="CZ11" s="227">
        <f>'[1]Housing Generation'!CZ11</f>
        <v>0</v>
      </c>
      <c r="DA11" s="224">
        <f>'[1]Housing Generation'!DA11</f>
        <v>0</v>
      </c>
      <c r="DB11" s="229">
        <f>'[1]Housing Generation'!DB11</f>
        <v>0</v>
      </c>
      <c r="DC11" s="229">
        <f>'[1]Housing Generation'!DC11</f>
        <v>0</v>
      </c>
      <c r="DD11" s="229">
        <f>'[1]Housing Generation'!DD11</f>
        <v>0</v>
      </c>
      <c r="DE11" s="229">
        <f>'[1]Housing Generation'!DE11</f>
        <v>0</v>
      </c>
      <c r="DF11" s="229">
        <f>'[1]Housing Generation'!DF11</f>
        <v>0</v>
      </c>
      <c r="DG11" s="229">
        <f>'[1]Housing Generation'!DG11</f>
        <v>0</v>
      </c>
      <c r="DH11" s="229">
        <f>'[1]Housing Generation'!DH11</f>
        <v>0</v>
      </c>
      <c r="DI11" s="225">
        <f>'[1]Housing Generation'!DI11</f>
        <v>0</v>
      </c>
      <c r="DJ11" s="227">
        <f>'[1]Housing Generation'!DJ11</f>
        <v>0</v>
      </c>
      <c r="DK11" s="227">
        <f>'[1]Housing Generation'!DK11</f>
        <v>0</v>
      </c>
      <c r="DL11" s="227">
        <f>'[1]Housing Generation'!DL11</f>
        <v>0</v>
      </c>
      <c r="DM11" s="227">
        <f>'[1]Housing Generation'!DM11</f>
        <v>0</v>
      </c>
      <c r="DN11" s="227">
        <f>'[1]Housing Generation'!DN11</f>
        <v>0</v>
      </c>
      <c r="DO11" s="227">
        <f>'[1]Housing Generation'!DO11</f>
        <v>0</v>
      </c>
      <c r="DP11" s="227">
        <f>'[1]Housing Generation'!DP11</f>
        <v>0</v>
      </c>
      <c r="DQ11" s="224">
        <f>'[1]Housing Generation'!DQ11</f>
        <v>0</v>
      </c>
    </row>
    <row r="12" spans="1:121" x14ac:dyDescent="0.2">
      <c r="A12" s="237" t="s">
        <v>13</v>
      </c>
      <c r="B12" s="227">
        <f>'[1]Housing Generation'!B12</f>
        <v>0</v>
      </c>
      <c r="C12" s="227">
        <f>'[1]Housing Generation'!C12</f>
        <v>0</v>
      </c>
      <c r="D12" s="227">
        <f>'[1]Housing Generation'!D12</f>
        <v>0</v>
      </c>
      <c r="E12" s="227">
        <f>'[1]Housing Generation'!E12</f>
        <v>0</v>
      </c>
      <c r="F12" s="227">
        <f>'[1]Housing Generation'!F12</f>
        <v>0</v>
      </c>
      <c r="G12" s="227">
        <f>'[1]Housing Generation'!G12</f>
        <v>0</v>
      </c>
      <c r="H12" s="227">
        <f>'[1]Housing Generation'!H12</f>
        <v>0</v>
      </c>
      <c r="I12" s="224">
        <f>'[1]Housing Generation'!I12</f>
        <v>0</v>
      </c>
      <c r="J12" s="229">
        <f>'[1]Housing Generation'!J12</f>
        <v>1</v>
      </c>
      <c r="K12" s="229">
        <f>'[1]Housing Generation'!K12</f>
        <v>1</v>
      </c>
      <c r="L12" s="229">
        <f>'[1]Housing Generation'!L12</f>
        <v>0</v>
      </c>
      <c r="M12" s="229">
        <f>'[1]Housing Generation'!M12</f>
        <v>0</v>
      </c>
      <c r="N12" s="229">
        <f>'[1]Housing Generation'!N12</f>
        <v>0</v>
      </c>
      <c r="O12" s="229">
        <f>'[1]Housing Generation'!O12</f>
        <v>0</v>
      </c>
      <c r="P12" s="229">
        <f>'[1]Housing Generation'!P12</f>
        <v>0</v>
      </c>
      <c r="Q12" s="225">
        <f>'[1]Housing Generation'!Q12</f>
        <v>2</v>
      </c>
      <c r="R12" s="227">
        <f>'[1]Housing Generation'!R12</f>
        <v>1</v>
      </c>
      <c r="S12" s="227">
        <f>'[1]Housing Generation'!S12</f>
        <v>1</v>
      </c>
      <c r="T12" s="227">
        <f>'[1]Housing Generation'!T12</f>
        <v>1</v>
      </c>
      <c r="U12" s="227">
        <f>'[1]Housing Generation'!U12</f>
        <v>1</v>
      </c>
      <c r="V12" s="227">
        <f>'[1]Housing Generation'!V12</f>
        <v>1</v>
      </c>
      <c r="W12" s="227">
        <f>'[1]Housing Generation'!W12</f>
        <v>1</v>
      </c>
      <c r="X12" s="227">
        <f>'[1]Housing Generation'!X12</f>
        <v>0</v>
      </c>
      <c r="Y12" s="224">
        <f>'[1]Housing Generation'!Y12</f>
        <v>6</v>
      </c>
      <c r="Z12" s="229">
        <f>'[1]Housing Generation'!Z12</f>
        <v>1</v>
      </c>
      <c r="AA12" s="229">
        <f>'[1]Housing Generation'!AA12</f>
        <v>1</v>
      </c>
      <c r="AB12" s="229">
        <f>'[1]Housing Generation'!AB12</f>
        <v>1</v>
      </c>
      <c r="AC12" s="229">
        <f>'[1]Housing Generation'!AC12</f>
        <v>1</v>
      </c>
      <c r="AD12" s="229">
        <f>'[1]Housing Generation'!AD12</f>
        <v>1</v>
      </c>
      <c r="AE12" s="229">
        <f>'[1]Housing Generation'!AE12</f>
        <v>1</v>
      </c>
      <c r="AF12" s="229">
        <f>'[1]Housing Generation'!AF12</f>
        <v>1</v>
      </c>
      <c r="AG12" s="225">
        <f>'[1]Housing Generation'!AG12</f>
        <v>7</v>
      </c>
      <c r="AH12" s="227">
        <f>'[1]Housing Generation'!AH12</f>
        <v>1</v>
      </c>
      <c r="AI12" s="227">
        <f>'[1]Housing Generation'!AI12</f>
        <v>1</v>
      </c>
      <c r="AJ12" s="227">
        <f>'[1]Housing Generation'!AJ12</f>
        <v>1</v>
      </c>
      <c r="AK12" s="227">
        <f>'[1]Housing Generation'!AK12</f>
        <v>1</v>
      </c>
      <c r="AL12" s="227">
        <f>'[1]Housing Generation'!AL12</f>
        <v>1</v>
      </c>
      <c r="AM12" s="227">
        <f>'[1]Housing Generation'!AM12</f>
        <v>1</v>
      </c>
      <c r="AN12" s="227">
        <f>'[1]Housing Generation'!AN12</f>
        <v>1</v>
      </c>
      <c r="AO12" s="224">
        <f>'[1]Housing Generation'!AO12</f>
        <v>7</v>
      </c>
      <c r="AP12" s="229">
        <f>'[1]Housing Generation'!AP12</f>
        <v>1</v>
      </c>
      <c r="AQ12" s="229">
        <f>'[1]Housing Generation'!AQ12</f>
        <v>1</v>
      </c>
      <c r="AR12" s="229">
        <f>'[1]Housing Generation'!AR12</f>
        <v>1</v>
      </c>
      <c r="AS12" s="229">
        <f>'[1]Housing Generation'!AS12</f>
        <v>1</v>
      </c>
      <c r="AT12" s="229">
        <f>'[1]Housing Generation'!AT12</f>
        <v>1</v>
      </c>
      <c r="AU12" s="229">
        <f>'[1]Housing Generation'!AU12</f>
        <v>1</v>
      </c>
      <c r="AV12" s="229">
        <f>'[1]Housing Generation'!AV12</f>
        <v>1</v>
      </c>
      <c r="AW12" s="225">
        <f>'[1]Housing Generation'!AW12</f>
        <v>7</v>
      </c>
      <c r="AX12" s="227">
        <f>'[1]Housing Generation'!AX12</f>
        <v>1</v>
      </c>
      <c r="AY12" s="227">
        <f>'[1]Housing Generation'!AY12</f>
        <v>1</v>
      </c>
      <c r="AZ12" s="227">
        <f>'[1]Housing Generation'!AZ12</f>
        <v>1</v>
      </c>
      <c r="BA12" s="227">
        <f>'[1]Housing Generation'!BA12</f>
        <v>1</v>
      </c>
      <c r="BB12" s="227">
        <f>'[1]Housing Generation'!BB12</f>
        <v>1</v>
      </c>
      <c r="BC12" s="227">
        <f>'[1]Housing Generation'!BC12</f>
        <v>1</v>
      </c>
      <c r="BD12" s="227">
        <f>'[1]Housing Generation'!BD12</f>
        <v>1</v>
      </c>
      <c r="BE12" s="224">
        <f>'[1]Housing Generation'!BE12</f>
        <v>7</v>
      </c>
      <c r="BF12" s="229">
        <f>'[1]Housing Generation'!BF12</f>
        <v>1</v>
      </c>
      <c r="BG12" s="229">
        <f>'[1]Housing Generation'!BG12</f>
        <v>1</v>
      </c>
      <c r="BH12" s="229">
        <f>'[1]Housing Generation'!BH12</f>
        <v>1</v>
      </c>
      <c r="BI12" s="229">
        <f>'[1]Housing Generation'!BI12</f>
        <v>1</v>
      </c>
      <c r="BJ12" s="229">
        <f>'[1]Housing Generation'!BJ12</f>
        <v>1</v>
      </c>
      <c r="BK12" s="229">
        <f>'[1]Housing Generation'!BK12</f>
        <v>1</v>
      </c>
      <c r="BL12" s="229">
        <f>'[1]Housing Generation'!BL12</f>
        <v>1</v>
      </c>
      <c r="BM12" s="225">
        <f>'[1]Housing Generation'!BM12</f>
        <v>7</v>
      </c>
      <c r="BN12" s="227">
        <f>'[1]Housing Generation'!BN12</f>
        <v>1</v>
      </c>
      <c r="BO12" s="227">
        <f>'[1]Housing Generation'!BO12</f>
        <v>1</v>
      </c>
      <c r="BP12" s="227">
        <f>'[1]Housing Generation'!BP12</f>
        <v>1</v>
      </c>
      <c r="BQ12" s="227">
        <f>'[1]Housing Generation'!BQ12</f>
        <v>1</v>
      </c>
      <c r="BR12" s="227">
        <f>'[1]Housing Generation'!BR12</f>
        <v>1</v>
      </c>
      <c r="BS12" s="227">
        <f>'[1]Housing Generation'!BS12</f>
        <v>1</v>
      </c>
      <c r="BT12" s="227">
        <f>'[1]Housing Generation'!BT12</f>
        <v>1</v>
      </c>
      <c r="BU12" s="224">
        <f>'[1]Housing Generation'!BU12</f>
        <v>7</v>
      </c>
      <c r="BV12" s="229">
        <f>'[1]Housing Generation'!BV12</f>
        <v>1</v>
      </c>
      <c r="BW12" s="229">
        <f>'[1]Housing Generation'!BW12</f>
        <v>1</v>
      </c>
      <c r="BX12" s="229">
        <f>'[1]Housing Generation'!BX12</f>
        <v>1</v>
      </c>
      <c r="BY12" s="229">
        <f>'[1]Housing Generation'!BY12</f>
        <v>1</v>
      </c>
      <c r="BZ12" s="229">
        <f>'[1]Housing Generation'!BZ12</f>
        <v>1</v>
      </c>
      <c r="CA12" s="229">
        <f>'[1]Housing Generation'!CA12</f>
        <v>1</v>
      </c>
      <c r="CB12" s="229">
        <f>'[1]Housing Generation'!CB12</f>
        <v>1</v>
      </c>
      <c r="CC12" s="225">
        <f>'[1]Housing Generation'!CC12</f>
        <v>7</v>
      </c>
      <c r="CD12" s="227">
        <f>'[1]Housing Generation'!CD12</f>
        <v>1</v>
      </c>
      <c r="CE12" s="227">
        <f>'[1]Housing Generation'!CE12</f>
        <v>1</v>
      </c>
      <c r="CF12" s="227">
        <f>'[1]Housing Generation'!CF12</f>
        <v>1</v>
      </c>
      <c r="CG12" s="227">
        <f>'[1]Housing Generation'!CG12</f>
        <v>1</v>
      </c>
      <c r="CH12" s="227">
        <f>'[1]Housing Generation'!CH12</f>
        <v>1</v>
      </c>
      <c r="CI12" s="227">
        <f>'[1]Housing Generation'!CI12</f>
        <v>1</v>
      </c>
      <c r="CJ12" s="227">
        <f>'[1]Housing Generation'!CJ12</f>
        <v>1</v>
      </c>
      <c r="CK12" s="224">
        <f>'[1]Housing Generation'!CK12</f>
        <v>7</v>
      </c>
      <c r="CL12" s="229">
        <f>'[1]Housing Generation'!CL12</f>
        <v>1</v>
      </c>
      <c r="CM12" s="229">
        <f>'[1]Housing Generation'!CM12</f>
        <v>1</v>
      </c>
      <c r="CN12" s="229">
        <f>'[1]Housing Generation'!CN12</f>
        <v>1</v>
      </c>
      <c r="CO12" s="229">
        <f>'[1]Housing Generation'!CO12</f>
        <v>1</v>
      </c>
      <c r="CP12" s="229">
        <f>'[1]Housing Generation'!CP12</f>
        <v>1</v>
      </c>
      <c r="CQ12" s="229">
        <f>'[1]Housing Generation'!CQ12</f>
        <v>1</v>
      </c>
      <c r="CR12" s="229">
        <f>'[1]Housing Generation'!CR12</f>
        <v>1</v>
      </c>
      <c r="CS12" s="225">
        <f>'[1]Housing Generation'!CS12</f>
        <v>7</v>
      </c>
      <c r="CT12" s="227">
        <f>'[1]Housing Generation'!CT12</f>
        <v>1</v>
      </c>
      <c r="CU12" s="227">
        <f>'[1]Housing Generation'!CU12</f>
        <v>1</v>
      </c>
      <c r="CV12" s="227">
        <f>'[1]Housing Generation'!CV12</f>
        <v>1</v>
      </c>
      <c r="CW12" s="227">
        <f>'[1]Housing Generation'!CW12</f>
        <v>1</v>
      </c>
      <c r="CX12" s="227">
        <f>'[1]Housing Generation'!CX12</f>
        <v>1</v>
      </c>
      <c r="CY12" s="227">
        <f>'[1]Housing Generation'!CY12</f>
        <v>1</v>
      </c>
      <c r="CZ12" s="227">
        <f>'[1]Housing Generation'!CZ12</f>
        <v>1</v>
      </c>
      <c r="DA12" s="224">
        <f>'[1]Housing Generation'!DA12</f>
        <v>7</v>
      </c>
      <c r="DB12" s="229">
        <f>'[1]Housing Generation'!DB12</f>
        <v>1</v>
      </c>
      <c r="DC12" s="229">
        <f>'[1]Housing Generation'!DC12</f>
        <v>1</v>
      </c>
      <c r="DD12" s="229">
        <f>'[1]Housing Generation'!DD12</f>
        <v>1</v>
      </c>
      <c r="DE12" s="229">
        <f>'[1]Housing Generation'!DE12</f>
        <v>1</v>
      </c>
      <c r="DF12" s="229">
        <f>'[1]Housing Generation'!DF12</f>
        <v>1</v>
      </c>
      <c r="DG12" s="229">
        <f>'[1]Housing Generation'!DG12</f>
        <v>1</v>
      </c>
      <c r="DH12" s="229">
        <f>'[1]Housing Generation'!DH12</f>
        <v>1</v>
      </c>
      <c r="DI12" s="225">
        <f>'[1]Housing Generation'!DI12</f>
        <v>7</v>
      </c>
      <c r="DJ12" s="227">
        <f>'[1]Housing Generation'!DJ12</f>
        <v>1</v>
      </c>
      <c r="DK12" s="227">
        <f>'[1]Housing Generation'!DK12</f>
        <v>1</v>
      </c>
      <c r="DL12" s="227">
        <f>'[1]Housing Generation'!DL12</f>
        <v>1</v>
      </c>
      <c r="DM12" s="227">
        <f>'[1]Housing Generation'!DM12</f>
        <v>1</v>
      </c>
      <c r="DN12" s="227">
        <f>'[1]Housing Generation'!DN12</f>
        <v>1</v>
      </c>
      <c r="DO12" s="227">
        <f>'[1]Housing Generation'!DO12</f>
        <v>1</v>
      </c>
      <c r="DP12" s="227">
        <f>'[1]Housing Generation'!DP12</f>
        <v>1</v>
      </c>
      <c r="DQ12" s="224">
        <f>'[1]Housing Generation'!DQ12</f>
        <v>7</v>
      </c>
    </row>
    <row r="13" spans="1:121" x14ac:dyDescent="0.2">
      <c r="A13" s="237" t="s">
        <v>14</v>
      </c>
      <c r="B13" s="227">
        <f>'[1]Housing Generation'!B13</f>
        <v>1</v>
      </c>
      <c r="C13" s="227">
        <f>'[1]Housing Generation'!C13</f>
        <v>1</v>
      </c>
      <c r="D13" s="227">
        <f>'[1]Housing Generation'!D13</f>
        <v>0</v>
      </c>
      <c r="E13" s="227">
        <f>'[1]Housing Generation'!E13</f>
        <v>0</v>
      </c>
      <c r="F13" s="227">
        <f>'[1]Housing Generation'!F13</f>
        <v>0</v>
      </c>
      <c r="G13" s="227">
        <f>'[1]Housing Generation'!G13</f>
        <v>0</v>
      </c>
      <c r="H13" s="227">
        <f>'[1]Housing Generation'!H13</f>
        <v>0</v>
      </c>
      <c r="I13" s="224">
        <f>'[1]Housing Generation'!I13</f>
        <v>2</v>
      </c>
      <c r="J13" s="229">
        <f>'[1]Housing Generation'!J13</f>
        <v>0</v>
      </c>
      <c r="K13" s="229">
        <f>'[1]Housing Generation'!K13</f>
        <v>0</v>
      </c>
      <c r="L13" s="229">
        <f>'[1]Housing Generation'!L13</f>
        <v>0</v>
      </c>
      <c r="M13" s="229">
        <f>'[1]Housing Generation'!M13</f>
        <v>0</v>
      </c>
      <c r="N13" s="229">
        <f>'[1]Housing Generation'!N13</f>
        <v>0</v>
      </c>
      <c r="O13" s="229">
        <f>'[1]Housing Generation'!O13</f>
        <v>0</v>
      </c>
      <c r="P13" s="229">
        <f>'[1]Housing Generation'!P13</f>
        <v>0</v>
      </c>
      <c r="Q13" s="225">
        <f>'[1]Housing Generation'!Q13</f>
        <v>0</v>
      </c>
      <c r="R13" s="227">
        <f>'[1]Housing Generation'!R13</f>
        <v>0</v>
      </c>
      <c r="S13" s="227">
        <f>'[1]Housing Generation'!S13</f>
        <v>0</v>
      </c>
      <c r="T13" s="227">
        <f>'[1]Housing Generation'!T13</f>
        <v>0</v>
      </c>
      <c r="U13" s="227">
        <f>'[1]Housing Generation'!U13</f>
        <v>0</v>
      </c>
      <c r="V13" s="227">
        <f>'[1]Housing Generation'!V13</f>
        <v>0</v>
      </c>
      <c r="W13" s="227">
        <f>'[1]Housing Generation'!W13</f>
        <v>0</v>
      </c>
      <c r="X13" s="227">
        <f>'[1]Housing Generation'!X13</f>
        <v>0</v>
      </c>
      <c r="Y13" s="224">
        <f>'[1]Housing Generation'!Y13</f>
        <v>0</v>
      </c>
      <c r="Z13" s="229">
        <f>'[1]Housing Generation'!Z13</f>
        <v>0</v>
      </c>
      <c r="AA13" s="229">
        <f>'[1]Housing Generation'!AA13</f>
        <v>0</v>
      </c>
      <c r="AB13" s="229">
        <f>'[1]Housing Generation'!AB13</f>
        <v>0</v>
      </c>
      <c r="AC13" s="229">
        <f>'[1]Housing Generation'!AC13</f>
        <v>0</v>
      </c>
      <c r="AD13" s="229">
        <f>'[1]Housing Generation'!AD13</f>
        <v>0</v>
      </c>
      <c r="AE13" s="229">
        <f>'[1]Housing Generation'!AE13</f>
        <v>0</v>
      </c>
      <c r="AF13" s="229">
        <f>'[1]Housing Generation'!AF13</f>
        <v>0</v>
      </c>
      <c r="AG13" s="225">
        <f>'[1]Housing Generation'!AG13</f>
        <v>0</v>
      </c>
      <c r="AH13" s="227">
        <f>'[1]Housing Generation'!AH13</f>
        <v>0</v>
      </c>
      <c r="AI13" s="227">
        <f>'[1]Housing Generation'!AI13</f>
        <v>0</v>
      </c>
      <c r="AJ13" s="227">
        <f>'[1]Housing Generation'!AJ13</f>
        <v>0</v>
      </c>
      <c r="AK13" s="227">
        <f>'[1]Housing Generation'!AK13</f>
        <v>0</v>
      </c>
      <c r="AL13" s="227">
        <f>'[1]Housing Generation'!AL13</f>
        <v>0</v>
      </c>
      <c r="AM13" s="227">
        <f>'[1]Housing Generation'!AM13</f>
        <v>0</v>
      </c>
      <c r="AN13" s="227">
        <f>'[1]Housing Generation'!AN13</f>
        <v>0</v>
      </c>
      <c r="AO13" s="224">
        <f>'[1]Housing Generation'!AO13</f>
        <v>0</v>
      </c>
      <c r="AP13" s="229">
        <f>'[1]Housing Generation'!AP13</f>
        <v>0</v>
      </c>
      <c r="AQ13" s="229">
        <f>'[1]Housing Generation'!AQ13</f>
        <v>0</v>
      </c>
      <c r="AR13" s="229">
        <f>'[1]Housing Generation'!AR13</f>
        <v>0</v>
      </c>
      <c r="AS13" s="229">
        <f>'[1]Housing Generation'!AS13</f>
        <v>0</v>
      </c>
      <c r="AT13" s="229">
        <f>'[1]Housing Generation'!AT13</f>
        <v>0</v>
      </c>
      <c r="AU13" s="229">
        <f>'[1]Housing Generation'!AU13</f>
        <v>0</v>
      </c>
      <c r="AV13" s="229">
        <f>'[1]Housing Generation'!AV13</f>
        <v>0</v>
      </c>
      <c r="AW13" s="225">
        <f>'[1]Housing Generation'!AW13</f>
        <v>0</v>
      </c>
      <c r="AX13" s="227">
        <f>'[1]Housing Generation'!AX13</f>
        <v>0</v>
      </c>
      <c r="AY13" s="227">
        <f>'[1]Housing Generation'!AY13</f>
        <v>0</v>
      </c>
      <c r="AZ13" s="227">
        <f>'[1]Housing Generation'!AZ13</f>
        <v>0</v>
      </c>
      <c r="BA13" s="227">
        <f>'[1]Housing Generation'!BA13</f>
        <v>0</v>
      </c>
      <c r="BB13" s="227">
        <f>'[1]Housing Generation'!BB13</f>
        <v>0</v>
      </c>
      <c r="BC13" s="227">
        <f>'[1]Housing Generation'!BC13</f>
        <v>0</v>
      </c>
      <c r="BD13" s="227">
        <f>'[1]Housing Generation'!BD13</f>
        <v>0</v>
      </c>
      <c r="BE13" s="224">
        <f>'[1]Housing Generation'!BE13</f>
        <v>0</v>
      </c>
      <c r="BF13" s="229">
        <f>'[1]Housing Generation'!BF13</f>
        <v>0</v>
      </c>
      <c r="BG13" s="229">
        <f>'[1]Housing Generation'!BG13</f>
        <v>0</v>
      </c>
      <c r="BH13" s="229">
        <f>'[1]Housing Generation'!BH13</f>
        <v>0</v>
      </c>
      <c r="BI13" s="229">
        <f>'[1]Housing Generation'!BI13</f>
        <v>0</v>
      </c>
      <c r="BJ13" s="229">
        <f>'[1]Housing Generation'!BJ13</f>
        <v>0</v>
      </c>
      <c r="BK13" s="229">
        <f>'[1]Housing Generation'!BK13</f>
        <v>0</v>
      </c>
      <c r="BL13" s="229">
        <f>'[1]Housing Generation'!BL13</f>
        <v>0</v>
      </c>
      <c r="BM13" s="225">
        <f>'[1]Housing Generation'!BM13</f>
        <v>0</v>
      </c>
      <c r="BN13" s="227">
        <f>'[1]Housing Generation'!BN13</f>
        <v>0</v>
      </c>
      <c r="BO13" s="227">
        <f>'[1]Housing Generation'!BO13</f>
        <v>0</v>
      </c>
      <c r="BP13" s="227">
        <f>'[1]Housing Generation'!BP13</f>
        <v>0</v>
      </c>
      <c r="BQ13" s="227">
        <f>'[1]Housing Generation'!BQ13</f>
        <v>0</v>
      </c>
      <c r="BR13" s="227">
        <f>'[1]Housing Generation'!BR13</f>
        <v>0</v>
      </c>
      <c r="BS13" s="227">
        <f>'[1]Housing Generation'!BS13</f>
        <v>0</v>
      </c>
      <c r="BT13" s="227">
        <f>'[1]Housing Generation'!BT13</f>
        <v>0</v>
      </c>
      <c r="BU13" s="224">
        <f>'[1]Housing Generation'!BU13</f>
        <v>0</v>
      </c>
      <c r="BV13" s="229">
        <f>'[1]Housing Generation'!BV13</f>
        <v>0</v>
      </c>
      <c r="BW13" s="229">
        <f>'[1]Housing Generation'!BW13</f>
        <v>0</v>
      </c>
      <c r="BX13" s="229">
        <f>'[1]Housing Generation'!BX13</f>
        <v>0</v>
      </c>
      <c r="BY13" s="229">
        <f>'[1]Housing Generation'!BY13</f>
        <v>0</v>
      </c>
      <c r="BZ13" s="229">
        <f>'[1]Housing Generation'!BZ13</f>
        <v>0</v>
      </c>
      <c r="CA13" s="229">
        <f>'[1]Housing Generation'!CA13</f>
        <v>0</v>
      </c>
      <c r="CB13" s="229">
        <f>'[1]Housing Generation'!CB13</f>
        <v>0</v>
      </c>
      <c r="CC13" s="225">
        <f>'[1]Housing Generation'!CC13</f>
        <v>0</v>
      </c>
      <c r="CD13" s="227">
        <f>'[1]Housing Generation'!CD13</f>
        <v>0</v>
      </c>
      <c r="CE13" s="227">
        <f>'[1]Housing Generation'!CE13</f>
        <v>0</v>
      </c>
      <c r="CF13" s="227">
        <f>'[1]Housing Generation'!CF13</f>
        <v>0</v>
      </c>
      <c r="CG13" s="227">
        <f>'[1]Housing Generation'!CG13</f>
        <v>0</v>
      </c>
      <c r="CH13" s="227">
        <f>'[1]Housing Generation'!CH13</f>
        <v>0</v>
      </c>
      <c r="CI13" s="227">
        <f>'[1]Housing Generation'!CI13</f>
        <v>0</v>
      </c>
      <c r="CJ13" s="227">
        <f>'[1]Housing Generation'!CJ13</f>
        <v>0</v>
      </c>
      <c r="CK13" s="224">
        <f>'[1]Housing Generation'!CK13</f>
        <v>0</v>
      </c>
      <c r="CL13" s="229">
        <f>'[1]Housing Generation'!CL13</f>
        <v>0</v>
      </c>
      <c r="CM13" s="229">
        <f>'[1]Housing Generation'!CM13</f>
        <v>0</v>
      </c>
      <c r="CN13" s="229">
        <f>'[1]Housing Generation'!CN13</f>
        <v>0</v>
      </c>
      <c r="CO13" s="229">
        <f>'[1]Housing Generation'!CO13</f>
        <v>0</v>
      </c>
      <c r="CP13" s="229">
        <f>'[1]Housing Generation'!CP13</f>
        <v>0</v>
      </c>
      <c r="CQ13" s="229">
        <f>'[1]Housing Generation'!CQ13</f>
        <v>0</v>
      </c>
      <c r="CR13" s="229">
        <f>'[1]Housing Generation'!CR13</f>
        <v>0</v>
      </c>
      <c r="CS13" s="225">
        <f>'[1]Housing Generation'!CS13</f>
        <v>0</v>
      </c>
      <c r="CT13" s="227">
        <f>'[1]Housing Generation'!CT13</f>
        <v>0</v>
      </c>
      <c r="CU13" s="227">
        <f>'[1]Housing Generation'!CU13</f>
        <v>0</v>
      </c>
      <c r="CV13" s="227">
        <f>'[1]Housing Generation'!CV13</f>
        <v>0</v>
      </c>
      <c r="CW13" s="227">
        <f>'[1]Housing Generation'!CW13</f>
        <v>0</v>
      </c>
      <c r="CX13" s="227">
        <f>'[1]Housing Generation'!CX13</f>
        <v>0</v>
      </c>
      <c r="CY13" s="227">
        <f>'[1]Housing Generation'!CY13</f>
        <v>0</v>
      </c>
      <c r="CZ13" s="227">
        <f>'[1]Housing Generation'!CZ13</f>
        <v>0</v>
      </c>
      <c r="DA13" s="224">
        <f>'[1]Housing Generation'!DA13</f>
        <v>0</v>
      </c>
      <c r="DB13" s="229">
        <f>'[1]Housing Generation'!DB13</f>
        <v>0</v>
      </c>
      <c r="DC13" s="229">
        <f>'[1]Housing Generation'!DC13</f>
        <v>0</v>
      </c>
      <c r="DD13" s="229">
        <f>'[1]Housing Generation'!DD13</f>
        <v>0</v>
      </c>
      <c r="DE13" s="229">
        <f>'[1]Housing Generation'!DE13</f>
        <v>0</v>
      </c>
      <c r="DF13" s="229">
        <f>'[1]Housing Generation'!DF13</f>
        <v>0</v>
      </c>
      <c r="DG13" s="229">
        <f>'[1]Housing Generation'!DG13</f>
        <v>0</v>
      </c>
      <c r="DH13" s="229">
        <f>'[1]Housing Generation'!DH13</f>
        <v>0</v>
      </c>
      <c r="DI13" s="225">
        <f>'[1]Housing Generation'!DI13</f>
        <v>0</v>
      </c>
      <c r="DJ13" s="227">
        <f>'[1]Housing Generation'!DJ13</f>
        <v>0</v>
      </c>
      <c r="DK13" s="227">
        <f>'[1]Housing Generation'!DK13</f>
        <v>0</v>
      </c>
      <c r="DL13" s="227">
        <f>'[1]Housing Generation'!DL13</f>
        <v>0</v>
      </c>
      <c r="DM13" s="227">
        <f>'[1]Housing Generation'!DM13</f>
        <v>0</v>
      </c>
      <c r="DN13" s="227">
        <f>'[1]Housing Generation'!DN13</f>
        <v>0</v>
      </c>
      <c r="DO13" s="227">
        <f>'[1]Housing Generation'!DO13</f>
        <v>0</v>
      </c>
      <c r="DP13" s="227">
        <f>'[1]Housing Generation'!DP13</f>
        <v>0</v>
      </c>
      <c r="DQ13" s="224">
        <f>'[1]Housing Generation'!DQ13</f>
        <v>0</v>
      </c>
    </row>
    <row r="14" spans="1:121" x14ac:dyDescent="0.2">
      <c r="A14" s="237" t="s">
        <v>15</v>
      </c>
      <c r="B14" s="227">
        <f>'[1]Housing Generation'!B14</f>
        <v>4</v>
      </c>
      <c r="C14" s="227">
        <f>'[1]Housing Generation'!C14</f>
        <v>4</v>
      </c>
      <c r="D14" s="227">
        <f>'[1]Housing Generation'!D14</f>
        <v>4</v>
      </c>
      <c r="E14" s="227">
        <f>'[1]Housing Generation'!E14</f>
        <v>4</v>
      </c>
      <c r="F14" s="227">
        <f>'[1]Housing Generation'!F14</f>
        <v>4</v>
      </c>
      <c r="G14" s="227">
        <f>'[1]Housing Generation'!G14</f>
        <v>4</v>
      </c>
      <c r="H14" s="227">
        <f>'[1]Housing Generation'!H14</f>
        <v>4</v>
      </c>
      <c r="I14" s="224">
        <f>'[1]Housing Generation'!I14</f>
        <v>28</v>
      </c>
      <c r="J14" s="229">
        <f>'[1]Housing Generation'!J14</f>
        <v>8</v>
      </c>
      <c r="K14" s="229">
        <f>'[1]Housing Generation'!K14</f>
        <v>8</v>
      </c>
      <c r="L14" s="229">
        <f>'[1]Housing Generation'!L14</f>
        <v>8</v>
      </c>
      <c r="M14" s="229">
        <f>'[1]Housing Generation'!M14</f>
        <v>8</v>
      </c>
      <c r="N14" s="229">
        <f>'[1]Housing Generation'!N14</f>
        <v>8</v>
      </c>
      <c r="O14" s="229">
        <f>'[1]Housing Generation'!O14</f>
        <v>7</v>
      </c>
      <c r="P14" s="229">
        <f>'[1]Housing Generation'!P14</f>
        <v>7</v>
      </c>
      <c r="Q14" s="225">
        <f>'[1]Housing Generation'!Q14</f>
        <v>54</v>
      </c>
      <c r="R14" s="227">
        <f>'[1]Housing Generation'!R14</f>
        <v>13</v>
      </c>
      <c r="S14" s="227">
        <f>'[1]Housing Generation'!S14</f>
        <v>13</v>
      </c>
      <c r="T14" s="227">
        <f>'[1]Housing Generation'!T14</f>
        <v>13</v>
      </c>
      <c r="U14" s="227">
        <f>'[1]Housing Generation'!U14</f>
        <v>13</v>
      </c>
      <c r="V14" s="227">
        <f>'[1]Housing Generation'!V14</f>
        <v>13</v>
      </c>
      <c r="W14" s="227">
        <f>'[1]Housing Generation'!W14</f>
        <v>13</v>
      </c>
      <c r="X14" s="227">
        <f>'[1]Housing Generation'!X14</f>
        <v>12</v>
      </c>
      <c r="Y14" s="224">
        <f>'[1]Housing Generation'!Y14</f>
        <v>90</v>
      </c>
      <c r="Z14" s="229">
        <f>'[1]Housing Generation'!Z14</f>
        <v>19</v>
      </c>
      <c r="AA14" s="229">
        <f>'[1]Housing Generation'!AA14</f>
        <v>19</v>
      </c>
      <c r="AB14" s="229">
        <f>'[1]Housing Generation'!AB14</f>
        <v>18</v>
      </c>
      <c r="AC14" s="229">
        <f>'[1]Housing Generation'!AC14</f>
        <v>18</v>
      </c>
      <c r="AD14" s="229">
        <f>'[1]Housing Generation'!AD14</f>
        <v>18</v>
      </c>
      <c r="AE14" s="229">
        <f>'[1]Housing Generation'!AE14</f>
        <v>18</v>
      </c>
      <c r="AF14" s="229">
        <f>'[1]Housing Generation'!AF14</f>
        <v>18</v>
      </c>
      <c r="AG14" s="225">
        <f>'[1]Housing Generation'!AG14</f>
        <v>128</v>
      </c>
      <c r="AH14" s="227">
        <f>'[1]Housing Generation'!AH14</f>
        <v>23</v>
      </c>
      <c r="AI14" s="227">
        <f>'[1]Housing Generation'!AI14</f>
        <v>23</v>
      </c>
      <c r="AJ14" s="227">
        <f>'[1]Housing Generation'!AJ14</f>
        <v>23</v>
      </c>
      <c r="AK14" s="227">
        <f>'[1]Housing Generation'!AK14</f>
        <v>23</v>
      </c>
      <c r="AL14" s="227">
        <f>'[1]Housing Generation'!AL14</f>
        <v>23</v>
      </c>
      <c r="AM14" s="227">
        <f>'[1]Housing Generation'!AM14</f>
        <v>23</v>
      </c>
      <c r="AN14" s="227">
        <f>'[1]Housing Generation'!AN14</f>
        <v>22</v>
      </c>
      <c r="AO14" s="224">
        <f>'[1]Housing Generation'!AO14</f>
        <v>160</v>
      </c>
      <c r="AP14" s="229">
        <f>'[1]Housing Generation'!AP14</f>
        <v>28</v>
      </c>
      <c r="AQ14" s="229">
        <f>'[1]Housing Generation'!AQ14</f>
        <v>28</v>
      </c>
      <c r="AR14" s="229">
        <f>'[1]Housing Generation'!AR14</f>
        <v>28</v>
      </c>
      <c r="AS14" s="229">
        <f>'[1]Housing Generation'!AS14</f>
        <v>28</v>
      </c>
      <c r="AT14" s="229">
        <f>'[1]Housing Generation'!AT14</f>
        <v>28</v>
      </c>
      <c r="AU14" s="229">
        <f>'[1]Housing Generation'!AU14</f>
        <v>28</v>
      </c>
      <c r="AV14" s="229">
        <f>'[1]Housing Generation'!AV14</f>
        <v>28</v>
      </c>
      <c r="AW14" s="225">
        <f>'[1]Housing Generation'!AW14</f>
        <v>196</v>
      </c>
      <c r="AX14" s="227">
        <f>'[1]Housing Generation'!AX14</f>
        <v>31</v>
      </c>
      <c r="AY14" s="227">
        <f>'[1]Housing Generation'!AY14</f>
        <v>31</v>
      </c>
      <c r="AZ14" s="227">
        <f>'[1]Housing Generation'!AZ14</f>
        <v>31</v>
      </c>
      <c r="BA14" s="227">
        <f>'[1]Housing Generation'!BA14</f>
        <v>31</v>
      </c>
      <c r="BB14" s="227">
        <f>'[1]Housing Generation'!BB14</f>
        <v>30</v>
      </c>
      <c r="BC14" s="227">
        <f>'[1]Housing Generation'!BC14</f>
        <v>30</v>
      </c>
      <c r="BD14" s="227">
        <f>'[1]Housing Generation'!BD14</f>
        <v>30</v>
      </c>
      <c r="BE14" s="224">
        <f>'[1]Housing Generation'!BE14</f>
        <v>214</v>
      </c>
      <c r="BF14" s="229">
        <f>'[1]Housing Generation'!BF14</f>
        <v>34</v>
      </c>
      <c r="BG14" s="229">
        <f>'[1]Housing Generation'!BG14</f>
        <v>33</v>
      </c>
      <c r="BH14" s="229">
        <f>'[1]Housing Generation'!BH14</f>
        <v>33</v>
      </c>
      <c r="BI14" s="229">
        <f>'[1]Housing Generation'!BI14</f>
        <v>33</v>
      </c>
      <c r="BJ14" s="229">
        <f>'[1]Housing Generation'!BJ14</f>
        <v>33</v>
      </c>
      <c r="BK14" s="229">
        <f>'[1]Housing Generation'!BK14</f>
        <v>33</v>
      </c>
      <c r="BL14" s="229">
        <f>'[1]Housing Generation'!BL14</f>
        <v>33</v>
      </c>
      <c r="BM14" s="225">
        <f>'[1]Housing Generation'!BM14</f>
        <v>232</v>
      </c>
      <c r="BN14" s="227">
        <f>'[1]Housing Generation'!BN14</f>
        <v>37</v>
      </c>
      <c r="BO14" s="227">
        <f>'[1]Housing Generation'!BO14</f>
        <v>37</v>
      </c>
      <c r="BP14" s="227">
        <f>'[1]Housing Generation'!BP14</f>
        <v>37</v>
      </c>
      <c r="BQ14" s="227">
        <f>'[1]Housing Generation'!BQ14</f>
        <v>37</v>
      </c>
      <c r="BR14" s="227">
        <f>'[1]Housing Generation'!BR14</f>
        <v>37</v>
      </c>
      <c r="BS14" s="227">
        <f>'[1]Housing Generation'!BS14</f>
        <v>36</v>
      </c>
      <c r="BT14" s="227">
        <f>'[1]Housing Generation'!BT14</f>
        <v>36</v>
      </c>
      <c r="BU14" s="224">
        <f>'[1]Housing Generation'!BU14</f>
        <v>257</v>
      </c>
      <c r="BV14" s="229">
        <f>'[1]Housing Generation'!BV14</f>
        <v>41</v>
      </c>
      <c r="BW14" s="229">
        <f>'[1]Housing Generation'!BW14</f>
        <v>41</v>
      </c>
      <c r="BX14" s="229">
        <f>'[1]Housing Generation'!BX14</f>
        <v>40</v>
      </c>
      <c r="BY14" s="229">
        <f>'[1]Housing Generation'!BY14</f>
        <v>40</v>
      </c>
      <c r="BZ14" s="229">
        <f>'[1]Housing Generation'!BZ14</f>
        <v>40</v>
      </c>
      <c r="CA14" s="229">
        <f>'[1]Housing Generation'!CA14</f>
        <v>40</v>
      </c>
      <c r="CB14" s="229">
        <f>'[1]Housing Generation'!CB14</f>
        <v>40</v>
      </c>
      <c r="CC14" s="225">
        <f>'[1]Housing Generation'!CC14</f>
        <v>282</v>
      </c>
      <c r="CD14" s="227">
        <f>'[1]Housing Generation'!CD14</f>
        <v>45</v>
      </c>
      <c r="CE14" s="227">
        <f>'[1]Housing Generation'!CE14</f>
        <v>44</v>
      </c>
      <c r="CF14" s="227">
        <f>'[1]Housing Generation'!CF14</f>
        <v>44</v>
      </c>
      <c r="CG14" s="227">
        <f>'[1]Housing Generation'!CG14</f>
        <v>44</v>
      </c>
      <c r="CH14" s="227">
        <f>'[1]Housing Generation'!CH14</f>
        <v>44</v>
      </c>
      <c r="CI14" s="227">
        <f>'[1]Housing Generation'!CI14</f>
        <v>44</v>
      </c>
      <c r="CJ14" s="227">
        <f>'[1]Housing Generation'!CJ14</f>
        <v>44</v>
      </c>
      <c r="CK14" s="224">
        <f>'[1]Housing Generation'!CK14</f>
        <v>309</v>
      </c>
      <c r="CL14" s="229">
        <f>'[1]Housing Generation'!CL14</f>
        <v>45</v>
      </c>
      <c r="CM14" s="229">
        <f>'[1]Housing Generation'!CM14</f>
        <v>45</v>
      </c>
      <c r="CN14" s="229">
        <f>'[1]Housing Generation'!CN14</f>
        <v>45</v>
      </c>
      <c r="CO14" s="229">
        <f>'[1]Housing Generation'!CO14</f>
        <v>45</v>
      </c>
      <c r="CP14" s="229">
        <f>'[1]Housing Generation'!CP14</f>
        <v>45</v>
      </c>
      <c r="CQ14" s="229">
        <f>'[1]Housing Generation'!CQ14</f>
        <v>45</v>
      </c>
      <c r="CR14" s="229">
        <f>'[1]Housing Generation'!CR14</f>
        <v>44</v>
      </c>
      <c r="CS14" s="225">
        <f>'[1]Housing Generation'!CS14</f>
        <v>314</v>
      </c>
      <c r="CT14" s="227">
        <f>'[1]Housing Generation'!CT14</f>
        <v>46</v>
      </c>
      <c r="CU14" s="227">
        <f>'[1]Housing Generation'!CU14</f>
        <v>46</v>
      </c>
      <c r="CV14" s="227">
        <f>'[1]Housing Generation'!CV14</f>
        <v>46</v>
      </c>
      <c r="CW14" s="227">
        <f>'[1]Housing Generation'!CW14</f>
        <v>46</v>
      </c>
      <c r="CX14" s="227">
        <f>'[1]Housing Generation'!CX14</f>
        <v>45</v>
      </c>
      <c r="CY14" s="227">
        <f>'[1]Housing Generation'!CY14</f>
        <v>45</v>
      </c>
      <c r="CZ14" s="227">
        <f>'[1]Housing Generation'!CZ14</f>
        <v>45</v>
      </c>
      <c r="DA14" s="224">
        <f>'[1]Housing Generation'!DA14</f>
        <v>319</v>
      </c>
      <c r="DB14" s="229">
        <f>'[1]Housing Generation'!DB14</f>
        <v>47</v>
      </c>
      <c r="DC14" s="229">
        <f>'[1]Housing Generation'!DC14</f>
        <v>47</v>
      </c>
      <c r="DD14" s="229">
        <f>'[1]Housing Generation'!DD14</f>
        <v>46</v>
      </c>
      <c r="DE14" s="229">
        <f>'[1]Housing Generation'!DE14</f>
        <v>46</v>
      </c>
      <c r="DF14" s="229">
        <f>'[1]Housing Generation'!DF14</f>
        <v>46</v>
      </c>
      <c r="DG14" s="229">
        <f>'[1]Housing Generation'!DG14</f>
        <v>46</v>
      </c>
      <c r="DH14" s="229">
        <f>'[1]Housing Generation'!DH14</f>
        <v>46</v>
      </c>
      <c r="DI14" s="225">
        <f>'[1]Housing Generation'!DI14</f>
        <v>324</v>
      </c>
      <c r="DJ14" s="227">
        <f>'[1]Housing Generation'!DJ14</f>
        <v>47</v>
      </c>
      <c r="DK14" s="227">
        <f>'[1]Housing Generation'!DK14</f>
        <v>47</v>
      </c>
      <c r="DL14" s="227">
        <f>'[1]Housing Generation'!DL14</f>
        <v>47</v>
      </c>
      <c r="DM14" s="227">
        <f>'[1]Housing Generation'!DM14</f>
        <v>47</v>
      </c>
      <c r="DN14" s="227">
        <f>'[1]Housing Generation'!DN14</f>
        <v>47</v>
      </c>
      <c r="DO14" s="227">
        <f>'[1]Housing Generation'!DO14</f>
        <v>47</v>
      </c>
      <c r="DP14" s="227">
        <f>'[1]Housing Generation'!DP14</f>
        <v>47</v>
      </c>
      <c r="DQ14" s="224">
        <f>'[1]Housing Generation'!DQ14</f>
        <v>329</v>
      </c>
    </row>
    <row r="15" spans="1:121" x14ac:dyDescent="0.2">
      <c r="A15" s="237" t="s">
        <v>16</v>
      </c>
      <c r="B15" s="227">
        <f>'[1]Housing Generation'!B15</f>
        <v>0</v>
      </c>
      <c r="C15" s="227">
        <f>'[1]Housing Generation'!C15</f>
        <v>0</v>
      </c>
      <c r="D15" s="227">
        <f>'[1]Housing Generation'!D15</f>
        <v>0</v>
      </c>
      <c r="E15" s="227">
        <f>'[1]Housing Generation'!E15</f>
        <v>0</v>
      </c>
      <c r="F15" s="227">
        <f>'[1]Housing Generation'!F15</f>
        <v>0</v>
      </c>
      <c r="G15" s="227">
        <f>'[1]Housing Generation'!G15</f>
        <v>0</v>
      </c>
      <c r="H15" s="227">
        <f>'[1]Housing Generation'!H15</f>
        <v>0</v>
      </c>
      <c r="I15" s="224">
        <f>'[1]Housing Generation'!I15</f>
        <v>0</v>
      </c>
      <c r="J15" s="229">
        <f>'[1]Housing Generation'!J15</f>
        <v>1</v>
      </c>
      <c r="K15" s="229">
        <f>'[1]Housing Generation'!K15</f>
        <v>1</v>
      </c>
      <c r="L15" s="229">
        <f>'[1]Housing Generation'!L15</f>
        <v>1</v>
      </c>
      <c r="M15" s="229">
        <f>'[1]Housing Generation'!M15</f>
        <v>0</v>
      </c>
      <c r="N15" s="229">
        <f>'[1]Housing Generation'!N15</f>
        <v>0</v>
      </c>
      <c r="O15" s="229">
        <f>'[1]Housing Generation'!O15</f>
        <v>0</v>
      </c>
      <c r="P15" s="229">
        <f>'[1]Housing Generation'!P15</f>
        <v>0</v>
      </c>
      <c r="Q15" s="225">
        <f>'[1]Housing Generation'!Q15</f>
        <v>3</v>
      </c>
      <c r="R15" s="227">
        <f>'[1]Housing Generation'!R15</f>
        <v>1</v>
      </c>
      <c r="S15" s="227">
        <f>'[1]Housing Generation'!S15</f>
        <v>1</v>
      </c>
      <c r="T15" s="227">
        <f>'[1]Housing Generation'!T15</f>
        <v>1</v>
      </c>
      <c r="U15" s="227">
        <f>'[1]Housing Generation'!U15</f>
        <v>0</v>
      </c>
      <c r="V15" s="227">
        <f>'[1]Housing Generation'!V15</f>
        <v>0</v>
      </c>
      <c r="W15" s="227">
        <f>'[1]Housing Generation'!W15</f>
        <v>0</v>
      </c>
      <c r="X15" s="227">
        <f>'[1]Housing Generation'!X15</f>
        <v>0</v>
      </c>
      <c r="Y15" s="224">
        <f>'[1]Housing Generation'!Y15</f>
        <v>3</v>
      </c>
      <c r="Z15" s="229">
        <f>'[1]Housing Generation'!Z15</f>
        <v>1</v>
      </c>
      <c r="AA15" s="229">
        <f>'[1]Housing Generation'!AA15</f>
        <v>1</v>
      </c>
      <c r="AB15" s="229">
        <f>'[1]Housing Generation'!AB15</f>
        <v>1</v>
      </c>
      <c r="AC15" s="229">
        <f>'[1]Housing Generation'!AC15</f>
        <v>0</v>
      </c>
      <c r="AD15" s="229">
        <f>'[1]Housing Generation'!AD15</f>
        <v>0</v>
      </c>
      <c r="AE15" s="229">
        <f>'[1]Housing Generation'!AE15</f>
        <v>0</v>
      </c>
      <c r="AF15" s="229">
        <f>'[1]Housing Generation'!AF15</f>
        <v>0</v>
      </c>
      <c r="AG15" s="225">
        <f>'[1]Housing Generation'!AG15</f>
        <v>3</v>
      </c>
      <c r="AH15" s="227">
        <f>'[1]Housing Generation'!AH15</f>
        <v>1</v>
      </c>
      <c r="AI15" s="227">
        <f>'[1]Housing Generation'!AI15</f>
        <v>1</v>
      </c>
      <c r="AJ15" s="227">
        <f>'[1]Housing Generation'!AJ15</f>
        <v>1</v>
      </c>
      <c r="AK15" s="227">
        <f>'[1]Housing Generation'!AK15</f>
        <v>0</v>
      </c>
      <c r="AL15" s="227">
        <f>'[1]Housing Generation'!AL15</f>
        <v>0</v>
      </c>
      <c r="AM15" s="227">
        <f>'[1]Housing Generation'!AM15</f>
        <v>0</v>
      </c>
      <c r="AN15" s="227">
        <f>'[1]Housing Generation'!AN15</f>
        <v>0</v>
      </c>
      <c r="AO15" s="224">
        <f>'[1]Housing Generation'!AO15</f>
        <v>3</v>
      </c>
      <c r="AP15" s="229">
        <f>'[1]Housing Generation'!AP15</f>
        <v>1</v>
      </c>
      <c r="AQ15" s="229">
        <f>'[1]Housing Generation'!AQ15</f>
        <v>1</v>
      </c>
      <c r="AR15" s="229">
        <f>'[1]Housing Generation'!AR15</f>
        <v>1</v>
      </c>
      <c r="AS15" s="229">
        <f>'[1]Housing Generation'!AS15</f>
        <v>0</v>
      </c>
      <c r="AT15" s="229">
        <f>'[1]Housing Generation'!AT15</f>
        <v>0</v>
      </c>
      <c r="AU15" s="229">
        <f>'[1]Housing Generation'!AU15</f>
        <v>0</v>
      </c>
      <c r="AV15" s="229">
        <f>'[1]Housing Generation'!AV15</f>
        <v>0</v>
      </c>
      <c r="AW15" s="225">
        <f>'[1]Housing Generation'!AW15</f>
        <v>3</v>
      </c>
      <c r="AX15" s="227">
        <f>'[1]Housing Generation'!AX15</f>
        <v>1</v>
      </c>
      <c r="AY15" s="227">
        <f>'[1]Housing Generation'!AY15</f>
        <v>1</v>
      </c>
      <c r="AZ15" s="227">
        <f>'[1]Housing Generation'!AZ15</f>
        <v>1</v>
      </c>
      <c r="BA15" s="227">
        <f>'[1]Housing Generation'!BA15</f>
        <v>0</v>
      </c>
      <c r="BB15" s="227">
        <f>'[1]Housing Generation'!BB15</f>
        <v>0</v>
      </c>
      <c r="BC15" s="227">
        <f>'[1]Housing Generation'!BC15</f>
        <v>0</v>
      </c>
      <c r="BD15" s="227">
        <f>'[1]Housing Generation'!BD15</f>
        <v>0</v>
      </c>
      <c r="BE15" s="224">
        <f>'[1]Housing Generation'!BE15</f>
        <v>3</v>
      </c>
      <c r="BF15" s="229">
        <f>'[1]Housing Generation'!BF15</f>
        <v>1</v>
      </c>
      <c r="BG15" s="229">
        <f>'[1]Housing Generation'!BG15</f>
        <v>1</v>
      </c>
      <c r="BH15" s="229">
        <f>'[1]Housing Generation'!BH15</f>
        <v>1</v>
      </c>
      <c r="BI15" s="229">
        <f>'[1]Housing Generation'!BI15</f>
        <v>0</v>
      </c>
      <c r="BJ15" s="229">
        <f>'[1]Housing Generation'!BJ15</f>
        <v>0</v>
      </c>
      <c r="BK15" s="229">
        <f>'[1]Housing Generation'!BK15</f>
        <v>0</v>
      </c>
      <c r="BL15" s="229">
        <f>'[1]Housing Generation'!BL15</f>
        <v>0</v>
      </c>
      <c r="BM15" s="225">
        <f>'[1]Housing Generation'!BM15</f>
        <v>3</v>
      </c>
      <c r="BN15" s="227">
        <f>'[1]Housing Generation'!BN15</f>
        <v>1</v>
      </c>
      <c r="BO15" s="227">
        <f>'[1]Housing Generation'!BO15</f>
        <v>1</v>
      </c>
      <c r="BP15" s="227">
        <f>'[1]Housing Generation'!BP15</f>
        <v>1</v>
      </c>
      <c r="BQ15" s="227">
        <f>'[1]Housing Generation'!BQ15</f>
        <v>0</v>
      </c>
      <c r="BR15" s="227">
        <f>'[1]Housing Generation'!BR15</f>
        <v>0</v>
      </c>
      <c r="BS15" s="227">
        <f>'[1]Housing Generation'!BS15</f>
        <v>0</v>
      </c>
      <c r="BT15" s="227">
        <f>'[1]Housing Generation'!BT15</f>
        <v>0</v>
      </c>
      <c r="BU15" s="224">
        <f>'[1]Housing Generation'!BU15</f>
        <v>3</v>
      </c>
      <c r="BV15" s="229">
        <f>'[1]Housing Generation'!BV15</f>
        <v>1</v>
      </c>
      <c r="BW15" s="229">
        <f>'[1]Housing Generation'!BW15</f>
        <v>1</v>
      </c>
      <c r="BX15" s="229">
        <f>'[1]Housing Generation'!BX15</f>
        <v>1</v>
      </c>
      <c r="BY15" s="229">
        <f>'[1]Housing Generation'!BY15</f>
        <v>0</v>
      </c>
      <c r="BZ15" s="229">
        <f>'[1]Housing Generation'!BZ15</f>
        <v>0</v>
      </c>
      <c r="CA15" s="229">
        <f>'[1]Housing Generation'!CA15</f>
        <v>0</v>
      </c>
      <c r="CB15" s="229">
        <f>'[1]Housing Generation'!CB15</f>
        <v>0</v>
      </c>
      <c r="CC15" s="225">
        <f>'[1]Housing Generation'!CC15</f>
        <v>3</v>
      </c>
      <c r="CD15" s="227">
        <f>'[1]Housing Generation'!CD15</f>
        <v>1</v>
      </c>
      <c r="CE15" s="227">
        <f>'[1]Housing Generation'!CE15</f>
        <v>1</v>
      </c>
      <c r="CF15" s="227">
        <f>'[1]Housing Generation'!CF15</f>
        <v>1</v>
      </c>
      <c r="CG15" s="227">
        <f>'[1]Housing Generation'!CG15</f>
        <v>0</v>
      </c>
      <c r="CH15" s="227">
        <f>'[1]Housing Generation'!CH15</f>
        <v>0</v>
      </c>
      <c r="CI15" s="227">
        <f>'[1]Housing Generation'!CI15</f>
        <v>0</v>
      </c>
      <c r="CJ15" s="227">
        <f>'[1]Housing Generation'!CJ15</f>
        <v>0</v>
      </c>
      <c r="CK15" s="224">
        <f>'[1]Housing Generation'!CK15</f>
        <v>3</v>
      </c>
      <c r="CL15" s="229">
        <f>'[1]Housing Generation'!CL15</f>
        <v>1</v>
      </c>
      <c r="CM15" s="229">
        <f>'[1]Housing Generation'!CM15</f>
        <v>1</v>
      </c>
      <c r="CN15" s="229">
        <f>'[1]Housing Generation'!CN15</f>
        <v>1</v>
      </c>
      <c r="CO15" s="229">
        <f>'[1]Housing Generation'!CO15</f>
        <v>0</v>
      </c>
      <c r="CP15" s="229">
        <f>'[1]Housing Generation'!CP15</f>
        <v>0</v>
      </c>
      <c r="CQ15" s="229">
        <f>'[1]Housing Generation'!CQ15</f>
        <v>0</v>
      </c>
      <c r="CR15" s="229">
        <f>'[1]Housing Generation'!CR15</f>
        <v>0</v>
      </c>
      <c r="CS15" s="225">
        <f>'[1]Housing Generation'!CS15</f>
        <v>3</v>
      </c>
      <c r="CT15" s="227">
        <f>'[1]Housing Generation'!CT15</f>
        <v>0</v>
      </c>
      <c r="CU15" s="227">
        <f>'[1]Housing Generation'!CU15</f>
        <v>0</v>
      </c>
      <c r="CV15" s="227">
        <f>'[1]Housing Generation'!CV15</f>
        <v>0</v>
      </c>
      <c r="CW15" s="227">
        <f>'[1]Housing Generation'!CW15</f>
        <v>0</v>
      </c>
      <c r="CX15" s="227">
        <f>'[1]Housing Generation'!CX15</f>
        <v>0</v>
      </c>
      <c r="CY15" s="227">
        <f>'[1]Housing Generation'!CY15</f>
        <v>0</v>
      </c>
      <c r="CZ15" s="227">
        <f>'[1]Housing Generation'!CZ15</f>
        <v>0</v>
      </c>
      <c r="DA15" s="224">
        <f>'[1]Housing Generation'!DA15</f>
        <v>0</v>
      </c>
      <c r="DB15" s="229">
        <f>'[1]Housing Generation'!DB15</f>
        <v>0</v>
      </c>
      <c r="DC15" s="229">
        <f>'[1]Housing Generation'!DC15</f>
        <v>0</v>
      </c>
      <c r="DD15" s="229">
        <f>'[1]Housing Generation'!DD15</f>
        <v>0</v>
      </c>
      <c r="DE15" s="229">
        <f>'[1]Housing Generation'!DE15</f>
        <v>0</v>
      </c>
      <c r="DF15" s="229">
        <f>'[1]Housing Generation'!DF15</f>
        <v>0</v>
      </c>
      <c r="DG15" s="229">
        <f>'[1]Housing Generation'!DG15</f>
        <v>0</v>
      </c>
      <c r="DH15" s="229">
        <f>'[1]Housing Generation'!DH15</f>
        <v>0</v>
      </c>
      <c r="DI15" s="225">
        <f>'[1]Housing Generation'!DI15</f>
        <v>0</v>
      </c>
      <c r="DJ15" s="227">
        <f>'[1]Housing Generation'!DJ15</f>
        <v>0</v>
      </c>
      <c r="DK15" s="227">
        <f>'[1]Housing Generation'!DK15</f>
        <v>0</v>
      </c>
      <c r="DL15" s="227">
        <f>'[1]Housing Generation'!DL15</f>
        <v>0</v>
      </c>
      <c r="DM15" s="227">
        <f>'[1]Housing Generation'!DM15</f>
        <v>0</v>
      </c>
      <c r="DN15" s="227">
        <f>'[1]Housing Generation'!DN15</f>
        <v>0</v>
      </c>
      <c r="DO15" s="227">
        <f>'[1]Housing Generation'!DO15</f>
        <v>0</v>
      </c>
      <c r="DP15" s="227">
        <f>'[1]Housing Generation'!DP15</f>
        <v>0</v>
      </c>
      <c r="DQ15" s="224">
        <f>'[1]Housing Generation'!DQ15</f>
        <v>0</v>
      </c>
    </row>
    <row r="16" spans="1:121" x14ac:dyDescent="0.2">
      <c r="A16" s="237" t="s">
        <v>17</v>
      </c>
      <c r="B16" s="227">
        <f>'[1]Housing Generation'!B16</f>
        <v>0</v>
      </c>
      <c r="C16" s="227">
        <f>'[1]Housing Generation'!C16</f>
        <v>0</v>
      </c>
      <c r="D16" s="227">
        <f>'[1]Housing Generation'!D16</f>
        <v>0</v>
      </c>
      <c r="E16" s="227">
        <f>'[1]Housing Generation'!E16</f>
        <v>0</v>
      </c>
      <c r="F16" s="227">
        <f>'[1]Housing Generation'!F16</f>
        <v>0</v>
      </c>
      <c r="G16" s="227">
        <f>'[1]Housing Generation'!G16</f>
        <v>0</v>
      </c>
      <c r="H16" s="227">
        <f>'[1]Housing Generation'!H16</f>
        <v>0</v>
      </c>
      <c r="I16" s="224">
        <f>'[1]Housing Generation'!I16</f>
        <v>0</v>
      </c>
      <c r="J16" s="229">
        <f>'[1]Housing Generation'!J16</f>
        <v>0</v>
      </c>
      <c r="K16" s="229">
        <f>'[1]Housing Generation'!K16</f>
        <v>0</v>
      </c>
      <c r="L16" s="229">
        <f>'[1]Housing Generation'!L16</f>
        <v>0</v>
      </c>
      <c r="M16" s="229">
        <f>'[1]Housing Generation'!M16</f>
        <v>0</v>
      </c>
      <c r="N16" s="229">
        <f>'[1]Housing Generation'!N16</f>
        <v>0</v>
      </c>
      <c r="O16" s="229">
        <f>'[1]Housing Generation'!O16</f>
        <v>0</v>
      </c>
      <c r="P16" s="229">
        <f>'[1]Housing Generation'!P16</f>
        <v>0</v>
      </c>
      <c r="Q16" s="225">
        <f>'[1]Housing Generation'!Q16</f>
        <v>0</v>
      </c>
      <c r="R16" s="227">
        <f>'[1]Housing Generation'!R16</f>
        <v>0</v>
      </c>
      <c r="S16" s="227">
        <f>'[1]Housing Generation'!S16</f>
        <v>0</v>
      </c>
      <c r="T16" s="227">
        <f>'[1]Housing Generation'!T16</f>
        <v>0</v>
      </c>
      <c r="U16" s="227">
        <f>'[1]Housing Generation'!U16</f>
        <v>0</v>
      </c>
      <c r="V16" s="227">
        <f>'[1]Housing Generation'!V16</f>
        <v>0</v>
      </c>
      <c r="W16" s="227">
        <f>'[1]Housing Generation'!W16</f>
        <v>0</v>
      </c>
      <c r="X16" s="227">
        <f>'[1]Housing Generation'!X16</f>
        <v>0</v>
      </c>
      <c r="Y16" s="224">
        <f>'[1]Housing Generation'!Y16</f>
        <v>0</v>
      </c>
      <c r="Z16" s="229">
        <f>'[1]Housing Generation'!Z16</f>
        <v>0</v>
      </c>
      <c r="AA16" s="229">
        <f>'[1]Housing Generation'!AA16</f>
        <v>0</v>
      </c>
      <c r="AB16" s="229">
        <f>'[1]Housing Generation'!AB16</f>
        <v>0</v>
      </c>
      <c r="AC16" s="229">
        <f>'[1]Housing Generation'!AC16</f>
        <v>0</v>
      </c>
      <c r="AD16" s="229">
        <f>'[1]Housing Generation'!AD16</f>
        <v>0</v>
      </c>
      <c r="AE16" s="229">
        <f>'[1]Housing Generation'!AE16</f>
        <v>0</v>
      </c>
      <c r="AF16" s="229">
        <f>'[1]Housing Generation'!AF16</f>
        <v>0</v>
      </c>
      <c r="AG16" s="225">
        <f>'[1]Housing Generation'!AG16</f>
        <v>0</v>
      </c>
      <c r="AH16" s="227">
        <f>'[1]Housing Generation'!AH16</f>
        <v>0</v>
      </c>
      <c r="AI16" s="227">
        <f>'[1]Housing Generation'!AI16</f>
        <v>0</v>
      </c>
      <c r="AJ16" s="227">
        <f>'[1]Housing Generation'!AJ16</f>
        <v>0</v>
      </c>
      <c r="AK16" s="227">
        <f>'[1]Housing Generation'!AK16</f>
        <v>0</v>
      </c>
      <c r="AL16" s="227">
        <f>'[1]Housing Generation'!AL16</f>
        <v>0</v>
      </c>
      <c r="AM16" s="227">
        <f>'[1]Housing Generation'!AM16</f>
        <v>0</v>
      </c>
      <c r="AN16" s="227">
        <f>'[1]Housing Generation'!AN16</f>
        <v>0</v>
      </c>
      <c r="AO16" s="224">
        <f>'[1]Housing Generation'!AO16</f>
        <v>0</v>
      </c>
      <c r="AP16" s="229">
        <f>'[1]Housing Generation'!AP16</f>
        <v>0</v>
      </c>
      <c r="AQ16" s="229">
        <f>'[1]Housing Generation'!AQ16</f>
        <v>0</v>
      </c>
      <c r="AR16" s="229">
        <f>'[1]Housing Generation'!AR16</f>
        <v>0</v>
      </c>
      <c r="AS16" s="229">
        <f>'[1]Housing Generation'!AS16</f>
        <v>0</v>
      </c>
      <c r="AT16" s="229">
        <f>'[1]Housing Generation'!AT16</f>
        <v>0</v>
      </c>
      <c r="AU16" s="229">
        <f>'[1]Housing Generation'!AU16</f>
        <v>0</v>
      </c>
      <c r="AV16" s="229">
        <f>'[1]Housing Generation'!AV16</f>
        <v>0</v>
      </c>
      <c r="AW16" s="225">
        <f>'[1]Housing Generation'!AW16</f>
        <v>0</v>
      </c>
      <c r="AX16" s="227">
        <f>'[1]Housing Generation'!AX16</f>
        <v>0</v>
      </c>
      <c r="AY16" s="227">
        <f>'[1]Housing Generation'!AY16</f>
        <v>0</v>
      </c>
      <c r="AZ16" s="227">
        <f>'[1]Housing Generation'!AZ16</f>
        <v>0</v>
      </c>
      <c r="BA16" s="227">
        <f>'[1]Housing Generation'!BA16</f>
        <v>0</v>
      </c>
      <c r="BB16" s="227">
        <f>'[1]Housing Generation'!BB16</f>
        <v>0</v>
      </c>
      <c r="BC16" s="227">
        <f>'[1]Housing Generation'!BC16</f>
        <v>0</v>
      </c>
      <c r="BD16" s="227">
        <f>'[1]Housing Generation'!BD16</f>
        <v>0</v>
      </c>
      <c r="BE16" s="224">
        <f>'[1]Housing Generation'!BE16</f>
        <v>0</v>
      </c>
      <c r="BF16" s="229">
        <f>'[1]Housing Generation'!BF16</f>
        <v>0</v>
      </c>
      <c r="BG16" s="229">
        <f>'[1]Housing Generation'!BG16</f>
        <v>0</v>
      </c>
      <c r="BH16" s="229">
        <f>'[1]Housing Generation'!BH16</f>
        <v>0</v>
      </c>
      <c r="BI16" s="229">
        <f>'[1]Housing Generation'!BI16</f>
        <v>0</v>
      </c>
      <c r="BJ16" s="229">
        <f>'[1]Housing Generation'!BJ16</f>
        <v>0</v>
      </c>
      <c r="BK16" s="229">
        <f>'[1]Housing Generation'!BK16</f>
        <v>0</v>
      </c>
      <c r="BL16" s="229">
        <f>'[1]Housing Generation'!BL16</f>
        <v>0</v>
      </c>
      <c r="BM16" s="225">
        <f>'[1]Housing Generation'!BM16</f>
        <v>0</v>
      </c>
      <c r="BN16" s="227">
        <f>'[1]Housing Generation'!BN16</f>
        <v>0</v>
      </c>
      <c r="BO16" s="227">
        <f>'[1]Housing Generation'!BO16</f>
        <v>0</v>
      </c>
      <c r="BP16" s="227">
        <f>'[1]Housing Generation'!BP16</f>
        <v>0</v>
      </c>
      <c r="BQ16" s="227">
        <f>'[1]Housing Generation'!BQ16</f>
        <v>0</v>
      </c>
      <c r="BR16" s="227">
        <f>'[1]Housing Generation'!BR16</f>
        <v>0</v>
      </c>
      <c r="BS16" s="227">
        <f>'[1]Housing Generation'!BS16</f>
        <v>0</v>
      </c>
      <c r="BT16" s="227">
        <f>'[1]Housing Generation'!BT16</f>
        <v>0</v>
      </c>
      <c r="BU16" s="224">
        <f>'[1]Housing Generation'!BU16</f>
        <v>0</v>
      </c>
      <c r="BV16" s="229">
        <f>'[1]Housing Generation'!BV16</f>
        <v>0</v>
      </c>
      <c r="BW16" s="229">
        <f>'[1]Housing Generation'!BW16</f>
        <v>0</v>
      </c>
      <c r="BX16" s="229">
        <f>'[1]Housing Generation'!BX16</f>
        <v>0</v>
      </c>
      <c r="BY16" s="229">
        <f>'[1]Housing Generation'!BY16</f>
        <v>0</v>
      </c>
      <c r="BZ16" s="229">
        <f>'[1]Housing Generation'!BZ16</f>
        <v>0</v>
      </c>
      <c r="CA16" s="229">
        <f>'[1]Housing Generation'!CA16</f>
        <v>0</v>
      </c>
      <c r="CB16" s="229">
        <f>'[1]Housing Generation'!CB16</f>
        <v>0</v>
      </c>
      <c r="CC16" s="225">
        <f>'[1]Housing Generation'!CC16</f>
        <v>0</v>
      </c>
      <c r="CD16" s="227">
        <f>'[1]Housing Generation'!CD16</f>
        <v>0</v>
      </c>
      <c r="CE16" s="227">
        <f>'[1]Housing Generation'!CE16</f>
        <v>0</v>
      </c>
      <c r="CF16" s="227">
        <f>'[1]Housing Generation'!CF16</f>
        <v>0</v>
      </c>
      <c r="CG16" s="227">
        <f>'[1]Housing Generation'!CG16</f>
        <v>0</v>
      </c>
      <c r="CH16" s="227">
        <f>'[1]Housing Generation'!CH16</f>
        <v>0</v>
      </c>
      <c r="CI16" s="227">
        <f>'[1]Housing Generation'!CI16</f>
        <v>0</v>
      </c>
      <c r="CJ16" s="227">
        <f>'[1]Housing Generation'!CJ16</f>
        <v>0</v>
      </c>
      <c r="CK16" s="224">
        <f>'[1]Housing Generation'!CK16</f>
        <v>0</v>
      </c>
      <c r="CL16" s="229">
        <f>'[1]Housing Generation'!CL16</f>
        <v>0</v>
      </c>
      <c r="CM16" s="229">
        <f>'[1]Housing Generation'!CM16</f>
        <v>0</v>
      </c>
      <c r="CN16" s="229">
        <f>'[1]Housing Generation'!CN16</f>
        <v>0</v>
      </c>
      <c r="CO16" s="229">
        <f>'[1]Housing Generation'!CO16</f>
        <v>0</v>
      </c>
      <c r="CP16" s="229">
        <f>'[1]Housing Generation'!CP16</f>
        <v>0</v>
      </c>
      <c r="CQ16" s="229">
        <f>'[1]Housing Generation'!CQ16</f>
        <v>0</v>
      </c>
      <c r="CR16" s="229">
        <f>'[1]Housing Generation'!CR16</f>
        <v>0</v>
      </c>
      <c r="CS16" s="225">
        <f>'[1]Housing Generation'!CS16</f>
        <v>0</v>
      </c>
      <c r="CT16" s="227">
        <f>'[1]Housing Generation'!CT16</f>
        <v>0</v>
      </c>
      <c r="CU16" s="227">
        <f>'[1]Housing Generation'!CU16</f>
        <v>0</v>
      </c>
      <c r="CV16" s="227">
        <f>'[1]Housing Generation'!CV16</f>
        <v>0</v>
      </c>
      <c r="CW16" s="227">
        <f>'[1]Housing Generation'!CW16</f>
        <v>0</v>
      </c>
      <c r="CX16" s="227">
        <f>'[1]Housing Generation'!CX16</f>
        <v>0</v>
      </c>
      <c r="CY16" s="227">
        <f>'[1]Housing Generation'!CY16</f>
        <v>0</v>
      </c>
      <c r="CZ16" s="227">
        <f>'[1]Housing Generation'!CZ16</f>
        <v>0</v>
      </c>
      <c r="DA16" s="224">
        <f>'[1]Housing Generation'!DA16</f>
        <v>0</v>
      </c>
      <c r="DB16" s="229">
        <f>'[1]Housing Generation'!DB16</f>
        <v>0</v>
      </c>
      <c r="DC16" s="229">
        <f>'[1]Housing Generation'!DC16</f>
        <v>0</v>
      </c>
      <c r="DD16" s="229">
        <f>'[1]Housing Generation'!DD16</f>
        <v>0</v>
      </c>
      <c r="DE16" s="229">
        <f>'[1]Housing Generation'!DE16</f>
        <v>0</v>
      </c>
      <c r="DF16" s="229">
        <f>'[1]Housing Generation'!DF16</f>
        <v>0</v>
      </c>
      <c r="DG16" s="229">
        <f>'[1]Housing Generation'!DG16</f>
        <v>0</v>
      </c>
      <c r="DH16" s="229">
        <f>'[1]Housing Generation'!DH16</f>
        <v>0</v>
      </c>
      <c r="DI16" s="225">
        <f>'[1]Housing Generation'!DI16</f>
        <v>0</v>
      </c>
      <c r="DJ16" s="227">
        <f>'[1]Housing Generation'!DJ16</f>
        <v>0</v>
      </c>
      <c r="DK16" s="227">
        <f>'[1]Housing Generation'!DK16</f>
        <v>0</v>
      </c>
      <c r="DL16" s="227">
        <f>'[1]Housing Generation'!DL16</f>
        <v>0</v>
      </c>
      <c r="DM16" s="227">
        <f>'[1]Housing Generation'!DM16</f>
        <v>0</v>
      </c>
      <c r="DN16" s="227">
        <f>'[1]Housing Generation'!DN16</f>
        <v>0</v>
      </c>
      <c r="DO16" s="227">
        <f>'[1]Housing Generation'!DO16</f>
        <v>0</v>
      </c>
      <c r="DP16" s="227">
        <f>'[1]Housing Generation'!DP16</f>
        <v>0</v>
      </c>
      <c r="DQ16" s="224">
        <f>'[1]Housing Generation'!DQ16</f>
        <v>0</v>
      </c>
    </row>
    <row r="17" spans="1:121" x14ac:dyDescent="0.2">
      <c r="A17" s="237" t="s">
        <v>18</v>
      </c>
      <c r="B17" s="227">
        <f>'[1]Housing Generation'!B17</f>
        <v>0</v>
      </c>
      <c r="C17" s="227">
        <f>'[1]Housing Generation'!C17</f>
        <v>0</v>
      </c>
      <c r="D17" s="227">
        <f>'[1]Housing Generation'!D17</f>
        <v>0</v>
      </c>
      <c r="E17" s="227">
        <f>'[1]Housing Generation'!E17</f>
        <v>0</v>
      </c>
      <c r="F17" s="227">
        <f>'[1]Housing Generation'!F17</f>
        <v>0</v>
      </c>
      <c r="G17" s="227">
        <f>'[1]Housing Generation'!G17</f>
        <v>0</v>
      </c>
      <c r="H17" s="227">
        <f>'[1]Housing Generation'!H17</f>
        <v>0</v>
      </c>
      <c r="I17" s="224">
        <f>'[1]Housing Generation'!I17</f>
        <v>0</v>
      </c>
      <c r="J17" s="229">
        <f>'[1]Housing Generation'!J17</f>
        <v>0</v>
      </c>
      <c r="K17" s="229">
        <f>'[1]Housing Generation'!K17</f>
        <v>0</v>
      </c>
      <c r="L17" s="229">
        <f>'[1]Housing Generation'!L17</f>
        <v>0</v>
      </c>
      <c r="M17" s="229">
        <f>'[1]Housing Generation'!M17</f>
        <v>0</v>
      </c>
      <c r="N17" s="229">
        <f>'[1]Housing Generation'!N17</f>
        <v>0</v>
      </c>
      <c r="O17" s="229">
        <f>'[1]Housing Generation'!O17</f>
        <v>0</v>
      </c>
      <c r="P17" s="229">
        <f>'[1]Housing Generation'!P17</f>
        <v>0</v>
      </c>
      <c r="Q17" s="225">
        <f>'[1]Housing Generation'!Q17</f>
        <v>0</v>
      </c>
      <c r="R17" s="227">
        <f>'[1]Housing Generation'!R17</f>
        <v>0</v>
      </c>
      <c r="S17" s="227">
        <f>'[1]Housing Generation'!S17</f>
        <v>0</v>
      </c>
      <c r="T17" s="227">
        <f>'[1]Housing Generation'!T17</f>
        <v>0</v>
      </c>
      <c r="U17" s="227">
        <f>'[1]Housing Generation'!U17</f>
        <v>0</v>
      </c>
      <c r="V17" s="227">
        <f>'[1]Housing Generation'!V17</f>
        <v>0</v>
      </c>
      <c r="W17" s="227">
        <f>'[1]Housing Generation'!W17</f>
        <v>0</v>
      </c>
      <c r="X17" s="227">
        <f>'[1]Housing Generation'!X17</f>
        <v>0</v>
      </c>
      <c r="Y17" s="224">
        <f>'[1]Housing Generation'!Y17</f>
        <v>0</v>
      </c>
      <c r="Z17" s="229">
        <f>'[1]Housing Generation'!Z17</f>
        <v>0</v>
      </c>
      <c r="AA17" s="229">
        <f>'[1]Housing Generation'!AA17</f>
        <v>0</v>
      </c>
      <c r="AB17" s="229">
        <f>'[1]Housing Generation'!AB17</f>
        <v>0</v>
      </c>
      <c r="AC17" s="229">
        <f>'[1]Housing Generation'!AC17</f>
        <v>0</v>
      </c>
      <c r="AD17" s="229">
        <f>'[1]Housing Generation'!AD17</f>
        <v>0</v>
      </c>
      <c r="AE17" s="229">
        <f>'[1]Housing Generation'!AE17</f>
        <v>0</v>
      </c>
      <c r="AF17" s="229">
        <f>'[1]Housing Generation'!AF17</f>
        <v>0</v>
      </c>
      <c r="AG17" s="225">
        <f>'[1]Housing Generation'!AG17</f>
        <v>0</v>
      </c>
      <c r="AH17" s="227">
        <f>'[1]Housing Generation'!AH17</f>
        <v>0</v>
      </c>
      <c r="AI17" s="227">
        <f>'[1]Housing Generation'!AI17</f>
        <v>0</v>
      </c>
      <c r="AJ17" s="227">
        <f>'[1]Housing Generation'!AJ17</f>
        <v>0</v>
      </c>
      <c r="AK17" s="227">
        <f>'[1]Housing Generation'!AK17</f>
        <v>0</v>
      </c>
      <c r="AL17" s="227">
        <f>'[1]Housing Generation'!AL17</f>
        <v>0</v>
      </c>
      <c r="AM17" s="227">
        <f>'[1]Housing Generation'!AM17</f>
        <v>0</v>
      </c>
      <c r="AN17" s="227">
        <f>'[1]Housing Generation'!AN17</f>
        <v>0</v>
      </c>
      <c r="AO17" s="224">
        <f>'[1]Housing Generation'!AO17</f>
        <v>0</v>
      </c>
      <c r="AP17" s="229">
        <f>'[1]Housing Generation'!AP17</f>
        <v>0</v>
      </c>
      <c r="AQ17" s="229">
        <f>'[1]Housing Generation'!AQ17</f>
        <v>0</v>
      </c>
      <c r="AR17" s="229">
        <f>'[1]Housing Generation'!AR17</f>
        <v>0</v>
      </c>
      <c r="AS17" s="229">
        <f>'[1]Housing Generation'!AS17</f>
        <v>0</v>
      </c>
      <c r="AT17" s="229">
        <f>'[1]Housing Generation'!AT17</f>
        <v>0</v>
      </c>
      <c r="AU17" s="229">
        <f>'[1]Housing Generation'!AU17</f>
        <v>0</v>
      </c>
      <c r="AV17" s="229">
        <f>'[1]Housing Generation'!AV17</f>
        <v>0</v>
      </c>
      <c r="AW17" s="225">
        <f>'[1]Housing Generation'!AW17</f>
        <v>0</v>
      </c>
      <c r="AX17" s="227">
        <f>'[1]Housing Generation'!AX17</f>
        <v>0</v>
      </c>
      <c r="AY17" s="227">
        <f>'[1]Housing Generation'!AY17</f>
        <v>0</v>
      </c>
      <c r="AZ17" s="227">
        <f>'[1]Housing Generation'!AZ17</f>
        <v>0</v>
      </c>
      <c r="BA17" s="227">
        <f>'[1]Housing Generation'!BA17</f>
        <v>0</v>
      </c>
      <c r="BB17" s="227">
        <f>'[1]Housing Generation'!BB17</f>
        <v>0</v>
      </c>
      <c r="BC17" s="227">
        <f>'[1]Housing Generation'!BC17</f>
        <v>0</v>
      </c>
      <c r="BD17" s="227">
        <f>'[1]Housing Generation'!BD17</f>
        <v>0</v>
      </c>
      <c r="BE17" s="224">
        <f>'[1]Housing Generation'!BE17</f>
        <v>0</v>
      </c>
      <c r="BF17" s="229">
        <f>'[1]Housing Generation'!BF17</f>
        <v>0</v>
      </c>
      <c r="BG17" s="229">
        <f>'[1]Housing Generation'!BG17</f>
        <v>0</v>
      </c>
      <c r="BH17" s="229">
        <f>'[1]Housing Generation'!BH17</f>
        <v>0</v>
      </c>
      <c r="BI17" s="229">
        <f>'[1]Housing Generation'!BI17</f>
        <v>0</v>
      </c>
      <c r="BJ17" s="229">
        <f>'[1]Housing Generation'!BJ17</f>
        <v>0</v>
      </c>
      <c r="BK17" s="229">
        <f>'[1]Housing Generation'!BK17</f>
        <v>0</v>
      </c>
      <c r="BL17" s="229">
        <f>'[1]Housing Generation'!BL17</f>
        <v>0</v>
      </c>
      <c r="BM17" s="225">
        <f>'[1]Housing Generation'!BM17</f>
        <v>0</v>
      </c>
      <c r="BN17" s="227">
        <f>'[1]Housing Generation'!BN17</f>
        <v>0</v>
      </c>
      <c r="BO17" s="227">
        <f>'[1]Housing Generation'!BO17</f>
        <v>0</v>
      </c>
      <c r="BP17" s="227">
        <f>'[1]Housing Generation'!BP17</f>
        <v>0</v>
      </c>
      <c r="BQ17" s="227">
        <f>'[1]Housing Generation'!BQ17</f>
        <v>0</v>
      </c>
      <c r="BR17" s="227">
        <f>'[1]Housing Generation'!BR17</f>
        <v>0</v>
      </c>
      <c r="BS17" s="227">
        <f>'[1]Housing Generation'!BS17</f>
        <v>0</v>
      </c>
      <c r="BT17" s="227">
        <f>'[1]Housing Generation'!BT17</f>
        <v>0</v>
      </c>
      <c r="BU17" s="224">
        <f>'[1]Housing Generation'!BU17</f>
        <v>0</v>
      </c>
      <c r="BV17" s="229">
        <f>'[1]Housing Generation'!BV17</f>
        <v>0</v>
      </c>
      <c r="BW17" s="229">
        <f>'[1]Housing Generation'!BW17</f>
        <v>0</v>
      </c>
      <c r="BX17" s="229">
        <f>'[1]Housing Generation'!BX17</f>
        <v>0</v>
      </c>
      <c r="BY17" s="229">
        <f>'[1]Housing Generation'!BY17</f>
        <v>0</v>
      </c>
      <c r="BZ17" s="229">
        <f>'[1]Housing Generation'!BZ17</f>
        <v>0</v>
      </c>
      <c r="CA17" s="229">
        <f>'[1]Housing Generation'!CA17</f>
        <v>0</v>
      </c>
      <c r="CB17" s="229">
        <f>'[1]Housing Generation'!CB17</f>
        <v>0</v>
      </c>
      <c r="CC17" s="225">
        <f>'[1]Housing Generation'!CC17</f>
        <v>0</v>
      </c>
      <c r="CD17" s="227">
        <f>'[1]Housing Generation'!CD17</f>
        <v>0</v>
      </c>
      <c r="CE17" s="227">
        <f>'[1]Housing Generation'!CE17</f>
        <v>0</v>
      </c>
      <c r="CF17" s="227">
        <f>'[1]Housing Generation'!CF17</f>
        <v>0</v>
      </c>
      <c r="CG17" s="227">
        <f>'[1]Housing Generation'!CG17</f>
        <v>0</v>
      </c>
      <c r="CH17" s="227">
        <f>'[1]Housing Generation'!CH17</f>
        <v>0</v>
      </c>
      <c r="CI17" s="227">
        <f>'[1]Housing Generation'!CI17</f>
        <v>0</v>
      </c>
      <c r="CJ17" s="227">
        <f>'[1]Housing Generation'!CJ17</f>
        <v>0</v>
      </c>
      <c r="CK17" s="224">
        <f>'[1]Housing Generation'!CK17</f>
        <v>0</v>
      </c>
      <c r="CL17" s="229">
        <f>'[1]Housing Generation'!CL17</f>
        <v>0</v>
      </c>
      <c r="CM17" s="229">
        <f>'[1]Housing Generation'!CM17</f>
        <v>0</v>
      </c>
      <c r="CN17" s="229">
        <f>'[1]Housing Generation'!CN17</f>
        <v>0</v>
      </c>
      <c r="CO17" s="229">
        <f>'[1]Housing Generation'!CO17</f>
        <v>0</v>
      </c>
      <c r="CP17" s="229">
        <f>'[1]Housing Generation'!CP17</f>
        <v>0</v>
      </c>
      <c r="CQ17" s="229">
        <f>'[1]Housing Generation'!CQ17</f>
        <v>0</v>
      </c>
      <c r="CR17" s="229">
        <f>'[1]Housing Generation'!CR17</f>
        <v>0</v>
      </c>
      <c r="CS17" s="225">
        <f>'[1]Housing Generation'!CS17</f>
        <v>0</v>
      </c>
      <c r="CT17" s="227">
        <f>'[1]Housing Generation'!CT17</f>
        <v>0</v>
      </c>
      <c r="CU17" s="227">
        <f>'[1]Housing Generation'!CU17</f>
        <v>0</v>
      </c>
      <c r="CV17" s="227">
        <f>'[1]Housing Generation'!CV17</f>
        <v>0</v>
      </c>
      <c r="CW17" s="227">
        <f>'[1]Housing Generation'!CW17</f>
        <v>0</v>
      </c>
      <c r="CX17" s="227">
        <f>'[1]Housing Generation'!CX17</f>
        <v>0</v>
      </c>
      <c r="CY17" s="227">
        <f>'[1]Housing Generation'!CY17</f>
        <v>0</v>
      </c>
      <c r="CZ17" s="227">
        <f>'[1]Housing Generation'!CZ17</f>
        <v>0</v>
      </c>
      <c r="DA17" s="224">
        <f>'[1]Housing Generation'!DA17</f>
        <v>0</v>
      </c>
      <c r="DB17" s="229">
        <f>'[1]Housing Generation'!DB17</f>
        <v>0</v>
      </c>
      <c r="DC17" s="229">
        <f>'[1]Housing Generation'!DC17</f>
        <v>0</v>
      </c>
      <c r="DD17" s="229">
        <f>'[1]Housing Generation'!DD17</f>
        <v>0</v>
      </c>
      <c r="DE17" s="229">
        <f>'[1]Housing Generation'!DE17</f>
        <v>0</v>
      </c>
      <c r="DF17" s="229">
        <f>'[1]Housing Generation'!DF17</f>
        <v>0</v>
      </c>
      <c r="DG17" s="229">
        <f>'[1]Housing Generation'!DG17</f>
        <v>0</v>
      </c>
      <c r="DH17" s="229">
        <f>'[1]Housing Generation'!DH17</f>
        <v>0</v>
      </c>
      <c r="DI17" s="225">
        <f>'[1]Housing Generation'!DI17</f>
        <v>0</v>
      </c>
      <c r="DJ17" s="227">
        <f>'[1]Housing Generation'!DJ17</f>
        <v>0</v>
      </c>
      <c r="DK17" s="227">
        <f>'[1]Housing Generation'!DK17</f>
        <v>0</v>
      </c>
      <c r="DL17" s="227">
        <f>'[1]Housing Generation'!DL17</f>
        <v>0</v>
      </c>
      <c r="DM17" s="227">
        <f>'[1]Housing Generation'!DM17</f>
        <v>0</v>
      </c>
      <c r="DN17" s="227">
        <f>'[1]Housing Generation'!DN17</f>
        <v>0</v>
      </c>
      <c r="DO17" s="227">
        <f>'[1]Housing Generation'!DO17</f>
        <v>0</v>
      </c>
      <c r="DP17" s="227">
        <f>'[1]Housing Generation'!DP17</f>
        <v>0</v>
      </c>
      <c r="DQ17" s="224">
        <f>'[1]Housing Generation'!DQ17</f>
        <v>0</v>
      </c>
    </row>
    <row r="18" spans="1:121" x14ac:dyDescent="0.2">
      <c r="A18" s="237" t="s">
        <v>19</v>
      </c>
      <c r="B18" s="227">
        <f>'[1]Housing Generation'!B18</f>
        <v>0</v>
      </c>
      <c r="C18" s="227">
        <f>'[1]Housing Generation'!C18</f>
        <v>0</v>
      </c>
      <c r="D18" s="227">
        <f>'[1]Housing Generation'!D18</f>
        <v>0</v>
      </c>
      <c r="E18" s="227">
        <f>'[1]Housing Generation'!E18</f>
        <v>0</v>
      </c>
      <c r="F18" s="227">
        <f>'[1]Housing Generation'!F18</f>
        <v>0</v>
      </c>
      <c r="G18" s="227">
        <f>'[1]Housing Generation'!G18</f>
        <v>0</v>
      </c>
      <c r="H18" s="227">
        <f>'[1]Housing Generation'!H18</f>
        <v>0</v>
      </c>
      <c r="I18" s="224">
        <f>'[1]Housing Generation'!I18</f>
        <v>0</v>
      </c>
      <c r="J18" s="229">
        <f>'[1]Housing Generation'!J18</f>
        <v>1</v>
      </c>
      <c r="K18" s="229">
        <f>'[1]Housing Generation'!K18</f>
        <v>0</v>
      </c>
      <c r="L18" s="229">
        <f>'[1]Housing Generation'!L18</f>
        <v>0</v>
      </c>
      <c r="M18" s="229">
        <f>'[1]Housing Generation'!M18</f>
        <v>0</v>
      </c>
      <c r="N18" s="229">
        <f>'[1]Housing Generation'!N18</f>
        <v>0</v>
      </c>
      <c r="O18" s="229">
        <f>'[1]Housing Generation'!O18</f>
        <v>0</v>
      </c>
      <c r="P18" s="229">
        <f>'[1]Housing Generation'!P18</f>
        <v>0</v>
      </c>
      <c r="Q18" s="225">
        <f>'[1]Housing Generation'!Q18</f>
        <v>1</v>
      </c>
      <c r="R18" s="227">
        <f>'[1]Housing Generation'!R18</f>
        <v>1</v>
      </c>
      <c r="S18" s="227">
        <f>'[1]Housing Generation'!S18</f>
        <v>0</v>
      </c>
      <c r="T18" s="227">
        <f>'[1]Housing Generation'!T18</f>
        <v>0</v>
      </c>
      <c r="U18" s="227">
        <f>'[1]Housing Generation'!U18</f>
        <v>0</v>
      </c>
      <c r="V18" s="227">
        <f>'[1]Housing Generation'!V18</f>
        <v>0</v>
      </c>
      <c r="W18" s="227">
        <f>'[1]Housing Generation'!W18</f>
        <v>0</v>
      </c>
      <c r="X18" s="227">
        <f>'[1]Housing Generation'!X18</f>
        <v>0</v>
      </c>
      <c r="Y18" s="224">
        <f>'[1]Housing Generation'!Y18</f>
        <v>1</v>
      </c>
      <c r="Z18" s="229">
        <f>'[1]Housing Generation'!Z18</f>
        <v>4</v>
      </c>
      <c r="AA18" s="229">
        <f>'[1]Housing Generation'!AA18</f>
        <v>4</v>
      </c>
      <c r="AB18" s="229">
        <f>'[1]Housing Generation'!AB18</f>
        <v>4</v>
      </c>
      <c r="AC18" s="229">
        <f>'[1]Housing Generation'!AC18</f>
        <v>3</v>
      </c>
      <c r="AD18" s="229">
        <f>'[1]Housing Generation'!AD18</f>
        <v>3</v>
      </c>
      <c r="AE18" s="229">
        <f>'[1]Housing Generation'!AE18</f>
        <v>3</v>
      </c>
      <c r="AF18" s="229">
        <f>'[1]Housing Generation'!AF18</f>
        <v>3</v>
      </c>
      <c r="AG18" s="225">
        <f>'[1]Housing Generation'!AG18</f>
        <v>24</v>
      </c>
      <c r="AH18" s="227">
        <f>'[1]Housing Generation'!AH18</f>
        <v>11</v>
      </c>
      <c r="AI18" s="227">
        <f>'[1]Housing Generation'!AI18</f>
        <v>11</v>
      </c>
      <c r="AJ18" s="227">
        <f>'[1]Housing Generation'!AJ18</f>
        <v>11</v>
      </c>
      <c r="AK18" s="227">
        <f>'[1]Housing Generation'!AK18</f>
        <v>11</v>
      </c>
      <c r="AL18" s="227">
        <f>'[1]Housing Generation'!AL18</f>
        <v>11</v>
      </c>
      <c r="AM18" s="227">
        <f>'[1]Housing Generation'!AM18</f>
        <v>11</v>
      </c>
      <c r="AN18" s="227">
        <f>'[1]Housing Generation'!AN18</f>
        <v>11</v>
      </c>
      <c r="AO18" s="224">
        <f>'[1]Housing Generation'!AO18</f>
        <v>77</v>
      </c>
      <c r="AP18" s="229">
        <f>'[1]Housing Generation'!AP18</f>
        <v>22</v>
      </c>
      <c r="AQ18" s="229">
        <f>'[1]Housing Generation'!AQ18</f>
        <v>22</v>
      </c>
      <c r="AR18" s="229">
        <f>'[1]Housing Generation'!AR18</f>
        <v>22</v>
      </c>
      <c r="AS18" s="229">
        <f>'[1]Housing Generation'!AS18</f>
        <v>21</v>
      </c>
      <c r="AT18" s="229">
        <f>'[1]Housing Generation'!AT18</f>
        <v>21</v>
      </c>
      <c r="AU18" s="229">
        <f>'[1]Housing Generation'!AU18</f>
        <v>21</v>
      </c>
      <c r="AV18" s="229">
        <f>'[1]Housing Generation'!AV18</f>
        <v>21</v>
      </c>
      <c r="AW18" s="225">
        <f>'[1]Housing Generation'!AW18</f>
        <v>150</v>
      </c>
      <c r="AX18" s="227">
        <f>'[1]Housing Generation'!AX18</f>
        <v>31</v>
      </c>
      <c r="AY18" s="227">
        <f>'[1]Housing Generation'!AY18</f>
        <v>31</v>
      </c>
      <c r="AZ18" s="227">
        <f>'[1]Housing Generation'!AZ18</f>
        <v>31</v>
      </c>
      <c r="BA18" s="227">
        <f>'[1]Housing Generation'!BA18</f>
        <v>30</v>
      </c>
      <c r="BB18" s="227">
        <f>'[1]Housing Generation'!BB18</f>
        <v>30</v>
      </c>
      <c r="BC18" s="227">
        <f>'[1]Housing Generation'!BC18</f>
        <v>30</v>
      </c>
      <c r="BD18" s="227">
        <f>'[1]Housing Generation'!BD18</f>
        <v>30</v>
      </c>
      <c r="BE18" s="224">
        <f>'[1]Housing Generation'!BE18</f>
        <v>213</v>
      </c>
      <c r="BF18" s="229">
        <f>'[1]Housing Generation'!BF18</f>
        <v>38</v>
      </c>
      <c r="BG18" s="229">
        <f>'[1]Housing Generation'!BG18</f>
        <v>37</v>
      </c>
      <c r="BH18" s="229">
        <f>'[1]Housing Generation'!BH18</f>
        <v>37</v>
      </c>
      <c r="BI18" s="229">
        <f>'[1]Housing Generation'!BI18</f>
        <v>37</v>
      </c>
      <c r="BJ18" s="229">
        <f>'[1]Housing Generation'!BJ18</f>
        <v>37</v>
      </c>
      <c r="BK18" s="229">
        <f>'[1]Housing Generation'!BK18</f>
        <v>37</v>
      </c>
      <c r="BL18" s="229">
        <f>'[1]Housing Generation'!BL18</f>
        <v>37</v>
      </c>
      <c r="BM18" s="225">
        <f>'[1]Housing Generation'!BM18</f>
        <v>260</v>
      </c>
      <c r="BN18" s="227">
        <f>'[1]Housing Generation'!BN18</f>
        <v>44</v>
      </c>
      <c r="BO18" s="227">
        <f>'[1]Housing Generation'!BO18</f>
        <v>44</v>
      </c>
      <c r="BP18" s="227">
        <f>'[1]Housing Generation'!BP18</f>
        <v>43</v>
      </c>
      <c r="BQ18" s="227">
        <f>'[1]Housing Generation'!BQ18</f>
        <v>43</v>
      </c>
      <c r="BR18" s="227">
        <f>'[1]Housing Generation'!BR18</f>
        <v>43</v>
      </c>
      <c r="BS18" s="227">
        <f>'[1]Housing Generation'!BS18</f>
        <v>43</v>
      </c>
      <c r="BT18" s="227">
        <f>'[1]Housing Generation'!BT18</f>
        <v>43</v>
      </c>
      <c r="BU18" s="224">
        <f>'[1]Housing Generation'!BU18</f>
        <v>303</v>
      </c>
      <c r="BV18" s="229">
        <f>'[1]Housing Generation'!BV18</f>
        <v>49</v>
      </c>
      <c r="BW18" s="229">
        <f>'[1]Housing Generation'!BW18</f>
        <v>49</v>
      </c>
      <c r="BX18" s="229">
        <f>'[1]Housing Generation'!BX18</f>
        <v>49</v>
      </c>
      <c r="BY18" s="229">
        <f>'[1]Housing Generation'!BY18</f>
        <v>49</v>
      </c>
      <c r="BZ18" s="229">
        <f>'[1]Housing Generation'!BZ18</f>
        <v>49</v>
      </c>
      <c r="CA18" s="229">
        <f>'[1]Housing Generation'!CA18</f>
        <v>49</v>
      </c>
      <c r="CB18" s="229">
        <f>'[1]Housing Generation'!CB18</f>
        <v>49</v>
      </c>
      <c r="CC18" s="225">
        <f>'[1]Housing Generation'!CC18</f>
        <v>343</v>
      </c>
      <c r="CD18" s="227">
        <f>'[1]Housing Generation'!CD18</f>
        <v>55</v>
      </c>
      <c r="CE18" s="227">
        <f>'[1]Housing Generation'!CE18</f>
        <v>55</v>
      </c>
      <c r="CF18" s="227">
        <f>'[1]Housing Generation'!CF18</f>
        <v>55</v>
      </c>
      <c r="CG18" s="227">
        <f>'[1]Housing Generation'!CG18</f>
        <v>55</v>
      </c>
      <c r="CH18" s="227">
        <f>'[1]Housing Generation'!CH18</f>
        <v>55</v>
      </c>
      <c r="CI18" s="227">
        <f>'[1]Housing Generation'!CI18</f>
        <v>54</v>
      </c>
      <c r="CJ18" s="227">
        <f>'[1]Housing Generation'!CJ18</f>
        <v>54</v>
      </c>
      <c r="CK18" s="224">
        <f>'[1]Housing Generation'!CK18</f>
        <v>383</v>
      </c>
      <c r="CL18" s="229">
        <f>'[1]Housing Generation'!CL18</f>
        <v>58</v>
      </c>
      <c r="CM18" s="229">
        <f>'[1]Housing Generation'!CM18</f>
        <v>58</v>
      </c>
      <c r="CN18" s="229">
        <f>'[1]Housing Generation'!CN18</f>
        <v>58</v>
      </c>
      <c r="CO18" s="229">
        <f>'[1]Housing Generation'!CO18</f>
        <v>58</v>
      </c>
      <c r="CP18" s="229">
        <f>'[1]Housing Generation'!CP18</f>
        <v>57</v>
      </c>
      <c r="CQ18" s="229">
        <f>'[1]Housing Generation'!CQ18</f>
        <v>57</v>
      </c>
      <c r="CR18" s="229">
        <f>'[1]Housing Generation'!CR18</f>
        <v>57</v>
      </c>
      <c r="CS18" s="225">
        <f>'[1]Housing Generation'!CS18</f>
        <v>403</v>
      </c>
      <c r="CT18" s="227">
        <f>'[1]Housing Generation'!CT18</f>
        <v>61</v>
      </c>
      <c r="CU18" s="227">
        <f>'[1]Housing Generation'!CU18</f>
        <v>61</v>
      </c>
      <c r="CV18" s="227">
        <f>'[1]Housing Generation'!CV18</f>
        <v>61</v>
      </c>
      <c r="CW18" s="227">
        <f>'[1]Housing Generation'!CW18</f>
        <v>60</v>
      </c>
      <c r="CX18" s="227">
        <f>'[1]Housing Generation'!CX18</f>
        <v>60</v>
      </c>
      <c r="CY18" s="227">
        <f>'[1]Housing Generation'!CY18</f>
        <v>60</v>
      </c>
      <c r="CZ18" s="227">
        <f>'[1]Housing Generation'!CZ18</f>
        <v>60</v>
      </c>
      <c r="DA18" s="224">
        <f>'[1]Housing Generation'!DA18</f>
        <v>423</v>
      </c>
      <c r="DB18" s="229">
        <f>'[1]Housing Generation'!DB18</f>
        <v>64</v>
      </c>
      <c r="DC18" s="229">
        <f>'[1]Housing Generation'!DC18</f>
        <v>64</v>
      </c>
      <c r="DD18" s="229">
        <f>'[1]Housing Generation'!DD18</f>
        <v>63</v>
      </c>
      <c r="DE18" s="229">
        <f>'[1]Housing Generation'!DE18</f>
        <v>63</v>
      </c>
      <c r="DF18" s="229">
        <f>'[1]Housing Generation'!DF18</f>
        <v>63</v>
      </c>
      <c r="DG18" s="229">
        <f>'[1]Housing Generation'!DG18</f>
        <v>63</v>
      </c>
      <c r="DH18" s="229">
        <f>'[1]Housing Generation'!DH18</f>
        <v>63</v>
      </c>
      <c r="DI18" s="225">
        <f>'[1]Housing Generation'!DI18</f>
        <v>443</v>
      </c>
      <c r="DJ18" s="227">
        <f>'[1]Housing Generation'!DJ18</f>
        <v>67</v>
      </c>
      <c r="DK18" s="227">
        <f>'[1]Housing Generation'!DK18</f>
        <v>66</v>
      </c>
      <c r="DL18" s="227">
        <f>'[1]Housing Generation'!DL18</f>
        <v>66</v>
      </c>
      <c r="DM18" s="227">
        <f>'[1]Housing Generation'!DM18</f>
        <v>66</v>
      </c>
      <c r="DN18" s="227">
        <f>'[1]Housing Generation'!DN18</f>
        <v>66</v>
      </c>
      <c r="DO18" s="227">
        <f>'[1]Housing Generation'!DO18</f>
        <v>66</v>
      </c>
      <c r="DP18" s="227">
        <f>'[1]Housing Generation'!DP18</f>
        <v>66</v>
      </c>
      <c r="DQ18" s="224">
        <f>'[1]Housing Generation'!DQ18</f>
        <v>463</v>
      </c>
    </row>
    <row r="19" spans="1:121" x14ac:dyDescent="0.2">
      <c r="A19" s="237" t="s">
        <v>20</v>
      </c>
      <c r="B19" s="227">
        <f>'[1]Housing Generation'!B19</f>
        <v>0</v>
      </c>
      <c r="C19" s="227">
        <f>'[1]Housing Generation'!C19</f>
        <v>0</v>
      </c>
      <c r="D19" s="227">
        <f>'[1]Housing Generation'!D19</f>
        <v>0</v>
      </c>
      <c r="E19" s="227">
        <f>'[1]Housing Generation'!E19</f>
        <v>0</v>
      </c>
      <c r="F19" s="227">
        <f>'[1]Housing Generation'!F19</f>
        <v>0</v>
      </c>
      <c r="G19" s="227">
        <f>'[1]Housing Generation'!G19</f>
        <v>0</v>
      </c>
      <c r="H19" s="227">
        <f>'[1]Housing Generation'!H19</f>
        <v>0</v>
      </c>
      <c r="I19" s="224">
        <f>'[1]Housing Generation'!I19</f>
        <v>0</v>
      </c>
      <c r="J19" s="229">
        <f>'[1]Housing Generation'!J19</f>
        <v>1</v>
      </c>
      <c r="K19" s="229">
        <f>'[1]Housing Generation'!K19</f>
        <v>1</v>
      </c>
      <c r="L19" s="229">
        <f>'[1]Housing Generation'!L19</f>
        <v>0</v>
      </c>
      <c r="M19" s="229">
        <f>'[1]Housing Generation'!M19</f>
        <v>0</v>
      </c>
      <c r="N19" s="229">
        <f>'[1]Housing Generation'!N19</f>
        <v>0</v>
      </c>
      <c r="O19" s="229">
        <f>'[1]Housing Generation'!O19</f>
        <v>0</v>
      </c>
      <c r="P19" s="229">
        <f>'[1]Housing Generation'!P19</f>
        <v>0</v>
      </c>
      <c r="Q19" s="225">
        <f>'[1]Housing Generation'!Q19</f>
        <v>2</v>
      </c>
      <c r="R19" s="227">
        <f>'[1]Housing Generation'!R19</f>
        <v>1</v>
      </c>
      <c r="S19" s="227">
        <f>'[1]Housing Generation'!S19</f>
        <v>1</v>
      </c>
      <c r="T19" s="227">
        <f>'[1]Housing Generation'!T19</f>
        <v>1</v>
      </c>
      <c r="U19" s="227">
        <f>'[1]Housing Generation'!U19</f>
        <v>1</v>
      </c>
      <c r="V19" s="227">
        <f>'[1]Housing Generation'!V19</f>
        <v>0</v>
      </c>
      <c r="W19" s="227">
        <f>'[1]Housing Generation'!W19</f>
        <v>0</v>
      </c>
      <c r="X19" s="227">
        <f>'[1]Housing Generation'!X19</f>
        <v>0</v>
      </c>
      <c r="Y19" s="224">
        <f>'[1]Housing Generation'!Y19</f>
        <v>4</v>
      </c>
      <c r="Z19" s="229">
        <f>'[1]Housing Generation'!Z19</f>
        <v>1</v>
      </c>
      <c r="AA19" s="229">
        <f>'[1]Housing Generation'!AA19</f>
        <v>1</v>
      </c>
      <c r="AB19" s="229">
        <f>'[1]Housing Generation'!AB19</f>
        <v>1</v>
      </c>
      <c r="AC19" s="229">
        <f>'[1]Housing Generation'!AC19</f>
        <v>1</v>
      </c>
      <c r="AD19" s="229">
        <f>'[1]Housing Generation'!AD19</f>
        <v>0</v>
      </c>
      <c r="AE19" s="229">
        <f>'[1]Housing Generation'!AE19</f>
        <v>0</v>
      </c>
      <c r="AF19" s="229">
        <f>'[1]Housing Generation'!AF19</f>
        <v>0</v>
      </c>
      <c r="AG19" s="225">
        <f>'[1]Housing Generation'!AG19</f>
        <v>4</v>
      </c>
      <c r="AH19" s="227">
        <f>'[1]Housing Generation'!AH19</f>
        <v>1</v>
      </c>
      <c r="AI19" s="227">
        <f>'[1]Housing Generation'!AI19</f>
        <v>1</v>
      </c>
      <c r="AJ19" s="227">
        <f>'[1]Housing Generation'!AJ19</f>
        <v>1</v>
      </c>
      <c r="AK19" s="227">
        <f>'[1]Housing Generation'!AK19</f>
        <v>1</v>
      </c>
      <c r="AL19" s="227">
        <f>'[1]Housing Generation'!AL19</f>
        <v>1</v>
      </c>
      <c r="AM19" s="227">
        <f>'[1]Housing Generation'!AM19</f>
        <v>1</v>
      </c>
      <c r="AN19" s="227">
        <f>'[1]Housing Generation'!AN19</f>
        <v>0</v>
      </c>
      <c r="AO19" s="224">
        <f>'[1]Housing Generation'!AO19</f>
        <v>6</v>
      </c>
      <c r="AP19" s="229">
        <f>'[1]Housing Generation'!AP19</f>
        <v>2</v>
      </c>
      <c r="AQ19" s="229">
        <f>'[1]Housing Generation'!AQ19</f>
        <v>1</v>
      </c>
      <c r="AR19" s="229">
        <f>'[1]Housing Generation'!AR19</f>
        <v>1</v>
      </c>
      <c r="AS19" s="229">
        <f>'[1]Housing Generation'!AS19</f>
        <v>1</v>
      </c>
      <c r="AT19" s="229">
        <f>'[1]Housing Generation'!AT19</f>
        <v>1</v>
      </c>
      <c r="AU19" s="229">
        <f>'[1]Housing Generation'!AU19</f>
        <v>1</v>
      </c>
      <c r="AV19" s="229">
        <f>'[1]Housing Generation'!AV19</f>
        <v>1</v>
      </c>
      <c r="AW19" s="225">
        <f>'[1]Housing Generation'!AW19</f>
        <v>8</v>
      </c>
      <c r="AX19" s="227">
        <f>'[1]Housing Generation'!AX19</f>
        <v>2</v>
      </c>
      <c r="AY19" s="227">
        <f>'[1]Housing Generation'!AY19</f>
        <v>2</v>
      </c>
      <c r="AZ19" s="227">
        <f>'[1]Housing Generation'!AZ19</f>
        <v>1</v>
      </c>
      <c r="BA19" s="227">
        <f>'[1]Housing Generation'!BA19</f>
        <v>1</v>
      </c>
      <c r="BB19" s="227">
        <f>'[1]Housing Generation'!BB19</f>
        <v>1</v>
      </c>
      <c r="BC19" s="227">
        <f>'[1]Housing Generation'!BC19</f>
        <v>1</v>
      </c>
      <c r="BD19" s="227">
        <f>'[1]Housing Generation'!BD19</f>
        <v>1</v>
      </c>
      <c r="BE19" s="224">
        <f>'[1]Housing Generation'!BE19</f>
        <v>9</v>
      </c>
      <c r="BF19" s="229">
        <f>'[1]Housing Generation'!BF19</f>
        <v>2</v>
      </c>
      <c r="BG19" s="229">
        <f>'[1]Housing Generation'!BG19</f>
        <v>2</v>
      </c>
      <c r="BH19" s="229">
        <f>'[1]Housing Generation'!BH19</f>
        <v>2</v>
      </c>
      <c r="BI19" s="229">
        <f>'[1]Housing Generation'!BI19</f>
        <v>2</v>
      </c>
      <c r="BJ19" s="229">
        <f>'[1]Housing Generation'!BJ19</f>
        <v>1</v>
      </c>
      <c r="BK19" s="229">
        <f>'[1]Housing Generation'!BK19</f>
        <v>1</v>
      </c>
      <c r="BL19" s="229">
        <f>'[1]Housing Generation'!BL19</f>
        <v>1</v>
      </c>
      <c r="BM19" s="225">
        <f>'[1]Housing Generation'!BM19</f>
        <v>11</v>
      </c>
      <c r="BN19" s="227">
        <f>'[1]Housing Generation'!BN19</f>
        <v>2</v>
      </c>
      <c r="BO19" s="227">
        <f>'[1]Housing Generation'!BO19</f>
        <v>2</v>
      </c>
      <c r="BP19" s="227">
        <f>'[1]Housing Generation'!BP19</f>
        <v>2</v>
      </c>
      <c r="BQ19" s="227">
        <f>'[1]Housing Generation'!BQ19</f>
        <v>2</v>
      </c>
      <c r="BR19" s="227">
        <f>'[1]Housing Generation'!BR19</f>
        <v>2</v>
      </c>
      <c r="BS19" s="227">
        <f>'[1]Housing Generation'!BS19</f>
        <v>2</v>
      </c>
      <c r="BT19" s="227">
        <f>'[1]Housing Generation'!BT19</f>
        <v>1</v>
      </c>
      <c r="BU19" s="224">
        <f>'[1]Housing Generation'!BU19</f>
        <v>13</v>
      </c>
      <c r="BV19" s="229">
        <f>'[1]Housing Generation'!BV19</f>
        <v>3</v>
      </c>
      <c r="BW19" s="229">
        <f>'[1]Housing Generation'!BW19</f>
        <v>2</v>
      </c>
      <c r="BX19" s="229">
        <f>'[1]Housing Generation'!BX19</f>
        <v>2</v>
      </c>
      <c r="BY19" s="229">
        <f>'[1]Housing Generation'!BY19</f>
        <v>2</v>
      </c>
      <c r="BZ19" s="229">
        <f>'[1]Housing Generation'!BZ19</f>
        <v>2</v>
      </c>
      <c r="CA19" s="229">
        <f>'[1]Housing Generation'!CA19</f>
        <v>2</v>
      </c>
      <c r="CB19" s="229">
        <f>'[1]Housing Generation'!CB19</f>
        <v>2</v>
      </c>
      <c r="CC19" s="225">
        <f>'[1]Housing Generation'!CC19</f>
        <v>15</v>
      </c>
      <c r="CD19" s="227">
        <f>'[1]Housing Generation'!CD19</f>
        <v>3</v>
      </c>
      <c r="CE19" s="227">
        <f>'[1]Housing Generation'!CE19</f>
        <v>2</v>
      </c>
      <c r="CF19" s="227">
        <f>'[1]Housing Generation'!CF19</f>
        <v>2</v>
      </c>
      <c r="CG19" s="227">
        <f>'[1]Housing Generation'!CG19</f>
        <v>2</v>
      </c>
      <c r="CH19" s="227">
        <f>'[1]Housing Generation'!CH19</f>
        <v>2</v>
      </c>
      <c r="CI19" s="227">
        <f>'[1]Housing Generation'!CI19</f>
        <v>2</v>
      </c>
      <c r="CJ19" s="227">
        <f>'[1]Housing Generation'!CJ19</f>
        <v>2</v>
      </c>
      <c r="CK19" s="224">
        <f>'[1]Housing Generation'!CK19</f>
        <v>15</v>
      </c>
      <c r="CL19" s="229">
        <f>'[1]Housing Generation'!CL19</f>
        <v>3</v>
      </c>
      <c r="CM19" s="229">
        <f>'[1]Housing Generation'!CM19</f>
        <v>2</v>
      </c>
      <c r="CN19" s="229">
        <f>'[1]Housing Generation'!CN19</f>
        <v>2</v>
      </c>
      <c r="CO19" s="229">
        <f>'[1]Housing Generation'!CO19</f>
        <v>2</v>
      </c>
      <c r="CP19" s="229">
        <f>'[1]Housing Generation'!CP19</f>
        <v>2</v>
      </c>
      <c r="CQ19" s="229">
        <f>'[1]Housing Generation'!CQ19</f>
        <v>2</v>
      </c>
      <c r="CR19" s="229">
        <f>'[1]Housing Generation'!CR19</f>
        <v>2</v>
      </c>
      <c r="CS19" s="225">
        <f>'[1]Housing Generation'!CS19</f>
        <v>15</v>
      </c>
      <c r="CT19" s="227">
        <f>'[1]Housing Generation'!CT19</f>
        <v>3</v>
      </c>
      <c r="CU19" s="227">
        <f>'[1]Housing Generation'!CU19</f>
        <v>2</v>
      </c>
      <c r="CV19" s="227">
        <f>'[1]Housing Generation'!CV19</f>
        <v>2</v>
      </c>
      <c r="CW19" s="227">
        <f>'[1]Housing Generation'!CW19</f>
        <v>2</v>
      </c>
      <c r="CX19" s="227">
        <f>'[1]Housing Generation'!CX19</f>
        <v>2</v>
      </c>
      <c r="CY19" s="227">
        <f>'[1]Housing Generation'!CY19</f>
        <v>2</v>
      </c>
      <c r="CZ19" s="227">
        <f>'[1]Housing Generation'!CZ19</f>
        <v>2</v>
      </c>
      <c r="DA19" s="224">
        <f>'[1]Housing Generation'!DA19</f>
        <v>15</v>
      </c>
      <c r="DB19" s="229">
        <f>'[1]Housing Generation'!DB19</f>
        <v>3</v>
      </c>
      <c r="DC19" s="229">
        <f>'[1]Housing Generation'!DC19</f>
        <v>2</v>
      </c>
      <c r="DD19" s="229">
        <f>'[1]Housing Generation'!DD19</f>
        <v>2</v>
      </c>
      <c r="DE19" s="229">
        <f>'[1]Housing Generation'!DE19</f>
        <v>2</v>
      </c>
      <c r="DF19" s="229">
        <f>'[1]Housing Generation'!DF19</f>
        <v>2</v>
      </c>
      <c r="DG19" s="229">
        <f>'[1]Housing Generation'!DG19</f>
        <v>2</v>
      </c>
      <c r="DH19" s="229">
        <f>'[1]Housing Generation'!DH19</f>
        <v>2</v>
      </c>
      <c r="DI19" s="225">
        <f>'[1]Housing Generation'!DI19</f>
        <v>15</v>
      </c>
      <c r="DJ19" s="227">
        <f>'[1]Housing Generation'!DJ19</f>
        <v>3</v>
      </c>
      <c r="DK19" s="227">
        <f>'[1]Housing Generation'!DK19</f>
        <v>2</v>
      </c>
      <c r="DL19" s="227">
        <f>'[1]Housing Generation'!DL19</f>
        <v>2</v>
      </c>
      <c r="DM19" s="227">
        <f>'[1]Housing Generation'!DM19</f>
        <v>2</v>
      </c>
      <c r="DN19" s="227">
        <f>'[1]Housing Generation'!DN19</f>
        <v>2</v>
      </c>
      <c r="DO19" s="227">
        <f>'[1]Housing Generation'!DO19</f>
        <v>2</v>
      </c>
      <c r="DP19" s="227">
        <f>'[1]Housing Generation'!DP19</f>
        <v>2</v>
      </c>
      <c r="DQ19" s="224">
        <f>'[1]Housing Generation'!DQ19</f>
        <v>15</v>
      </c>
    </row>
    <row r="20" spans="1:121" x14ac:dyDescent="0.2">
      <c r="A20" s="237" t="s">
        <v>21</v>
      </c>
      <c r="B20" s="227">
        <f>'[1]Housing Generation'!B20</f>
        <v>0</v>
      </c>
      <c r="C20" s="227">
        <f>'[1]Housing Generation'!C20</f>
        <v>0</v>
      </c>
      <c r="D20" s="227">
        <f>'[1]Housing Generation'!D20</f>
        <v>0</v>
      </c>
      <c r="E20" s="227">
        <f>'[1]Housing Generation'!E20</f>
        <v>0</v>
      </c>
      <c r="F20" s="227">
        <f>'[1]Housing Generation'!F20</f>
        <v>0</v>
      </c>
      <c r="G20" s="227">
        <f>'[1]Housing Generation'!G20</f>
        <v>0</v>
      </c>
      <c r="H20" s="227">
        <f>'[1]Housing Generation'!H20</f>
        <v>0</v>
      </c>
      <c r="I20" s="224">
        <f>'[1]Housing Generation'!I20</f>
        <v>0</v>
      </c>
      <c r="J20" s="229">
        <f>'[1]Housing Generation'!J20</f>
        <v>0</v>
      </c>
      <c r="K20" s="229">
        <f>'[1]Housing Generation'!K20</f>
        <v>0</v>
      </c>
      <c r="L20" s="229">
        <f>'[1]Housing Generation'!L20</f>
        <v>0</v>
      </c>
      <c r="M20" s="229">
        <f>'[1]Housing Generation'!M20</f>
        <v>0</v>
      </c>
      <c r="N20" s="229">
        <f>'[1]Housing Generation'!N20</f>
        <v>0</v>
      </c>
      <c r="O20" s="229">
        <f>'[1]Housing Generation'!O20</f>
        <v>0</v>
      </c>
      <c r="P20" s="229">
        <f>'[1]Housing Generation'!P20</f>
        <v>0</v>
      </c>
      <c r="Q20" s="225">
        <f>'[1]Housing Generation'!Q20</f>
        <v>0</v>
      </c>
      <c r="R20" s="227">
        <f>'[1]Housing Generation'!R20</f>
        <v>0</v>
      </c>
      <c r="S20" s="227">
        <f>'[1]Housing Generation'!S20</f>
        <v>0</v>
      </c>
      <c r="T20" s="227">
        <f>'[1]Housing Generation'!T20</f>
        <v>0</v>
      </c>
      <c r="U20" s="227">
        <f>'[1]Housing Generation'!U20</f>
        <v>0</v>
      </c>
      <c r="V20" s="227">
        <f>'[1]Housing Generation'!V20</f>
        <v>0</v>
      </c>
      <c r="W20" s="227">
        <f>'[1]Housing Generation'!W20</f>
        <v>0</v>
      </c>
      <c r="X20" s="227">
        <f>'[1]Housing Generation'!X20</f>
        <v>0</v>
      </c>
      <c r="Y20" s="224">
        <f>'[1]Housing Generation'!Y20</f>
        <v>0</v>
      </c>
      <c r="Z20" s="229">
        <f>'[1]Housing Generation'!Z20</f>
        <v>0</v>
      </c>
      <c r="AA20" s="229">
        <f>'[1]Housing Generation'!AA20</f>
        <v>0</v>
      </c>
      <c r="AB20" s="229">
        <f>'[1]Housing Generation'!AB20</f>
        <v>0</v>
      </c>
      <c r="AC20" s="229">
        <f>'[1]Housing Generation'!AC20</f>
        <v>0</v>
      </c>
      <c r="AD20" s="229">
        <f>'[1]Housing Generation'!AD20</f>
        <v>0</v>
      </c>
      <c r="AE20" s="229">
        <f>'[1]Housing Generation'!AE20</f>
        <v>0</v>
      </c>
      <c r="AF20" s="229">
        <f>'[1]Housing Generation'!AF20</f>
        <v>0</v>
      </c>
      <c r="AG20" s="225">
        <f>'[1]Housing Generation'!AG20</f>
        <v>0</v>
      </c>
      <c r="AH20" s="227">
        <f>'[1]Housing Generation'!AH20</f>
        <v>0</v>
      </c>
      <c r="AI20" s="227">
        <f>'[1]Housing Generation'!AI20</f>
        <v>0</v>
      </c>
      <c r="AJ20" s="227">
        <f>'[1]Housing Generation'!AJ20</f>
        <v>0</v>
      </c>
      <c r="AK20" s="227">
        <f>'[1]Housing Generation'!AK20</f>
        <v>0</v>
      </c>
      <c r="AL20" s="227">
        <f>'[1]Housing Generation'!AL20</f>
        <v>0</v>
      </c>
      <c r="AM20" s="227">
        <f>'[1]Housing Generation'!AM20</f>
        <v>0</v>
      </c>
      <c r="AN20" s="227">
        <f>'[1]Housing Generation'!AN20</f>
        <v>0</v>
      </c>
      <c r="AO20" s="224">
        <f>'[1]Housing Generation'!AO20</f>
        <v>0</v>
      </c>
      <c r="AP20" s="229">
        <f>'[1]Housing Generation'!AP20</f>
        <v>0</v>
      </c>
      <c r="AQ20" s="229">
        <f>'[1]Housing Generation'!AQ20</f>
        <v>0</v>
      </c>
      <c r="AR20" s="229">
        <f>'[1]Housing Generation'!AR20</f>
        <v>0</v>
      </c>
      <c r="AS20" s="229">
        <f>'[1]Housing Generation'!AS20</f>
        <v>0</v>
      </c>
      <c r="AT20" s="229">
        <f>'[1]Housing Generation'!AT20</f>
        <v>0</v>
      </c>
      <c r="AU20" s="229">
        <f>'[1]Housing Generation'!AU20</f>
        <v>0</v>
      </c>
      <c r="AV20" s="229">
        <f>'[1]Housing Generation'!AV20</f>
        <v>0</v>
      </c>
      <c r="AW20" s="225">
        <f>'[1]Housing Generation'!AW20</f>
        <v>0</v>
      </c>
      <c r="AX20" s="227">
        <f>'[1]Housing Generation'!AX20</f>
        <v>0</v>
      </c>
      <c r="AY20" s="227">
        <f>'[1]Housing Generation'!AY20</f>
        <v>0</v>
      </c>
      <c r="AZ20" s="227">
        <f>'[1]Housing Generation'!AZ20</f>
        <v>0</v>
      </c>
      <c r="BA20" s="227">
        <f>'[1]Housing Generation'!BA20</f>
        <v>0</v>
      </c>
      <c r="BB20" s="227">
        <f>'[1]Housing Generation'!BB20</f>
        <v>0</v>
      </c>
      <c r="BC20" s="227">
        <f>'[1]Housing Generation'!BC20</f>
        <v>0</v>
      </c>
      <c r="BD20" s="227">
        <f>'[1]Housing Generation'!BD20</f>
        <v>0</v>
      </c>
      <c r="BE20" s="224">
        <f>'[1]Housing Generation'!BE20</f>
        <v>0</v>
      </c>
      <c r="BF20" s="229">
        <f>'[1]Housing Generation'!BF20</f>
        <v>0</v>
      </c>
      <c r="BG20" s="229">
        <f>'[1]Housing Generation'!BG20</f>
        <v>0</v>
      </c>
      <c r="BH20" s="229">
        <f>'[1]Housing Generation'!BH20</f>
        <v>0</v>
      </c>
      <c r="BI20" s="229">
        <f>'[1]Housing Generation'!BI20</f>
        <v>0</v>
      </c>
      <c r="BJ20" s="229">
        <f>'[1]Housing Generation'!BJ20</f>
        <v>0</v>
      </c>
      <c r="BK20" s="229">
        <f>'[1]Housing Generation'!BK20</f>
        <v>0</v>
      </c>
      <c r="BL20" s="229">
        <f>'[1]Housing Generation'!BL20</f>
        <v>0</v>
      </c>
      <c r="BM20" s="225">
        <f>'[1]Housing Generation'!BM20</f>
        <v>0</v>
      </c>
      <c r="BN20" s="227">
        <f>'[1]Housing Generation'!BN20</f>
        <v>0</v>
      </c>
      <c r="BO20" s="227">
        <f>'[1]Housing Generation'!BO20</f>
        <v>0</v>
      </c>
      <c r="BP20" s="227">
        <f>'[1]Housing Generation'!BP20</f>
        <v>0</v>
      </c>
      <c r="BQ20" s="227">
        <f>'[1]Housing Generation'!BQ20</f>
        <v>0</v>
      </c>
      <c r="BR20" s="227">
        <f>'[1]Housing Generation'!BR20</f>
        <v>0</v>
      </c>
      <c r="BS20" s="227">
        <f>'[1]Housing Generation'!BS20</f>
        <v>0</v>
      </c>
      <c r="BT20" s="227">
        <f>'[1]Housing Generation'!BT20</f>
        <v>0</v>
      </c>
      <c r="BU20" s="224">
        <f>'[1]Housing Generation'!BU20</f>
        <v>0</v>
      </c>
      <c r="BV20" s="229">
        <f>'[1]Housing Generation'!BV20</f>
        <v>0</v>
      </c>
      <c r="BW20" s="229">
        <f>'[1]Housing Generation'!BW20</f>
        <v>0</v>
      </c>
      <c r="BX20" s="229">
        <f>'[1]Housing Generation'!BX20</f>
        <v>0</v>
      </c>
      <c r="BY20" s="229">
        <f>'[1]Housing Generation'!BY20</f>
        <v>0</v>
      </c>
      <c r="BZ20" s="229">
        <f>'[1]Housing Generation'!BZ20</f>
        <v>0</v>
      </c>
      <c r="CA20" s="229">
        <f>'[1]Housing Generation'!CA20</f>
        <v>0</v>
      </c>
      <c r="CB20" s="229">
        <f>'[1]Housing Generation'!CB20</f>
        <v>0</v>
      </c>
      <c r="CC20" s="225">
        <f>'[1]Housing Generation'!CC20</f>
        <v>0</v>
      </c>
      <c r="CD20" s="227">
        <f>'[1]Housing Generation'!CD20</f>
        <v>0</v>
      </c>
      <c r="CE20" s="227">
        <f>'[1]Housing Generation'!CE20</f>
        <v>0</v>
      </c>
      <c r="CF20" s="227">
        <f>'[1]Housing Generation'!CF20</f>
        <v>0</v>
      </c>
      <c r="CG20" s="227">
        <f>'[1]Housing Generation'!CG20</f>
        <v>0</v>
      </c>
      <c r="CH20" s="227">
        <f>'[1]Housing Generation'!CH20</f>
        <v>0</v>
      </c>
      <c r="CI20" s="227">
        <f>'[1]Housing Generation'!CI20</f>
        <v>0</v>
      </c>
      <c r="CJ20" s="227">
        <f>'[1]Housing Generation'!CJ20</f>
        <v>0</v>
      </c>
      <c r="CK20" s="224">
        <f>'[1]Housing Generation'!CK20</f>
        <v>0</v>
      </c>
      <c r="CL20" s="229">
        <f>'[1]Housing Generation'!CL20</f>
        <v>0</v>
      </c>
      <c r="CM20" s="229">
        <f>'[1]Housing Generation'!CM20</f>
        <v>0</v>
      </c>
      <c r="CN20" s="229">
        <f>'[1]Housing Generation'!CN20</f>
        <v>0</v>
      </c>
      <c r="CO20" s="229">
        <f>'[1]Housing Generation'!CO20</f>
        <v>0</v>
      </c>
      <c r="CP20" s="229">
        <f>'[1]Housing Generation'!CP20</f>
        <v>0</v>
      </c>
      <c r="CQ20" s="229">
        <f>'[1]Housing Generation'!CQ20</f>
        <v>0</v>
      </c>
      <c r="CR20" s="229">
        <f>'[1]Housing Generation'!CR20</f>
        <v>0</v>
      </c>
      <c r="CS20" s="225">
        <f>'[1]Housing Generation'!CS20</f>
        <v>0</v>
      </c>
      <c r="CT20" s="227">
        <f>'[1]Housing Generation'!CT20</f>
        <v>0</v>
      </c>
      <c r="CU20" s="227">
        <f>'[1]Housing Generation'!CU20</f>
        <v>0</v>
      </c>
      <c r="CV20" s="227">
        <f>'[1]Housing Generation'!CV20</f>
        <v>0</v>
      </c>
      <c r="CW20" s="227">
        <f>'[1]Housing Generation'!CW20</f>
        <v>0</v>
      </c>
      <c r="CX20" s="227">
        <f>'[1]Housing Generation'!CX20</f>
        <v>0</v>
      </c>
      <c r="CY20" s="227">
        <f>'[1]Housing Generation'!CY20</f>
        <v>0</v>
      </c>
      <c r="CZ20" s="227">
        <f>'[1]Housing Generation'!CZ20</f>
        <v>0</v>
      </c>
      <c r="DA20" s="224">
        <f>'[1]Housing Generation'!DA20</f>
        <v>0</v>
      </c>
      <c r="DB20" s="229">
        <f>'[1]Housing Generation'!DB20</f>
        <v>0</v>
      </c>
      <c r="DC20" s="229">
        <f>'[1]Housing Generation'!DC20</f>
        <v>0</v>
      </c>
      <c r="DD20" s="229">
        <f>'[1]Housing Generation'!DD20</f>
        <v>0</v>
      </c>
      <c r="DE20" s="229">
        <f>'[1]Housing Generation'!DE20</f>
        <v>0</v>
      </c>
      <c r="DF20" s="229">
        <f>'[1]Housing Generation'!DF20</f>
        <v>0</v>
      </c>
      <c r="DG20" s="229">
        <f>'[1]Housing Generation'!DG20</f>
        <v>0</v>
      </c>
      <c r="DH20" s="229">
        <f>'[1]Housing Generation'!DH20</f>
        <v>0</v>
      </c>
      <c r="DI20" s="225">
        <f>'[1]Housing Generation'!DI20</f>
        <v>0</v>
      </c>
      <c r="DJ20" s="227">
        <f>'[1]Housing Generation'!DJ20</f>
        <v>0</v>
      </c>
      <c r="DK20" s="227">
        <f>'[1]Housing Generation'!DK20</f>
        <v>0</v>
      </c>
      <c r="DL20" s="227">
        <f>'[1]Housing Generation'!DL20</f>
        <v>0</v>
      </c>
      <c r="DM20" s="227">
        <f>'[1]Housing Generation'!DM20</f>
        <v>0</v>
      </c>
      <c r="DN20" s="227">
        <f>'[1]Housing Generation'!DN20</f>
        <v>0</v>
      </c>
      <c r="DO20" s="227">
        <f>'[1]Housing Generation'!DO20</f>
        <v>0</v>
      </c>
      <c r="DP20" s="227">
        <f>'[1]Housing Generation'!DP20</f>
        <v>0</v>
      </c>
      <c r="DQ20" s="224">
        <f>'[1]Housing Generation'!DQ20</f>
        <v>0</v>
      </c>
    </row>
    <row r="21" spans="1:121" x14ac:dyDescent="0.2">
      <c r="A21" s="237" t="s">
        <v>22</v>
      </c>
      <c r="B21" s="227">
        <f>'[1]Housing Generation'!B21</f>
        <v>0</v>
      </c>
      <c r="C21" s="227">
        <f>'[1]Housing Generation'!C21</f>
        <v>0</v>
      </c>
      <c r="D21" s="227">
        <f>'[1]Housing Generation'!D21</f>
        <v>0</v>
      </c>
      <c r="E21" s="227">
        <f>'[1]Housing Generation'!E21</f>
        <v>0</v>
      </c>
      <c r="F21" s="227">
        <f>'[1]Housing Generation'!F21</f>
        <v>0</v>
      </c>
      <c r="G21" s="227">
        <f>'[1]Housing Generation'!G21</f>
        <v>0</v>
      </c>
      <c r="H21" s="227">
        <f>'[1]Housing Generation'!H21</f>
        <v>0</v>
      </c>
      <c r="I21" s="224">
        <f>'[1]Housing Generation'!I21</f>
        <v>0</v>
      </c>
      <c r="J21" s="229">
        <f>'[1]Housing Generation'!J21</f>
        <v>0</v>
      </c>
      <c r="K21" s="229">
        <f>'[1]Housing Generation'!K21</f>
        <v>0</v>
      </c>
      <c r="L21" s="229">
        <f>'[1]Housing Generation'!L21</f>
        <v>0</v>
      </c>
      <c r="M21" s="229">
        <f>'[1]Housing Generation'!M21</f>
        <v>0</v>
      </c>
      <c r="N21" s="229">
        <f>'[1]Housing Generation'!N21</f>
        <v>0</v>
      </c>
      <c r="O21" s="229">
        <f>'[1]Housing Generation'!O21</f>
        <v>0</v>
      </c>
      <c r="P21" s="229">
        <f>'[1]Housing Generation'!P21</f>
        <v>0</v>
      </c>
      <c r="Q21" s="225">
        <f>'[1]Housing Generation'!Q21</f>
        <v>0</v>
      </c>
      <c r="R21" s="227">
        <f>'[1]Housing Generation'!R21</f>
        <v>1</v>
      </c>
      <c r="S21" s="227">
        <f>'[1]Housing Generation'!S21</f>
        <v>1</v>
      </c>
      <c r="T21" s="227">
        <f>'[1]Housing Generation'!T21</f>
        <v>1</v>
      </c>
      <c r="U21" s="227">
        <f>'[1]Housing Generation'!U21</f>
        <v>1</v>
      </c>
      <c r="V21" s="227">
        <f>'[1]Housing Generation'!V21</f>
        <v>1</v>
      </c>
      <c r="W21" s="227">
        <f>'[1]Housing Generation'!W21</f>
        <v>1</v>
      </c>
      <c r="X21" s="227">
        <f>'[1]Housing Generation'!X21</f>
        <v>0</v>
      </c>
      <c r="Y21" s="224">
        <f>'[1]Housing Generation'!Y21</f>
        <v>6</v>
      </c>
      <c r="Z21" s="229">
        <f>'[1]Housing Generation'!Z21</f>
        <v>4</v>
      </c>
      <c r="AA21" s="229">
        <f>'[1]Housing Generation'!AA21</f>
        <v>4</v>
      </c>
      <c r="AB21" s="229">
        <f>'[1]Housing Generation'!AB21</f>
        <v>4</v>
      </c>
      <c r="AC21" s="229">
        <f>'[1]Housing Generation'!AC21</f>
        <v>4</v>
      </c>
      <c r="AD21" s="229">
        <f>'[1]Housing Generation'!AD21</f>
        <v>4</v>
      </c>
      <c r="AE21" s="229">
        <f>'[1]Housing Generation'!AE21</f>
        <v>4</v>
      </c>
      <c r="AF21" s="229">
        <f>'[1]Housing Generation'!AF21</f>
        <v>3</v>
      </c>
      <c r="AG21" s="225">
        <f>'[1]Housing Generation'!AG21</f>
        <v>27</v>
      </c>
      <c r="AH21" s="227">
        <f>'[1]Housing Generation'!AH21</f>
        <v>8</v>
      </c>
      <c r="AI21" s="227">
        <f>'[1]Housing Generation'!AI21</f>
        <v>8</v>
      </c>
      <c r="AJ21" s="227">
        <f>'[1]Housing Generation'!AJ21</f>
        <v>8</v>
      </c>
      <c r="AK21" s="227">
        <f>'[1]Housing Generation'!AK21</f>
        <v>7</v>
      </c>
      <c r="AL21" s="227">
        <f>'[1]Housing Generation'!AL21</f>
        <v>7</v>
      </c>
      <c r="AM21" s="227">
        <f>'[1]Housing Generation'!AM21</f>
        <v>7</v>
      </c>
      <c r="AN21" s="227">
        <f>'[1]Housing Generation'!AN21</f>
        <v>7</v>
      </c>
      <c r="AO21" s="224">
        <f>'[1]Housing Generation'!AO21</f>
        <v>52</v>
      </c>
      <c r="AP21" s="229">
        <f>'[1]Housing Generation'!AP21</f>
        <v>10</v>
      </c>
      <c r="AQ21" s="229">
        <f>'[1]Housing Generation'!AQ21</f>
        <v>10</v>
      </c>
      <c r="AR21" s="229">
        <f>'[1]Housing Generation'!AR21</f>
        <v>10</v>
      </c>
      <c r="AS21" s="229">
        <f>'[1]Housing Generation'!AS21</f>
        <v>10</v>
      </c>
      <c r="AT21" s="229">
        <f>'[1]Housing Generation'!AT21</f>
        <v>10</v>
      </c>
      <c r="AU21" s="229">
        <f>'[1]Housing Generation'!AU21</f>
        <v>9</v>
      </c>
      <c r="AV21" s="229">
        <f>'[1]Housing Generation'!AV21</f>
        <v>9</v>
      </c>
      <c r="AW21" s="225">
        <f>'[1]Housing Generation'!AW21</f>
        <v>68</v>
      </c>
      <c r="AX21" s="227">
        <f>'[1]Housing Generation'!AX21</f>
        <v>13</v>
      </c>
      <c r="AY21" s="227">
        <f>'[1]Housing Generation'!AY21</f>
        <v>13</v>
      </c>
      <c r="AZ21" s="227">
        <f>'[1]Housing Generation'!AZ21</f>
        <v>13</v>
      </c>
      <c r="BA21" s="227">
        <f>'[1]Housing Generation'!BA21</f>
        <v>13</v>
      </c>
      <c r="BB21" s="227">
        <f>'[1]Housing Generation'!BB21</f>
        <v>12</v>
      </c>
      <c r="BC21" s="227">
        <f>'[1]Housing Generation'!BC21</f>
        <v>12</v>
      </c>
      <c r="BD21" s="227">
        <f>'[1]Housing Generation'!BD21</f>
        <v>12</v>
      </c>
      <c r="BE21" s="224">
        <f>'[1]Housing Generation'!BE21</f>
        <v>88</v>
      </c>
      <c r="BF21" s="229">
        <f>'[1]Housing Generation'!BF21</f>
        <v>16</v>
      </c>
      <c r="BG21" s="229">
        <f>'[1]Housing Generation'!BG21</f>
        <v>16</v>
      </c>
      <c r="BH21" s="229">
        <f>'[1]Housing Generation'!BH21</f>
        <v>16</v>
      </c>
      <c r="BI21" s="229">
        <f>'[1]Housing Generation'!BI21</f>
        <v>16</v>
      </c>
      <c r="BJ21" s="229">
        <f>'[1]Housing Generation'!BJ21</f>
        <v>16</v>
      </c>
      <c r="BK21" s="229">
        <f>'[1]Housing Generation'!BK21</f>
        <v>16</v>
      </c>
      <c r="BL21" s="229">
        <f>'[1]Housing Generation'!BL21</f>
        <v>15</v>
      </c>
      <c r="BM21" s="225">
        <f>'[1]Housing Generation'!BM21</f>
        <v>111</v>
      </c>
      <c r="BN21" s="227">
        <f>'[1]Housing Generation'!BN21</f>
        <v>20</v>
      </c>
      <c r="BO21" s="227">
        <f>'[1]Housing Generation'!BO21</f>
        <v>19</v>
      </c>
      <c r="BP21" s="227">
        <f>'[1]Housing Generation'!BP21</f>
        <v>19</v>
      </c>
      <c r="BQ21" s="227">
        <f>'[1]Housing Generation'!BQ21</f>
        <v>19</v>
      </c>
      <c r="BR21" s="227">
        <f>'[1]Housing Generation'!BR21</f>
        <v>19</v>
      </c>
      <c r="BS21" s="227">
        <f>'[1]Housing Generation'!BS21</f>
        <v>19</v>
      </c>
      <c r="BT21" s="227">
        <f>'[1]Housing Generation'!BT21</f>
        <v>19</v>
      </c>
      <c r="BU21" s="224">
        <f>'[1]Housing Generation'!BU21</f>
        <v>134</v>
      </c>
      <c r="BV21" s="229">
        <f>'[1]Housing Generation'!BV21</f>
        <v>22</v>
      </c>
      <c r="BW21" s="229">
        <f>'[1]Housing Generation'!BW21</f>
        <v>22</v>
      </c>
      <c r="BX21" s="229">
        <f>'[1]Housing Generation'!BX21</f>
        <v>22</v>
      </c>
      <c r="BY21" s="229">
        <f>'[1]Housing Generation'!BY21</f>
        <v>22</v>
      </c>
      <c r="BZ21" s="229">
        <f>'[1]Housing Generation'!BZ21</f>
        <v>22</v>
      </c>
      <c r="CA21" s="229">
        <f>'[1]Housing Generation'!CA21</f>
        <v>22</v>
      </c>
      <c r="CB21" s="229">
        <f>'[1]Housing Generation'!CB21</f>
        <v>21</v>
      </c>
      <c r="CC21" s="225">
        <f>'[1]Housing Generation'!CC21</f>
        <v>153</v>
      </c>
      <c r="CD21" s="227">
        <f>'[1]Housing Generation'!CD21</f>
        <v>22</v>
      </c>
      <c r="CE21" s="227">
        <f>'[1]Housing Generation'!CE21</f>
        <v>22</v>
      </c>
      <c r="CF21" s="227">
        <f>'[1]Housing Generation'!CF21</f>
        <v>22</v>
      </c>
      <c r="CG21" s="227">
        <f>'[1]Housing Generation'!CG21</f>
        <v>22</v>
      </c>
      <c r="CH21" s="227">
        <f>'[1]Housing Generation'!CH21</f>
        <v>22</v>
      </c>
      <c r="CI21" s="227">
        <f>'[1]Housing Generation'!CI21</f>
        <v>22</v>
      </c>
      <c r="CJ21" s="227">
        <f>'[1]Housing Generation'!CJ21</f>
        <v>21</v>
      </c>
      <c r="CK21" s="224">
        <f>'[1]Housing Generation'!CK21</f>
        <v>153</v>
      </c>
      <c r="CL21" s="229">
        <f>'[1]Housing Generation'!CL21</f>
        <v>22</v>
      </c>
      <c r="CM21" s="229">
        <f>'[1]Housing Generation'!CM21</f>
        <v>22</v>
      </c>
      <c r="CN21" s="229">
        <f>'[1]Housing Generation'!CN21</f>
        <v>22</v>
      </c>
      <c r="CO21" s="229">
        <f>'[1]Housing Generation'!CO21</f>
        <v>22</v>
      </c>
      <c r="CP21" s="229">
        <f>'[1]Housing Generation'!CP21</f>
        <v>22</v>
      </c>
      <c r="CQ21" s="229">
        <f>'[1]Housing Generation'!CQ21</f>
        <v>22</v>
      </c>
      <c r="CR21" s="229">
        <f>'[1]Housing Generation'!CR21</f>
        <v>21</v>
      </c>
      <c r="CS21" s="225">
        <f>'[1]Housing Generation'!CS21</f>
        <v>153</v>
      </c>
      <c r="CT21" s="227">
        <f>'[1]Housing Generation'!CT21</f>
        <v>22</v>
      </c>
      <c r="CU21" s="227">
        <f>'[1]Housing Generation'!CU21</f>
        <v>22</v>
      </c>
      <c r="CV21" s="227">
        <f>'[1]Housing Generation'!CV21</f>
        <v>22</v>
      </c>
      <c r="CW21" s="227">
        <f>'[1]Housing Generation'!CW21</f>
        <v>22</v>
      </c>
      <c r="CX21" s="227">
        <f>'[1]Housing Generation'!CX21</f>
        <v>22</v>
      </c>
      <c r="CY21" s="227">
        <f>'[1]Housing Generation'!CY21</f>
        <v>22</v>
      </c>
      <c r="CZ21" s="227">
        <f>'[1]Housing Generation'!CZ21</f>
        <v>21</v>
      </c>
      <c r="DA21" s="224">
        <f>'[1]Housing Generation'!DA21</f>
        <v>153</v>
      </c>
      <c r="DB21" s="229">
        <f>'[1]Housing Generation'!DB21</f>
        <v>22</v>
      </c>
      <c r="DC21" s="229">
        <f>'[1]Housing Generation'!DC21</f>
        <v>22</v>
      </c>
      <c r="DD21" s="229">
        <f>'[1]Housing Generation'!DD21</f>
        <v>22</v>
      </c>
      <c r="DE21" s="229">
        <f>'[1]Housing Generation'!DE21</f>
        <v>22</v>
      </c>
      <c r="DF21" s="229">
        <f>'[1]Housing Generation'!DF21</f>
        <v>22</v>
      </c>
      <c r="DG21" s="229">
        <f>'[1]Housing Generation'!DG21</f>
        <v>22</v>
      </c>
      <c r="DH21" s="229">
        <f>'[1]Housing Generation'!DH21</f>
        <v>21</v>
      </c>
      <c r="DI21" s="225">
        <f>'[1]Housing Generation'!DI21</f>
        <v>153</v>
      </c>
      <c r="DJ21" s="227">
        <f>'[1]Housing Generation'!DJ21</f>
        <v>22</v>
      </c>
      <c r="DK21" s="227">
        <f>'[1]Housing Generation'!DK21</f>
        <v>22</v>
      </c>
      <c r="DL21" s="227">
        <f>'[1]Housing Generation'!DL21</f>
        <v>22</v>
      </c>
      <c r="DM21" s="227">
        <f>'[1]Housing Generation'!DM21</f>
        <v>22</v>
      </c>
      <c r="DN21" s="227">
        <f>'[1]Housing Generation'!DN21</f>
        <v>22</v>
      </c>
      <c r="DO21" s="227">
        <f>'[1]Housing Generation'!DO21</f>
        <v>22</v>
      </c>
      <c r="DP21" s="227">
        <f>'[1]Housing Generation'!DP21</f>
        <v>21</v>
      </c>
      <c r="DQ21" s="224">
        <f>'[1]Housing Generation'!DQ21</f>
        <v>153</v>
      </c>
    </row>
    <row r="22" spans="1:121" x14ac:dyDescent="0.2">
      <c r="A22" s="237" t="s">
        <v>23</v>
      </c>
      <c r="B22" s="227">
        <f>'[1]Housing Generation'!B22</f>
        <v>2</v>
      </c>
      <c r="C22" s="227">
        <f>'[1]Housing Generation'!C22</f>
        <v>2</v>
      </c>
      <c r="D22" s="227">
        <f>'[1]Housing Generation'!D22</f>
        <v>2</v>
      </c>
      <c r="E22" s="227">
        <f>'[1]Housing Generation'!E22</f>
        <v>2</v>
      </c>
      <c r="F22" s="227">
        <f>'[1]Housing Generation'!F22</f>
        <v>2</v>
      </c>
      <c r="G22" s="227">
        <f>'[1]Housing Generation'!G22</f>
        <v>1</v>
      </c>
      <c r="H22" s="227">
        <f>'[1]Housing Generation'!H22</f>
        <v>1</v>
      </c>
      <c r="I22" s="224">
        <f>'[1]Housing Generation'!I22</f>
        <v>12</v>
      </c>
      <c r="J22" s="229">
        <f>'[1]Housing Generation'!J22</f>
        <v>3</v>
      </c>
      <c r="K22" s="229">
        <f>'[1]Housing Generation'!K22</f>
        <v>3</v>
      </c>
      <c r="L22" s="229">
        <f>'[1]Housing Generation'!L22</f>
        <v>2</v>
      </c>
      <c r="M22" s="229">
        <f>'[1]Housing Generation'!M22</f>
        <v>2</v>
      </c>
      <c r="N22" s="229">
        <f>'[1]Housing Generation'!N22</f>
        <v>2</v>
      </c>
      <c r="O22" s="229">
        <f>'[1]Housing Generation'!O22</f>
        <v>2</v>
      </c>
      <c r="P22" s="229">
        <f>'[1]Housing Generation'!P22</f>
        <v>2</v>
      </c>
      <c r="Q22" s="225">
        <f>'[1]Housing Generation'!Q22</f>
        <v>16</v>
      </c>
      <c r="R22" s="227">
        <f>'[1]Housing Generation'!R22</f>
        <v>3</v>
      </c>
      <c r="S22" s="227">
        <f>'[1]Housing Generation'!S22</f>
        <v>3</v>
      </c>
      <c r="T22" s="227">
        <f>'[1]Housing Generation'!T22</f>
        <v>2</v>
      </c>
      <c r="U22" s="227">
        <f>'[1]Housing Generation'!U22</f>
        <v>2</v>
      </c>
      <c r="V22" s="227">
        <f>'[1]Housing Generation'!V22</f>
        <v>2</v>
      </c>
      <c r="W22" s="227">
        <f>'[1]Housing Generation'!W22</f>
        <v>2</v>
      </c>
      <c r="X22" s="227">
        <f>'[1]Housing Generation'!X22</f>
        <v>2</v>
      </c>
      <c r="Y22" s="224">
        <f>'[1]Housing Generation'!Y22</f>
        <v>16</v>
      </c>
      <c r="Z22" s="229">
        <f>'[1]Housing Generation'!Z22</f>
        <v>4</v>
      </c>
      <c r="AA22" s="229">
        <f>'[1]Housing Generation'!AA22</f>
        <v>4</v>
      </c>
      <c r="AB22" s="229">
        <f>'[1]Housing Generation'!AB22</f>
        <v>4</v>
      </c>
      <c r="AC22" s="229">
        <f>'[1]Housing Generation'!AC22</f>
        <v>3</v>
      </c>
      <c r="AD22" s="229">
        <f>'[1]Housing Generation'!AD22</f>
        <v>3</v>
      </c>
      <c r="AE22" s="229">
        <f>'[1]Housing Generation'!AE22</f>
        <v>3</v>
      </c>
      <c r="AF22" s="229">
        <f>'[1]Housing Generation'!AF22</f>
        <v>3</v>
      </c>
      <c r="AG22" s="225">
        <f>'[1]Housing Generation'!AG22</f>
        <v>24</v>
      </c>
      <c r="AH22" s="227">
        <f>'[1]Housing Generation'!AH22</f>
        <v>6</v>
      </c>
      <c r="AI22" s="227">
        <f>'[1]Housing Generation'!AI22</f>
        <v>6</v>
      </c>
      <c r="AJ22" s="227">
        <f>'[1]Housing Generation'!AJ22</f>
        <v>5</v>
      </c>
      <c r="AK22" s="227">
        <f>'[1]Housing Generation'!AK22</f>
        <v>5</v>
      </c>
      <c r="AL22" s="227">
        <f>'[1]Housing Generation'!AL22</f>
        <v>5</v>
      </c>
      <c r="AM22" s="227">
        <f>'[1]Housing Generation'!AM22</f>
        <v>5</v>
      </c>
      <c r="AN22" s="227">
        <f>'[1]Housing Generation'!AN22</f>
        <v>5</v>
      </c>
      <c r="AO22" s="224">
        <f>'[1]Housing Generation'!AO22</f>
        <v>37</v>
      </c>
      <c r="AP22" s="229">
        <f>'[1]Housing Generation'!AP22</f>
        <v>7</v>
      </c>
      <c r="AQ22" s="229">
        <f>'[1]Housing Generation'!AQ22</f>
        <v>7</v>
      </c>
      <c r="AR22" s="229">
        <f>'[1]Housing Generation'!AR22</f>
        <v>7</v>
      </c>
      <c r="AS22" s="229">
        <f>'[1]Housing Generation'!AS22</f>
        <v>7</v>
      </c>
      <c r="AT22" s="229">
        <f>'[1]Housing Generation'!AT22</f>
        <v>7</v>
      </c>
      <c r="AU22" s="229">
        <f>'[1]Housing Generation'!AU22</f>
        <v>6</v>
      </c>
      <c r="AV22" s="229">
        <f>'[1]Housing Generation'!AV22</f>
        <v>6</v>
      </c>
      <c r="AW22" s="225">
        <f>'[1]Housing Generation'!AW22</f>
        <v>47</v>
      </c>
      <c r="AX22" s="227">
        <f>'[1]Housing Generation'!AX22</f>
        <v>8</v>
      </c>
      <c r="AY22" s="227">
        <f>'[1]Housing Generation'!AY22</f>
        <v>8</v>
      </c>
      <c r="AZ22" s="227">
        <f>'[1]Housing Generation'!AZ22</f>
        <v>8</v>
      </c>
      <c r="BA22" s="227">
        <f>'[1]Housing Generation'!BA22</f>
        <v>8</v>
      </c>
      <c r="BB22" s="227">
        <f>'[1]Housing Generation'!BB22</f>
        <v>8</v>
      </c>
      <c r="BC22" s="227">
        <f>'[1]Housing Generation'!BC22</f>
        <v>7</v>
      </c>
      <c r="BD22" s="227">
        <f>'[1]Housing Generation'!BD22</f>
        <v>7</v>
      </c>
      <c r="BE22" s="224">
        <f>'[1]Housing Generation'!BE22</f>
        <v>54</v>
      </c>
      <c r="BF22" s="229">
        <f>'[1]Housing Generation'!BF22</f>
        <v>9</v>
      </c>
      <c r="BG22" s="229">
        <f>'[1]Housing Generation'!BG22</f>
        <v>9</v>
      </c>
      <c r="BH22" s="229">
        <f>'[1]Housing Generation'!BH22</f>
        <v>9</v>
      </c>
      <c r="BI22" s="229">
        <f>'[1]Housing Generation'!BI22</f>
        <v>9</v>
      </c>
      <c r="BJ22" s="229">
        <f>'[1]Housing Generation'!BJ22</f>
        <v>9</v>
      </c>
      <c r="BK22" s="229">
        <f>'[1]Housing Generation'!BK22</f>
        <v>8</v>
      </c>
      <c r="BL22" s="229">
        <f>'[1]Housing Generation'!BL22</f>
        <v>8</v>
      </c>
      <c r="BM22" s="225">
        <f>'[1]Housing Generation'!BM22</f>
        <v>61</v>
      </c>
      <c r="BN22" s="227">
        <f>'[1]Housing Generation'!BN22</f>
        <v>10</v>
      </c>
      <c r="BO22" s="227">
        <f>'[1]Housing Generation'!BO22</f>
        <v>10</v>
      </c>
      <c r="BP22" s="227">
        <f>'[1]Housing Generation'!BP22</f>
        <v>10</v>
      </c>
      <c r="BQ22" s="227">
        <f>'[1]Housing Generation'!BQ22</f>
        <v>10</v>
      </c>
      <c r="BR22" s="227">
        <f>'[1]Housing Generation'!BR22</f>
        <v>10</v>
      </c>
      <c r="BS22" s="227">
        <f>'[1]Housing Generation'!BS22</f>
        <v>9</v>
      </c>
      <c r="BT22" s="227">
        <f>'[1]Housing Generation'!BT22</f>
        <v>9</v>
      </c>
      <c r="BU22" s="224">
        <f>'[1]Housing Generation'!BU22</f>
        <v>68</v>
      </c>
      <c r="BV22" s="229">
        <f>'[1]Housing Generation'!BV22</f>
        <v>11</v>
      </c>
      <c r="BW22" s="229">
        <f>'[1]Housing Generation'!BW22</f>
        <v>11</v>
      </c>
      <c r="BX22" s="229">
        <f>'[1]Housing Generation'!BX22</f>
        <v>11</v>
      </c>
      <c r="BY22" s="229">
        <f>'[1]Housing Generation'!BY22</f>
        <v>11</v>
      </c>
      <c r="BZ22" s="229">
        <f>'[1]Housing Generation'!BZ22</f>
        <v>10</v>
      </c>
      <c r="CA22" s="229">
        <f>'[1]Housing Generation'!CA22</f>
        <v>10</v>
      </c>
      <c r="CB22" s="229">
        <f>'[1]Housing Generation'!CB22</f>
        <v>10</v>
      </c>
      <c r="CC22" s="225">
        <f>'[1]Housing Generation'!CC22</f>
        <v>74</v>
      </c>
      <c r="CD22" s="227">
        <f>'[1]Housing Generation'!CD22</f>
        <v>11</v>
      </c>
      <c r="CE22" s="227">
        <f>'[1]Housing Generation'!CE22</f>
        <v>11</v>
      </c>
      <c r="CF22" s="227">
        <f>'[1]Housing Generation'!CF22</f>
        <v>11</v>
      </c>
      <c r="CG22" s="227">
        <f>'[1]Housing Generation'!CG22</f>
        <v>11</v>
      </c>
      <c r="CH22" s="227">
        <f>'[1]Housing Generation'!CH22</f>
        <v>10</v>
      </c>
      <c r="CI22" s="227">
        <f>'[1]Housing Generation'!CI22</f>
        <v>10</v>
      </c>
      <c r="CJ22" s="227">
        <f>'[1]Housing Generation'!CJ22</f>
        <v>10</v>
      </c>
      <c r="CK22" s="224">
        <f>'[1]Housing Generation'!CK22</f>
        <v>74</v>
      </c>
      <c r="CL22" s="229">
        <f>'[1]Housing Generation'!CL22</f>
        <v>11</v>
      </c>
      <c r="CM22" s="229">
        <f>'[1]Housing Generation'!CM22</f>
        <v>11</v>
      </c>
      <c r="CN22" s="229">
        <f>'[1]Housing Generation'!CN22</f>
        <v>11</v>
      </c>
      <c r="CO22" s="229">
        <f>'[1]Housing Generation'!CO22</f>
        <v>11</v>
      </c>
      <c r="CP22" s="229">
        <f>'[1]Housing Generation'!CP22</f>
        <v>10</v>
      </c>
      <c r="CQ22" s="229">
        <f>'[1]Housing Generation'!CQ22</f>
        <v>10</v>
      </c>
      <c r="CR22" s="229">
        <f>'[1]Housing Generation'!CR22</f>
        <v>10</v>
      </c>
      <c r="CS22" s="225">
        <f>'[1]Housing Generation'!CS22</f>
        <v>74</v>
      </c>
      <c r="CT22" s="227">
        <f>'[1]Housing Generation'!CT22</f>
        <v>11</v>
      </c>
      <c r="CU22" s="227">
        <f>'[1]Housing Generation'!CU22</f>
        <v>11</v>
      </c>
      <c r="CV22" s="227">
        <f>'[1]Housing Generation'!CV22</f>
        <v>11</v>
      </c>
      <c r="CW22" s="227">
        <f>'[1]Housing Generation'!CW22</f>
        <v>11</v>
      </c>
      <c r="CX22" s="227">
        <f>'[1]Housing Generation'!CX22</f>
        <v>10</v>
      </c>
      <c r="CY22" s="227">
        <f>'[1]Housing Generation'!CY22</f>
        <v>10</v>
      </c>
      <c r="CZ22" s="227">
        <f>'[1]Housing Generation'!CZ22</f>
        <v>10</v>
      </c>
      <c r="DA22" s="224">
        <f>'[1]Housing Generation'!DA22</f>
        <v>74</v>
      </c>
      <c r="DB22" s="229">
        <f>'[1]Housing Generation'!DB22</f>
        <v>11</v>
      </c>
      <c r="DC22" s="229">
        <f>'[1]Housing Generation'!DC22</f>
        <v>11</v>
      </c>
      <c r="DD22" s="229">
        <f>'[1]Housing Generation'!DD22</f>
        <v>11</v>
      </c>
      <c r="DE22" s="229">
        <f>'[1]Housing Generation'!DE22</f>
        <v>11</v>
      </c>
      <c r="DF22" s="229">
        <f>'[1]Housing Generation'!DF22</f>
        <v>10</v>
      </c>
      <c r="DG22" s="229">
        <f>'[1]Housing Generation'!DG22</f>
        <v>10</v>
      </c>
      <c r="DH22" s="229">
        <f>'[1]Housing Generation'!DH22</f>
        <v>10</v>
      </c>
      <c r="DI22" s="225">
        <f>'[1]Housing Generation'!DI22</f>
        <v>74</v>
      </c>
      <c r="DJ22" s="227">
        <f>'[1]Housing Generation'!DJ22</f>
        <v>11</v>
      </c>
      <c r="DK22" s="227">
        <f>'[1]Housing Generation'!DK22</f>
        <v>11</v>
      </c>
      <c r="DL22" s="227">
        <f>'[1]Housing Generation'!DL22</f>
        <v>11</v>
      </c>
      <c r="DM22" s="227">
        <f>'[1]Housing Generation'!DM22</f>
        <v>11</v>
      </c>
      <c r="DN22" s="227">
        <f>'[1]Housing Generation'!DN22</f>
        <v>10</v>
      </c>
      <c r="DO22" s="227">
        <f>'[1]Housing Generation'!DO22</f>
        <v>10</v>
      </c>
      <c r="DP22" s="227">
        <f>'[1]Housing Generation'!DP22</f>
        <v>10</v>
      </c>
      <c r="DQ22" s="224">
        <f>'[1]Housing Generation'!DQ22</f>
        <v>74</v>
      </c>
    </row>
    <row r="23" spans="1:121" x14ac:dyDescent="0.2">
      <c r="A23" s="237" t="s">
        <v>24</v>
      </c>
      <c r="B23" s="227">
        <f>'[1]Housing Generation'!B23</f>
        <v>1</v>
      </c>
      <c r="C23" s="227">
        <f>'[1]Housing Generation'!C23</f>
        <v>1</v>
      </c>
      <c r="D23" s="227">
        <f>'[1]Housing Generation'!D23</f>
        <v>1</v>
      </c>
      <c r="E23" s="227">
        <f>'[1]Housing Generation'!E23</f>
        <v>0</v>
      </c>
      <c r="F23" s="227">
        <f>'[1]Housing Generation'!F23</f>
        <v>0</v>
      </c>
      <c r="G23" s="227">
        <f>'[1]Housing Generation'!G23</f>
        <v>0</v>
      </c>
      <c r="H23" s="227">
        <f>'[1]Housing Generation'!H23</f>
        <v>0</v>
      </c>
      <c r="I23" s="224">
        <f>'[1]Housing Generation'!I23</f>
        <v>3</v>
      </c>
      <c r="J23" s="229">
        <f>'[1]Housing Generation'!J23</f>
        <v>0</v>
      </c>
      <c r="K23" s="229">
        <f>'[1]Housing Generation'!K23</f>
        <v>0</v>
      </c>
      <c r="L23" s="229">
        <f>'[1]Housing Generation'!L23</f>
        <v>0</v>
      </c>
      <c r="M23" s="229">
        <f>'[1]Housing Generation'!M23</f>
        <v>0</v>
      </c>
      <c r="N23" s="229">
        <f>'[1]Housing Generation'!N23</f>
        <v>0</v>
      </c>
      <c r="O23" s="229">
        <f>'[1]Housing Generation'!O23</f>
        <v>0</v>
      </c>
      <c r="P23" s="229">
        <f>'[1]Housing Generation'!P23</f>
        <v>0</v>
      </c>
      <c r="Q23" s="225">
        <f>'[1]Housing Generation'!Q23</f>
        <v>0</v>
      </c>
      <c r="R23" s="227">
        <f>'[1]Housing Generation'!R23</f>
        <v>0</v>
      </c>
      <c r="S23" s="227">
        <f>'[1]Housing Generation'!S23</f>
        <v>0</v>
      </c>
      <c r="T23" s="227">
        <f>'[1]Housing Generation'!T23</f>
        <v>0</v>
      </c>
      <c r="U23" s="227">
        <f>'[1]Housing Generation'!U23</f>
        <v>0</v>
      </c>
      <c r="V23" s="227">
        <f>'[1]Housing Generation'!V23</f>
        <v>0</v>
      </c>
      <c r="W23" s="227">
        <f>'[1]Housing Generation'!W23</f>
        <v>0</v>
      </c>
      <c r="X23" s="227">
        <f>'[1]Housing Generation'!X23</f>
        <v>0</v>
      </c>
      <c r="Y23" s="224">
        <f>'[1]Housing Generation'!Y23</f>
        <v>0</v>
      </c>
      <c r="Z23" s="229">
        <f>'[1]Housing Generation'!Z23</f>
        <v>1</v>
      </c>
      <c r="AA23" s="229">
        <f>'[1]Housing Generation'!AA23</f>
        <v>1</v>
      </c>
      <c r="AB23" s="229">
        <f>'[1]Housing Generation'!AB23</f>
        <v>1</v>
      </c>
      <c r="AC23" s="229">
        <f>'[1]Housing Generation'!AC23</f>
        <v>1</v>
      </c>
      <c r="AD23" s="229">
        <f>'[1]Housing Generation'!AD23</f>
        <v>0</v>
      </c>
      <c r="AE23" s="229">
        <f>'[1]Housing Generation'!AE23</f>
        <v>0</v>
      </c>
      <c r="AF23" s="229">
        <f>'[1]Housing Generation'!AF23</f>
        <v>0</v>
      </c>
      <c r="AG23" s="225">
        <f>'[1]Housing Generation'!AG23</f>
        <v>4</v>
      </c>
      <c r="AH23" s="227">
        <f>'[1]Housing Generation'!AH23</f>
        <v>2</v>
      </c>
      <c r="AI23" s="227">
        <f>'[1]Housing Generation'!AI23</f>
        <v>2</v>
      </c>
      <c r="AJ23" s="227">
        <f>'[1]Housing Generation'!AJ23</f>
        <v>2</v>
      </c>
      <c r="AK23" s="227">
        <f>'[1]Housing Generation'!AK23</f>
        <v>2</v>
      </c>
      <c r="AL23" s="227">
        <f>'[1]Housing Generation'!AL23</f>
        <v>1</v>
      </c>
      <c r="AM23" s="227">
        <f>'[1]Housing Generation'!AM23</f>
        <v>1</v>
      </c>
      <c r="AN23" s="227">
        <f>'[1]Housing Generation'!AN23</f>
        <v>1</v>
      </c>
      <c r="AO23" s="224">
        <f>'[1]Housing Generation'!AO23</f>
        <v>11</v>
      </c>
      <c r="AP23" s="229">
        <f>'[1]Housing Generation'!AP23</f>
        <v>4</v>
      </c>
      <c r="AQ23" s="229">
        <f>'[1]Housing Generation'!AQ23</f>
        <v>4</v>
      </c>
      <c r="AR23" s="229">
        <f>'[1]Housing Generation'!AR23</f>
        <v>4</v>
      </c>
      <c r="AS23" s="229">
        <f>'[1]Housing Generation'!AS23</f>
        <v>4</v>
      </c>
      <c r="AT23" s="229">
        <f>'[1]Housing Generation'!AT23</f>
        <v>3</v>
      </c>
      <c r="AU23" s="229">
        <f>'[1]Housing Generation'!AU23</f>
        <v>3</v>
      </c>
      <c r="AV23" s="229">
        <f>'[1]Housing Generation'!AV23</f>
        <v>3</v>
      </c>
      <c r="AW23" s="225">
        <f>'[1]Housing Generation'!AW23</f>
        <v>25</v>
      </c>
      <c r="AX23" s="227">
        <f>'[1]Housing Generation'!AX23</f>
        <v>6</v>
      </c>
      <c r="AY23" s="227">
        <f>'[1]Housing Generation'!AY23</f>
        <v>6</v>
      </c>
      <c r="AZ23" s="227">
        <f>'[1]Housing Generation'!AZ23</f>
        <v>6</v>
      </c>
      <c r="BA23" s="227">
        <f>'[1]Housing Generation'!BA23</f>
        <v>6</v>
      </c>
      <c r="BB23" s="227">
        <f>'[1]Housing Generation'!BB23</f>
        <v>5</v>
      </c>
      <c r="BC23" s="227">
        <f>'[1]Housing Generation'!BC23</f>
        <v>5</v>
      </c>
      <c r="BD23" s="227">
        <f>'[1]Housing Generation'!BD23</f>
        <v>5</v>
      </c>
      <c r="BE23" s="224">
        <f>'[1]Housing Generation'!BE23</f>
        <v>39</v>
      </c>
      <c r="BF23" s="229">
        <f>'[1]Housing Generation'!BF23</f>
        <v>8</v>
      </c>
      <c r="BG23" s="229">
        <f>'[1]Housing Generation'!BG23</f>
        <v>8</v>
      </c>
      <c r="BH23" s="229">
        <f>'[1]Housing Generation'!BH23</f>
        <v>8</v>
      </c>
      <c r="BI23" s="229">
        <f>'[1]Housing Generation'!BI23</f>
        <v>8</v>
      </c>
      <c r="BJ23" s="229">
        <f>'[1]Housing Generation'!BJ23</f>
        <v>7</v>
      </c>
      <c r="BK23" s="229">
        <f>'[1]Housing Generation'!BK23</f>
        <v>7</v>
      </c>
      <c r="BL23" s="229">
        <f>'[1]Housing Generation'!BL23</f>
        <v>7</v>
      </c>
      <c r="BM23" s="225">
        <f>'[1]Housing Generation'!BM23</f>
        <v>53</v>
      </c>
      <c r="BN23" s="227">
        <f>'[1]Housing Generation'!BN23</f>
        <v>10</v>
      </c>
      <c r="BO23" s="227">
        <f>'[1]Housing Generation'!BO23</f>
        <v>10</v>
      </c>
      <c r="BP23" s="227">
        <f>'[1]Housing Generation'!BP23</f>
        <v>10</v>
      </c>
      <c r="BQ23" s="227">
        <f>'[1]Housing Generation'!BQ23</f>
        <v>10</v>
      </c>
      <c r="BR23" s="227">
        <f>'[1]Housing Generation'!BR23</f>
        <v>9</v>
      </c>
      <c r="BS23" s="227">
        <f>'[1]Housing Generation'!BS23</f>
        <v>9</v>
      </c>
      <c r="BT23" s="227">
        <f>'[1]Housing Generation'!BT23</f>
        <v>9</v>
      </c>
      <c r="BU23" s="224">
        <f>'[1]Housing Generation'!BU23</f>
        <v>67</v>
      </c>
      <c r="BV23" s="229">
        <f>'[1]Housing Generation'!BV23</f>
        <v>12</v>
      </c>
      <c r="BW23" s="229">
        <f>'[1]Housing Generation'!BW23</f>
        <v>12</v>
      </c>
      <c r="BX23" s="229">
        <f>'[1]Housing Generation'!BX23</f>
        <v>12</v>
      </c>
      <c r="BY23" s="229">
        <f>'[1]Housing Generation'!BY23</f>
        <v>12</v>
      </c>
      <c r="BZ23" s="229">
        <f>'[1]Housing Generation'!BZ23</f>
        <v>11</v>
      </c>
      <c r="CA23" s="229">
        <f>'[1]Housing Generation'!CA23</f>
        <v>11</v>
      </c>
      <c r="CB23" s="229">
        <f>'[1]Housing Generation'!CB23</f>
        <v>11</v>
      </c>
      <c r="CC23" s="225">
        <f>'[1]Housing Generation'!CC23</f>
        <v>81</v>
      </c>
      <c r="CD23" s="227">
        <f>'[1]Housing Generation'!CD23</f>
        <v>14</v>
      </c>
      <c r="CE23" s="227">
        <f>'[1]Housing Generation'!CE23</f>
        <v>13</v>
      </c>
      <c r="CF23" s="227">
        <f>'[1]Housing Generation'!CF23</f>
        <v>13</v>
      </c>
      <c r="CG23" s="227">
        <f>'[1]Housing Generation'!CG23</f>
        <v>13</v>
      </c>
      <c r="CH23" s="227">
        <f>'[1]Housing Generation'!CH23</f>
        <v>13</v>
      </c>
      <c r="CI23" s="227">
        <f>'[1]Housing Generation'!CI23</f>
        <v>13</v>
      </c>
      <c r="CJ23" s="227">
        <f>'[1]Housing Generation'!CJ23</f>
        <v>13</v>
      </c>
      <c r="CK23" s="224">
        <f>'[1]Housing Generation'!CK23</f>
        <v>92</v>
      </c>
      <c r="CL23" s="229">
        <f>'[1]Housing Generation'!CL23</f>
        <v>14</v>
      </c>
      <c r="CM23" s="229">
        <f>'[1]Housing Generation'!CM23</f>
        <v>13</v>
      </c>
      <c r="CN23" s="229">
        <f>'[1]Housing Generation'!CN23</f>
        <v>13</v>
      </c>
      <c r="CO23" s="229">
        <f>'[1]Housing Generation'!CO23</f>
        <v>13</v>
      </c>
      <c r="CP23" s="229">
        <f>'[1]Housing Generation'!CP23</f>
        <v>13</v>
      </c>
      <c r="CQ23" s="229">
        <f>'[1]Housing Generation'!CQ23</f>
        <v>13</v>
      </c>
      <c r="CR23" s="229">
        <f>'[1]Housing Generation'!CR23</f>
        <v>13</v>
      </c>
      <c r="CS23" s="225">
        <f>'[1]Housing Generation'!CS23</f>
        <v>92</v>
      </c>
      <c r="CT23" s="227">
        <f>'[1]Housing Generation'!CT23</f>
        <v>14</v>
      </c>
      <c r="CU23" s="227">
        <f>'[1]Housing Generation'!CU23</f>
        <v>13</v>
      </c>
      <c r="CV23" s="227">
        <f>'[1]Housing Generation'!CV23</f>
        <v>13</v>
      </c>
      <c r="CW23" s="227">
        <f>'[1]Housing Generation'!CW23</f>
        <v>13</v>
      </c>
      <c r="CX23" s="227">
        <f>'[1]Housing Generation'!CX23</f>
        <v>13</v>
      </c>
      <c r="CY23" s="227">
        <f>'[1]Housing Generation'!CY23</f>
        <v>13</v>
      </c>
      <c r="CZ23" s="227">
        <f>'[1]Housing Generation'!CZ23</f>
        <v>13</v>
      </c>
      <c r="DA23" s="224">
        <f>'[1]Housing Generation'!DA23</f>
        <v>92</v>
      </c>
      <c r="DB23" s="229">
        <f>'[1]Housing Generation'!DB23</f>
        <v>14</v>
      </c>
      <c r="DC23" s="229">
        <f>'[1]Housing Generation'!DC23</f>
        <v>13</v>
      </c>
      <c r="DD23" s="229">
        <f>'[1]Housing Generation'!DD23</f>
        <v>13</v>
      </c>
      <c r="DE23" s="229">
        <f>'[1]Housing Generation'!DE23</f>
        <v>13</v>
      </c>
      <c r="DF23" s="229">
        <f>'[1]Housing Generation'!DF23</f>
        <v>13</v>
      </c>
      <c r="DG23" s="229">
        <f>'[1]Housing Generation'!DG23</f>
        <v>13</v>
      </c>
      <c r="DH23" s="229">
        <f>'[1]Housing Generation'!DH23</f>
        <v>13</v>
      </c>
      <c r="DI23" s="225">
        <f>'[1]Housing Generation'!DI23</f>
        <v>92</v>
      </c>
      <c r="DJ23" s="227">
        <f>'[1]Housing Generation'!DJ23</f>
        <v>14</v>
      </c>
      <c r="DK23" s="227">
        <f>'[1]Housing Generation'!DK23</f>
        <v>13</v>
      </c>
      <c r="DL23" s="227">
        <f>'[1]Housing Generation'!DL23</f>
        <v>13</v>
      </c>
      <c r="DM23" s="227">
        <f>'[1]Housing Generation'!DM23</f>
        <v>13</v>
      </c>
      <c r="DN23" s="227">
        <f>'[1]Housing Generation'!DN23</f>
        <v>13</v>
      </c>
      <c r="DO23" s="227">
        <f>'[1]Housing Generation'!DO23</f>
        <v>13</v>
      </c>
      <c r="DP23" s="227">
        <f>'[1]Housing Generation'!DP23</f>
        <v>13</v>
      </c>
      <c r="DQ23" s="224">
        <f>'[1]Housing Generation'!DQ23</f>
        <v>92</v>
      </c>
    </row>
    <row r="24" spans="1:121" x14ac:dyDescent="0.2">
      <c r="A24" s="237" t="s">
        <v>25</v>
      </c>
      <c r="B24" s="227">
        <f>'[1]Housing Generation'!B24</f>
        <v>2</v>
      </c>
      <c r="C24" s="227">
        <f>'[1]Housing Generation'!C24</f>
        <v>2</v>
      </c>
      <c r="D24" s="227">
        <f>'[1]Housing Generation'!D24</f>
        <v>2</v>
      </c>
      <c r="E24" s="227">
        <f>'[1]Housing Generation'!E24</f>
        <v>2</v>
      </c>
      <c r="F24" s="227">
        <f>'[1]Housing Generation'!F24</f>
        <v>2</v>
      </c>
      <c r="G24" s="227">
        <f>'[1]Housing Generation'!G24</f>
        <v>1</v>
      </c>
      <c r="H24" s="227">
        <f>'[1]Housing Generation'!H24</f>
        <v>1</v>
      </c>
      <c r="I24" s="224">
        <f>'[1]Housing Generation'!I24</f>
        <v>12</v>
      </c>
      <c r="J24" s="229">
        <f>'[1]Housing Generation'!J24</f>
        <v>3</v>
      </c>
      <c r="K24" s="229">
        <f>'[1]Housing Generation'!K24</f>
        <v>3</v>
      </c>
      <c r="L24" s="229">
        <f>'[1]Housing Generation'!L24</f>
        <v>2</v>
      </c>
      <c r="M24" s="229">
        <f>'[1]Housing Generation'!M24</f>
        <v>2</v>
      </c>
      <c r="N24" s="229">
        <f>'[1]Housing Generation'!N24</f>
        <v>2</v>
      </c>
      <c r="O24" s="229">
        <f>'[1]Housing Generation'!O24</f>
        <v>2</v>
      </c>
      <c r="P24" s="229">
        <f>'[1]Housing Generation'!P24</f>
        <v>2</v>
      </c>
      <c r="Q24" s="225">
        <f>'[1]Housing Generation'!Q24</f>
        <v>16</v>
      </c>
      <c r="R24" s="227">
        <f>'[1]Housing Generation'!R24</f>
        <v>4</v>
      </c>
      <c r="S24" s="227">
        <f>'[1]Housing Generation'!S24</f>
        <v>4</v>
      </c>
      <c r="T24" s="227">
        <f>'[1]Housing Generation'!T24</f>
        <v>4</v>
      </c>
      <c r="U24" s="227">
        <f>'[1]Housing Generation'!U24</f>
        <v>4</v>
      </c>
      <c r="V24" s="227">
        <f>'[1]Housing Generation'!V24</f>
        <v>4</v>
      </c>
      <c r="W24" s="227">
        <f>'[1]Housing Generation'!W24</f>
        <v>4</v>
      </c>
      <c r="X24" s="227">
        <f>'[1]Housing Generation'!X24</f>
        <v>3</v>
      </c>
      <c r="Y24" s="224">
        <f>'[1]Housing Generation'!Y24</f>
        <v>27</v>
      </c>
      <c r="Z24" s="229">
        <f>'[1]Housing Generation'!Z24</f>
        <v>6</v>
      </c>
      <c r="AA24" s="229">
        <f>'[1]Housing Generation'!AA24</f>
        <v>6</v>
      </c>
      <c r="AB24" s="229">
        <f>'[1]Housing Generation'!AB24</f>
        <v>5</v>
      </c>
      <c r="AC24" s="229">
        <f>'[1]Housing Generation'!AC24</f>
        <v>5</v>
      </c>
      <c r="AD24" s="229">
        <f>'[1]Housing Generation'!AD24</f>
        <v>5</v>
      </c>
      <c r="AE24" s="229">
        <f>'[1]Housing Generation'!AE24</f>
        <v>5</v>
      </c>
      <c r="AF24" s="229">
        <f>'[1]Housing Generation'!AF24</f>
        <v>5</v>
      </c>
      <c r="AG24" s="225">
        <f>'[1]Housing Generation'!AG24</f>
        <v>37</v>
      </c>
      <c r="AH24" s="227">
        <f>'[1]Housing Generation'!AH24</f>
        <v>7</v>
      </c>
      <c r="AI24" s="227">
        <f>'[1]Housing Generation'!AI24</f>
        <v>6</v>
      </c>
      <c r="AJ24" s="227">
        <f>'[1]Housing Generation'!AJ24</f>
        <v>6</v>
      </c>
      <c r="AK24" s="227">
        <f>'[1]Housing Generation'!AK24</f>
        <v>6</v>
      </c>
      <c r="AL24" s="227">
        <f>'[1]Housing Generation'!AL24</f>
        <v>6</v>
      </c>
      <c r="AM24" s="227">
        <f>'[1]Housing Generation'!AM24</f>
        <v>6</v>
      </c>
      <c r="AN24" s="227">
        <f>'[1]Housing Generation'!AN24</f>
        <v>6</v>
      </c>
      <c r="AO24" s="224">
        <f>'[1]Housing Generation'!AO24</f>
        <v>43</v>
      </c>
      <c r="AP24" s="229">
        <f>'[1]Housing Generation'!AP24</f>
        <v>7</v>
      </c>
      <c r="AQ24" s="229">
        <f>'[1]Housing Generation'!AQ24</f>
        <v>7</v>
      </c>
      <c r="AR24" s="229">
        <f>'[1]Housing Generation'!AR24</f>
        <v>7</v>
      </c>
      <c r="AS24" s="229">
        <f>'[1]Housing Generation'!AS24</f>
        <v>7</v>
      </c>
      <c r="AT24" s="229">
        <f>'[1]Housing Generation'!AT24</f>
        <v>7</v>
      </c>
      <c r="AU24" s="229">
        <f>'[1]Housing Generation'!AU24</f>
        <v>7</v>
      </c>
      <c r="AV24" s="229">
        <f>'[1]Housing Generation'!AV24</f>
        <v>7</v>
      </c>
      <c r="AW24" s="225">
        <f>'[1]Housing Generation'!AW24</f>
        <v>49</v>
      </c>
      <c r="AX24" s="227">
        <f>'[1]Housing Generation'!AX24</f>
        <v>7</v>
      </c>
      <c r="AY24" s="227">
        <f>'[1]Housing Generation'!AY24</f>
        <v>7</v>
      </c>
      <c r="AZ24" s="227">
        <f>'[1]Housing Generation'!AZ24</f>
        <v>7</v>
      </c>
      <c r="BA24" s="227">
        <f>'[1]Housing Generation'!BA24</f>
        <v>7</v>
      </c>
      <c r="BB24" s="227">
        <f>'[1]Housing Generation'!BB24</f>
        <v>7</v>
      </c>
      <c r="BC24" s="227">
        <f>'[1]Housing Generation'!BC24</f>
        <v>7</v>
      </c>
      <c r="BD24" s="227">
        <f>'[1]Housing Generation'!BD24</f>
        <v>7</v>
      </c>
      <c r="BE24" s="224">
        <f>'[1]Housing Generation'!BE24</f>
        <v>49</v>
      </c>
      <c r="BF24" s="229">
        <f>'[1]Housing Generation'!BF24</f>
        <v>7</v>
      </c>
      <c r="BG24" s="229">
        <f>'[1]Housing Generation'!BG24</f>
        <v>7</v>
      </c>
      <c r="BH24" s="229">
        <f>'[1]Housing Generation'!BH24</f>
        <v>7</v>
      </c>
      <c r="BI24" s="229">
        <f>'[1]Housing Generation'!BI24</f>
        <v>7</v>
      </c>
      <c r="BJ24" s="229">
        <f>'[1]Housing Generation'!BJ24</f>
        <v>7</v>
      </c>
      <c r="BK24" s="229">
        <f>'[1]Housing Generation'!BK24</f>
        <v>7</v>
      </c>
      <c r="BL24" s="229">
        <f>'[1]Housing Generation'!BL24</f>
        <v>7</v>
      </c>
      <c r="BM24" s="225">
        <f>'[1]Housing Generation'!BM24</f>
        <v>49</v>
      </c>
      <c r="BN24" s="227">
        <f>'[1]Housing Generation'!BN24</f>
        <v>7</v>
      </c>
      <c r="BO24" s="227">
        <f>'[1]Housing Generation'!BO24</f>
        <v>7</v>
      </c>
      <c r="BP24" s="227">
        <f>'[1]Housing Generation'!BP24</f>
        <v>7</v>
      </c>
      <c r="BQ24" s="227">
        <f>'[1]Housing Generation'!BQ24</f>
        <v>7</v>
      </c>
      <c r="BR24" s="227">
        <f>'[1]Housing Generation'!BR24</f>
        <v>7</v>
      </c>
      <c r="BS24" s="227">
        <f>'[1]Housing Generation'!BS24</f>
        <v>7</v>
      </c>
      <c r="BT24" s="227">
        <f>'[1]Housing Generation'!BT24</f>
        <v>7</v>
      </c>
      <c r="BU24" s="224">
        <f>'[1]Housing Generation'!BU24</f>
        <v>49</v>
      </c>
      <c r="BV24" s="229">
        <f>'[1]Housing Generation'!BV24</f>
        <v>7</v>
      </c>
      <c r="BW24" s="229">
        <f>'[1]Housing Generation'!BW24</f>
        <v>7</v>
      </c>
      <c r="BX24" s="229">
        <f>'[1]Housing Generation'!BX24</f>
        <v>7</v>
      </c>
      <c r="BY24" s="229">
        <f>'[1]Housing Generation'!BY24</f>
        <v>7</v>
      </c>
      <c r="BZ24" s="229">
        <f>'[1]Housing Generation'!BZ24</f>
        <v>7</v>
      </c>
      <c r="CA24" s="229">
        <f>'[1]Housing Generation'!CA24</f>
        <v>7</v>
      </c>
      <c r="CB24" s="229">
        <f>'[1]Housing Generation'!CB24</f>
        <v>7</v>
      </c>
      <c r="CC24" s="225">
        <f>'[1]Housing Generation'!CC24</f>
        <v>49</v>
      </c>
      <c r="CD24" s="227">
        <f>'[1]Housing Generation'!CD24</f>
        <v>7</v>
      </c>
      <c r="CE24" s="227">
        <f>'[1]Housing Generation'!CE24</f>
        <v>7</v>
      </c>
      <c r="CF24" s="227">
        <f>'[1]Housing Generation'!CF24</f>
        <v>7</v>
      </c>
      <c r="CG24" s="227">
        <f>'[1]Housing Generation'!CG24</f>
        <v>7</v>
      </c>
      <c r="CH24" s="227">
        <f>'[1]Housing Generation'!CH24</f>
        <v>7</v>
      </c>
      <c r="CI24" s="227">
        <f>'[1]Housing Generation'!CI24</f>
        <v>7</v>
      </c>
      <c r="CJ24" s="227">
        <f>'[1]Housing Generation'!CJ24</f>
        <v>7</v>
      </c>
      <c r="CK24" s="224">
        <f>'[1]Housing Generation'!CK24</f>
        <v>49</v>
      </c>
      <c r="CL24" s="229">
        <f>'[1]Housing Generation'!CL24</f>
        <v>7</v>
      </c>
      <c r="CM24" s="229">
        <f>'[1]Housing Generation'!CM24</f>
        <v>7</v>
      </c>
      <c r="CN24" s="229">
        <f>'[1]Housing Generation'!CN24</f>
        <v>7</v>
      </c>
      <c r="CO24" s="229">
        <f>'[1]Housing Generation'!CO24</f>
        <v>7</v>
      </c>
      <c r="CP24" s="229">
        <f>'[1]Housing Generation'!CP24</f>
        <v>7</v>
      </c>
      <c r="CQ24" s="229">
        <f>'[1]Housing Generation'!CQ24</f>
        <v>7</v>
      </c>
      <c r="CR24" s="229">
        <f>'[1]Housing Generation'!CR24</f>
        <v>7</v>
      </c>
      <c r="CS24" s="225">
        <f>'[1]Housing Generation'!CS24</f>
        <v>49</v>
      </c>
      <c r="CT24" s="227">
        <f>'[1]Housing Generation'!CT24</f>
        <v>7</v>
      </c>
      <c r="CU24" s="227">
        <f>'[1]Housing Generation'!CU24</f>
        <v>7</v>
      </c>
      <c r="CV24" s="227">
        <f>'[1]Housing Generation'!CV24</f>
        <v>7</v>
      </c>
      <c r="CW24" s="227">
        <f>'[1]Housing Generation'!CW24</f>
        <v>7</v>
      </c>
      <c r="CX24" s="227">
        <f>'[1]Housing Generation'!CX24</f>
        <v>7</v>
      </c>
      <c r="CY24" s="227">
        <f>'[1]Housing Generation'!CY24</f>
        <v>7</v>
      </c>
      <c r="CZ24" s="227">
        <f>'[1]Housing Generation'!CZ24</f>
        <v>7</v>
      </c>
      <c r="DA24" s="224">
        <f>'[1]Housing Generation'!DA24</f>
        <v>49</v>
      </c>
      <c r="DB24" s="229">
        <f>'[1]Housing Generation'!DB24</f>
        <v>7</v>
      </c>
      <c r="DC24" s="229">
        <f>'[1]Housing Generation'!DC24</f>
        <v>7</v>
      </c>
      <c r="DD24" s="229">
        <f>'[1]Housing Generation'!DD24</f>
        <v>7</v>
      </c>
      <c r="DE24" s="229">
        <f>'[1]Housing Generation'!DE24</f>
        <v>7</v>
      </c>
      <c r="DF24" s="229">
        <f>'[1]Housing Generation'!DF24</f>
        <v>7</v>
      </c>
      <c r="DG24" s="229">
        <f>'[1]Housing Generation'!DG24</f>
        <v>7</v>
      </c>
      <c r="DH24" s="229">
        <f>'[1]Housing Generation'!DH24</f>
        <v>7</v>
      </c>
      <c r="DI24" s="225">
        <f>'[1]Housing Generation'!DI24</f>
        <v>49</v>
      </c>
      <c r="DJ24" s="227">
        <f>'[1]Housing Generation'!DJ24</f>
        <v>7</v>
      </c>
      <c r="DK24" s="227">
        <f>'[1]Housing Generation'!DK24</f>
        <v>7</v>
      </c>
      <c r="DL24" s="227">
        <f>'[1]Housing Generation'!DL24</f>
        <v>7</v>
      </c>
      <c r="DM24" s="227">
        <f>'[1]Housing Generation'!DM24</f>
        <v>7</v>
      </c>
      <c r="DN24" s="227">
        <f>'[1]Housing Generation'!DN24</f>
        <v>7</v>
      </c>
      <c r="DO24" s="227">
        <f>'[1]Housing Generation'!DO24</f>
        <v>7</v>
      </c>
      <c r="DP24" s="227">
        <f>'[1]Housing Generation'!DP24</f>
        <v>7</v>
      </c>
      <c r="DQ24" s="224">
        <f>'[1]Housing Generation'!DQ24</f>
        <v>49</v>
      </c>
    </row>
    <row r="25" spans="1:121" x14ac:dyDescent="0.2">
      <c r="A25" s="237" t="s">
        <v>26</v>
      </c>
      <c r="B25" s="227">
        <f>'[1]Housing Generation'!B25</f>
        <v>0</v>
      </c>
      <c r="C25" s="227">
        <f>'[1]Housing Generation'!C25</f>
        <v>0</v>
      </c>
      <c r="D25" s="227">
        <f>'[1]Housing Generation'!D25</f>
        <v>0</v>
      </c>
      <c r="E25" s="227">
        <f>'[1]Housing Generation'!E25</f>
        <v>0</v>
      </c>
      <c r="F25" s="227">
        <f>'[1]Housing Generation'!F25</f>
        <v>0</v>
      </c>
      <c r="G25" s="227">
        <f>'[1]Housing Generation'!G25</f>
        <v>0</v>
      </c>
      <c r="H25" s="227">
        <f>'[1]Housing Generation'!H25</f>
        <v>0</v>
      </c>
      <c r="I25" s="224">
        <f>'[1]Housing Generation'!I25</f>
        <v>0</v>
      </c>
      <c r="J25" s="229">
        <f>'[1]Housing Generation'!J25</f>
        <v>1</v>
      </c>
      <c r="K25" s="229">
        <f>'[1]Housing Generation'!K25</f>
        <v>1</v>
      </c>
      <c r="L25" s="229">
        <f>'[1]Housing Generation'!L25</f>
        <v>1</v>
      </c>
      <c r="M25" s="229">
        <f>'[1]Housing Generation'!M25</f>
        <v>1</v>
      </c>
      <c r="N25" s="229">
        <f>'[1]Housing Generation'!N25</f>
        <v>0</v>
      </c>
      <c r="O25" s="229">
        <f>'[1]Housing Generation'!O25</f>
        <v>0</v>
      </c>
      <c r="P25" s="229">
        <f>'[1]Housing Generation'!P25</f>
        <v>0</v>
      </c>
      <c r="Q25" s="225">
        <f>'[1]Housing Generation'!Q25</f>
        <v>4</v>
      </c>
      <c r="R25" s="227">
        <f>'[1]Housing Generation'!R25</f>
        <v>1</v>
      </c>
      <c r="S25" s="227">
        <f>'[1]Housing Generation'!S25</f>
        <v>1</v>
      </c>
      <c r="T25" s="227">
        <f>'[1]Housing Generation'!T25</f>
        <v>1</v>
      </c>
      <c r="U25" s="227">
        <f>'[1]Housing Generation'!U25</f>
        <v>1</v>
      </c>
      <c r="V25" s="227">
        <f>'[1]Housing Generation'!V25</f>
        <v>0</v>
      </c>
      <c r="W25" s="227">
        <f>'[1]Housing Generation'!W25</f>
        <v>0</v>
      </c>
      <c r="X25" s="227">
        <f>'[1]Housing Generation'!X25</f>
        <v>0</v>
      </c>
      <c r="Y25" s="224">
        <f>'[1]Housing Generation'!Y25</f>
        <v>4</v>
      </c>
      <c r="Z25" s="229">
        <f>'[1]Housing Generation'!Z25</f>
        <v>1</v>
      </c>
      <c r="AA25" s="229">
        <f>'[1]Housing Generation'!AA25</f>
        <v>1</v>
      </c>
      <c r="AB25" s="229">
        <f>'[1]Housing Generation'!AB25</f>
        <v>1</v>
      </c>
      <c r="AC25" s="229">
        <f>'[1]Housing Generation'!AC25</f>
        <v>1</v>
      </c>
      <c r="AD25" s="229">
        <f>'[1]Housing Generation'!AD25</f>
        <v>0</v>
      </c>
      <c r="AE25" s="229">
        <f>'[1]Housing Generation'!AE25</f>
        <v>0</v>
      </c>
      <c r="AF25" s="229">
        <f>'[1]Housing Generation'!AF25</f>
        <v>0</v>
      </c>
      <c r="AG25" s="225">
        <f>'[1]Housing Generation'!AG25</f>
        <v>4</v>
      </c>
      <c r="AH25" s="227">
        <f>'[1]Housing Generation'!AH25</f>
        <v>1</v>
      </c>
      <c r="AI25" s="227">
        <f>'[1]Housing Generation'!AI25</f>
        <v>1</v>
      </c>
      <c r="AJ25" s="227">
        <f>'[1]Housing Generation'!AJ25</f>
        <v>1</v>
      </c>
      <c r="AK25" s="227">
        <f>'[1]Housing Generation'!AK25</f>
        <v>1</v>
      </c>
      <c r="AL25" s="227">
        <f>'[1]Housing Generation'!AL25</f>
        <v>0</v>
      </c>
      <c r="AM25" s="227">
        <f>'[1]Housing Generation'!AM25</f>
        <v>0</v>
      </c>
      <c r="AN25" s="227">
        <f>'[1]Housing Generation'!AN25</f>
        <v>0</v>
      </c>
      <c r="AO25" s="224">
        <f>'[1]Housing Generation'!AO25</f>
        <v>4</v>
      </c>
      <c r="AP25" s="229">
        <f>'[1]Housing Generation'!AP25</f>
        <v>1</v>
      </c>
      <c r="AQ25" s="229">
        <f>'[1]Housing Generation'!AQ25</f>
        <v>1</v>
      </c>
      <c r="AR25" s="229">
        <f>'[1]Housing Generation'!AR25</f>
        <v>1</v>
      </c>
      <c r="AS25" s="229">
        <f>'[1]Housing Generation'!AS25</f>
        <v>1</v>
      </c>
      <c r="AT25" s="229">
        <f>'[1]Housing Generation'!AT25</f>
        <v>0</v>
      </c>
      <c r="AU25" s="229">
        <f>'[1]Housing Generation'!AU25</f>
        <v>0</v>
      </c>
      <c r="AV25" s="229">
        <f>'[1]Housing Generation'!AV25</f>
        <v>0</v>
      </c>
      <c r="AW25" s="225">
        <f>'[1]Housing Generation'!AW25</f>
        <v>4</v>
      </c>
      <c r="AX25" s="227">
        <f>'[1]Housing Generation'!AX25</f>
        <v>1</v>
      </c>
      <c r="AY25" s="227">
        <f>'[1]Housing Generation'!AY25</f>
        <v>1</v>
      </c>
      <c r="AZ25" s="227">
        <f>'[1]Housing Generation'!AZ25</f>
        <v>1</v>
      </c>
      <c r="BA25" s="227">
        <f>'[1]Housing Generation'!BA25</f>
        <v>1</v>
      </c>
      <c r="BB25" s="227">
        <f>'[1]Housing Generation'!BB25</f>
        <v>0</v>
      </c>
      <c r="BC25" s="227">
        <f>'[1]Housing Generation'!BC25</f>
        <v>0</v>
      </c>
      <c r="BD25" s="227">
        <f>'[1]Housing Generation'!BD25</f>
        <v>0</v>
      </c>
      <c r="BE25" s="224">
        <f>'[1]Housing Generation'!BE25</f>
        <v>4</v>
      </c>
      <c r="BF25" s="229">
        <f>'[1]Housing Generation'!BF25</f>
        <v>1</v>
      </c>
      <c r="BG25" s="229">
        <f>'[1]Housing Generation'!BG25</f>
        <v>1</v>
      </c>
      <c r="BH25" s="229">
        <f>'[1]Housing Generation'!BH25</f>
        <v>1</v>
      </c>
      <c r="BI25" s="229">
        <f>'[1]Housing Generation'!BI25</f>
        <v>1</v>
      </c>
      <c r="BJ25" s="229">
        <f>'[1]Housing Generation'!BJ25</f>
        <v>0</v>
      </c>
      <c r="BK25" s="229">
        <f>'[1]Housing Generation'!BK25</f>
        <v>0</v>
      </c>
      <c r="BL25" s="229">
        <f>'[1]Housing Generation'!BL25</f>
        <v>0</v>
      </c>
      <c r="BM25" s="225">
        <f>'[1]Housing Generation'!BM25</f>
        <v>4</v>
      </c>
      <c r="BN25" s="227">
        <f>'[1]Housing Generation'!BN25</f>
        <v>1</v>
      </c>
      <c r="BO25" s="227">
        <f>'[1]Housing Generation'!BO25</f>
        <v>1</v>
      </c>
      <c r="BP25" s="227">
        <f>'[1]Housing Generation'!BP25</f>
        <v>1</v>
      </c>
      <c r="BQ25" s="227">
        <f>'[1]Housing Generation'!BQ25</f>
        <v>1</v>
      </c>
      <c r="BR25" s="227">
        <f>'[1]Housing Generation'!BR25</f>
        <v>0</v>
      </c>
      <c r="BS25" s="227">
        <f>'[1]Housing Generation'!BS25</f>
        <v>0</v>
      </c>
      <c r="BT25" s="227">
        <f>'[1]Housing Generation'!BT25</f>
        <v>0</v>
      </c>
      <c r="BU25" s="224">
        <f>'[1]Housing Generation'!BU25</f>
        <v>4</v>
      </c>
      <c r="BV25" s="229">
        <f>'[1]Housing Generation'!BV25</f>
        <v>1</v>
      </c>
      <c r="BW25" s="229">
        <f>'[1]Housing Generation'!BW25</f>
        <v>1</v>
      </c>
      <c r="BX25" s="229">
        <f>'[1]Housing Generation'!BX25</f>
        <v>1</v>
      </c>
      <c r="BY25" s="229">
        <f>'[1]Housing Generation'!BY25</f>
        <v>1</v>
      </c>
      <c r="BZ25" s="229">
        <f>'[1]Housing Generation'!BZ25</f>
        <v>0</v>
      </c>
      <c r="CA25" s="229">
        <f>'[1]Housing Generation'!CA25</f>
        <v>0</v>
      </c>
      <c r="CB25" s="229">
        <f>'[1]Housing Generation'!CB25</f>
        <v>0</v>
      </c>
      <c r="CC25" s="225">
        <f>'[1]Housing Generation'!CC25</f>
        <v>4</v>
      </c>
      <c r="CD25" s="227">
        <f>'[1]Housing Generation'!CD25</f>
        <v>1</v>
      </c>
      <c r="CE25" s="227">
        <f>'[1]Housing Generation'!CE25</f>
        <v>1</v>
      </c>
      <c r="CF25" s="227">
        <f>'[1]Housing Generation'!CF25</f>
        <v>1</v>
      </c>
      <c r="CG25" s="227">
        <f>'[1]Housing Generation'!CG25</f>
        <v>1</v>
      </c>
      <c r="CH25" s="227">
        <f>'[1]Housing Generation'!CH25</f>
        <v>0</v>
      </c>
      <c r="CI25" s="227">
        <f>'[1]Housing Generation'!CI25</f>
        <v>0</v>
      </c>
      <c r="CJ25" s="227">
        <f>'[1]Housing Generation'!CJ25</f>
        <v>0</v>
      </c>
      <c r="CK25" s="224">
        <f>'[1]Housing Generation'!CK25</f>
        <v>4</v>
      </c>
      <c r="CL25" s="229">
        <f>'[1]Housing Generation'!CL25</f>
        <v>1</v>
      </c>
      <c r="CM25" s="229">
        <f>'[1]Housing Generation'!CM25</f>
        <v>1</v>
      </c>
      <c r="CN25" s="229">
        <f>'[1]Housing Generation'!CN25</f>
        <v>1</v>
      </c>
      <c r="CO25" s="229">
        <f>'[1]Housing Generation'!CO25</f>
        <v>1</v>
      </c>
      <c r="CP25" s="229">
        <f>'[1]Housing Generation'!CP25</f>
        <v>0</v>
      </c>
      <c r="CQ25" s="229">
        <f>'[1]Housing Generation'!CQ25</f>
        <v>0</v>
      </c>
      <c r="CR25" s="229">
        <f>'[1]Housing Generation'!CR25</f>
        <v>0</v>
      </c>
      <c r="CS25" s="225">
        <f>'[1]Housing Generation'!CS25</f>
        <v>4</v>
      </c>
      <c r="CT25" s="227">
        <f>'[1]Housing Generation'!CT25</f>
        <v>1</v>
      </c>
      <c r="CU25" s="227">
        <f>'[1]Housing Generation'!CU25</f>
        <v>1</v>
      </c>
      <c r="CV25" s="227">
        <f>'[1]Housing Generation'!CV25</f>
        <v>1</v>
      </c>
      <c r="CW25" s="227">
        <f>'[1]Housing Generation'!CW25</f>
        <v>1</v>
      </c>
      <c r="CX25" s="227">
        <f>'[1]Housing Generation'!CX25</f>
        <v>0</v>
      </c>
      <c r="CY25" s="227">
        <f>'[1]Housing Generation'!CY25</f>
        <v>0</v>
      </c>
      <c r="CZ25" s="227">
        <f>'[1]Housing Generation'!CZ25</f>
        <v>0</v>
      </c>
      <c r="DA25" s="224">
        <f>'[1]Housing Generation'!DA25</f>
        <v>4</v>
      </c>
      <c r="DB25" s="229">
        <f>'[1]Housing Generation'!DB25</f>
        <v>1</v>
      </c>
      <c r="DC25" s="229">
        <f>'[1]Housing Generation'!DC25</f>
        <v>1</v>
      </c>
      <c r="DD25" s="229">
        <f>'[1]Housing Generation'!DD25</f>
        <v>1</v>
      </c>
      <c r="DE25" s="229">
        <f>'[1]Housing Generation'!DE25</f>
        <v>1</v>
      </c>
      <c r="DF25" s="229">
        <f>'[1]Housing Generation'!DF25</f>
        <v>0</v>
      </c>
      <c r="DG25" s="229">
        <f>'[1]Housing Generation'!DG25</f>
        <v>0</v>
      </c>
      <c r="DH25" s="229">
        <f>'[1]Housing Generation'!DH25</f>
        <v>0</v>
      </c>
      <c r="DI25" s="225">
        <f>'[1]Housing Generation'!DI25</f>
        <v>4</v>
      </c>
      <c r="DJ25" s="227">
        <f>'[1]Housing Generation'!DJ25</f>
        <v>1</v>
      </c>
      <c r="DK25" s="227">
        <f>'[1]Housing Generation'!DK25</f>
        <v>1</v>
      </c>
      <c r="DL25" s="227">
        <f>'[1]Housing Generation'!DL25</f>
        <v>1</v>
      </c>
      <c r="DM25" s="227">
        <f>'[1]Housing Generation'!DM25</f>
        <v>1</v>
      </c>
      <c r="DN25" s="227">
        <f>'[1]Housing Generation'!DN25</f>
        <v>0</v>
      </c>
      <c r="DO25" s="227">
        <f>'[1]Housing Generation'!DO25</f>
        <v>0</v>
      </c>
      <c r="DP25" s="227">
        <f>'[1]Housing Generation'!DP25</f>
        <v>0</v>
      </c>
      <c r="DQ25" s="224">
        <f>'[1]Housing Generation'!DQ25</f>
        <v>4</v>
      </c>
    </row>
    <row r="26" spans="1:121" x14ac:dyDescent="0.2">
      <c r="A26" s="237" t="s">
        <v>27</v>
      </c>
      <c r="B26" s="227">
        <f>'[1]Housing Generation'!B26</f>
        <v>0</v>
      </c>
      <c r="C26" s="227">
        <f>'[1]Housing Generation'!C26</f>
        <v>0</v>
      </c>
      <c r="D26" s="227">
        <f>'[1]Housing Generation'!D26</f>
        <v>0</v>
      </c>
      <c r="E26" s="227">
        <f>'[1]Housing Generation'!E26</f>
        <v>0</v>
      </c>
      <c r="F26" s="227">
        <f>'[1]Housing Generation'!F26</f>
        <v>0</v>
      </c>
      <c r="G26" s="227">
        <f>'[1]Housing Generation'!G26</f>
        <v>0</v>
      </c>
      <c r="H26" s="227">
        <f>'[1]Housing Generation'!H26</f>
        <v>0</v>
      </c>
      <c r="I26" s="224">
        <f>'[1]Housing Generation'!I26</f>
        <v>0</v>
      </c>
      <c r="J26" s="229">
        <f>'[1]Housing Generation'!J26</f>
        <v>0</v>
      </c>
      <c r="K26" s="229">
        <f>'[1]Housing Generation'!K26</f>
        <v>0</v>
      </c>
      <c r="L26" s="229">
        <f>'[1]Housing Generation'!L26</f>
        <v>0</v>
      </c>
      <c r="M26" s="229">
        <f>'[1]Housing Generation'!M26</f>
        <v>0</v>
      </c>
      <c r="N26" s="229">
        <f>'[1]Housing Generation'!N26</f>
        <v>0</v>
      </c>
      <c r="O26" s="229">
        <f>'[1]Housing Generation'!O26</f>
        <v>0</v>
      </c>
      <c r="P26" s="229">
        <f>'[1]Housing Generation'!P26</f>
        <v>0</v>
      </c>
      <c r="Q26" s="225">
        <f>'[1]Housing Generation'!Q26</f>
        <v>0</v>
      </c>
      <c r="R26" s="227">
        <f>'[1]Housing Generation'!R26</f>
        <v>1</v>
      </c>
      <c r="S26" s="227">
        <f>'[1]Housing Generation'!S26</f>
        <v>0</v>
      </c>
      <c r="T26" s="227">
        <f>'[1]Housing Generation'!T26</f>
        <v>0</v>
      </c>
      <c r="U26" s="227">
        <f>'[1]Housing Generation'!U26</f>
        <v>0</v>
      </c>
      <c r="V26" s="227">
        <f>'[1]Housing Generation'!V26</f>
        <v>0</v>
      </c>
      <c r="W26" s="227">
        <f>'[1]Housing Generation'!W26</f>
        <v>0</v>
      </c>
      <c r="X26" s="227">
        <f>'[1]Housing Generation'!X26</f>
        <v>0</v>
      </c>
      <c r="Y26" s="224">
        <f>'[1]Housing Generation'!Y26</f>
        <v>1</v>
      </c>
      <c r="Z26" s="229">
        <f>'[1]Housing Generation'!Z26</f>
        <v>1</v>
      </c>
      <c r="AA26" s="229">
        <f>'[1]Housing Generation'!AA26</f>
        <v>1</v>
      </c>
      <c r="AB26" s="229">
        <f>'[1]Housing Generation'!AB26</f>
        <v>0</v>
      </c>
      <c r="AC26" s="229">
        <f>'[1]Housing Generation'!AC26</f>
        <v>0</v>
      </c>
      <c r="AD26" s="229">
        <f>'[1]Housing Generation'!AD26</f>
        <v>0</v>
      </c>
      <c r="AE26" s="229">
        <f>'[1]Housing Generation'!AE26</f>
        <v>0</v>
      </c>
      <c r="AF26" s="229">
        <f>'[1]Housing Generation'!AF26</f>
        <v>0</v>
      </c>
      <c r="AG26" s="225">
        <f>'[1]Housing Generation'!AG26</f>
        <v>2</v>
      </c>
      <c r="AH26" s="227">
        <f>'[1]Housing Generation'!AH26</f>
        <v>2</v>
      </c>
      <c r="AI26" s="227">
        <f>'[1]Housing Generation'!AI26</f>
        <v>2</v>
      </c>
      <c r="AJ26" s="227">
        <f>'[1]Housing Generation'!AJ26</f>
        <v>2</v>
      </c>
      <c r="AK26" s="227">
        <f>'[1]Housing Generation'!AK26</f>
        <v>1</v>
      </c>
      <c r="AL26" s="227">
        <f>'[1]Housing Generation'!AL26</f>
        <v>1</v>
      </c>
      <c r="AM26" s="227">
        <f>'[1]Housing Generation'!AM26</f>
        <v>1</v>
      </c>
      <c r="AN26" s="227">
        <f>'[1]Housing Generation'!AN26</f>
        <v>1</v>
      </c>
      <c r="AO26" s="224">
        <f>'[1]Housing Generation'!AO26</f>
        <v>10</v>
      </c>
      <c r="AP26" s="229">
        <f>'[1]Housing Generation'!AP26</f>
        <v>2</v>
      </c>
      <c r="AQ26" s="229">
        <f>'[1]Housing Generation'!AQ26</f>
        <v>2</v>
      </c>
      <c r="AR26" s="229">
        <f>'[1]Housing Generation'!AR26</f>
        <v>2</v>
      </c>
      <c r="AS26" s="229">
        <f>'[1]Housing Generation'!AS26</f>
        <v>2</v>
      </c>
      <c r="AT26" s="229">
        <f>'[1]Housing Generation'!AT26</f>
        <v>2</v>
      </c>
      <c r="AU26" s="229">
        <f>'[1]Housing Generation'!AU26</f>
        <v>2</v>
      </c>
      <c r="AV26" s="229">
        <f>'[1]Housing Generation'!AV26</f>
        <v>1</v>
      </c>
      <c r="AW26" s="225">
        <f>'[1]Housing Generation'!AW26</f>
        <v>13</v>
      </c>
      <c r="AX26" s="227">
        <f>'[1]Housing Generation'!AX26</f>
        <v>3</v>
      </c>
      <c r="AY26" s="227">
        <f>'[1]Housing Generation'!AY26</f>
        <v>3</v>
      </c>
      <c r="AZ26" s="227">
        <f>'[1]Housing Generation'!AZ26</f>
        <v>3</v>
      </c>
      <c r="BA26" s="227">
        <f>'[1]Housing Generation'!BA26</f>
        <v>3</v>
      </c>
      <c r="BB26" s="227">
        <f>'[1]Housing Generation'!BB26</f>
        <v>3</v>
      </c>
      <c r="BC26" s="227">
        <f>'[1]Housing Generation'!BC26</f>
        <v>2</v>
      </c>
      <c r="BD26" s="227">
        <f>'[1]Housing Generation'!BD26</f>
        <v>2</v>
      </c>
      <c r="BE26" s="224">
        <f>'[1]Housing Generation'!BE26</f>
        <v>19</v>
      </c>
      <c r="BF26" s="229">
        <f>'[1]Housing Generation'!BF26</f>
        <v>4</v>
      </c>
      <c r="BG26" s="229">
        <f>'[1]Housing Generation'!BG26</f>
        <v>3</v>
      </c>
      <c r="BH26" s="229">
        <f>'[1]Housing Generation'!BH26</f>
        <v>3</v>
      </c>
      <c r="BI26" s="229">
        <f>'[1]Housing Generation'!BI26</f>
        <v>3</v>
      </c>
      <c r="BJ26" s="229">
        <f>'[1]Housing Generation'!BJ26</f>
        <v>3</v>
      </c>
      <c r="BK26" s="229">
        <f>'[1]Housing Generation'!BK26</f>
        <v>3</v>
      </c>
      <c r="BL26" s="229">
        <f>'[1]Housing Generation'!BL26</f>
        <v>3</v>
      </c>
      <c r="BM26" s="225">
        <f>'[1]Housing Generation'!BM26</f>
        <v>22</v>
      </c>
      <c r="BN26" s="227">
        <f>'[1]Housing Generation'!BN26</f>
        <v>4</v>
      </c>
      <c r="BO26" s="227">
        <f>'[1]Housing Generation'!BO26</f>
        <v>4</v>
      </c>
      <c r="BP26" s="227">
        <f>'[1]Housing Generation'!BP26</f>
        <v>4</v>
      </c>
      <c r="BQ26" s="227">
        <f>'[1]Housing Generation'!BQ26</f>
        <v>4</v>
      </c>
      <c r="BR26" s="227">
        <f>'[1]Housing Generation'!BR26</f>
        <v>3</v>
      </c>
      <c r="BS26" s="227">
        <f>'[1]Housing Generation'!BS26</f>
        <v>3</v>
      </c>
      <c r="BT26" s="227">
        <f>'[1]Housing Generation'!BT26</f>
        <v>3</v>
      </c>
      <c r="BU26" s="224">
        <f>'[1]Housing Generation'!BU26</f>
        <v>25</v>
      </c>
      <c r="BV26" s="229">
        <f>'[1]Housing Generation'!BV26</f>
        <v>4</v>
      </c>
      <c r="BW26" s="229">
        <f>'[1]Housing Generation'!BW26</f>
        <v>4</v>
      </c>
      <c r="BX26" s="229">
        <f>'[1]Housing Generation'!BX26</f>
        <v>4</v>
      </c>
      <c r="BY26" s="229">
        <f>'[1]Housing Generation'!BY26</f>
        <v>4</v>
      </c>
      <c r="BZ26" s="229">
        <f>'[1]Housing Generation'!BZ26</f>
        <v>4</v>
      </c>
      <c r="CA26" s="229">
        <f>'[1]Housing Generation'!CA26</f>
        <v>4</v>
      </c>
      <c r="CB26" s="229">
        <f>'[1]Housing Generation'!CB26</f>
        <v>4</v>
      </c>
      <c r="CC26" s="225">
        <f>'[1]Housing Generation'!CC26</f>
        <v>28</v>
      </c>
      <c r="CD26" s="227">
        <f>'[1]Housing Generation'!CD26</f>
        <v>4</v>
      </c>
      <c r="CE26" s="227">
        <f>'[1]Housing Generation'!CE26</f>
        <v>4</v>
      </c>
      <c r="CF26" s="227">
        <f>'[1]Housing Generation'!CF26</f>
        <v>4</v>
      </c>
      <c r="CG26" s="227">
        <f>'[1]Housing Generation'!CG26</f>
        <v>4</v>
      </c>
      <c r="CH26" s="227">
        <f>'[1]Housing Generation'!CH26</f>
        <v>4</v>
      </c>
      <c r="CI26" s="227">
        <f>'[1]Housing Generation'!CI26</f>
        <v>4</v>
      </c>
      <c r="CJ26" s="227">
        <f>'[1]Housing Generation'!CJ26</f>
        <v>4</v>
      </c>
      <c r="CK26" s="224">
        <f>'[1]Housing Generation'!CK26</f>
        <v>28</v>
      </c>
      <c r="CL26" s="229">
        <f>'[1]Housing Generation'!CL26</f>
        <v>4</v>
      </c>
      <c r="CM26" s="229">
        <f>'[1]Housing Generation'!CM26</f>
        <v>4</v>
      </c>
      <c r="CN26" s="229">
        <f>'[1]Housing Generation'!CN26</f>
        <v>4</v>
      </c>
      <c r="CO26" s="229">
        <f>'[1]Housing Generation'!CO26</f>
        <v>4</v>
      </c>
      <c r="CP26" s="229">
        <f>'[1]Housing Generation'!CP26</f>
        <v>4</v>
      </c>
      <c r="CQ26" s="229">
        <f>'[1]Housing Generation'!CQ26</f>
        <v>4</v>
      </c>
      <c r="CR26" s="229">
        <f>'[1]Housing Generation'!CR26</f>
        <v>4</v>
      </c>
      <c r="CS26" s="225">
        <f>'[1]Housing Generation'!CS26</f>
        <v>28</v>
      </c>
      <c r="CT26" s="227">
        <f>'[1]Housing Generation'!CT26</f>
        <v>4</v>
      </c>
      <c r="CU26" s="227">
        <f>'[1]Housing Generation'!CU26</f>
        <v>4</v>
      </c>
      <c r="CV26" s="227">
        <f>'[1]Housing Generation'!CV26</f>
        <v>4</v>
      </c>
      <c r="CW26" s="227">
        <f>'[1]Housing Generation'!CW26</f>
        <v>4</v>
      </c>
      <c r="CX26" s="227">
        <f>'[1]Housing Generation'!CX26</f>
        <v>4</v>
      </c>
      <c r="CY26" s="227">
        <f>'[1]Housing Generation'!CY26</f>
        <v>4</v>
      </c>
      <c r="CZ26" s="227">
        <f>'[1]Housing Generation'!CZ26</f>
        <v>4</v>
      </c>
      <c r="DA26" s="224">
        <f>'[1]Housing Generation'!DA26</f>
        <v>28</v>
      </c>
      <c r="DB26" s="229">
        <f>'[1]Housing Generation'!DB26</f>
        <v>4</v>
      </c>
      <c r="DC26" s="229">
        <f>'[1]Housing Generation'!DC26</f>
        <v>4</v>
      </c>
      <c r="DD26" s="229">
        <f>'[1]Housing Generation'!DD26</f>
        <v>4</v>
      </c>
      <c r="DE26" s="229">
        <f>'[1]Housing Generation'!DE26</f>
        <v>4</v>
      </c>
      <c r="DF26" s="229">
        <f>'[1]Housing Generation'!DF26</f>
        <v>4</v>
      </c>
      <c r="DG26" s="229">
        <f>'[1]Housing Generation'!DG26</f>
        <v>4</v>
      </c>
      <c r="DH26" s="229">
        <f>'[1]Housing Generation'!DH26</f>
        <v>4</v>
      </c>
      <c r="DI26" s="225">
        <f>'[1]Housing Generation'!DI26</f>
        <v>28</v>
      </c>
      <c r="DJ26" s="227">
        <f>'[1]Housing Generation'!DJ26</f>
        <v>4</v>
      </c>
      <c r="DK26" s="227">
        <f>'[1]Housing Generation'!DK26</f>
        <v>4</v>
      </c>
      <c r="DL26" s="227">
        <f>'[1]Housing Generation'!DL26</f>
        <v>4</v>
      </c>
      <c r="DM26" s="227">
        <f>'[1]Housing Generation'!DM26</f>
        <v>4</v>
      </c>
      <c r="DN26" s="227">
        <f>'[1]Housing Generation'!DN26</f>
        <v>4</v>
      </c>
      <c r="DO26" s="227">
        <f>'[1]Housing Generation'!DO26</f>
        <v>4</v>
      </c>
      <c r="DP26" s="227">
        <f>'[1]Housing Generation'!DP26</f>
        <v>4</v>
      </c>
      <c r="DQ26" s="224">
        <f>'[1]Housing Generation'!DQ26</f>
        <v>28</v>
      </c>
    </row>
    <row r="27" spans="1:121" x14ac:dyDescent="0.2">
      <c r="A27" s="237" t="s">
        <v>28</v>
      </c>
      <c r="B27" s="227">
        <f>'[1]Housing Generation'!B27</f>
        <v>0</v>
      </c>
      <c r="C27" s="227">
        <f>'[1]Housing Generation'!C27</f>
        <v>0</v>
      </c>
      <c r="D27" s="227">
        <f>'[1]Housing Generation'!D27</f>
        <v>0</v>
      </c>
      <c r="E27" s="227">
        <f>'[1]Housing Generation'!E27</f>
        <v>0</v>
      </c>
      <c r="F27" s="227">
        <f>'[1]Housing Generation'!F27</f>
        <v>0</v>
      </c>
      <c r="G27" s="227">
        <f>'[1]Housing Generation'!G27</f>
        <v>0</v>
      </c>
      <c r="H27" s="227">
        <f>'[1]Housing Generation'!H27</f>
        <v>0</v>
      </c>
      <c r="I27" s="224">
        <f>'[1]Housing Generation'!I27</f>
        <v>0</v>
      </c>
      <c r="J27" s="229">
        <f>'[1]Housing Generation'!J27</f>
        <v>0</v>
      </c>
      <c r="K27" s="229">
        <f>'[1]Housing Generation'!K27</f>
        <v>0</v>
      </c>
      <c r="L27" s="229">
        <f>'[1]Housing Generation'!L27</f>
        <v>0</v>
      </c>
      <c r="M27" s="229">
        <f>'[1]Housing Generation'!M27</f>
        <v>0</v>
      </c>
      <c r="N27" s="229">
        <f>'[1]Housing Generation'!N27</f>
        <v>0</v>
      </c>
      <c r="O27" s="229">
        <f>'[1]Housing Generation'!O27</f>
        <v>0</v>
      </c>
      <c r="P27" s="229">
        <f>'[1]Housing Generation'!P27</f>
        <v>0</v>
      </c>
      <c r="Q27" s="225">
        <f>'[1]Housing Generation'!Q27</f>
        <v>0</v>
      </c>
      <c r="R27" s="227">
        <f>'[1]Housing Generation'!R27</f>
        <v>0</v>
      </c>
      <c r="S27" s="227">
        <f>'[1]Housing Generation'!S27</f>
        <v>0</v>
      </c>
      <c r="T27" s="227">
        <f>'[1]Housing Generation'!T27</f>
        <v>0</v>
      </c>
      <c r="U27" s="227">
        <f>'[1]Housing Generation'!U27</f>
        <v>0</v>
      </c>
      <c r="V27" s="227">
        <f>'[1]Housing Generation'!V27</f>
        <v>0</v>
      </c>
      <c r="W27" s="227">
        <f>'[1]Housing Generation'!W27</f>
        <v>0</v>
      </c>
      <c r="X27" s="227">
        <f>'[1]Housing Generation'!X27</f>
        <v>0</v>
      </c>
      <c r="Y27" s="224">
        <f>'[1]Housing Generation'!Y27</f>
        <v>0</v>
      </c>
      <c r="Z27" s="229">
        <f>'[1]Housing Generation'!Z27</f>
        <v>0</v>
      </c>
      <c r="AA27" s="229">
        <f>'[1]Housing Generation'!AA27</f>
        <v>0</v>
      </c>
      <c r="AB27" s="229">
        <f>'[1]Housing Generation'!AB27</f>
        <v>0</v>
      </c>
      <c r="AC27" s="229">
        <f>'[1]Housing Generation'!AC27</f>
        <v>0</v>
      </c>
      <c r="AD27" s="229">
        <f>'[1]Housing Generation'!AD27</f>
        <v>0</v>
      </c>
      <c r="AE27" s="229">
        <f>'[1]Housing Generation'!AE27</f>
        <v>0</v>
      </c>
      <c r="AF27" s="229">
        <f>'[1]Housing Generation'!AF27</f>
        <v>0</v>
      </c>
      <c r="AG27" s="225">
        <f>'[1]Housing Generation'!AG27</f>
        <v>0</v>
      </c>
      <c r="AH27" s="227">
        <f>'[1]Housing Generation'!AH27</f>
        <v>0</v>
      </c>
      <c r="AI27" s="227">
        <f>'[1]Housing Generation'!AI27</f>
        <v>0</v>
      </c>
      <c r="AJ27" s="227">
        <f>'[1]Housing Generation'!AJ27</f>
        <v>0</v>
      </c>
      <c r="AK27" s="227">
        <f>'[1]Housing Generation'!AK27</f>
        <v>0</v>
      </c>
      <c r="AL27" s="227">
        <f>'[1]Housing Generation'!AL27</f>
        <v>0</v>
      </c>
      <c r="AM27" s="227">
        <f>'[1]Housing Generation'!AM27</f>
        <v>0</v>
      </c>
      <c r="AN27" s="227">
        <f>'[1]Housing Generation'!AN27</f>
        <v>0</v>
      </c>
      <c r="AO27" s="224">
        <f>'[1]Housing Generation'!AO27</f>
        <v>0</v>
      </c>
      <c r="AP27" s="229">
        <f>'[1]Housing Generation'!AP27</f>
        <v>0</v>
      </c>
      <c r="AQ27" s="229">
        <f>'[1]Housing Generation'!AQ27</f>
        <v>0</v>
      </c>
      <c r="AR27" s="229">
        <f>'[1]Housing Generation'!AR27</f>
        <v>0</v>
      </c>
      <c r="AS27" s="229">
        <f>'[1]Housing Generation'!AS27</f>
        <v>0</v>
      </c>
      <c r="AT27" s="229">
        <f>'[1]Housing Generation'!AT27</f>
        <v>0</v>
      </c>
      <c r="AU27" s="229">
        <f>'[1]Housing Generation'!AU27</f>
        <v>0</v>
      </c>
      <c r="AV27" s="229">
        <f>'[1]Housing Generation'!AV27</f>
        <v>0</v>
      </c>
      <c r="AW27" s="225">
        <f>'[1]Housing Generation'!AW27</f>
        <v>0</v>
      </c>
      <c r="AX27" s="227">
        <f>'[1]Housing Generation'!AX27</f>
        <v>0</v>
      </c>
      <c r="AY27" s="227">
        <f>'[1]Housing Generation'!AY27</f>
        <v>0</v>
      </c>
      <c r="AZ27" s="227">
        <f>'[1]Housing Generation'!AZ27</f>
        <v>0</v>
      </c>
      <c r="BA27" s="227">
        <f>'[1]Housing Generation'!BA27</f>
        <v>0</v>
      </c>
      <c r="BB27" s="227">
        <f>'[1]Housing Generation'!BB27</f>
        <v>0</v>
      </c>
      <c r="BC27" s="227">
        <f>'[1]Housing Generation'!BC27</f>
        <v>0</v>
      </c>
      <c r="BD27" s="227">
        <f>'[1]Housing Generation'!BD27</f>
        <v>0</v>
      </c>
      <c r="BE27" s="224">
        <f>'[1]Housing Generation'!BE27</f>
        <v>0</v>
      </c>
      <c r="BF27" s="229">
        <f>'[1]Housing Generation'!BF27</f>
        <v>0</v>
      </c>
      <c r="BG27" s="229">
        <f>'[1]Housing Generation'!BG27</f>
        <v>0</v>
      </c>
      <c r="BH27" s="229">
        <f>'[1]Housing Generation'!BH27</f>
        <v>0</v>
      </c>
      <c r="BI27" s="229">
        <f>'[1]Housing Generation'!BI27</f>
        <v>0</v>
      </c>
      <c r="BJ27" s="229">
        <f>'[1]Housing Generation'!BJ27</f>
        <v>0</v>
      </c>
      <c r="BK27" s="229">
        <f>'[1]Housing Generation'!BK27</f>
        <v>0</v>
      </c>
      <c r="BL27" s="229">
        <f>'[1]Housing Generation'!BL27</f>
        <v>0</v>
      </c>
      <c r="BM27" s="225">
        <f>'[1]Housing Generation'!BM27</f>
        <v>0</v>
      </c>
      <c r="BN27" s="227">
        <f>'[1]Housing Generation'!BN27</f>
        <v>0</v>
      </c>
      <c r="BO27" s="227">
        <f>'[1]Housing Generation'!BO27</f>
        <v>0</v>
      </c>
      <c r="BP27" s="227">
        <f>'[1]Housing Generation'!BP27</f>
        <v>0</v>
      </c>
      <c r="BQ27" s="227">
        <f>'[1]Housing Generation'!BQ27</f>
        <v>0</v>
      </c>
      <c r="BR27" s="227">
        <f>'[1]Housing Generation'!BR27</f>
        <v>0</v>
      </c>
      <c r="BS27" s="227">
        <f>'[1]Housing Generation'!BS27</f>
        <v>0</v>
      </c>
      <c r="BT27" s="227">
        <f>'[1]Housing Generation'!BT27</f>
        <v>0</v>
      </c>
      <c r="BU27" s="224">
        <f>'[1]Housing Generation'!BU27</f>
        <v>0</v>
      </c>
      <c r="BV27" s="229">
        <f>'[1]Housing Generation'!BV27</f>
        <v>0</v>
      </c>
      <c r="BW27" s="229">
        <f>'[1]Housing Generation'!BW27</f>
        <v>0</v>
      </c>
      <c r="BX27" s="229">
        <f>'[1]Housing Generation'!BX27</f>
        <v>0</v>
      </c>
      <c r="BY27" s="229">
        <f>'[1]Housing Generation'!BY27</f>
        <v>0</v>
      </c>
      <c r="BZ27" s="229">
        <f>'[1]Housing Generation'!BZ27</f>
        <v>0</v>
      </c>
      <c r="CA27" s="229">
        <f>'[1]Housing Generation'!CA27</f>
        <v>0</v>
      </c>
      <c r="CB27" s="229">
        <f>'[1]Housing Generation'!CB27</f>
        <v>0</v>
      </c>
      <c r="CC27" s="225">
        <f>'[1]Housing Generation'!CC27</f>
        <v>0</v>
      </c>
      <c r="CD27" s="227">
        <f>'[1]Housing Generation'!CD27</f>
        <v>0</v>
      </c>
      <c r="CE27" s="227">
        <f>'[1]Housing Generation'!CE27</f>
        <v>0</v>
      </c>
      <c r="CF27" s="227">
        <f>'[1]Housing Generation'!CF27</f>
        <v>0</v>
      </c>
      <c r="CG27" s="227">
        <f>'[1]Housing Generation'!CG27</f>
        <v>0</v>
      </c>
      <c r="CH27" s="227">
        <f>'[1]Housing Generation'!CH27</f>
        <v>0</v>
      </c>
      <c r="CI27" s="227">
        <f>'[1]Housing Generation'!CI27</f>
        <v>0</v>
      </c>
      <c r="CJ27" s="227">
        <f>'[1]Housing Generation'!CJ27</f>
        <v>0</v>
      </c>
      <c r="CK27" s="224">
        <f>'[1]Housing Generation'!CK27</f>
        <v>0</v>
      </c>
      <c r="CL27" s="229">
        <f>'[1]Housing Generation'!CL27</f>
        <v>0</v>
      </c>
      <c r="CM27" s="229">
        <f>'[1]Housing Generation'!CM27</f>
        <v>0</v>
      </c>
      <c r="CN27" s="229">
        <f>'[1]Housing Generation'!CN27</f>
        <v>0</v>
      </c>
      <c r="CO27" s="229">
        <f>'[1]Housing Generation'!CO27</f>
        <v>0</v>
      </c>
      <c r="CP27" s="229">
        <f>'[1]Housing Generation'!CP27</f>
        <v>0</v>
      </c>
      <c r="CQ27" s="229">
        <f>'[1]Housing Generation'!CQ27</f>
        <v>0</v>
      </c>
      <c r="CR27" s="229">
        <f>'[1]Housing Generation'!CR27</f>
        <v>0</v>
      </c>
      <c r="CS27" s="225">
        <f>'[1]Housing Generation'!CS27</f>
        <v>0</v>
      </c>
      <c r="CT27" s="227">
        <f>'[1]Housing Generation'!CT27</f>
        <v>0</v>
      </c>
      <c r="CU27" s="227">
        <f>'[1]Housing Generation'!CU27</f>
        <v>0</v>
      </c>
      <c r="CV27" s="227">
        <f>'[1]Housing Generation'!CV27</f>
        <v>0</v>
      </c>
      <c r="CW27" s="227">
        <f>'[1]Housing Generation'!CW27</f>
        <v>0</v>
      </c>
      <c r="CX27" s="227">
        <f>'[1]Housing Generation'!CX27</f>
        <v>0</v>
      </c>
      <c r="CY27" s="227">
        <f>'[1]Housing Generation'!CY27</f>
        <v>0</v>
      </c>
      <c r="CZ27" s="227">
        <f>'[1]Housing Generation'!CZ27</f>
        <v>0</v>
      </c>
      <c r="DA27" s="224">
        <f>'[1]Housing Generation'!DA27</f>
        <v>0</v>
      </c>
      <c r="DB27" s="229">
        <f>'[1]Housing Generation'!DB27</f>
        <v>0</v>
      </c>
      <c r="DC27" s="229">
        <f>'[1]Housing Generation'!DC27</f>
        <v>0</v>
      </c>
      <c r="DD27" s="229">
        <f>'[1]Housing Generation'!DD27</f>
        <v>0</v>
      </c>
      <c r="DE27" s="229">
        <f>'[1]Housing Generation'!DE27</f>
        <v>0</v>
      </c>
      <c r="DF27" s="229">
        <f>'[1]Housing Generation'!DF27</f>
        <v>0</v>
      </c>
      <c r="DG27" s="229">
        <f>'[1]Housing Generation'!DG27</f>
        <v>0</v>
      </c>
      <c r="DH27" s="229">
        <f>'[1]Housing Generation'!DH27</f>
        <v>0</v>
      </c>
      <c r="DI27" s="225">
        <f>'[1]Housing Generation'!DI27</f>
        <v>0</v>
      </c>
      <c r="DJ27" s="227">
        <f>'[1]Housing Generation'!DJ27</f>
        <v>0</v>
      </c>
      <c r="DK27" s="227">
        <f>'[1]Housing Generation'!DK27</f>
        <v>0</v>
      </c>
      <c r="DL27" s="227">
        <f>'[1]Housing Generation'!DL27</f>
        <v>0</v>
      </c>
      <c r="DM27" s="227">
        <f>'[1]Housing Generation'!DM27</f>
        <v>0</v>
      </c>
      <c r="DN27" s="227">
        <f>'[1]Housing Generation'!DN27</f>
        <v>0</v>
      </c>
      <c r="DO27" s="227">
        <f>'[1]Housing Generation'!DO27</f>
        <v>0</v>
      </c>
      <c r="DP27" s="227">
        <f>'[1]Housing Generation'!DP27</f>
        <v>0</v>
      </c>
      <c r="DQ27" s="224">
        <f>'[1]Housing Generation'!DQ27</f>
        <v>0</v>
      </c>
    </row>
    <row r="28" spans="1:121" x14ac:dyDescent="0.2">
      <c r="A28" s="237" t="s">
        <v>29</v>
      </c>
      <c r="B28" s="227">
        <f>'[1]Housing Generation'!B28</f>
        <v>0</v>
      </c>
      <c r="C28" s="227">
        <f>'[1]Housing Generation'!C28</f>
        <v>0</v>
      </c>
      <c r="D28" s="227">
        <f>'[1]Housing Generation'!D28</f>
        <v>0</v>
      </c>
      <c r="E28" s="227">
        <f>'[1]Housing Generation'!E28</f>
        <v>0</v>
      </c>
      <c r="F28" s="227">
        <f>'[1]Housing Generation'!F28</f>
        <v>0</v>
      </c>
      <c r="G28" s="227">
        <f>'[1]Housing Generation'!G28</f>
        <v>0</v>
      </c>
      <c r="H28" s="227">
        <f>'[1]Housing Generation'!H28</f>
        <v>0</v>
      </c>
      <c r="I28" s="224">
        <f>'[1]Housing Generation'!I28</f>
        <v>0</v>
      </c>
      <c r="J28" s="229">
        <f>'[1]Housing Generation'!J28</f>
        <v>2</v>
      </c>
      <c r="K28" s="229">
        <f>'[1]Housing Generation'!K28</f>
        <v>1</v>
      </c>
      <c r="L28" s="229">
        <f>'[1]Housing Generation'!L28</f>
        <v>1</v>
      </c>
      <c r="M28" s="229">
        <f>'[1]Housing Generation'!M28</f>
        <v>1</v>
      </c>
      <c r="N28" s="229">
        <f>'[1]Housing Generation'!N28</f>
        <v>1</v>
      </c>
      <c r="O28" s="229">
        <f>'[1]Housing Generation'!O28</f>
        <v>1</v>
      </c>
      <c r="P28" s="229">
        <f>'[1]Housing Generation'!P28</f>
        <v>1</v>
      </c>
      <c r="Q28" s="225">
        <f>'[1]Housing Generation'!Q28</f>
        <v>8</v>
      </c>
      <c r="R28" s="227">
        <f>'[1]Housing Generation'!R28</f>
        <v>3</v>
      </c>
      <c r="S28" s="227">
        <f>'[1]Housing Generation'!S28</f>
        <v>3</v>
      </c>
      <c r="T28" s="227">
        <f>'[1]Housing Generation'!T28</f>
        <v>2</v>
      </c>
      <c r="U28" s="227">
        <f>'[1]Housing Generation'!U28</f>
        <v>2</v>
      </c>
      <c r="V28" s="227">
        <f>'[1]Housing Generation'!V28</f>
        <v>2</v>
      </c>
      <c r="W28" s="227">
        <f>'[1]Housing Generation'!W28</f>
        <v>2</v>
      </c>
      <c r="X28" s="227">
        <f>'[1]Housing Generation'!X28</f>
        <v>2</v>
      </c>
      <c r="Y28" s="224">
        <f>'[1]Housing Generation'!Y28</f>
        <v>16</v>
      </c>
      <c r="Z28" s="229">
        <f>'[1]Housing Generation'!Z28</f>
        <v>4</v>
      </c>
      <c r="AA28" s="229">
        <f>'[1]Housing Generation'!AA28</f>
        <v>4</v>
      </c>
      <c r="AB28" s="229">
        <f>'[1]Housing Generation'!AB28</f>
        <v>4</v>
      </c>
      <c r="AC28" s="229">
        <f>'[1]Housing Generation'!AC28</f>
        <v>3</v>
      </c>
      <c r="AD28" s="229">
        <f>'[1]Housing Generation'!AD28</f>
        <v>3</v>
      </c>
      <c r="AE28" s="229">
        <f>'[1]Housing Generation'!AE28</f>
        <v>3</v>
      </c>
      <c r="AF28" s="229">
        <f>'[1]Housing Generation'!AF28</f>
        <v>3</v>
      </c>
      <c r="AG28" s="225">
        <f>'[1]Housing Generation'!AG28</f>
        <v>24</v>
      </c>
      <c r="AH28" s="227">
        <f>'[1]Housing Generation'!AH28</f>
        <v>5</v>
      </c>
      <c r="AI28" s="227">
        <f>'[1]Housing Generation'!AI28</f>
        <v>5</v>
      </c>
      <c r="AJ28" s="227">
        <f>'[1]Housing Generation'!AJ28</f>
        <v>5</v>
      </c>
      <c r="AK28" s="227">
        <f>'[1]Housing Generation'!AK28</f>
        <v>5</v>
      </c>
      <c r="AL28" s="227">
        <f>'[1]Housing Generation'!AL28</f>
        <v>5</v>
      </c>
      <c r="AM28" s="227">
        <f>'[1]Housing Generation'!AM28</f>
        <v>4</v>
      </c>
      <c r="AN28" s="227">
        <f>'[1]Housing Generation'!AN28</f>
        <v>4</v>
      </c>
      <c r="AO28" s="224">
        <f>'[1]Housing Generation'!AO28</f>
        <v>33</v>
      </c>
      <c r="AP28" s="229">
        <f>'[1]Housing Generation'!AP28</f>
        <v>5</v>
      </c>
      <c r="AQ28" s="229">
        <f>'[1]Housing Generation'!AQ28</f>
        <v>5</v>
      </c>
      <c r="AR28" s="229">
        <f>'[1]Housing Generation'!AR28</f>
        <v>5</v>
      </c>
      <c r="AS28" s="229">
        <f>'[1]Housing Generation'!AS28</f>
        <v>5</v>
      </c>
      <c r="AT28" s="229">
        <f>'[1]Housing Generation'!AT28</f>
        <v>5</v>
      </c>
      <c r="AU28" s="229">
        <f>'[1]Housing Generation'!AU28</f>
        <v>4</v>
      </c>
      <c r="AV28" s="229">
        <f>'[1]Housing Generation'!AV28</f>
        <v>4</v>
      </c>
      <c r="AW28" s="225">
        <f>'[1]Housing Generation'!AW28</f>
        <v>33</v>
      </c>
      <c r="AX28" s="227">
        <f>'[1]Housing Generation'!AX28</f>
        <v>5</v>
      </c>
      <c r="AY28" s="227">
        <f>'[1]Housing Generation'!AY28</f>
        <v>5</v>
      </c>
      <c r="AZ28" s="227">
        <f>'[1]Housing Generation'!AZ28</f>
        <v>5</v>
      </c>
      <c r="BA28" s="227">
        <f>'[1]Housing Generation'!BA28</f>
        <v>5</v>
      </c>
      <c r="BB28" s="227">
        <f>'[1]Housing Generation'!BB28</f>
        <v>5</v>
      </c>
      <c r="BC28" s="227">
        <f>'[1]Housing Generation'!BC28</f>
        <v>4</v>
      </c>
      <c r="BD28" s="227">
        <f>'[1]Housing Generation'!BD28</f>
        <v>4</v>
      </c>
      <c r="BE28" s="224">
        <f>'[1]Housing Generation'!BE28</f>
        <v>33</v>
      </c>
      <c r="BF28" s="229">
        <f>'[1]Housing Generation'!BF28</f>
        <v>5</v>
      </c>
      <c r="BG28" s="229">
        <f>'[1]Housing Generation'!BG28</f>
        <v>5</v>
      </c>
      <c r="BH28" s="229">
        <f>'[1]Housing Generation'!BH28</f>
        <v>5</v>
      </c>
      <c r="BI28" s="229">
        <f>'[1]Housing Generation'!BI28</f>
        <v>5</v>
      </c>
      <c r="BJ28" s="229">
        <f>'[1]Housing Generation'!BJ28</f>
        <v>5</v>
      </c>
      <c r="BK28" s="229">
        <f>'[1]Housing Generation'!BK28</f>
        <v>4</v>
      </c>
      <c r="BL28" s="229">
        <f>'[1]Housing Generation'!BL28</f>
        <v>4</v>
      </c>
      <c r="BM28" s="225">
        <f>'[1]Housing Generation'!BM28</f>
        <v>33</v>
      </c>
      <c r="BN28" s="227">
        <f>'[1]Housing Generation'!BN28</f>
        <v>5</v>
      </c>
      <c r="BO28" s="227">
        <f>'[1]Housing Generation'!BO28</f>
        <v>5</v>
      </c>
      <c r="BP28" s="227">
        <f>'[1]Housing Generation'!BP28</f>
        <v>5</v>
      </c>
      <c r="BQ28" s="227">
        <f>'[1]Housing Generation'!BQ28</f>
        <v>5</v>
      </c>
      <c r="BR28" s="227">
        <f>'[1]Housing Generation'!BR28</f>
        <v>5</v>
      </c>
      <c r="BS28" s="227">
        <f>'[1]Housing Generation'!BS28</f>
        <v>4</v>
      </c>
      <c r="BT28" s="227">
        <f>'[1]Housing Generation'!BT28</f>
        <v>4</v>
      </c>
      <c r="BU28" s="224">
        <f>'[1]Housing Generation'!BU28</f>
        <v>33</v>
      </c>
      <c r="BV28" s="229">
        <f>'[1]Housing Generation'!BV28</f>
        <v>5</v>
      </c>
      <c r="BW28" s="229">
        <f>'[1]Housing Generation'!BW28</f>
        <v>5</v>
      </c>
      <c r="BX28" s="229">
        <f>'[1]Housing Generation'!BX28</f>
        <v>5</v>
      </c>
      <c r="BY28" s="229">
        <f>'[1]Housing Generation'!BY28</f>
        <v>5</v>
      </c>
      <c r="BZ28" s="229">
        <f>'[1]Housing Generation'!BZ28</f>
        <v>5</v>
      </c>
      <c r="CA28" s="229">
        <f>'[1]Housing Generation'!CA28</f>
        <v>4</v>
      </c>
      <c r="CB28" s="229">
        <f>'[1]Housing Generation'!CB28</f>
        <v>4</v>
      </c>
      <c r="CC28" s="225">
        <f>'[1]Housing Generation'!CC28</f>
        <v>33</v>
      </c>
      <c r="CD28" s="227">
        <f>'[1]Housing Generation'!CD28</f>
        <v>5</v>
      </c>
      <c r="CE28" s="227">
        <f>'[1]Housing Generation'!CE28</f>
        <v>5</v>
      </c>
      <c r="CF28" s="227">
        <f>'[1]Housing Generation'!CF28</f>
        <v>5</v>
      </c>
      <c r="CG28" s="227">
        <f>'[1]Housing Generation'!CG28</f>
        <v>5</v>
      </c>
      <c r="CH28" s="227">
        <f>'[1]Housing Generation'!CH28</f>
        <v>5</v>
      </c>
      <c r="CI28" s="227">
        <f>'[1]Housing Generation'!CI28</f>
        <v>4</v>
      </c>
      <c r="CJ28" s="227">
        <f>'[1]Housing Generation'!CJ28</f>
        <v>4</v>
      </c>
      <c r="CK28" s="224">
        <f>'[1]Housing Generation'!CK28</f>
        <v>33</v>
      </c>
      <c r="CL28" s="229">
        <f>'[1]Housing Generation'!CL28</f>
        <v>5</v>
      </c>
      <c r="CM28" s="229">
        <f>'[1]Housing Generation'!CM28</f>
        <v>5</v>
      </c>
      <c r="CN28" s="229">
        <f>'[1]Housing Generation'!CN28</f>
        <v>5</v>
      </c>
      <c r="CO28" s="229">
        <f>'[1]Housing Generation'!CO28</f>
        <v>5</v>
      </c>
      <c r="CP28" s="229">
        <f>'[1]Housing Generation'!CP28</f>
        <v>5</v>
      </c>
      <c r="CQ28" s="229">
        <f>'[1]Housing Generation'!CQ28</f>
        <v>4</v>
      </c>
      <c r="CR28" s="229">
        <f>'[1]Housing Generation'!CR28</f>
        <v>4</v>
      </c>
      <c r="CS28" s="225">
        <f>'[1]Housing Generation'!CS28</f>
        <v>33</v>
      </c>
      <c r="CT28" s="227">
        <f>'[1]Housing Generation'!CT28</f>
        <v>5</v>
      </c>
      <c r="CU28" s="227">
        <f>'[1]Housing Generation'!CU28</f>
        <v>5</v>
      </c>
      <c r="CV28" s="227">
        <f>'[1]Housing Generation'!CV28</f>
        <v>5</v>
      </c>
      <c r="CW28" s="227">
        <f>'[1]Housing Generation'!CW28</f>
        <v>5</v>
      </c>
      <c r="CX28" s="227">
        <f>'[1]Housing Generation'!CX28</f>
        <v>5</v>
      </c>
      <c r="CY28" s="227">
        <f>'[1]Housing Generation'!CY28</f>
        <v>4</v>
      </c>
      <c r="CZ28" s="227">
        <f>'[1]Housing Generation'!CZ28</f>
        <v>4</v>
      </c>
      <c r="DA28" s="224">
        <f>'[1]Housing Generation'!DA28</f>
        <v>33</v>
      </c>
      <c r="DB28" s="229">
        <f>'[1]Housing Generation'!DB28</f>
        <v>5</v>
      </c>
      <c r="DC28" s="229">
        <f>'[1]Housing Generation'!DC28</f>
        <v>5</v>
      </c>
      <c r="DD28" s="229">
        <f>'[1]Housing Generation'!DD28</f>
        <v>5</v>
      </c>
      <c r="DE28" s="229">
        <f>'[1]Housing Generation'!DE28</f>
        <v>5</v>
      </c>
      <c r="DF28" s="229">
        <f>'[1]Housing Generation'!DF28</f>
        <v>5</v>
      </c>
      <c r="DG28" s="229">
        <f>'[1]Housing Generation'!DG28</f>
        <v>4</v>
      </c>
      <c r="DH28" s="229">
        <f>'[1]Housing Generation'!DH28</f>
        <v>4</v>
      </c>
      <c r="DI28" s="225">
        <f>'[1]Housing Generation'!DI28</f>
        <v>33</v>
      </c>
      <c r="DJ28" s="227">
        <f>'[1]Housing Generation'!DJ28</f>
        <v>5</v>
      </c>
      <c r="DK28" s="227">
        <f>'[1]Housing Generation'!DK28</f>
        <v>5</v>
      </c>
      <c r="DL28" s="227">
        <f>'[1]Housing Generation'!DL28</f>
        <v>5</v>
      </c>
      <c r="DM28" s="227">
        <f>'[1]Housing Generation'!DM28</f>
        <v>5</v>
      </c>
      <c r="DN28" s="227">
        <f>'[1]Housing Generation'!DN28</f>
        <v>5</v>
      </c>
      <c r="DO28" s="227">
        <f>'[1]Housing Generation'!DO28</f>
        <v>4</v>
      </c>
      <c r="DP28" s="227">
        <f>'[1]Housing Generation'!DP28</f>
        <v>4</v>
      </c>
      <c r="DQ28" s="224">
        <f>'[1]Housing Generation'!DQ28</f>
        <v>33</v>
      </c>
    </row>
    <row r="29" spans="1:121" x14ac:dyDescent="0.2">
      <c r="A29" s="237" t="s">
        <v>30</v>
      </c>
      <c r="B29" s="227">
        <f>'[1]Housing Generation'!B29</f>
        <v>0</v>
      </c>
      <c r="C29" s="227">
        <f>'[1]Housing Generation'!C29</f>
        <v>0</v>
      </c>
      <c r="D29" s="227">
        <f>'[1]Housing Generation'!D29</f>
        <v>0</v>
      </c>
      <c r="E29" s="227">
        <f>'[1]Housing Generation'!E29</f>
        <v>0</v>
      </c>
      <c r="F29" s="227">
        <f>'[1]Housing Generation'!F29</f>
        <v>0</v>
      </c>
      <c r="G29" s="227">
        <f>'[1]Housing Generation'!G29</f>
        <v>0</v>
      </c>
      <c r="H29" s="227">
        <f>'[1]Housing Generation'!H29</f>
        <v>0</v>
      </c>
      <c r="I29" s="224">
        <f>'[1]Housing Generation'!I29</f>
        <v>0</v>
      </c>
      <c r="J29" s="229">
        <f>'[1]Housing Generation'!J29</f>
        <v>0</v>
      </c>
      <c r="K29" s="229">
        <f>'[1]Housing Generation'!K29</f>
        <v>0</v>
      </c>
      <c r="L29" s="229">
        <f>'[1]Housing Generation'!L29</f>
        <v>0</v>
      </c>
      <c r="M29" s="229">
        <f>'[1]Housing Generation'!M29</f>
        <v>0</v>
      </c>
      <c r="N29" s="229">
        <f>'[1]Housing Generation'!N29</f>
        <v>0</v>
      </c>
      <c r="O29" s="229">
        <f>'[1]Housing Generation'!O29</f>
        <v>0</v>
      </c>
      <c r="P29" s="229">
        <f>'[1]Housing Generation'!P29</f>
        <v>0</v>
      </c>
      <c r="Q29" s="225">
        <f>'[1]Housing Generation'!Q29</f>
        <v>0</v>
      </c>
      <c r="R29" s="227">
        <f>'[1]Housing Generation'!R29</f>
        <v>0</v>
      </c>
      <c r="S29" s="227">
        <f>'[1]Housing Generation'!S29</f>
        <v>0</v>
      </c>
      <c r="T29" s="227">
        <f>'[1]Housing Generation'!T29</f>
        <v>0</v>
      </c>
      <c r="U29" s="227">
        <f>'[1]Housing Generation'!U29</f>
        <v>0</v>
      </c>
      <c r="V29" s="227">
        <f>'[1]Housing Generation'!V29</f>
        <v>0</v>
      </c>
      <c r="W29" s="227">
        <f>'[1]Housing Generation'!W29</f>
        <v>0</v>
      </c>
      <c r="X29" s="227">
        <f>'[1]Housing Generation'!X29</f>
        <v>0</v>
      </c>
      <c r="Y29" s="224">
        <f>'[1]Housing Generation'!Y29</f>
        <v>0</v>
      </c>
      <c r="Z29" s="229">
        <f>'[1]Housing Generation'!Z29</f>
        <v>0</v>
      </c>
      <c r="AA29" s="229">
        <f>'[1]Housing Generation'!AA29</f>
        <v>0</v>
      </c>
      <c r="AB29" s="229">
        <f>'[1]Housing Generation'!AB29</f>
        <v>0</v>
      </c>
      <c r="AC29" s="229">
        <f>'[1]Housing Generation'!AC29</f>
        <v>0</v>
      </c>
      <c r="AD29" s="229">
        <f>'[1]Housing Generation'!AD29</f>
        <v>0</v>
      </c>
      <c r="AE29" s="229">
        <f>'[1]Housing Generation'!AE29</f>
        <v>0</v>
      </c>
      <c r="AF29" s="229">
        <f>'[1]Housing Generation'!AF29</f>
        <v>0</v>
      </c>
      <c r="AG29" s="225">
        <f>'[1]Housing Generation'!AG29</f>
        <v>0</v>
      </c>
      <c r="AH29" s="227">
        <f>'[1]Housing Generation'!AH29</f>
        <v>0</v>
      </c>
      <c r="AI29" s="227">
        <f>'[1]Housing Generation'!AI29</f>
        <v>0</v>
      </c>
      <c r="AJ29" s="227">
        <f>'[1]Housing Generation'!AJ29</f>
        <v>0</v>
      </c>
      <c r="AK29" s="227">
        <f>'[1]Housing Generation'!AK29</f>
        <v>0</v>
      </c>
      <c r="AL29" s="227">
        <f>'[1]Housing Generation'!AL29</f>
        <v>0</v>
      </c>
      <c r="AM29" s="227">
        <f>'[1]Housing Generation'!AM29</f>
        <v>0</v>
      </c>
      <c r="AN29" s="227">
        <f>'[1]Housing Generation'!AN29</f>
        <v>0</v>
      </c>
      <c r="AO29" s="224">
        <f>'[1]Housing Generation'!AO29</f>
        <v>0</v>
      </c>
      <c r="AP29" s="229">
        <f>'[1]Housing Generation'!AP29</f>
        <v>0</v>
      </c>
      <c r="AQ29" s="229">
        <f>'[1]Housing Generation'!AQ29</f>
        <v>0</v>
      </c>
      <c r="AR29" s="229">
        <f>'[1]Housing Generation'!AR29</f>
        <v>0</v>
      </c>
      <c r="AS29" s="229">
        <f>'[1]Housing Generation'!AS29</f>
        <v>0</v>
      </c>
      <c r="AT29" s="229">
        <f>'[1]Housing Generation'!AT29</f>
        <v>0</v>
      </c>
      <c r="AU29" s="229">
        <f>'[1]Housing Generation'!AU29</f>
        <v>0</v>
      </c>
      <c r="AV29" s="229">
        <f>'[1]Housing Generation'!AV29</f>
        <v>0</v>
      </c>
      <c r="AW29" s="225">
        <f>'[1]Housing Generation'!AW29</f>
        <v>0</v>
      </c>
      <c r="AX29" s="227">
        <f>'[1]Housing Generation'!AX29</f>
        <v>0</v>
      </c>
      <c r="AY29" s="227">
        <f>'[1]Housing Generation'!AY29</f>
        <v>0</v>
      </c>
      <c r="AZ29" s="227">
        <f>'[1]Housing Generation'!AZ29</f>
        <v>0</v>
      </c>
      <c r="BA29" s="227">
        <f>'[1]Housing Generation'!BA29</f>
        <v>0</v>
      </c>
      <c r="BB29" s="227">
        <f>'[1]Housing Generation'!BB29</f>
        <v>0</v>
      </c>
      <c r="BC29" s="227">
        <f>'[1]Housing Generation'!BC29</f>
        <v>0</v>
      </c>
      <c r="BD29" s="227">
        <f>'[1]Housing Generation'!BD29</f>
        <v>0</v>
      </c>
      <c r="BE29" s="224">
        <f>'[1]Housing Generation'!BE29</f>
        <v>0</v>
      </c>
      <c r="BF29" s="229">
        <f>'[1]Housing Generation'!BF29</f>
        <v>0</v>
      </c>
      <c r="BG29" s="229">
        <f>'[1]Housing Generation'!BG29</f>
        <v>0</v>
      </c>
      <c r="BH29" s="229">
        <f>'[1]Housing Generation'!BH29</f>
        <v>0</v>
      </c>
      <c r="BI29" s="229">
        <f>'[1]Housing Generation'!BI29</f>
        <v>0</v>
      </c>
      <c r="BJ29" s="229">
        <f>'[1]Housing Generation'!BJ29</f>
        <v>0</v>
      </c>
      <c r="BK29" s="229">
        <f>'[1]Housing Generation'!BK29</f>
        <v>0</v>
      </c>
      <c r="BL29" s="229">
        <f>'[1]Housing Generation'!BL29</f>
        <v>0</v>
      </c>
      <c r="BM29" s="225">
        <f>'[1]Housing Generation'!BM29</f>
        <v>0</v>
      </c>
      <c r="BN29" s="227">
        <f>'[1]Housing Generation'!BN29</f>
        <v>0</v>
      </c>
      <c r="BO29" s="227">
        <f>'[1]Housing Generation'!BO29</f>
        <v>0</v>
      </c>
      <c r="BP29" s="227">
        <f>'[1]Housing Generation'!BP29</f>
        <v>0</v>
      </c>
      <c r="BQ29" s="227">
        <f>'[1]Housing Generation'!BQ29</f>
        <v>0</v>
      </c>
      <c r="BR29" s="227">
        <f>'[1]Housing Generation'!BR29</f>
        <v>0</v>
      </c>
      <c r="BS29" s="227">
        <f>'[1]Housing Generation'!BS29</f>
        <v>0</v>
      </c>
      <c r="BT29" s="227">
        <f>'[1]Housing Generation'!BT29</f>
        <v>0</v>
      </c>
      <c r="BU29" s="224">
        <f>'[1]Housing Generation'!BU29</f>
        <v>0</v>
      </c>
      <c r="BV29" s="229">
        <f>'[1]Housing Generation'!BV29</f>
        <v>0</v>
      </c>
      <c r="BW29" s="229">
        <f>'[1]Housing Generation'!BW29</f>
        <v>0</v>
      </c>
      <c r="BX29" s="229">
        <f>'[1]Housing Generation'!BX29</f>
        <v>0</v>
      </c>
      <c r="BY29" s="229">
        <f>'[1]Housing Generation'!BY29</f>
        <v>0</v>
      </c>
      <c r="BZ29" s="229">
        <f>'[1]Housing Generation'!BZ29</f>
        <v>0</v>
      </c>
      <c r="CA29" s="229">
        <f>'[1]Housing Generation'!CA29</f>
        <v>0</v>
      </c>
      <c r="CB29" s="229">
        <f>'[1]Housing Generation'!CB29</f>
        <v>0</v>
      </c>
      <c r="CC29" s="225">
        <f>'[1]Housing Generation'!CC29</f>
        <v>0</v>
      </c>
      <c r="CD29" s="227">
        <f>'[1]Housing Generation'!CD29</f>
        <v>0</v>
      </c>
      <c r="CE29" s="227">
        <f>'[1]Housing Generation'!CE29</f>
        <v>0</v>
      </c>
      <c r="CF29" s="227">
        <f>'[1]Housing Generation'!CF29</f>
        <v>0</v>
      </c>
      <c r="CG29" s="227">
        <f>'[1]Housing Generation'!CG29</f>
        <v>0</v>
      </c>
      <c r="CH29" s="227">
        <f>'[1]Housing Generation'!CH29</f>
        <v>0</v>
      </c>
      <c r="CI29" s="227">
        <f>'[1]Housing Generation'!CI29</f>
        <v>0</v>
      </c>
      <c r="CJ29" s="227">
        <f>'[1]Housing Generation'!CJ29</f>
        <v>0</v>
      </c>
      <c r="CK29" s="224">
        <f>'[1]Housing Generation'!CK29</f>
        <v>0</v>
      </c>
      <c r="CL29" s="229">
        <f>'[1]Housing Generation'!CL29</f>
        <v>0</v>
      </c>
      <c r="CM29" s="229">
        <f>'[1]Housing Generation'!CM29</f>
        <v>0</v>
      </c>
      <c r="CN29" s="229">
        <f>'[1]Housing Generation'!CN29</f>
        <v>0</v>
      </c>
      <c r="CO29" s="229">
        <f>'[1]Housing Generation'!CO29</f>
        <v>0</v>
      </c>
      <c r="CP29" s="229">
        <f>'[1]Housing Generation'!CP29</f>
        <v>0</v>
      </c>
      <c r="CQ29" s="229">
        <f>'[1]Housing Generation'!CQ29</f>
        <v>0</v>
      </c>
      <c r="CR29" s="229">
        <f>'[1]Housing Generation'!CR29</f>
        <v>0</v>
      </c>
      <c r="CS29" s="225">
        <f>'[1]Housing Generation'!CS29</f>
        <v>0</v>
      </c>
      <c r="CT29" s="227">
        <f>'[1]Housing Generation'!CT29</f>
        <v>0</v>
      </c>
      <c r="CU29" s="227">
        <f>'[1]Housing Generation'!CU29</f>
        <v>0</v>
      </c>
      <c r="CV29" s="227">
        <f>'[1]Housing Generation'!CV29</f>
        <v>0</v>
      </c>
      <c r="CW29" s="227">
        <f>'[1]Housing Generation'!CW29</f>
        <v>0</v>
      </c>
      <c r="CX29" s="227">
        <f>'[1]Housing Generation'!CX29</f>
        <v>0</v>
      </c>
      <c r="CY29" s="227">
        <f>'[1]Housing Generation'!CY29</f>
        <v>0</v>
      </c>
      <c r="CZ29" s="227">
        <f>'[1]Housing Generation'!CZ29</f>
        <v>0</v>
      </c>
      <c r="DA29" s="224">
        <f>'[1]Housing Generation'!DA29</f>
        <v>0</v>
      </c>
      <c r="DB29" s="229">
        <f>'[1]Housing Generation'!DB29</f>
        <v>0</v>
      </c>
      <c r="DC29" s="229">
        <f>'[1]Housing Generation'!DC29</f>
        <v>0</v>
      </c>
      <c r="DD29" s="229">
        <f>'[1]Housing Generation'!DD29</f>
        <v>0</v>
      </c>
      <c r="DE29" s="229">
        <f>'[1]Housing Generation'!DE29</f>
        <v>0</v>
      </c>
      <c r="DF29" s="229">
        <f>'[1]Housing Generation'!DF29</f>
        <v>0</v>
      </c>
      <c r="DG29" s="229">
        <f>'[1]Housing Generation'!DG29</f>
        <v>0</v>
      </c>
      <c r="DH29" s="229">
        <f>'[1]Housing Generation'!DH29</f>
        <v>0</v>
      </c>
      <c r="DI29" s="225">
        <f>'[1]Housing Generation'!DI29</f>
        <v>0</v>
      </c>
      <c r="DJ29" s="227">
        <f>'[1]Housing Generation'!DJ29</f>
        <v>0</v>
      </c>
      <c r="DK29" s="227">
        <f>'[1]Housing Generation'!DK29</f>
        <v>0</v>
      </c>
      <c r="DL29" s="227">
        <f>'[1]Housing Generation'!DL29</f>
        <v>0</v>
      </c>
      <c r="DM29" s="227">
        <f>'[1]Housing Generation'!DM29</f>
        <v>0</v>
      </c>
      <c r="DN29" s="227">
        <f>'[1]Housing Generation'!DN29</f>
        <v>0</v>
      </c>
      <c r="DO29" s="227">
        <f>'[1]Housing Generation'!DO29</f>
        <v>0</v>
      </c>
      <c r="DP29" s="227">
        <f>'[1]Housing Generation'!DP29</f>
        <v>0</v>
      </c>
      <c r="DQ29" s="224">
        <f>'[1]Housing Generation'!DQ29</f>
        <v>0</v>
      </c>
    </row>
    <row r="30" spans="1:121" x14ac:dyDescent="0.2">
      <c r="A30" s="237" t="s">
        <v>31</v>
      </c>
      <c r="B30" s="227">
        <f>'[1]Housing Generation'!B30</f>
        <v>0</v>
      </c>
      <c r="C30" s="227">
        <f>'[1]Housing Generation'!C30</f>
        <v>0</v>
      </c>
      <c r="D30" s="227">
        <f>'[1]Housing Generation'!D30</f>
        <v>0</v>
      </c>
      <c r="E30" s="227">
        <f>'[1]Housing Generation'!E30</f>
        <v>0</v>
      </c>
      <c r="F30" s="227">
        <f>'[1]Housing Generation'!F30</f>
        <v>0</v>
      </c>
      <c r="G30" s="227">
        <f>'[1]Housing Generation'!G30</f>
        <v>0</v>
      </c>
      <c r="H30" s="227">
        <f>'[1]Housing Generation'!H30</f>
        <v>0</v>
      </c>
      <c r="I30" s="224">
        <f>'[1]Housing Generation'!I30</f>
        <v>0</v>
      </c>
      <c r="J30" s="229">
        <f>'[1]Housing Generation'!J30</f>
        <v>0</v>
      </c>
      <c r="K30" s="229">
        <f>'[1]Housing Generation'!K30</f>
        <v>0</v>
      </c>
      <c r="L30" s="229">
        <f>'[1]Housing Generation'!L30</f>
        <v>0</v>
      </c>
      <c r="M30" s="229">
        <f>'[1]Housing Generation'!M30</f>
        <v>0</v>
      </c>
      <c r="N30" s="229">
        <f>'[1]Housing Generation'!N30</f>
        <v>0</v>
      </c>
      <c r="O30" s="229">
        <f>'[1]Housing Generation'!O30</f>
        <v>0</v>
      </c>
      <c r="P30" s="229">
        <f>'[1]Housing Generation'!P30</f>
        <v>0</v>
      </c>
      <c r="Q30" s="225">
        <f>'[1]Housing Generation'!Q30</f>
        <v>0</v>
      </c>
      <c r="R30" s="227">
        <f>'[1]Housing Generation'!R30</f>
        <v>0</v>
      </c>
      <c r="S30" s="227">
        <f>'[1]Housing Generation'!S30</f>
        <v>0</v>
      </c>
      <c r="T30" s="227">
        <f>'[1]Housing Generation'!T30</f>
        <v>0</v>
      </c>
      <c r="U30" s="227">
        <f>'[1]Housing Generation'!U30</f>
        <v>0</v>
      </c>
      <c r="V30" s="227">
        <f>'[1]Housing Generation'!V30</f>
        <v>0</v>
      </c>
      <c r="W30" s="227">
        <f>'[1]Housing Generation'!W30</f>
        <v>0</v>
      </c>
      <c r="X30" s="227">
        <f>'[1]Housing Generation'!X30</f>
        <v>0</v>
      </c>
      <c r="Y30" s="224">
        <f>'[1]Housing Generation'!Y30</f>
        <v>0</v>
      </c>
      <c r="Z30" s="229">
        <f>'[1]Housing Generation'!Z30</f>
        <v>0</v>
      </c>
      <c r="AA30" s="229">
        <f>'[1]Housing Generation'!AA30</f>
        <v>0</v>
      </c>
      <c r="AB30" s="229">
        <f>'[1]Housing Generation'!AB30</f>
        <v>0</v>
      </c>
      <c r="AC30" s="229">
        <f>'[1]Housing Generation'!AC30</f>
        <v>0</v>
      </c>
      <c r="AD30" s="229">
        <f>'[1]Housing Generation'!AD30</f>
        <v>0</v>
      </c>
      <c r="AE30" s="229">
        <f>'[1]Housing Generation'!AE30</f>
        <v>0</v>
      </c>
      <c r="AF30" s="229">
        <f>'[1]Housing Generation'!AF30</f>
        <v>0</v>
      </c>
      <c r="AG30" s="225">
        <f>'[1]Housing Generation'!AG30</f>
        <v>0</v>
      </c>
      <c r="AH30" s="227">
        <f>'[1]Housing Generation'!AH30</f>
        <v>0</v>
      </c>
      <c r="AI30" s="227">
        <f>'[1]Housing Generation'!AI30</f>
        <v>0</v>
      </c>
      <c r="AJ30" s="227">
        <f>'[1]Housing Generation'!AJ30</f>
        <v>0</v>
      </c>
      <c r="AK30" s="227">
        <f>'[1]Housing Generation'!AK30</f>
        <v>0</v>
      </c>
      <c r="AL30" s="227">
        <f>'[1]Housing Generation'!AL30</f>
        <v>0</v>
      </c>
      <c r="AM30" s="227">
        <f>'[1]Housing Generation'!AM30</f>
        <v>0</v>
      </c>
      <c r="AN30" s="227">
        <f>'[1]Housing Generation'!AN30</f>
        <v>0</v>
      </c>
      <c r="AO30" s="224">
        <f>'[1]Housing Generation'!AO30</f>
        <v>0</v>
      </c>
      <c r="AP30" s="229">
        <f>'[1]Housing Generation'!AP30</f>
        <v>0</v>
      </c>
      <c r="AQ30" s="229">
        <f>'[1]Housing Generation'!AQ30</f>
        <v>0</v>
      </c>
      <c r="AR30" s="229">
        <f>'[1]Housing Generation'!AR30</f>
        <v>0</v>
      </c>
      <c r="AS30" s="229">
        <f>'[1]Housing Generation'!AS30</f>
        <v>0</v>
      </c>
      <c r="AT30" s="229">
        <f>'[1]Housing Generation'!AT30</f>
        <v>0</v>
      </c>
      <c r="AU30" s="229">
        <f>'[1]Housing Generation'!AU30</f>
        <v>0</v>
      </c>
      <c r="AV30" s="229">
        <f>'[1]Housing Generation'!AV30</f>
        <v>0</v>
      </c>
      <c r="AW30" s="225">
        <f>'[1]Housing Generation'!AW30</f>
        <v>0</v>
      </c>
      <c r="AX30" s="227">
        <f>'[1]Housing Generation'!AX30</f>
        <v>0</v>
      </c>
      <c r="AY30" s="227">
        <f>'[1]Housing Generation'!AY30</f>
        <v>0</v>
      </c>
      <c r="AZ30" s="227">
        <f>'[1]Housing Generation'!AZ30</f>
        <v>0</v>
      </c>
      <c r="BA30" s="227">
        <f>'[1]Housing Generation'!BA30</f>
        <v>0</v>
      </c>
      <c r="BB30" s="227">
        <f>'[1]Housing Generation'!BB30</f>
        <v>0</v>
      </c>
      <c r="BC30" s="227">
        <f>'[1]Housing Generation'!BC30</f>
        <v>0</v>
      </c>
      <c r="BD30" s="227">
        <f>'[1]Housing Generation'!BD30</f>
        <v>0</v>
      </c>
      <c r="BE30" s="224">
        <f>'[1]Housing Generation'!BE30</f>
        <v>0</v>
      </c>
      <c r="BF30" s="229">
        <f>'[1]Housing Generation'!BF30</f>
        <v>0</v>
      </c>
      <c r="BG30" s="229">
        <f>'[1]Housing Generation'!BG30</f>
        <v>0</v>
      </c>
      <c r="BH30" s="229">
        <f>'[1]Housing Generation'!BH30</f>
        <v>0</v>
      </c>
      <c r="BI30" s="229">
        <f>'[1]Housing Generation'!BI30</f>
        <v>0</v>
      </c>
      <c r="BJ30" s="229">
        <f>'[1]Housing Generation'!BJ30</f>
        <v>0</v>
      </c>
      <c r="BK30" s="229">
        <f>'[1]Housing Generation'!BK30</f>
        <v>0</v>
      </c>
      <c r="BL30" s="229">
        <f>'[1]Housing Generation'!BL30</f>
        <v>0</v>
      </c>
      <c r="BM30" s="225">
        <f>'[1]Housing Generation'!BM30</f>
        <v>0</v>
      </c>
      <c r="BN30" s="227">
        <f>'[1]Housing Generation'!BN30</f>
        <v>0</v>
      </c>
      <c r="BO30" s="227">
        <f>'[1]Housing Generation'!BO30</f>
        <v>0</v>
      </c>
      <c r="BP30" s="227">
        <f>'[1]Housing Generation'!BP30</f>
        <v>0</v>
      </c>
      <c r="BQ30" s="227">
        <f>'[1]Housing Generation'!BQ30</f>
        <v>0</v>
      </c>
      <c r="BR30" s="227">
        <f>'[1]Housing Generation'!BR30</f>
        <v>0</v>
      </c>
      <c r="BS30" s="227">
        <f>'[1]Housing Generation'!BS30</f>
        <v>0</v>
      </c>
      <c r="BT30" s="227">
        <f>'[1]Housing Generation'!BT30</f>
        <v>0</v>
      </c>
      <c r="BU30" s="224">
        <f>'[1]Housing Generation'!BU30</f>
        <v>0</v>
      </c>
      <c r="BV30" s="229">
        <f>'[1]Housing Generation'!BV30</f>
        <v>0</v>
      </c>
      <c r="BW30" s="229">
        <f>'[1]Housing Generation'!BW30</f>
        <v>0</v>
      </c>
      <c r="BX30" s="229">
        <f>'[1]Housing Generation'!BX30</f>
        <v>0</v>
      </c>
      <c r="BY30" s="229">
        <f>'[1]Housing Generation'!BY30</f>
        <v>0</v>
      </c>
      <c r="BZ30" s="229">
        <f>'[1]Housing Generation'!BZ30</f>
        <v>0</v>
      </c>
      <c r="CA30" s="229">
        <f>'[1]Housing Generation'!CA30</f>
        <v>0</v>
      </c>
      <c r="CB30" s="229">
        <f>'[1]Housing Generation'!CB30</f>
        <v>0</v>
      </c>
      <c r="CC30" s="225">
        <f>'[1]Housing Generation'!CC30</f>
        <v>0</v>
      </c>
      <c r="CD30" s="227">
        <f>'[1]Housing Generation'!CD30</f>
        <v>0</v>
      </c>
      <c r="CE30" s="227">
        <f>'[1]Housing Generation'!CE30</f>
        <v>0</v>
      </c>
      <c r="CF30" s="227">
        <f>'[1]Housing Generation'!CF30</f>
        <v>0</v>
      </c>
      <c r="CG30" s="227">
        <f>'[1]Housing Generation'!CG30</f>
        <v>0</v>
      </c>
      <c r="CH30" s="227">
        <f>'[1]Housing Generation'!CH30</f>
        <v>0</v>
      </c>
      <c r="CI30" s="227">
        <f>'[1]Housing Generation'!CI30</f>
        <v>0</v>
      </c>
      <c r="CJ30" s="227">
        <f>'[1]Housing Generation'!CJ30</f>
        <v>0</v>
      </c>
      <c r="CK30" s="224">
        <f>'[1]Housing Generation'!CK30</f>
        <v>0</v>
      </c>
      <c r="CL30" s="229">
        <f>'[1]Housing Generation'!CL30</f>
        <v>0</v>
      </c>
      <c r="CM30" s="229">
        <f>'[1]Housing Generation'!CM30</f>
        <v>0</v>
      </c>
      <c r="CN30" s="229">
        <f>'[1]Housing Generation'!CN30</f>
        <v>0</v>
      </c>
      <c r="CO30" s="229">
        <f>'[1]Housing Generation'!CO30</f>
        <v>0</v>
      </c>
      <c r="CP30" s="229">
        <f>'[1]Housing Generation'!CP30</f>
        <v>0</v>
      </c>
      <c r="CQ30" s="229">
        <f>'[1]Housing Generation'!CQ30</f>
        <v>0</v>
      </c>
      <c r="CR30" s="229">
        <f>'[1]Housing Generation'!CR30</f>
        <v>0</v>
      </c>
      <c r="CS30" s="225">
        <f>'[1]Housing Generation'!CS30</f>
        <v>0</v>
      </c>
      <c r="CT30" s="227">
        <f>'[1]Housing Generation'!CT30</f>
        <v>0</v>
      </c>
      <c r="CU30" s="227">
        <f>'[1]Housing Generation'!CU30</f>
        <v>0</v>
      </c>
      <c r="CV30" s="227">
        <f>'[1]Housing Generation'!CV30</f>
        <v>0</v>
      </c>
      <c r="CW30" s="227">
        <f>'[1]Housing Generation'!CW30</f>
        <v>0</v>
      </c>
      <c r="CX30" s="227">
        <f>'[1]Housing Generation'!CX30</f>
        <v>0</v>
      </c>
      <c r="CY30" s="227">
        <f>'[1]Housing Generation'!CY30</f>
        <v>0</v>
      </c>
      <c r="CZ30" s="227">
        <f>'[1]Housing Generation'!CZ30</f>
        <v>0</v>
      </c>
      <c r="DA30" s="224">
        <f>'[1]Housing Generation'!DA30</f>
        <v>0</v>
      </c>
      <c r="DB30" s="229">
        <f>'[1]Housing Generation'!DB30</f>
        <v>0</v>
      </c>
      <c r="DC30" s="229">
        <f>'[1]Housing Generation'!DC30</f>
        <v>0</v>
      </c>
      <c r="DD30" s="229">
        <f>'[1]Housing Generation'!DD30</f>
        <v>0</v>
      </c>
      <c r="DE30" s="229">
        <f>'[1]Housing Generation'!DE30</f>
        <v>0</v>
      </c>
      <c r="DF30" s="229">
        <f>'[1]Housing Generation'!DF30</f>
        <v>0</v>
      </c>
      <c r="DG30" s="229">
        <f>'[1]Housing Generation'!DG30</f>
        <v>0</v>
      </c>
      <c r="DH30" s="229">
        <f>'[1]Housing Generation'!DH30</f>
        <v>0</v>
      </c>
      <c r="DI30" s="225">
        <f>'[1]Housing Generation'!DI30</f>
        <v>0</v>
      </c>
      <c r="DJ30" s="227">
        <f>'[1]Housing Generation'!DJ30</f>
        <v>0</v>
      </c>
      <c r="DK30" s="227">
        <f>'[1]Housing Generation'!DK30</f>
        <v>0</v>
      </c>
      <c r="DL30" s="227">
        <f>'[1]Housing Generation'!DL30</f>
        <v>0</v>
      </c>
      <c r="DM30" s="227">
        <f>'[1]Housing Generation'!DM30</f>
        <v>0</v>
      </c>
      <c r="DN30" s="227">
        <f>'[1]Housing Generation'!DN30</f>
        <v>0</v>
      </c>
      <c r="DO30" s="227">
        <f>'[1]Housing Generation'!DO30</f>
        <v>0</v>
      </c>
      <c r="DP30" s="227">
        <f>'[1]Housing Generation'!DP30</f>
        <v>0</v>
      </c>
      <c r="DQ30" s="224">
        <f>'[1]Housing Generation'!DQ30</f>
        <v>0</v>
      </c>
    </row>
    <row r="31" spans="1:121" x14ac:dyDescent="0.2">
      <c r="A31" s="237" t="s">
        <v>32</v>
      </c>
      <c r="B31" s="227">
        <f>'[1]Housing Generation'!B31</f>
        <v>0</v>
      </c>
      <c r="C31" s="227">
        <f>'[1]Housing Generation'!C31</f>
        <v>0</v>
      </c>
      <c r="D31" s="227">
        <f>'[1]Housing Generation'!D31</f>
        <v>0</v>
      </c>
      <c r="E31" s="227">
        <f>'[1]Housing Generation'!E31</f>
        <v>0</v>
      </c>
      <c r="F31" s="227">
        <f>'[1]Housing Generation'!F31</f>
        <v>0</v>
      </c>
      <c r="G31" s="227">
        <f>'[1]Housing Generation'!G31</f>
        <v>0</v>
      </c>
      <c r="H31" s="227">
        <f>'[1]Housing Generation'!H31</f>
        <v>0</v>
      </c>
      <c r="I31" s="224">
        <f>'[1]Housing Generation'!I31</f>
        <v>0</v>
      </c>
      <c r="J31" s="229">
        <f>'[1]Housing Generation'!J31</f>
        <v>0</v>
      </c>
      <c r="K31" s="229">
        <f>'[1]Housing Generation'!K31</f>
        <v>0</v>
      </c>
      <c r="L31" s="229">
        <f>'[1]Housing Generation'!L31</f>
        <v>0</v>
      </c>
      <c r="M31" s="229">
        <f>'[1]Housing Generation'!M31</f>
        <v>0</v>
      </c>
      <c r="N31" s="229">
        <f>'[1]Housing Generation'!N31</f>
        <v>0</v>
      </c>
      <c r="O31" s="229">
        <f>'[1]Housing Generation'!O31</f>
        <v>0</v>
      </c>
      <c r="P31" s="229">
        <f>'[1]Housing Generation'!P31</f>
        <v>0</v>
      </c>
      <c r="Q31" s="225">
        <f>'[1]Housing Generation'!Q31</f>
        <v>0</v>
      </c>
      <c r="R31" s="227">
        <f>'[1]Housing Generation'!R31</f>
        <v>0</v>
      </c>
      <c r="S31" s="227">
        <f>'[1]Housing Generation'!S31</f>
        <v>0</v>
      </c>
      <c r="T31" s="227">
        <f>'[1]Housing Generation'!T31</f>
        <v>0</v>
      </c>
      <c r="U31" s="227">
        <f>'[1]Housing Generation'!U31</f>
        <v>0</v>
      </c>
      <c r="V31" s="227">
        <f>'[1]Housing Generation'!V31</f>
        <v>0</v>
      </c>
      <c r="W31" s="227">
        <f>'[1]Housing Generation'!W31</f>
        <v>0</v>
      </c>
      <c r="X31" s="227">
        <f>'[1]Housing Generation'!X31</f>
        <v>0</v>
      </c>
      <c r="Y31" s="224">
        <f>'[1]Housing Generation'!Y31</f>
        <v>0</v>
      </c>
      <c r="Z31" s="229">
        <f>'[1]Housing Generation'!Z31</f>
        <v>0</v>
      </c>
      <c r="AA31" s="229">
        <f>'[1]Housing Generation'!AA31</f>
        <v>0</v>
      </c>
      <c r="AB31" s="229">
        <f>'[1]Housing Generation'!AB31</f>
        <v>0</v>
      </c>
      <c r="AC31" s="229">
        <f>'[1]Housing Generation'!AC31</f>
        <v>0</v>
      </c>
      <c r="AD31" s="229">
        <f>'[1]Housing Generation'!AD31</f>
        <v>0</v>
      </c>
      <c r="AE31" s="229">
        <f>'[1]Housing Generation'!AE31</f>
        <v>0</v>
      </c>
      <c r="AF31" s="229">
        <f>'[1]Housing Generation'!AF31</f>
        <v>0</v>
      </c>
      <c r="AG31" s="225">
        <f>'[1]Housing Generation'!AG31</f>
        <v>0</v>
      </c>
      <c r="AH31" s="227">
        <f>'[1]Housing Generation'!AH31</f>
        <v>1</v>
      </c>
      <c r="AI31" s="227">
        <f>'[1]Housing Generation'!AI31</f>
        <v>1</v>
      </c>
      <c r="AJ31" s="227">
        <f>'[1]Housing Generation'!AJ31</f>
        <v>1</v>
      </c>
      <c r="AK31" s="227">
        <f>'[1]Housing Generation'!AK31</f>
        <v>1</v>
      </c>
      <c r="AL31" s="227">
        <f>'[1]Housing Generation'!AL31</f>
        <v>1</v>
      </c>
      <c r="AM31" s="227">
        <f>'[1]Housing Generation'!AM31</f>
        <v>1</v>
      </c>
      <c r="AN31" s="227">
        <f>'[1]Housing Generation'!AN31</f>
        <v>0</v>
      </c>
      <c r="AO31" s="224">
        <f>'[1]Housing Generation'!AO31</f>
        <v>6</v>
      </c>
      <c r="AP31" s="229">
        <f>'[1]Housing Generation'!AP31</f>
        <v>3</v>
      </c>
      <c r="AQ31" s="229">
        <f>'[1]Housing Generation'!AQ31</f>
        <v>3</v>
      </c>
      <c r="AR31" s="229">
        <f>'[1]Housing Generation'!AR31</f>
        <v>3</v>
      </c>
      <c r="AS31" s="229">
        <f>'[1]Housing Generation'!AS31</f>
        <v>2</v>
      </c>
      <c r="AT31" s="229">
        <f>'[1]Housing Generation'!AT31</f>
        <v>2</v>
      </c>
      <c r="AU31" s="229">
        <f>'[1]Housing Generation'!AU31</f>
        <v>2</v>
      </c>
      <c r="AV31" s="229">
        <f>'[1]Housing Generation'!AV31</f>
        <v>2</v>
      </c>
      <c r="AW31" s="225">
        <f>'[1]Housing Generation'!AW31</f>
        <v>17</v>
      </c>
      <c r="AX31" s="227">
        <f>'[1]Housing Generation'!AX31</f>
        <v>6</v>
      </c>
      <c r="AY31" s="227">
        <f>'[1]Housing Generation'!AY31</f>
        <v>6</v>
      </c>
      <c r="AZ31" s="227">
        <f>'[1]Housing Generation'!AZ31</f>
        <v>6</v>
      </c>
      <c r="BA31" s="227">
        <f>'[1]Housing Generation'!BA31</f>
        <v>6</v>
      </c>
      <c r="BB31" s="227">
        <f>'[1]Housing Generation'!BB31</f>
        <v>5</v>
      </c>
      <c r="BC31" s="227">
        <f>'[1]Housing Generation'!BC31</f>
        <v>5</v>
      </c>
      <c r="BD31" s="227">
        <f>'[1]Housing Generation'!BD31</f>
        <v>5</v>
      </c>
      <c r="BE31" s="224">
        <f>'[1]Housing Generation'!BE31</f>
        <v>39</v>
      </c>
      <c r="BF31" s="229">
        <f>'[1]Housing Generation'!BF31</f>
        <v>11</v>
      </c>
      <c r="BG31" s="229">
        <f>'[1]Housing Generation'!BG31</f>
        <v>11</v>
      </c>
      <c r="BH31" s="229">
        <f>'[1]Housing Generation'!BH31</f>
        <v>10</v>
      </c>
      <c r="BI31" s="229">
        <f>'[1]Housing Generation'!BI31</f>
        <v>10</v>
      </c>
      <c r="BJ31" s="229">
        <f>'[1]Housing Generation'!BJ31</f>
        <v>10</v>
      </c>
      <c r="BK31" s="229">
        <f>'[1]Housing Generation'!BK31</f>
        <v>10</v>
      </c>
      <c r="BL31" s="229">
        <f>'[1]Housing Generation'!BL31</f>
        <v>10</v>
      </c>
      <c r="BM31" s="225">
        <f>'[1]Housing Generation'!BM31</f>
        <v>72</v>
      </c>
      <c r="BN31" s="227">
        <f>'[1]Housing Generation'!BN31</f>
        <v>15</v>
      </c>
      <c r="BO31" s="227">
        <f>'[1]Housing Generation'!BO31</f>
        <v>15</v>
      </c>
      <c r="BP31" s="227">
        <f>'[1]Housing Generation'!BP31</f>
        <v>15</v>
      </c>
      <c r="BQ31" s="227">
        <f>'[1]Housing Generation'!BQ31</f>
        <v>15</v>
      </c>
      <c r="BR31" s="227">
        <f>'[1]Housing Generation'!BR31</f>
        <v>15</v>
      </c>
      <c r="BS31" s="227">
        <f>'[1]Housing Generation'!BS31</f>
        <v>15</v>
      </c>
      <c r="BT31" s="227">
        <f>'[1]Housing Generation'!BT31</f>
        <v>15</v>
      </c>
      <c r="BU31" s="224">
        <f>'[1]Housing Generation'!BU31</f>
        <v>105</v>
      </c>
      <c r="BV31" s="229">
        <f>'[1]Housing Generation'!BV31</f>
        <v>19</v>
      </c>
      <c r="BW31" s="229">
        <f>'[1]Housing Generation'!BW31</f>
        <v>18</v>
      </c>
      <c r="BX31" s="229">
        <f>'[1]Housing Generation'!BX31</f>
        <v>18</v>
      </c>
      <c r="BY31" s="229">
        <f>'[1]Housing Generation'!BY31</f>
        <v>18</v>
      </c>
      <c r="BZ31" s="229">
        <f>'[1]Housing Generation'!BZ31</f>
        <v>18</v>
      </c>
      <c r="CA31" s="229">
        <f>'[1]Housing Generation'!CA31</f>
        <v>18</v>
      </c>
      <c r="CB31" s="229">
        <f>'[1]Housing Generation'!CB31</f>
        <v>18</v>
      </c>
      <c r="CC31" s="225">
        <f>'[1]Housing Generation'!CC31</f>
        <v>127</v>
      </c>
      <c r="CD31" s="227">
        <f>'[1]Housing Generation'!CD31</f>
        <v>24</v>
      </c>
      <c r="CE31" s="227">
        <f>'[1]Housing Generation'!CE31</f>
        <v>23</v>
      </c>
      <c r="CF31" s="227">
        <f>'[1]Housing Generation'!CF31</f>
        <v>23</v>
      </c>
      <c r="CG31" s="227">
        <f>'[1]Housing Generation'!CG31</f>
        <v>23</v>
      </c>
      <c r="CH31" s="227">
        <f>'[1]Housing Generation'!CH31</f>
        <v>23</v>
      </c>
      <c r="CI31" s="227">
        <f>'[1]Housing Generation'!CI31</f>
        <v>23</v>
      </c>
      <c r="CJ31" s="227">
        <f>'[1]Housing Generation'!CJ31</f>
        <v>23</v>
      </c>
      <c r="CK31" s="224">
        <f>'[1]Housing Generation'!CK31</f>
        <v>162</v>
      </c>
      <c r="CL31" s="229">
        <f>'[1]Housing Generation'!CL31</f>
        <v>26</v>
      </c>
      <c r="CM31" s="229">
        <f>'[1]Housing Generation'!CM31</f>
        <v>25</v>
      </c>
      <c r="CN31" s="229">
        <f>'[1]Housing Generation'!CN31</f>
        <v>25</v>
      </c>
      <c r="CO31" s="229">
        <f>'[1]Housing Generation'!CO31</f>
        <v>25</v>
      </c>
      <c r="CP31" s="229">
        <f>'[1]Housing Generation'!CP31</f>
        <v>25</v>
      </c>
      <c r="CQ31" s="229">
        <f>'[1]Housing Generation'!CQ31</f>
        <v>25</v>
      </c>
      <c r="CR31" s="229">
        <f>'[1]Housing Generation'!CR31</f>
        <v>25</v>
      </c>
      <c r="CS31" s="225">
        <f>'[1]Housing Generation'!CS31</f>
        <v>176</v>
      </c>
      <c r="CT31" s="227">
        <f>'[1]Housing Generation'!CT31</f>
        <v>28</v>
      </c>
      <c r="CU31" s="227">
        <f>'[1]Housing Generation'!CU31</f>
        <v>27</v>
      </c>
      <c r="CV31" s="227">
        <f>'[1]Housing Generation'!CV31</f>
        <v>27</v>
      </c>
      <c r="CW31" s="227">
        <f>'[1]Housing Generation'!CW31</f>
        <v>27</v>
      </c>
      <c r="CX31" s="227">
        <f>'[1]Housing Generation'!CX31</f>
        <v>27</v>
      </c>
      <c r="CY31" s="227">
        <f>'[1]Housing Generation'!CY31</f>
        <v>27</v>
      </c>
      <c r="CZ31" s="227">
        <f>'[1]Housing Generation'!CZ31</f>
        <v>27</v>
      </c>
      <c r="DA31" s="224">
        <f>'[1]Housing Generation'!DA31</f>
        <v>190</v>
      </c>
      <c r="DB31" s="229">
        <f>'[1]Housing Generation'!DB31</f>
        <v>30</v>
      </c>
      <c r="DC31" s="229">
        <f>'[1]Housing Generation'!DC31</f>
        <v>29</v>
      </c>
      <c r="DD31" s="229">
        <f>'[1]Housing Generation'!DD31</f>
        <v>29</v>
      </c>
      <c r="DE31" s="229">
        <f>'[1]Housing Generation'!DE31</f>
        <v>29</v>
      </c>
      <c r="DF31" s="229">
        <f>'[1]Housing Generation'!DF31</f>
        <v>29</v>
      </c>
      <c r="DG31" s="229">
        <f>'[1]Housing Generation'!DG31</f>
        <v>29</v>
      </c>
      <c r="DH31" s="229">
        <f>'[1]Housing Generation'!DH31</f>
        <v>29</v>
      </c>
      <c r="DI31" s="225">
        <f>'[1]Housing Generation'!DI31</f>
        <v>204</v>
      </c>
      <c r="DJ31" s="227">
        <f>'[1]Housing Generation'!DJ31</f>
        <v>32</v>
      </c>
      <c r="DK31" s="227">
        <f>'[1]Housing Generation'!DK31</f>
        <v>31</v>
      </c>
      <c r="DL31" s="227">
        <f>'[1]Housing Generation'!DL31</f>
        <v>31</v>
      </c>
      <c r="DM31" s="227">
        <f>'[1]Housing Generation'!DM31</f>
        <v>31</v>
      </c>
      <c r="DN31" s="227">
        <f>'[1]Housing Generation'!DN31</f>
        <v>31</v>
      </c>
      <c r="DO31" s="227">
        <f>'[1]Housing Generation'!DO31</f>
        <v>31</v>
      </c>
      <c r="DP31" s="227">
        <f>'[1]Housing Generation'!DP31</f>
        <v>31</v>
      </c>
      <c r="DQ31" s="224">
        <f>'[1]Housing Generation'!DQ31</f>
        <v>218</v>
      </c>
    </row>
    <row r="32" spans="1:121" x14ac:dyDescent="0.2">
      <c r="A32" s="237" t="s">
        <v>33</v>
      </c>
      <c r="B32" s="227">
        <f>'[1]Housing Generation'!B32</f>
        <v>0</v>
      </c>
      <c r="C32" s="227">
        <f>'[1]Housing Generation'!C32</f>
        <v>0</v>
      </c>
      <c r="D32" s="227">
        <f>'[1]Housing Generation'!D32</f>
        <v>0</v>
      </c>
      <c r="E32" s="227">
        <f>'[1]Housing Generation'!E32</f>
        <v>0</v>
      </c>
      <c r="F32" s="227">
        <f>'[1]Housing Generation'!F32</f>
        <v>0</v>
      </c>
      <c r="G32" s="227">
        <f>'[1]Housing Generation'!G32</f>
        <v>0</v>
      </c>
      <c r="H32" s="227">
        <f>'[1]Housing Generation'!H32</f>
        <v>0</v>
      </c>
      <c r="I32" s="224">
        <f>'[1]Housing Generation'!I32</f>
        <v>0</v>
      </c>
      <c r="J32" s="229">
        <f>'[1]Housing Generation'!J32</f>
        <v>0</v>
      </c>
      <c r="K32" s="229">
        <f>'[1]Housing Generation'!K32</f>
        <v>0</v>
      </c>
      <c r="L32" s="229">
        <f>'[1]Housing Generation'!L32</f>
        <v>0</v>
      </c>
      <c r="M32" s="229">
        <f>'[1]Housing Generation'!M32</f>
        <v>0</v>
      </c>
      <c r="N32" s="229">
        <f>'[1]Housing Generation'!N32</f>
        <v>0</v>
      </c>
      <c r="O32" s="229">
        <f>'[1]Housing Generation'!O32</f>
        <v>0</v>
      </c>
      <c r="P32" s="229">
        <f>'[1]Housing Generation'!P32</f>
        <v>0</v>
      </c>
      <c r="Q32" s="225">
        <f>'[1]Housing Generation'!Q32</f>
        <v>0</v>
      </c>
      <c r="R32" s="227">
        <f>'[1]Housing Generation'!R32</f>
        <v>0</v>
      </c>
      <c r="S32" s="227">
        <f>'[1]Housing Generation'!S32</f>
        <v>0</v>
      </c>
      <c r="T32" s="227">
        <f>'[1]Housing Generation'!T32</f>
        <v>0</v>
      </c>
      <c r="U32" s="227">
        <f>'[1]Housing Generation'!U32</f>
        <v>0</v>
      </c>
      <c r="V32" s="227">
        <f>'[1]Housing Generation'!V32</f>
        <v>0</v>
      </c>
      <c r="W32" s="227">
        <f>'[1]Housing Generation'!W32</f>
        <v>0</v>
      </c>
      <c r="X32" s="227">
        <f>'[1]Housing Generation'!X32</f>
        <v>0</v>
      </c>
      <c r="Y32" s="224">
        <f>'[1]Housing Generation'!Y32</f>
        <v>0</v>
      </c>
      <c r="Z32" s="229">
        <f>'[1]Housing Generation'!Z32</f>
        <v>0</v>
      </c>
      <c r="AA32" s="229">
        <f>'[1]Housing Generation'!AA32</f>
        <v>0</v>
      </c>
      <c r="AB32" s="229">
        <f>'[1]Housing Generation'!AB32</f>
        <v>0</v>
      </c>
      <c r="AC32" s="229">
        <f>'[1]Housing Generation'!AC32</f>
        <v>0</v>
      </c>
      <c r="AD32" s="229">
        <f>'[1]Housing Generation'!AD32</f>
        <v>0</v>
      </c>
      <c r="AE32" s="229">
        <f>'[1]Housing Generation'!AE32</f>
        <v>0</v>
      </c>
      <c r="AF32" s="229">
        <f>'[1]Housing Generation'!AF32</f>
        <v>0</v>
      </c>
      <c r="AG32" s="225">
        <f>'[1]Housing Generation'!AG32</f>
        <v>0</v>
      </c>
      <c r="AH32" s="227">
        <f>'[1]Housing Generation'!AH32</f>
        <v>0</v>
      </c>
      <c r="AI32" s="227">
        <f>'[1]Housing Generation'!AI32</f>
        <v>0</v>
      </c>
      <c r="AJ32" s="227">
        <f>'[1]Housing Generation'!AJ32</f>
        <v>0</v>
      </c>
      <c r="AK32" s="227">
        <f>'[1]Housing Generation'!AK32</f>
        <v>0</v>
      </c>
      <c r="AL32" s="227">
        <f>'[1]Housing Generation'!AL32</f>
        <v>0</v>
      </c>
      <c r="AM32" s="227">
        <f>'[1]Housing Generation'!AM32</f>
        <v>0</v>
      </c>
      <c r="AN32" s="227">
        <f>'[1]Housing Generation'!AN32</f>
        <v>0</v>
      </c>
      <c r="AO32" s="224">
        <f>'[1]Housing Generation'!AO32</f>
        <v>0</v>
      </c>
      <c r="AP32" s="229">
        <f>'[1]Housing Generation'!AP32</f>
        <v>0</v>
      </c>
      <c r="AQ32" s="229">
        <f>'[1]Housing Generation'!AQ32</f>
        <v>0</v>
      </c>
      <c r="AR32" s="229">
        <f>'[1]Housing Generation'!AR32</f>
        <v>0</v>
      </c>
      <c r="AS32" s="229">
        <f>'[1]Housing Generation'!AS32</f>
        <v>0</v>
      </c>
      <c r="AT32" s="229">
        <f>'[1]Housing Generation'!AT32</f>
        <v>0</v>
      </c>
      <c r="AU32" s="229">
        <f>'[1]Housing Generation'!AU32</f>
        <v>0</v>
      </c>
      <c r="AV32" s="229">
        <f>'[1]Housing Generation'!AV32</f>
        <v>0</v>
      </c>
      <c r="AW32" s="225">
        <f>'[1]Housing Generation'!AW32</f>
        <v>0</v>
      </c>
      <c r="AX32" s="227">
        <f>'[1]Housing Generation'!AX32</f>
        <v>0</v>
      </c>
      <c r="AY32" s="227">
        <f>'[1]Housing Generation'!AY32</f>
        <v>0</v>
      </c>
      <c r="AZ32" s="227">
        <f>'[1]Housing Generation'!AZ32</f>
        <v>0</v>
      </c>
      <c r="BA32" s="227">
        <f>'[1]Housing Generation'!BA32</f>
        <v>0</v>
      </c>
      <c r="BB32" s="227">
        <f>'[1]Housing Generation'!BB32</f>
        <v>0</v>
      </c>
      <c r="BC32" s="227">
        <f>'[1]Housing Generation'!BC32</f>
        <v>0</v>
      </c>
      <c r="BD32" s="227">
        <f>'[1]Housing Generation'!BD32</f>
        <v>0</v>
      </c>
      <c r="BE32" s="224">
        <f>'[1]Housing Generation'!BE32</f>
        <v>0</v>
      </c>
      <c r="BF32" s="229">
        <f>'[1]Housing Generation'!BF32</f>
        <v>0</v>
      </c>
      <c r="BG32" s="229">
        <f>'[1]Housing Generation'!BG32</f>
        <v>0</v>
      </c>
      <c r="BH32" s="229">
        <f>'[1]Housing Generation'!BH32</f>
        <v>0</v>
      </c>
      <c r="BI32" s="229">
        <f>'[1]Housing Generation'!BI32</f>
        <v>0</v>
      </c>
      <c r="BJ32" s="229">
        <f>'[1]Housing Generation'!BJ32</f>
        <v>0</v>
      </c>
      <c r="BK32" s="229">
        <f>'[1]Housing Generation'!BK32</f>
        <v>0</v>
      </c>
      <c r="BL32" s="229">
        <f>'[1]Housing Generation'!BL32</f>
        <v>0</v>
      </c>
      <c r="BM32" s="225">
        <f>'[1]Housing Generation'!BM32</f>
        <v>0</v>
      </c>
      <c r="BN32" s="227">
        <f>'[1]Housing Generation'!BN32</f>
        <v>0</v>
      </c>
      <c r="BO32" s="227">
        <f>'[1]Housing Generation'!BO32</f>
        <v>0</v>
      </c>
      <c r="BP32" s="227">
        <f>'[1]Housing Generation'!BP32</f>
        <v>0</v>
      </c>
      <c r="BQ32" s="227">
        <f>'[1]Housing Generation'!BQ32</f>
        <v>0</v>
      </c>
      <c r="BR32" s="227">
        <f>'[1]Housing Generation'!BR32</f>
        <v>0</v>
      </c>
      <c r="BS32" s="227">
        <f>'[1]Housing Generation'!BS32</f>
        <v>0</v>
      </c>
      <c r="BT32" s="227">
        <f>'[1]Housing Generation'!BT32</f>
        <v>0</v>
      </c>
      <c r="BU32" s="224">
        <f>'[1]Housing Generation'!BU32</f>
        <v>0</v>
      </c>
      <c r="BV32" s="229">
        <f>'[1]Housing Generation'!BV32</f>
        <v>0</v>
      </c>
      <c r="BW32" s="229">
        <f>'[1]Housing Generation'!BW32</f>
        <v>0</v>
      </c>
      <c r="BX32" s="229">
        <f>'[1]Housing Generation'!BX32</f>
        <v>0</v>
      </c>
      <c r="BY32" s="229">
        <f>'[1]Housing Generation'!BY32</f>
        <v>0</v>
      </c>
      <c r="BZ32" s="229">
        <f>'[1]Housing Generation'!BZ32</f>
        <v>0</v>
      </c>
      <c r="CA32" s="229">
        <f>'[1]Housing Generation'!CA32</f>
        <v>0</v>
      </c>
      <c r="CB32" s="229">
        <f>'[1]Housing Generation'!CB32</f>
        <v>0</v>
      </c>
      <c r="CC32" s="225">
        <f>'[1]Housing Generation'!CC32</f>
        <v>0</v>
      </c>
      <c r="CD32" s="227">
        <f>'[1]Housing Generation'!CD32</f>
        <v>0</v>
      </c>
      <c r="CE32" s="227">
        <f>'[1]Housing Generation'!CE32</f>
        <v>0</v>
      </c>
      <c r="CF32" s="227">
        <f>'[1]Housing Generation'!CF32</f>
        <v>0</v>
      </c>
      <c r="CG32" s="227">
        <f>'[1]Housing Generation'!CG32</f>
        <v>0</v>
      </c>
      <c r="CH32" s="227">
        <f>'[1]Housing Generation'!CH32</f>
        <v>0</v>
      </c>
      <c r="CI32" s="227">
        <f>'[1]Housing Generation'!CI32</f>
        <v>0</v>
      </c>
      <c r="CJ32" s="227">
        <f>'[1]Housing Generation'!CJ32</f>
        <v>0</v>
      </c>
      <c r="CK32" s="224">
        <f>'[1]Housing Generation'!CK32</f>
        <v>0</v>
      </c>
      <c r="CL32" s="229">
        <f>'[1]Housing Generation'!CL32</f>
        <v>0</v>
      </c>
      <c r="CM32" s="229">
        <f>'[1]Housing Generation'!CM32</f>
        <v>0</v>
      </c>
      <c r="CN32" s="229">
        <f>'[1]Housing Generation'!CN32</f>
        <v>0</v>
      </c>
      <c r="CO32" s="229">
        <f>'[1]Housing Generation'!CO32</f>
        <v>0</v>
      </c>
      <c r="CP32" s="229">
        <f>'[1]Housing Generation'!CP32</f>
        <v>0</v>
      </c>
      <c r="CQ32" s="229">
        <f>'[1]Housing Generation'!CQ32</f>
        <v>0</v>
      </c>
      <c r="CR32" s="229">
        <f>'[1]Housing Generation'!CR32</f>
        <v>0</v>
      </c>
      <c r="CS32" s="225">
        <f>'[1]Housing Generation'!CS32</f>
        <v>0</v>
      </c>
      <c r="CT32" s="227">
        <f>'[1]Housing Generation'!CT32</f>
        <v>0</v>
      </c>
      <c r="CU32" s="227">
        <f>'[1]Housing Generation'!CU32</f>
        <v>0</v>
      </c>
      <c r="CV32" s="227">
        <f>'[1]Housing Generation'!CV32</f>
        <v>0</v>
      </c>
      <c r="CW32" s="227">
        <f>'[1]Housing Generation'!CW32</f>
        <v>0</v>
      </c>
      <c r="CX32" s="227">
        <f>'[1]Housing Generation'!CX32</f>
        <v>0</v>
      </c>
      <c r="CY32" s="227">
        <f>'[1]Housing Generation'!CY32</f>
        <v>0</v>
      </c>
      <c r="CZ32" s="227">
        <f>'[1]Housing Generation'!CZ32</f>
        <v>0</v>
      </c>
      <c r="DA32" s="224">
        <f>'[1]Housing Generation'!DA32</f>
        <v>0</v>
      </c>
      <c r="DB32" s="229">
        <f>'[1]Housing Generation'!DB32</f>
        <v>0</v>
      </c>
      <c r="DC32" s="229">
        <f>'[1]Housing Generation'!DC32</f>
        <v>0</v>
      </c>
      <c r="DD32" s="229">
        <f>'[1]Housing Generation'!DD32</f>
        <v>0</v>
      </c>
      <c r="DE32" s="229">
        <f>'[1]Housing Generation'!DE32</f>
        <v>0</v>
      </c>
      <c r="DF32" s="229">
        <f>'[1]Housing Generation'!DF32</f>
        <v>0</v>
      </c>
      <c r="DG32" s="229">
        <f>'[1]Housing Generation'!DG32</f>
        <v>0</v>
      </c>
      <c r="DH32" s="229">
        <f>'[1]Housing Generation'!DH32</f>
        <v>0</v>
      </c>
      <c r="DI32" s="225">
        <f>'[1]Housing Generation'!DI32</f>
        <v>0</v>
      </c>
      <c r="DJ32" s="227">
        <f>'[1]Housing Generation'!DJ32</f>
        <v>0</v>
      </c>
      <c r="DK32" s="227">
        <f>'[1]Housing Generation'!DK32</f>
        <v>0</v>
      </c>
      <c r="DL32" s="227">
        <f>'[1]Housing Generation'!DL32</f>
        <v>0</v>
      </c>
      <c r="DM32" s="227">
        <f>'[1]Housing Generation'!DM32</f>
        <v>0</v>
      </c>
      <c r="DN32" s="227">
        <f>'[1]Housing Generation'!DN32</f>
        <v>0</v>
      </c>
      <c r="DO32" s="227">
        <f>'[1]Housing Generation'!DO32</f>
        <v>0</v>
      </c>
      <c r="DP32" s="227">
        <f>'[1]Housing Generation'!DP32</f>
        <v>0</v>
      </c>
      <c r="DQ32" s="224">
        <f>'[1]Housing Generation'!DQ32</f>
        <v>0</v>
      </c>
    </row>
    <row r="33" spans="1:121" x14ac:dyDescent="0.2">
      <c r="A33" s="237" t="s">
        <v>34</v>
      </c>
      <c r="B33" s="227">
        <f>'[1]Housing Generation'!B33</f>
        <v>1</v>
      </c>
      <c r="C33" s="227">
        <f>'[1]Housing Generation'!C33</f>
        <v>0</v>
      </c>
      <c r="D33" s="227">
        <f>'[1]Housing Generation'!D33</f>
        <v>0</v>
      </c>
      <c r="E33" s="227">
        <f>'[1]Housing Generation'!E33</f>
        <v>0</v>
      </c>
      <c r="F33" s="227">
        <f>'[1]Housing Generation'!F33</f>
        <v>0</v>
      </c>
      <c r="G33" s="227">
        <f>'[1]Housing Generation'!G33</f>
        <v>0</v>
      </c>
      <c r="H33" s="227">
        <f>'[1]Housing Generation'!H33</f>
        <v>0</v>
      </c>
      <c r="I33" s="224">
        <f>'[1]Housing Generation'!I33</f>
        <v>1</v>
      </c>
      <c r="J33" s="229">
        <f>'[1]Housing Generation'!J33</f>
        <v>0</v>
      </c>
      <c r="K33" s="229">
        <f>'[1]Housing Generation'!K33</f>
        <v>0</v>
      </c>
      <c r="L33" s="229">
        <f>'[1]Housing Generation'!L33</f>
        <v>0</v>
      </c>
      <c r="M33" s="229">
        <f>'[1]Housing Generation'!M33</f>
        <v>0</v>
      </c>
      <c r="N33" s="229">
        <f>'[1]Housing Generation'!N33</f>
        <v>0</v>
      </c>
      <c r="O33" s="229">
        <f>'[1]Housing Generation'!O33</f>
        <v>0</v>
      </c>
      <c r="P33" s="229">
        <f>'[1]Housing Generation'!P33</f>
        <v>0</v>
      </c>
      <c r="Q33" s="225">
        <f>'[1]Housing Generation'!Q33</f>
        <v>0</v>
      </c>
      <c r="R33" s="227">
        <f>'[1]Housing Generation'!R33</f>
        <v>0</v>
      </c>
      <c r="S33" s="227">
        <f>'[1]Housing Generation'!S33</f>
        <v>0</v>
      </c>
      <c r="T33" s="227">
        <f>'[1]Housing Generation'!T33</f>
        <v>0</v>
      </c>
      <c r="U33" s="227">
        <f>'[1]Housing Generation'!U33</f>
        <v>0</v>
      </c>
      <c r="V33" s="227">
        <f>'[1]Housing Generation'!V33</f>
        <v>0</v>
      </c>
      <c r="W33" s="227">
        <f>'[1]Housing Generation'!W33</f>
        <v>0</v>
      </c>
      <c r="X33" s="227">
        <f>'[1]Housing Generation'!X33</f>
        <v>0</v>
      </c>
      <c r="Y33" s="224">
        <f>'[1]Housing Generation'!Y33</f>
        <v>0</v>
      </c>
      <c r="Z33" s="229">
        <f>'[1]Housing Generation'!Z33</f>
        <v>1</v>
      </c>
      <c r="AA33" s="229">
        <f>'[1]Housing Generation'!AA33</f>
        <v>1</v>
      </c>
      <c r="AB33" s="229">
        <f>'[1]Housing Generation'!AB33</f>
        <v>1</v>
      </c>
      <c r="AC33" s="229">
        <f>'[1]Housing Generation'!AC33</f>
        <v>1</v>
      </c>
      <c r="AD33" s="229">
        <f>'[1]Housing Generation'!AD33</f>
        <v>1</v>
      </c>
      <c r="AE33" s="229">
        <f>'[1]Housing Generation'!AE33</f>
        <v>0</v>
      </c>
      <c r="AF33" s="229">
        <f>'[1]Housing Generation'!AF33</f>
        <v>0</v>
      </c>
      <c r="AG33" s="225">
        <f>'[1]Housing Generation'!AG33</f>
        <v>5</v>
      </c>
      <c r="AH33" s="227">
        <f>'[1]Housing Generation'!AH33</f>
        <v>1</v>
      </c>
      <c r="AI33" s="227">
        <f>'[1]Housing Generation'!AI33</f>
        <v>1</v>
      </c>
      <c r="AJ33" s="227">
        <f>'[1]Housing Generation'!AJ33</f>
        <v>1</v>
      </c>
      <c r="AK33" s="227">
        <f>'[1]Housing Generation'!AK33</f>
        <v>1</v>
      </c>
      <c r="AL33" s="227">
        <f>'[1]Housing Generation'!AL33</f>
        <v>1</v>
      </c>
      <c r="AM33" s="227">
        <f>'[1]Housing Generation'!AM33</f>
        <v>1</v>
      </c>
      <c r="AN33" s="227">
        <f>'[1]Housing Generation'!AN33</f>
        <v>1</v>
      </c>
      <c r="AO33" s="224">
        <f>'[1]Housing Generation'!AO33</f>
        <v>7</v>
      </c>
      <c r="AP33" s="229">
        <f>'[1]Housing Generation'!AP33</f>
        <v>1</v>
      </c>
      <c r="AQ33" s="229">
        <f>'[1]Housing Generation'!AQ33</f>
        <v>1</v>
      </c>
      <c r="AR33" s="229">
        <f>'[1]Housing Generation'!AR33</f>
        <v>1</v>
      </c>
      <c r="AS33" s="229">
        <f>'[1]Housing Generation'!AS33</f>
        <v>1</v>
      </c>
      <c r="AT33" s="229">
        <f>'[1]Housing Generation'!AT33</f>
        <v>1</v>
      </c>
      <c r="AU33" s="229">
        <f>'[1]Housing Generation'!AU33</f>
        <v>1</v>
      </c>
      <c r="AV33" s="229">
        <f>'[1]Housing Generation'!AV33</f>
        <v>1</v>
      </c>
      <c r="AW33" s="225">
        <f>'[1]Housing Generation'!AW33</f>
        <v>7</v>
      </c>
      <c r="AX33" s="227">
        <f>'[1]Housing Generation'!AX33</f>
        <v>1</v>
      </c>
      <c r="AY33" s="227">
        <f>'[1]Housing Generation'!AY33</f>
        <v>1</v>
      </c>
      <c r="AZ33" s="227">
        <f>'[1]Housing Generation'!AZ33</f>
        <v>1</v>
      </c>
      <c r="BA33" s="227">
        <f>'[1]Housing Generation'!BA33</f>
        <v>1</v>
      </c>
      <c r="BB33" s="227">
        <f>'[1]Housing Generation'!BB33</f>
        <v>1</v>
      </c>
      <c r="BC33" s="227">
        <f>'[1]Housing Generation'!BC33</f>
        <v>1</v>
      </c>
      <c r="BD33" s="227">
        <f>'[1]Housing Generation'!BD33</f>
        <v>1</v>
      </c>
      <c r="BE33" s="224">
        <f>'[1]Housing Generation'!BE33</f>
        <v>7</v>
      </c>
      <c r="BF33" s="229">
        <f>'[1]Housing Generation'!BF33</f>
        <v>2</v>
      </c>
      <c r="BG33" s="229">
        <f>'[1]Housing Generation'!BG33</f>
        <v>2</v>
      </c>
      <c r="BH33" s="229">
        <f>'[1]Housing Generation'!BH33</f>
        <v>2</v>
      </c>
      <c r="BI33" s="229">
        <f>'[1]Housing Generation'!BI33</f>
        <v>1</v>
      </c>
      <c r="BJ33" s="229">
        <f>'[1]Housing Generation'!BJ33</f>
        <v>1</v>
      </c>
      <c r="BK33" s="229">
        <f>'[1]Housing Generation'!BK33</f>
        <v>1</v>
      </c>
      <c r="BL33" s="229">
        <f>'[1]Housing Generation'!BL33</f>
        <v>1</v>
      </c>
      <c r="BM33" s="225">
        <f>'[1]Housing Generation'!BM33</f>
        <v>10</v>
      </c>
      <c r="BN33" s="227">
        <f>'[1]Housing Generation'!BN33</f>
        <v>2</v>
      </c>
      <c r="BO33" s="227">
        <f>'[1]Housing Generation'!BO33</f>
        <v>2</v>
      </c>
      <c r="BP33" s="227">
        <f>'[1]Housing Generation'!BP33</f>
        <v>2</v>
      </c>
      <c r="BQ33" s="227">
        <f>'[1]Housing Generation'!BQ33</f>
        <v>2</v>
      </c>
      <c r="BR33" s="227">
        <f>'[1]Housing Generation'!BR33</f>
        <v>2</v>
      </c>
      <c r="BS33" s="227">
        <f>'[1]Housing Generation'!BS33</f>
        <v>2</v>
      </c>
      <c r="BT33" s="227">
        <f>'[1]Housing Generation'!BT33</f>
        <v>1</v>
      </c>
      <c r="BU33" s="224">
        <f>'[1]Housing Generation'!BU33</f>
        <v>13</v>
      </c>
      <c r="BV33" s="229">
        <f>'[1]Housing Generation'!BV33</f>
        <v>3</v>
      </c>
      <c r="BW33" s="229">
        <f>'[1]Housing Generation'!BW33</f>
        <v>3</v>
      </c>
      <c r="BX33" s="229">
        <f>'[1]Housing Generation'!BX33</f>
        <v>3</v>
      </c>
      <c r="BY33" s="229">
        <f>'[1]Housing Generation'!BY33</f>
        <v>3</v>
      </c>
      <c r="BZ33" s="229">
        <f>'[1]Housing Generation'!BZ33</f>
        <v>3</v>
      </c>
      <c r="CA33" s="229">
        <f>'[1]Housing Generation'!CA33</f>
        <v>2</v>
      </c>
      <c r="CB33" s="229">
        <f>'[1]Housing Generation'!CB33</f>
        <v>2</v>
      </c>
      <c r="CC33" s="225">
        <f>'[1]Housing Generation'!CC33</f>
        <v>19</v>
      </c>
      <c r="CD33" s="227">
        <f>'[1]Housing Generation'!CD33</f>
        <v>4</v>
      </c>
      <c r="CE33" s="227">
        <f>'[1]Housing Generation'!CE33</f>
        <v>4</v>
      </c>
      <c r="CF33" s="227">
        <f>'[1]Housing Generation'!CF33</f>
        <v>4</v>
      </c>
      <c r="CG33" s="227">
        <f>'[1]Housing Generation'!CG33</f>
        <v>4</v>
      </c>
      <c r="CH33" s="227">
        <f>'[1]Housing Generation'!CH33</f>
        <v>4</v>
      </c>
      <c r="CI33" s="227">
        <f>'[1]Housing Generation'!CI33</f>
        <v>3</v>
      </c>
      <c r="CJ33" s="227">
        <f>'[1]Housing Generation'!CJ33</f>
        <v>3</v>
      </c>
      <c r="CK33" s="224">
        <f>'[1]Housing Generation'!CK33</f>
        <v>26</v>
      </c>
      <c r="CL33" s="229">
        <f>'[1]Housing Generation'!CL33</f>
        <v>4</v>
      </c>
      <c r="CM33" s="229">
        <f>'[1]Housing Generation'!CM33</f>
        <v>4</v>
      </c>
      <c r="CN33" s="229">
        <f>'[1]Housing Generation'!CN33</f>
        <v>4</v>
      </c>
      <c r="CO33" s="229">
        <f>'[1]Housing Generation'!CO33</f>
        <v>4</v>
      </c>
      <c r="CP33" s="229">
        <f>'[1]Housing Generation'!CP33</f>
        <v>4</v>
      </c>
      <c r="CQ33" s="229">
        <f>'[1]Housing Generation'!CQ33</f>
        <v>3</v>
      </c>
      <c r="CR33" s="229">
        <f>'[1]Housing Generation'!CR33</f>
        <v>3</v>
      </c>
      <c r="CS33" s="225">
        <f>'[1]Housing Generation'!CS33</f>
        <v>26</v>
      </c>
      <c r="CT33" s="227">
        <f>'[1]Housing Generation'!CT33</f>
        <v>4</v>
      </c>
      <c r="CU33" s="227">
        <f>'[1]Housing Generation'!CU33</f>
        <v>4</v>
      </c>
      <c r="CV33" s="227">
        <f>'[1]Housing Generation'!CV33</f>
        <v>4</v>
      </c>
      <c r="CW33" s="227">
        <f>'[1]Housing Generation'!CW33</f>
        <v>4</v>
      </c>
      <c r="CX33" s="227">
        <f>'[1]Housing Generation'!CX33</f>
        <v>4</v>
      </c>
      <c r="CY33" s="227">
        <f>'[1]Housing Generation'!CY33</f>
        <v>3</v>
      </c>
      <c r="CZ33" s="227">
        <f>'[1]Housing Generation'!CZ33</f>
        <v>3</v>
      </c>
      <c r="DA33" s="224">
        <f>'[1]Housing Generation'!DA33</f>
        <v>26</v>
      </c>
      <c r="DB33" s="229">
        <f>'[1]Housing Generation'!DB33</f>
        <v>4</v>
      </c>
      <c r="DC33" s="229">
        <f>'[1]Housing Generation'!DC33</f>
        <v>4</v>
      </c>
      <c r="DD33" s="229">
        <f>'[1]Housing Generation'!DD33</f>
        <v>4</v>
      </c>
      <c r="DE33" s="229">
        <f>'[1]Housing Generation'!DE33</f>
        <v>4</v>
      </c>
      <c r="DF33" s="229">
        <f>'[1]Housing Generation'!DF33</f>
        <v>4</v>
      </c>
      <c r="DG33" s="229">
        <f>'[1]Housing Generation'!DG33</f>
        <v>3</v>
      </c>
      <c r="DH33" s="229">
        <f>'[1]Housing Generation'!DH33</f>
        <v>3</v>
      </c>
      <c r="DI33" s="225">
        <f>'[1]Housing Generation'!DI33</f>
        <v>26</v>
      </c>
      <c r="DJ33" s="227">
        <f>'[1]Housing Generation'!DJ33</f>
        <v>4</v>
      </c>
      <c r="DK33" s="227">
        <f>'[1]Housing Generation'!DK33</f>
        <v>4</v>
      </c>
      <c r="DL33" s="227">
        <f>'[1]Housing Generation'!DL33</f>
        <v>4</v>
      </c>
      <c r="DM33" s="227">
        <f>'[1]Housing Generation'!DM33</f>
        <v>4</v>
      </c>
      <c r="DN33" s="227">
        <f>'[1]Housing Generation'!DN33</f>
        <v>4</v>
      </c>
      <c r="DO33" s="227">
        <f>'[1]Housing Generation'!DO33</f>
        <v>3</v>
      </c>
      <c r="DP33" s="227">
        <f>'[1]Housing Generation'!DP33</f>
        <v>3</v>
      </c>
      <c r="DQ33" s="224">
        <f>'[1]Housing Generation'!DQ33</f>
        <v>26</v>
      </c>
    </row>
    <row r="34" spans="1:121" x14ac:dyDescent="0.2">
      <c r="A34" s="237" t="s">
        <v>35</v>
      </c>
      <c r="B34" s="227">
        <f>'[1]Housing Generation'!B34</f>
        <v>1</v>
      </c>
      <c r="C34" s="227">
        <f>'[1]Housing Generation'!C34</f>
        <v>1</v>
      </c>
      <c r="D34" s="227">
        <f>'[1]Housing Generation'!D34</f>
        <v>1</v>
      </c>
      <c r="E34" s="227">
        <f>'[1]Housing Generation'!E34</f>
        <v>1</v>
      </c>
      <c r="F34" s="227">
        <f>'[1]Housing Generation'!F34</f>
        <v>0</v>
      </c>
      <c r="G34" s="227">
        <f>'[1]Housing Generation'!G34</f>
        <v>0</v>
      </c>
      <c r="H34" s="227">
        <f>'[1]Housing Generation'!H34</f>
        <v>0</v>
      </c>
      <c r="I34" s="224">
        <f>'[1]Housing Generation'!I34</f>
        <v>4</v>
      </c>
      <c r="J34" s="229">
        <f>'[1]Housing Generation'!J34</f>
        <v>1</v>
      </c>
      <c r="K34" s="229">
        <f>'[1]Housing Generation'!K34</f>
        <v>1</v>
      </c>
      <c r="L34" s="229">
        <f>'[1]Housing Generation'!L34</f>
        <v>1</v>
      </c>
      <c r="M34" s="229">
        <f>'[1]Housing Generation'!M34</f>
        <v>1</v>
      </c>
      <c r="N34" s="229">
        <f>'[1]Housing Generation'!N34</f>
        <v>1</v>
      </c>
      <c r="O34" s="229">
        <f>'[1]Housing Generation'!O34</f>
        <v>0</v>
      </c>
      <c r="P34" s="229">
        <f>'[1]Housing Generation'!P34</f>
        <v>0</v>
      </c>
      <c r="Q34" s="225">
        <f>'[1]Housing Generation'!Q34</f>
        <v>5</v>
      </c>
      <c r="R34" s="227">
        <f>'[1]Housing Generation'!R34</f>
        <v>1</v>
      </c>
      <c r="S34" s="227">
        <f>'[1]Housing Generation'!S34</f>
        <v>1</v>
      </c>
      <c r="T34" s="227">
        <f>'[1]Housing Generation'!T34</f>
        <v>1</v>
      </c>
      <c r="U34" s="227">
        <f>'[1]Housing Generation'!U34</f>
        <v>1</v>
      </c>
      <c r="V34" s="227">
        <f>'[1]Housing Generation'!V34</f>
        <v>1</v>
      </c>
      <c r="W34" s="227">
        <f>'[1]Housing Generation'!W34</f>
        <v>0</v>
      </c>
      <c r="X34" s="227">
        <f>'[1]Housing Generation'!X34</f>
        <v>0</v>
      </c>
      <c r="Y34" s="224">
        <f>'[1]Housing Generation'!Y34</f>
        <v>5</v>
      </c>
      <c r="Z34" s="229">
        <f>'[1]Housing Generation'!Z34</f>
        <v>1</v>
      </c>
      <c r="AA34" s="229">
        <f>'[1]Housing Generation'!AA34</f>
        <v>1</v>
      </c>
      <c r="AB34" s="229">
        <f>'[1]Housing Generation'!AB34</f>
        <v>1</v>
      </c>
      <c r="AC34" s="229">
        <f>'[1]Housing Generation'!AC34</f>
        <v>1</v>
      </c>
      <c r="AD34" s="229">
        <f>'[1]Housing Generation'!AD34</f>
        <v>1</v>
      </c>
      <c r="AE34" s="229">
        <f>'[1]Housing Generation'!AE34</f>
        <v>1</v>
      </c>
      <c r="AF34" s="229">
        <f>'[1]Housing Generation'!AF34</f>
        <v>1</v>
      </c>
      <c r="AG34" s="225">
        <f>'[1]Housing Generation'!AG34</f>
        <v>7</v>
      </c>
      <c r="AH34" s="227">
        <f>'[1]Housing Generation'!AH34</f>
        <v>1</v>
      </c>
      <c r="AI34" s="227">
        <f>'[1]Housing Generation'!AI34</f>
        <v>1</v>
      </c>
      <c r="AJ34" s="227">
        <f>'[1]Housing Generation'!AJ34</f>
        <v>1</v>
      </c>
      <c r="AK34" s="227">
        <f>'[1]Housing Generation'!AK34</f>
        <v>1</v>
      </c>
      <c r="AL34" s="227">
        <f>'[1]Housing Generation'!AL34</f>
        <v>1</v>
      </c>
      <c r="AM34" s="227">
        <f>'[1]Housing Generation'!AM34</f>
        <v>1</v>
      </c>
      <c r="AN34" s="227">
        <f>'[1]Housing Generation'!AN34</f>
        <v>1</v>
      </c>
      <c r="AO34" s="224">
        <f>'[1]Housing Generation'!AO34</f>
        <v>7</v>
      </c>
      <c r="AP34" s="229">
        <f>'[1]Housing Generation'!AP34</f>
        <v>1</v>
      </c>
      <c r="AQ34" s="229">
        <f>'[1]Housing Generation'!AQ34</f>
        <v>1</v>
      </c>
      <c r="AR34" s="229">
        <f>'[1]Housing Generation'!AR34</f>
        <v>1</v>
      </c>
      <c r="AS34" s="229">
        <f>'[1]Housing Generation'!AS34</f>
        <v>1</v>
      </c>
      <c r="AT34" s="229">
        <f>'[1]Housing Generation'!AT34</f>
        <v>1</v>
      </c>
      <c r="AU34" s="229">
        <f>'[1]Housing Generation'!AU34</f>
        <v>1</v>
      </c>
      <c r="AV34" s="229">
        <f>'[1]Housing Generation'!AV34</f>
        <v>1</v>
      </c>
      <c r="AW34" s="225">
        <f>'[1]Housing Generation'!AW34</f>
        <v>7</v>
      </c>
      <c r="AX34" s="227">
        <f>'[1]Housing Generation'!AX34</f>
        <v>1</v>
      </c>
      <c r="AY34" s="227">
        <f>'[1]Housing Generation'!AY34</f>
        <v>1</v>
      </c>
      <c r="AZ34" s="227">
        <f>'[1]Housing Generation'!AZ34</f>
        <v>1</v>
      </c>
      <c r="BA34" s="227">
        <f>'[1]Housing Generation'!BA34</f>
        <v>1</v>
      </c>
      <c r="BB34" s="227">
        <f>'[1]Housing Generation'!BB34</f>
        <v>1</v>
      </c>
      <c r="BC34" s="227">
        <f>'[1]Housing Generation'!BC34</f>
        <v>1</v>
      </c>
      <c r="BD34" s="227">
        <f>'[1]Housing Generation'!BD34</f>
        <v>1</v>
      </c>
      <c r="BE34" s="224">
        <f>'[1]Housing Generation'!BE34</f>
        <v>7</v>
      </c>
      <c r="BF34" s="229">
        <f>'[1]Housing Generation'!BF34</f>
        <v>1</v>
      </c>
      <c r="BG34" s="229">
        <f>'[1]Housing Generation'!BG34</f>
        <v>1</v>
      </c>
      <c r="BH34" s="229">
        <f>'[1]Housing Generation'!BH34</f>
        <v>1</v>
      </c>
      <c r="BI34" s="229">
        <f>'[1]Housing Generation'!BI34</f>
        <v>1</v>
      </c>
      <c r="BJ34" s="229">
        <f>'[1]Housing Generation'!BJ34</f>
        <v>1</v>
      </c>
      <c r="BK34" s="229">
        <f>'[1]Housing Generation'!BK34</f>
        <v>1</v>
      </c>
      <c r="BL34" s="229">
        <f>'[1]Housing Generation'!BL34</f>
        <v>1</v>
      </c>
      <c r="BM34" s="225">
        <f>'[1]Housing Generation'!BM34</f>
        <v>7</v>
      </c>
      <c r="BN34" s="227">
        <f>'[1]Housing Generation'!BN34</f>
        <v>1</v>
      </c>
      <c r="BO34" s="227">
        <f>'[1]Housing Generation'!BO34</f>
        <v>1</v>
      </c>
      <c r="BP34" s="227">
        <f>'[1]Housing Generation'!BP34</f>
        <v>1</v>
      </c>
      <c r="BQ34" s="227">
        <f>'[1]Housing Generation'!BQ34</f>
        <v>1</v>
      </c>
      <c r="BR34" s="227">
        <f>'[1]Housing Generation'!BR34</f>
        <v>1</v>
      </c>
      <c r="BS34" s="227">
        <f>'[1]Housing Generation'!BS34</f>
        <v>1</v>
      </c>
      <c r="BT34" s="227">
        <f>'[1]Housing Generation'!BT34</f>
        <v>1</v>
      </c>
      <c r="BU34" s="224">
        <f>'[1]Housing Generation'!BU34</f>
        <v>7</v>
      </c>
      <c r="BV34" s="229">
        <f>'[1]Housing Generation'!BV34</f>
        <v>2</v>
      </c>
      <c r="BW34" s="229">
        <f>'[1]Housing Generation'!BW34</f>
        <v>2</v>
      </c>
      <c r="BX34" s="229">
        <f>'[1]Housing Generation'!BX34</f>
        <v>1</v>
      </c>
      <c r="BY34" s="229">
        <f>'[1]Housing Generation'!BY34</f>
        <v>1</v>
      </c>
      <c r="BZ34" s="229">
        <f>'[1]Housing Generation'!BZ34</f>
        <v>1</v>
      </c>
      <c r="CA34" s="229">
        <f>'[1]Housing Generation'!CA34</f>
        <v>1</v>
      </c>
      <c r="CB34" s="229">
        <f>'[1]Housing Generation'!CB34</f>
        <v>1</v>
      </c>
      <c r="CC34" s="225">
        <f>'[1]Housing Generation'!CC34</f>
        <v>9</v>
      </c>
      <c r="CD34" s="227">
        <f>'[1]Housing Generation'!CD34</f>
        <v>2</v>
      </c>
      <c r="CE34" s="227">
        <f>'[1]Housing Generation'!CE34</f>
        <v>2</v>
      </c>
      <c r="CF34" s="227">
        <f>'[1]Housing Generation'!CF34</f>
        <v>2</v>
      </c>
      <c r="CG34" s="227">
        <f>'[1]Housing Generation'!CG34</f>
        <v>2</v>
      </c>
      <c r="CH34" s="227">
        <f>'[1]Housing Generation'!CH34</f>
        <v>1</v>
      </c>
      <c r="CI34" s="227">
        <f>'[1]Housing Generation'!CI34</f>
        <v>1</v>
      </c>
      <c r="CJ34" s="227">
        <f>'[1]Housing Generation'!CJ34</f>
        <v>1</v>
      </c>
      <c r="CK34" s="224">
        <f>'[1]Housing Generation'!CK34</f>
        <v>11</v>
      </c>
      <c r="CL34" s="229">
        <f>'[1]Housing Generation'!CL34</f>
        <v>2</v>
      </c>
      <c r="CM34" s="229">
        <f>'[1]Housing Generation'!CM34</f>
        <v>2</v>
      </c>
      <c r="CN34" s="229">
        <f>'[1]Housing Generation'!CN34</f>
        <v>2</v>
      </c>
      <c r="CO34" s="229">
        <f>'[1]Housing Generation'!CO34</f>
        <v>2</v>
      </c>
      <c r="CP34" s="229">
        <f>'[1]Housing Generation'!CP34</f>
        <v>1</v>
      </c>
      <c r="CQ34" s="229">
        <f>'[1]Housing Generation'!CQ34</f>
        <v>1</v>
      </c>
      <c r="CR34" s="229">
        <f>'[1]Housing Generation'!CR34</f>
        <v>1</v>
      </c>
      <c r="CS34" s="225">
        <f>'[1]Housing Generation'!CS34</f>
        <v>11</v>
      </c>
      <c r="CT34" s="227">
        <f>'[1]Housing Generation'!CT34</f>
        <v>2</v>
      </c>
      <c r="CU34" s="227">
        <f>'[1]Housing Generation'!CU34</f>
        <v>2</v>
      </c>
      <c r="CV34" s="227">
        <f>'[1]Housing Generation'!CV34</f>
        <v>2</v>
      </c>
      <c r="CW34" s="227">
        <f>'[1]Housing Generation'!CW34</f>
        <v>2</v>
      </c>
      <c r="CX34" s="227">
        <f>'[1]Housing Generation'!CX34</f>
        <v>1</v>
      </c>
      <c r="CY34" s="227">
        <f>'[1]Housing Generation'!CY34</f>
        <v>1</v>
      </c>
      <c r="CZ34" s="227">
        <f>'[1]Housing Generation'!CZ34</f>
        <v>1</v>
      </c>
      <c r="DA34" s="224">
        <f>'[1]Housing Generation'!DA34</f>
        <v>11</v>
      </c>
      <c r="DB34" s="229">
        <f>'[1]Housing Generation'!DB34</f>
        <v>2</v>
      </c>
      <c r="DC34" s="229">
        <f>'[1]Housing Generation'!DC34</f>
        <v>2</v>
      </c>
      <c r="DD34" s="229">
        <f>'[1]Housing Generation'!DD34</f>
        <v>2</v>
      </c>
      <c r="DE34" s="229">
        <f>'[1]Housing Generation'!DE34</f>
        <v>2</v>
      </c>
      <c r="DF34" s="229">
        <f>'[1]Housing Generation'!DF34</f>
        <v>1</v>
      </c>
      <c r="DG34" s="229">
        <f>'[1]Housing Generation'!DG34</f>
        <v>1</v>
      </c>
      <c r="DH34" s="229">
        <f>'[1]Housing Generation'!DH34</f>
        <v>1</v>
      </c>
      <c r="DI34" s="225">
        <f>'[1]Housing Generation'!DI34</f>
        <v>11</v>
      </c>
      <c r="DJ34" s="227">
        <f>'[1]Housing Generation'!DJ34</f>
        <v>2</v>
      </c>
      <c r="DK34" s="227">
        <f>'[1]Housing Generation'!DK34</f>
        <v>2</v>
      </c>
      <c r="DL34" s="227">
        <f>'[1]Housing Generation'!DL34</f>
        <v>2</v>
      </c>
      <c r="DM34" s="227">
        <f>'[1]Housing Generation'!DM34</f>
        <v>2</v>
      </c>
      <c r="DN34" s="227">
        <f>'[1]Housing Generation'!DN34</f>
        <v>1</v>
      </c>
      <c r="DO34" s="227">
        <f>'[1]Housing Generation'!DO34</f>
        <v>1</v>
      </c>
      <c r="DP34" s="227">
        <f>'[1]Housing Generation'!DP34</f>
        <v>1</v>
      </c>
      <c r="DQ34" s="224">
        <f>'[1]Housing Generation'!DQ34</f>
        <v>11</v>
      </c>
    </row>
    <row r="35" spans="1:121" x14ac:dyDescent="0.2">
      <c r="A35" s="237" t="s">
        <v>36</v>
      </c>
      <c r="B35" s="227">
        <f>'[1]Housing Generation'!B35</f>
        <v>0</v>
      </c>
      <c r="C35" s="227">
        <f>'[1]Housing Generation'!C35</f>
        <v>0</v>
      </c>
      <c r="D35" s="227">
        <f>'[1]Housing Generation'!D35</f>
        <v>0</v>
      </c>
      <c r="E35" s="227">
        <f>'[1]Housing Generation'!E35</f>
        <v>0</v>
      </c>
      <c r="F35" s="227">
        <f>'[1]Housing Generation'!F35</f>
        <v>0</v>
      </c>
      <c r="G35" s="227">
        <f>'[1]Housing Generation'!G35</f>
        <v>0</v>
      </c>
      <c r="H35" s="227">
        <f>'[1]Housing Generation'!H35</f>
        <v>0</v>
      </c>
      <c r="I35" s="224">
        <f>'[1]Housing Generation'!I35</f>
        <v>0</v>
      </c>
      <c r="J35" s="229">
        <f>'[1]Housing Generation'!J35</f>
        <v>0</v>
      </c>
      <c r="K35" s="229">
        <f>'[1]Housing Generation'!K35</f>
        <v>0</v>
      </c>
      <c r="L35" s="229">
        <f>'[1]Housing Generation'!L35</f>
        <v>0</v>
      </c>
      <c r="M35" s="229">
        <f>'[1]Housing Generation'!M35</f>
        <v>0</v>
      </c>
      <c r="N35" s="229">
        <f>'[1]Housing Generation'!N35</f>
        <v>0</v>
      </c>
      <c r="O35" s="229">
        <f>'[1]Housing Generation'!O35</f>
        <v>0</v>
      </c>
      <c r="P35" s="229">
        <f>'[1]Housing Generation'!P35</f>
        <v>0</v>
      </c>
      <c r="Q35" s="225">
        <f>'[1]Housing Generation'!Q35</f>
        <v>0</v>
      </c>
      <c r="R35" s="227">
        <f>'[1]Housing Generation'!R35</f>
        <v>0</v>
      </c>
      <c r="S35" s="227">
        <f>'[1]Housing Generation'!S35</f>
        <v>0</v>
      </c>
      <c r="T35" s="227">
        <f>'[1]Housing Generation'!T35</f>
        <v>0</v>
      </c>
      <c r="U35" s="227">
        <f>'[1]Housing Generation'!U35</f>
        <v>0</v>
      </c>
      <c r="V35" s="227">
        <f>'[1]Housing Generation'!V35</f>
        <v>0</v>
      </c>
      <c r="W35" s="227">
        <f>'[1]Housing Generation'!W35</f>
        <v>0</v>
      </c>
      <c r="X35" s="227">
        <f>'[1]Housing Generation'!X35</f>
        <v>0</v>
      </c>
      <c r="Y35" s="224">
        <f>'[1]Housing Generation'!Y35</f>
        <v>0</v>
      </c>
      <c r="Z35" s="229">
        <f>'[1]Housing Generation'!Z35</f>
        <v>0</v>
      </c>
      <c r="AA35" s="229">
        <f>'[1]Housing Generation'!AA35</f>
        <v>0</v>
      </c>
      <c r="AB35" s="229">
        <f>'[1]Housing Generation'!AB35</f>
        <v>0</v>
      </c>
      <c r="AC35" s="229">
        <f>'[1]Housing Generation'!AC35</f>
        <v>0</v>
      </c>
      <c r="AD35" s="229">
        <f>'[1]Housing Generation'!AD35</f>
        <v>0</v>
      </c>
      <c r="AE35" s="229">
        <f>'[1]Housing Generation'!AE35</f>
        <v>0</v>
      </c>
      <c r="AF35" s="229">
        <f>'[1]Housing Generation'!AF35</f>
        <v>0</v>
      </c>
      <c r="AG35" s="225">
        <f>'[1]Housing Generation'!AG35</f>
        <v>0</v>
      </c>
      <c r="AH35" s="227">
        <f>'[1]Housing Generation'!AH35</f>
        <v>0</v>
      </c>
      <c r="AI35" s="227">
        <f>'[1]Housing Generation'!AI35</f>
        <v>0</v>
      </c>
      <c r="AJ35" s="227">
        <f>'[1]Housing Generation'!AJ35</f>
        <v>0</v>
      </c>
      <c r="AK35" s="227">
        <f>'[1]Housing Generation'!AK35</f>
        <v>0</v>
      </c>
      <c r="AL35" s="227">
        <f>'[1]Housing Generation'!AL35</f>
        <v>0</v>
      </c>
      <c r="AM35" s="227">
        <f>'[1]Housing Generation'!AM35</f>
        <v>0</v>
      </c>
      <c r="AN35" s="227">
        <f>'[1]Housing Generation'!AN35</f>
        <v>0</v>
      </c>
      <c r="AO35" s="224">
        <f>'[1]Housing Generation'!AO35</f>
        <v>0</v>
      </c>
      <c r="AP35" s="229">
        <f>'[1]Housing Generation'!AP35</f>
        <v>0</v>
      </c>
      <c r="AQ35" s="229">
        <f>'[1]Housing Generation'!AQ35</f>
        <v>0</v>
      </c>
      <c r="AR35" s="229">
        <f>'[1]Housing Generation'!AR35</f>
        <v>0</v>
      </c>
      <c r="AS35" s="229">
        <f>'[1]Housing Generation'!AS35</f>
        <v>0</v>
      </c>
      <c r="AT35" s="229">
        <f>'[1]Housing Generation'!AT35</f>
        <v>0</v>
      </c>
      <c r="AU35" s="229">
        <f>'[1]Housing Generation'!AU35</f>
        <v>0</v>
      </c>
      <c r="AV35" s="229">
        <f>'[1]Housing Generation'!AV35</f>
        <v>0</v>
      </c>
      <c r="AW35" s="225">
        <f>'[1]Housing Generation'!AW35</f>
        <v>0</v>
      </c>
      <c r="AX35" s="227">
        <f>'[1]Housing Generation'!AX35</f>
        <v>0</v>
      </c>
      <c r="AY35" s="227">
        <f>'[1]Housing Generation'!AY35</f>
        <v>0</v>
      </c>
      <c r="AZ35" s="227">
        <f>'[1]Housing Generation'!AZ35</f>
        <v>0</v>
      </c>
      <c r="BA35" s="227">
        <f>'[1]Housing Generation'!BA35</f>
        <v>0</v>
      </c>
      <c r="BB35" s="227">
        <f>'[1]Housing Generation'!BB35</f>
        <v>0</v>
      </c>
      <c r="BC35" s="227">
        <f>'[1]Housing Generation'!BC35</f>
        <v>0</v>
      </c>
      <c r="BD35" s="227">
        <f>'[1]Housing Generation'!BD35</f>
        <v>0</v>
      </c>
      <c r="BE35" s="224">
        <f>'[1]Housing Generation'!BE35</f>
        <v>0</v>
      </c>
      <c r="BF35" s="229">
        <f>'[1]Housing Generation'!BF35</f>
        <v>0</v>
      </c>
      <c r="BG35" s="229">
        <f>'[1]Housing Generation'!BG35</f>
        <v>0</v>
      </c>
      <c r="BH35" s="229">
        <f>'[1]Housing Generation'!BH35</f>
        <v>0</v>
      </c>
      <c r="BI35" s="229">
        <f>'[1]Housing Generation'!BI35</f>
        <v>0</v>
      </c>
      <c r="BJ35" s="229">
        <f>'[1]Housing Generation'!BJ35</f>
        <v>0</v>
      </c>
      <c r="BK35" s="229">
        <f>'[1]Housing Generation'!BK35</f>
        <v>0</v>
      </c>
      <c r="BL35" s="229">
        <f>'[1]Housing Generation'!BL35</f>
        <v>0</v>
      </c>
      <c r="BM35" s="225">
        <f>'[1]Housing Generation'!BM35</f>
        <v>0</v>
      </c>
      <c r="BN35" s="227">
        <f>'[1]Housing Generation'!BN35</f>
        <v>0</v>
      </c>
      <c r="BO35" s="227">
        <f>'[1]Housing Generation'!BO35</f>
        <v>0</v>
      </c>
      <c r="BP35" s="227">
        <f>'[1]Housing Generation'!BP35</f>
        <v>0</v>
      </c>
      <c r="BQ35" s="227">
        <f>'[1]Housing Generation'!BQ35</f>
        <v>0</v>
      </c>
      <c r="BR35" s="227">
        <f>'[1]Housing Generation'!BR35</f>
        <v>0</v>
      </c>
      <c r="BS35" s="227">
        <f>'[1]Housing Generation'!BS35</f>
        <v>0</v>
      </c>
      <c r="BT35" s="227">
        <f>'[1]Housing Generation'!BT35</f>
        <v>0</v>
      </c>
      <c r="BU35" s="224">
        <f>'[1]Housing Generation'!BU35</f>
        <v>0</v>
      </c>
      <c r="BV35" s="229">
        <f>'[1]Housing Generation'!BV35</f>
        <v>0</v>
      </c>
      <c r="BW35" s="229">
        <f>'[1]Housing Generation'!BW35</f>
        <v>0</v>
      </c>
      <c r="BX35" s="229">
        <f>'[1]Housing Generation'!BX35</f>
        <v>0</v>
      </c>
      <c r="BY35" s="229">
        <f>'[1]Housing Generation'!BY35</f>
        <v>0</v>
      </c>
      <c r="BZ35" s="229">
        <f>'[1]Housing Generation'!BZ35</f>
        <v>0</v>
      </c>
      <c r="CA35" s="229">
        <f>'[1]Housing Generation'!CA35</f>
        <v>0</v>
      </c>
      <c r="CB35" s="229">
        <f>'[1]Housing Generation'!CB35</f>
        <v>0</v>
      </c>
      <c r="CC35" s="225">
        <f>'[1]Housing Generation'!CC35</f>
        <v>0</v>
      </c>
      <c r="CD35" s="227">
        <f>'[1]Housing Generation'!CD35</f>
        <v>0</v>
      </c>
      <c r="CE35" s="227">
        <f>'[1]Housing Generation'!CE35</f>
        <v>0</v>
      </c>
      <c r="CF35" s="227">
        <f>'[1]Housing Generation'!CF35</f>
        <v>0</v>
      </c>
      <c r="CG35" s="227">
        <f>'[1]Housing Generation'!CG35</f>
        <v>0</v>
      </c>
      <c r="CH35" s="227">
        <f>'[1]Housing Generation'!CH35</f>
        <v>0</v>
      </c>
      <c r="CI35" s="227">
        <f>'[1]Housing Generation'!CI35</f>
        <v>0</v>
      </c>
      <c r="CJ35" s="227">
        <f>'[1]Housing Generation'!CJ35</f>
        <v>0</v>
      </c>
      <c r="CK35" s="224">
        <f>'[1]Housing Generation'!CK35</f>
        <v>0</v>
      </c>
      <c r="CL35" s="229">
        <f>'[1]Housing Generation'!CL35</f>
        <v>0</v>
      </c>
      <c r="CM35" s="229">
        <f>'[1]Housing Generation'!CM35</f>
        <v>0</v>
      </c>
      <c r="CN35" s="229">
        <f>'[1]Housing Generation'!CN35</f>
        <v>0</v>
      </c>
      <c r="CO35" s="229">
        <f>'[1]Housing Generation'!CO35</f>
        <v>0</v>
      </c>
      <c r="CP35" s="229">
        <f>'[1]Housing Generation'!CP35</f>
        <v>0</v>
      </c>
      <c r="CQ35" s="229">
        <f>'[1]Housing Generation'!CQ35</f>
        <v>0</v>
      </c>
      <c r="CR35" s="229">
        <f>'[1]Housing Generation'!CR35</f>
        <v>0</v>
      </c>
      <c r="CS35" s="225">
        <f>'[1]Housing Generation'!CS35</f>
        <v>0</v>
      </c>
      <c r="CT35" s="227">
        <f>'[1]Housing Generation'!CT35</f>
        <v>0</v>
      </c>
      <c r="CU35" s="227">
        <f>'[1]Housing Generation'!CU35</f>
        <v>0</v>
      </c>
      <c r="CV35" s="227">
        <f>'[1]Housing Generation'!CV35</f>
        <v>0</v>
      </c>
      <c r="CW35" s="227">
        <f>'[1]Housing Generation'!CW35</f>
        <v>0</v>
      </c>
      <c r="CX35" s="227">
        <f>'[1]Housing Generation'!CX35</f>
        <v>0</v>
      </c>
      <c r="CY35" s="227">
        <f>'[1]Housing Generation'!CY35</f>
        <v>0</v>
      </c>
      <c r="CZ35" s="227">
        <f>'[1]Housing Generation'!CZ35</f>
        <v>0</v>
      </c>
      <c r="DA35" s="224">
        <f>'[1]Housing Generation'!DA35</f>
        <v>0</v>
      </c>
      <c r="DB35" s="229">
        <f>'[1]Housing Generation'!DB35</f>
        <v>0</v>
      </c>
      <c r="DC35" s="229">
        <f>'[1]Housing Generation'!DC35</f>
        <v>0</v>
      </c>
      <c r="DD35" s="229">
        <f>'[1]Housing Generation'!DD35</f>
        <v>0</v>
      </c>
      <c r="DE35" s="229">
        <f>'[1]Housing Generation'!DE35</f>
        <v>0</v>
      </c>
      <c r="DF35" s="229">
        <f>'[1]Housing Generation'!DF35</f>
        <v>0</v>
      </c>
      <c r="DG35" s="229">
        <f>'[1]Housing Generation'!DG35</f>
        <v>0</v>
      </c>
      <c r="DH35" s="229">
        <f>'[1]Housing Generation'!DH35</f>
        <v>0</v>
      </c>
      <c r="DI35" s="225">
        <f>'[1]Housing Generation'!DI35</f>
        <v>0</v>
      </c>
      <c r="DJ35" s="227">
        <f>'[1]Housing Generation'!DJ35</f>
        <v>0</v>
      </c>
      <c r="DK35" s="227">
        <f>'[1]Housing Generation'!DK35</f>
        <v>0</v>
      </c>
      <c r="DL35" s="227">
        <f>'[1]Housing Generation'!DL35</f>
        <v>0</v>
      </c>
      <c r="DM35" s="227">
        <f>'[1]Housing Generation'!DM35</f>
        <v>0</v>
      </c>
      <c r="DN35" s="227">
        <f>'[1]Housing Generation'!DN35</f>
        <v>0</v>
      </c>
      <c r="DO35" s="227">
        <f>'[1]Housing Generation'!DO35</f>
        <v>0</v>
      </c>
      <c r="DP35" s="227">
        <f>'[1]Housing Generation'!DP35</f>
        <v>0</v>
      </c>
      <c r="DQ35" s="224">
        <f>'[1]Housing Generation'!DQ35</f>
        <v>0</v>
      </c>
    </row>
    <row r="36" spans="1:121" x14ac:dyDescent="0.2">
      <c r="A36" s="238" t="s">
        <v>37</v>
      </c>
      <c r="B36" s="227">
        <f>'[1]Housing Generation'!B36</f>
        <v>1</v>
      </c>
      <c r="C36" s="227">
        <f>'[1]Housing Generation'!C36</f>
        <v>1</v>
      </c>
      <c r="D36" s="227">
        <f>'[1]Housing Generation'!D36</f>
        <v>0</v>
      </c>
      <c r="E36" s="227">
        <f>'[1]Housing Generation'!E36</f>
        <v>0</v>
      </c>
      <c r="F36" s="227">
        <f>'[1]Housing Generation'!F36</f>
        <v>0</v>
      </c>
      <c r="G36" s="227">
        <f>'[1]Housing Generation'!G36</f>
        <v>0</v>
      </c>
      <c r="H36" s="227">
        <f>'[1]Housing Generation'!H36</f>
        <v>0</v>
      </c>
      <c r="I36" s="224">
        <f>'[1]Housing Generation'!I36</f>
        <v>2</v>
      </c>
      <c r="J36" s="229">
        <f>'[1]Housing Generation'!J36</f>
        <v>1</v>
      </c>
      <c r="K36" s="229">
        <f>'[1]Housing Generation'!K36</f>
        <v>1</v>
      </c>
      <c r="L36" s="229">
        <f>'[1]Housing Generation'!L36</f>
        <v>0</v>
      </c>
      <c r="M36" s="229">
        <f>'[1]Housing Generation'!M36</f>
        <v>0</v>
      </c>
      <c r="N36" s="229">
        <f>'[1]Housing Generation'!N36</f>
        <v>0</v>
      </c>
      <c r="O36" s="229">
        <f>'[1]Housing Generation'!O36</f>
        <v>0</v>
      </c>
      <c r="P36" s="229">
        <f>'[1]Housing Generation'!P36</f>
        <v>0</v>
      </c>
      <c r="Q36" s="225">
        <f>'[1]Housing Generation'!Q36</f>
        <v>2</v>
      </c>
      <c r="R36" s="227">
        <f>'[1]Housing Generation'!R36</f>
        <v>1</v>
      </c>
      <c r="S36" s="227">
        <f>'[1]Housing Generation'!S36</f>
        <v>1</v>
      </c>
      <c r="T36" s="227">
        <f>'[1]Housing Generation'!T36</f>
        <v>1</v>
      </c>
      <c r="U36" s="227">
        <f>'[1]Housing Generation'!U36</f>
        <v>0</v>
      </c>
      <c r="V36" s="227">
        <f>'[1]Housing Generation'!V36</f>
        <v>0</v>
      </c>
      <c r="W36" s="227">
        <f>'[1]Housing Generation'!W36</f>
        <v>0</v>
      </c>
      <c r="X36" s="227">
        <f>'[1]Housing Generation'!X36</f>
        <v>0</v>
      </c>
      <c r="Y36" s="224">
        <f>'[1]Housing Generation'!Y36</f>
        <v>3</v>
      </c>
      <c r="Z36" s="229">
        <f>'[1]Housing Generation'!Z36</f>
        <v>2</v>
      </c>
      <c r="AA36" s="229">
        <f>'[1]Housing Generation'!AA36</f>
        <v>2</v>
      </c>
      <c r="AB36" s="229">
        <f>'[1]Housing Generation'!AB36</f>
        <v>1</v>
      </c>
      <c r="AC36" s="229">
        <f>'[1]Housing Generation'!AC36</f>
        <v>1</v>
      </c>
      <c r="AD36" s="229">
        <f>'[1]Housing Generation'!AD36</f>
        <v>1</v>
      </c>
      <c r="AE36" s="229">
        <f>'[1]Housing Generation'!AE36</f>
        <v>1</v>
      </c>
      <c r="AF36" s="229">
        <f>'[1]Housing Generation'!AF36</f>
        <v>1</v>
      </c>
      <c r="AG36" s="225">
        <f>'[1]Housing Generation'!AG36</f>
        <v>9</v>
      </c>
      <c r="AH36" s="227">
        <f>'[1]Housing Generation'!AH36</f>
        <v>3</v>
      </c>
      <c r="AI36" s="227">
        <f>'[1]Housing Generation'!AI36</f>
        <v>3</v>
      </c>
      <c r="AJ36" s="227">
        <f>'[1]Housing Generation'!AJ36</f>
        <v>3</v>
      </c>
      <c r="AK36" s="227">
        <f>'[1]Housing Generation'!AK36</f>
        <v>3</v>
      </c>
      <c r="AL36" s="227">
        <f>'[1]Housing Generation'!AL36</f>
        <v>3</v>
      </c>
      <c r="AM36" s="227">
        <f>'[1]Housing Generation'!AM36</f>
        <v>3</v>
      </c>
      <c r="AN36" s="227">
        <f>'[1]Housing Generation'!AN36</f>
        <v>2</v>
      </c>
      <c r="AO36" s="224">
        <f>'[1]Housing Generation'!AO36</f>
        <v>20</v>
      </c>
      <c r="AP36" s="229">
        <f>'[1]Housing Generation'!AP36</f>
        <v>5</v>
      </c>
      <c r="AQ36" s="229">
        <f>'[1]Housing Generation'!AQ36</f>
        <v>5</v>
      </c>
      <c r="AR36" s="229">
        <f>'[1]Housing Generation'!AR36</f>
        <v>5</v>
      </c>
      <c r="AS36" s="229">
        <f>'[1]Housing Generation'!AS36</f>
        <v>5</v>
      </c>
      <c r="AT36" s="229">
        <f>'[1]Housing Generation'!AT36</f>
        <v>5</v>
      </c>
      <c r="AU36" s="229">
        <f>'[1]Housing Generation'!AU36</f>
        <v>5</v>
      </c>
      <c r="AV36" s="229">
        <f>'[1]Housing Generation'!AV36</f>
        <v>4</v>
      </c>
      <c r="AW36" s="225">
        <f>'[1]Housing Generation'!AW36</f>
        <v>34</v>
      </c>
      <c r="AX36" s="227">
        <f>'[1]Housing Generation'!AX36</f>
        <v>7</v>
      </c>
      <c r="AY36" s="227">
        <f>'[1]Housing Generation'!AY36</f>
        <v>7</v>
      </c>
      <c r="AZ36" s="227">
        <f>'[1]Housing Generation'!AZ36</f>
        <v>7</v>
      </c>
      <c r="BA36" s="227">
        <f>'[1]Housing Generation'!BA36</f>
        <v>7</v>
      </c>
      <c r="BB36" s="227">
        <f>'[1]Housing Generation'!BB36</f>
        <v>6</v>
      </c>
      <c r="BC36" s="227">
        <f>'[1]Housing Generation'!BC36</f>
        <v>6</v>
      </c>
      <c r="BD36" s="227">
        <f>'[1]Housing Generation'!BD36</f>
        <v>6</v>
      </c>
      <c r="BE36" s="224">
        <f>'[1]Housing Generation'!BE36</f>
        <v>46</v>
      </c>
      <c r="BF36" s="229">
        <f>'[1]Housing Generation'!BF36</f>
        <v>8</v>
      </c>
      <c r="BG36" s="229">
        <f>'[1]Housing Generation'!BG36</f>
        <v>8</v>
      </c>
      <c r="BH36" s="229">
        <f>'[1]Housing Generation'!BH36</f>
        <v>8</v>
      </c>
      <c r="BI36" s="229">
        <f>'[1]Housing Generation'!BI36</f>
        <v>8</v>
      </c>
      <c r="BJ36" s="229">
        <f>'[1]Housing Generation'!BJ36</f>
        <v>8</v>
      </c>
      <c r="BK36" s="229">
        <f>'[1]Housing Generation'!BK36</f>
        <v>8</v>
      </c>
      <c r="BL36" s="229">
        <f>'[1]Housing Generation'!BL36</f>
        <v>8</v>
      </c>
      <c r="BM36" s="225">
        <f>'[1]Housing Generation'!BM36</f>
        <v>56</v>
      </c>
      <c r="BN36" s="227">
        <f>'[1]Housing Generation'!BN36</f>
        <v>10</v>
      </c>
      <c r="BO36" s="227">
        <f>'[1]Housing Generation'!BO36</f>
        <v>10</v>
      </c>
      <c r="BP36" s="227">
        <f>'[1]Housing Generation'!BP36</f>
        <v>9</v>
      </c>
      <c r="BQ36" s="227">
        <f>'[1]Housing Generation'!BQ36</f>
        <v>9</v>
      </c>
      <c r="BR36" s="227">
        <f>'[1]Housing Generation'!BR36</f>
        <v>9</v>
      </c>
      <c r="BS36" s="227">
        <f>'[1]Housing Generation'!BS36</f>
        <v>9</v>
      </c>
      <c r="BT36" s="227">
        <f>'[1]Housing Generation'!BT36</f>
        <v>9</v>
      </c>
      <c r="BU36" s="224">
        <f>'[1]Housing Generation'!BU36</f>
        <v>65</v>
      </c>
      <c r="BV36" s="229">
        <f>'[1]Housing Generation'!BV36</f>
        <v>11</v>
      </c>
      <c r="BW36" s="229">
        <f>'[1]Housing Generation'!BW36</f>
        <v>11</v>
      </c>
      <c r="BX36" s="229">
        <f>'[1]Housing Generation'!BX36</f>
        <v>11</v>
      </c>
      <c r="BY36" s="229">
        <f>'[1]Housing Generation'!BY36</f>
        <v>10</v>
      </c>
      <c r="BZ36" s="229">
        <f>'[1]Housing Generation'!BZ36</f>
        <v>10</v>
      </c>
      <c r="CA36" s="229">
        <f>'[1]Housing Generation'!CA36</f>
        <v>10</v>
      </c>
      <c r="CB36" s="229">
        <f>'[1]Housing Generation'!CB36</f>
        <v>10</v>
      </c>
      <c r="CC36" s="225">
        <f>'[1]Housing Generation'!CC36</f>
        <v>73</v>
      </c>
      <c r="CD36" s="227">
        <f>'[1]Housing Generation'!CD36</f>
        <v>12</v>
      </c>
      <c r="CE36" s="227">
        <f>'[1]Housing Generation'!CE36</f>
        <v>12</v>
      </c>
      <c r="CF36" s="227">
        <f>'[1]Housing Generation'!CF36</f>
        <v>12</v>
      </c>
      <c r="CG36" s="227">
        <f>'[1]Housing Generation'!CG36</f>
        <v>12</v>
      </c>
      <c r="CH36" s="227">
        <f>'[1]Housing Generation'!CH36</f>
        <v>11</v>
      </c>
      <c r="CI36" s="227">
        <f>'[1]Housing Generation'!CI36</f>
        <v>11</v>
      </c>
      <c r="CJ36" s="227">
        <f>'[1]Housing Generation'!CJ36</f>
        <v>11</v>
      </c>
      <c r="CK36" s="224">
        <f>'[1]Housing Generation'!CK36</f>
        <v>81</v>
      </c>
      <c r="CL36" s="229">
        <f>'[1]Housing Generation'!CL36</f>
        <v>12</v>
      </c>
      <c r="CM36" s="229">
        <f>'[1]Housing Generation'!CM36</f>
        <v>12</v>
      </c>
      <c r="CN36" s="229">
        <f>'[1]Housing Generation'!CN36</f>
        <v>12</v>
      </c>
      <c r="CO36" s="229">
        <f>'[1]Housing Generation'!CO36</f>
        <v>12</v>
      </c>
      <c r="CP36" s="229">
        <f>'[1]Housing Generation'!CP36</f>
        <v>12</v>
      </c>
      <c r="CQ36" s="229">
        <f>'[1]Housing Generation'!CQ36</f>
        <v>12</v>
      </c>
      <c r="CR36" s="229">
        <f>'[1]Housing Generation'!CR36</f>
        <v>11</v>
      </c>
      <c r="CS36" s="225">
        <f>'[1]Housing Generation'!CS36</f>
        <v>83</v>
      </c>
      <c r="CT36" s="227">
        <f>'[1]Housing Generation'!CT36</f>
        <v>13</v>
      </c>
      <c r="CU36" s="227">
        <f>'[1]Housing Generation'!CU36</f>
        <v>12</v>
      </c>
      <c r="CV36" s="227">
        <f>'[1]Housing Generation'!CV36</f>
        <v>12</v>
      </c>
      <c r="CW36" s="227">
        <f>'[1]Housing Generation'!CW36</f>
        <v>12</v>
      </c>
      <c r="CX36" s="227">
        <f>'[1]Housing Generation'!CX36</f>
        <v>12</v>
      </c>
      <c r="CY36" s="227">
        <f>'[1]Housing Generation'!CY36</f>
        <v>12</v>
      </c>
      <c r="CZ36" s="227">
        <f>'[1]Housing Generation'!CZ36</f>
        <v>12</v>
      </c>
      <c r="DA36" s="224">
        <f>'[1]Housing Generation'!DA36</f>
        <v>85</v>
      </c>
      <c r="DB36" s="229">
        <f>'[1]Housing Generation'!DB36</f>
        <v>13</v>
      </c>
      <c r="DC36" s="229">
        <f>'[1]Housing Generation'!DC36</f>
        <v>13</v>
      </c>
      <c r="DD36" s="229">
        <f>'[1]Housing Generation'!DD36</f>
        <v>13</v>
      </c>
      <c r="DE36" s="229">
        <f>'[1]Housing Generation'!DE36</f>
        <v>13</v>
      </c>
      <c r="DF36" s="229">
        <f>'[1]Housing Generation'!DF36</f>
        <v>12</v>
      </c>
      <c r="DG36" s="229">
        <f>'[1]Housing Generation'!DG36</f>
        <v>12</v>
      </c>
      <c r="DH36" s="229">
        <f>'[1]Housing Generation'!DH36</f>
        <v>12</v>
      </c>
      <c r="DI36" s="225">
        <f>'[1]Housing Generation'!DI36</f>
        <v>88</v>
      </c>
      <c r="DJ36" s="227">
        <f>'[1]Housing Generation'!DJ36</f>
        <v>13</v>
      </c>
      <c r="DK36" s="227">
        <f>'[1]Housing Generation'!DK36</f>
        <v>13</v>
      </c>
      <c r="DL36" s="227">
        <f>'[1]Housing Generation'!DL36</f>
        <v>13</v>
      </c>
      <c r="DM36" s="227">
        <f>'[1]Housing Generation'!DM36</f>
        <v>13</v>
      </c>
      <c r="DN36" s="227">
        <f>'[1]Housing Generation'!DN36</f>
        <v>13</v>
      </c>
      <c r="DO36" s="227">
        <f>'[1]Housing Generation'!DO36</f>
        <v>13</v>
      </c>
      <c r="DP36" s="227">
        <f>'[1]Housing Generation'!DP36</f>
        <v>13</v>
      </c>
      <c r="DQ36" s="224">
        <f>'[1]Housing Generation'!DQ36</f>
        <v>91</v>
      </c>
    </row>
    <row r="37" spans="1:121" x14ac:dyDescent="0.2">
      <c r="A37" s="237" t="s">
        <v>38</v>
      </c>
      <c r="B37" s="227">
        <f>'[1]Housing Generation'!B37</f>
        <v>3</v>
      </c>
      <c r="C37" s="227">
        <f>'[1]Housing Generation'!C37</f>
        <v>3</v>
      </c>
      <c r="D37" s="227">
        <f>'[1]Housing Generation'!D37</f>
        <v>3</v>
      </c>
      <c r="E37" s="227">
        <f>'[1]Housing Generation'!E37</f>
        <v>3</v>
      </c>
      <c r="F37" s="227">
        <f>'[1]Housing Generation'!F37</f>
        <v>2</v>
      </c>
      <c r="G37" s="227">
        <f>'[1]Housing Generation'!G37</f>
        <v>2</v>
      </c>
      <c r="H37" s="227">
        <f>'[1]Housing Generation'!H37</f>
        <v>2</v>
      </c>
      <c r="I37" s="224">
        <f>'[1]Housing Generation'!I37</f>
        <v>18</v>
      </c>
      <c r="J37" s="229">
        <f>'[1]Housing Generation'!J37</f>
        <v>5</v>
      </c>
      <c r="K37" s="229">
        <f>'[1]Housing Generation'!K37</f>
        <v>5</v>
      </c>
      <c r="L37" s="229">
        <f>'[1]Housing Generation'!L37</f>
        <v>5</v>
      </c>
      <c r="M37" s="229">
        <f>'[1]Housing Generation'!M37</f>
        <v>5</v>
      </c>
      <c r="N37" s="229">
        <f>'[1]Housing Generation'!N37</f>
        <v>4</v>
      </c>
      <c r="O37" s="229">
        <f>'[1]Housing Generation'!O37</f>
        <v>4</v>
      </c>
      <c r="P37" s="229">
        <f>'[1]Housing Generation'!P37</f>
        <v>4</v>
      </c>
      <c r="Q37" s="225">
        <f>'[1]Housing Generation'!Q37</f>
        <v>32</v>
      </c>
      <c r="R37" s="227">
        <f>'[1]Housing Generation'!R37</f>
        <v>14</v>
      </c>
      <c r="S37" s="227">
        <f>'[1]Housing Generation'!S37</f>
        <v>14</v>
      </c>
      <c r="T37" s="227">
        <f>'[1]Housing Generation'!T37</f>
        <v>14</v>
      </c>
      <c r="U37" s="227">
        <f>'[1]Housing Generation'!U37</f>
        <v>14</v>
      </c>
      <c r="V37" s="227">
        <f>'[1]Housing Generation'!V37</f>
        <v>14</v>
      </c>
      <c r="W37" s="227">
        <f>'[1]Housing Generation'!W37</f>
        <v>13</v>
      </c>
      <c r="X37" s="227">
        <f>'[1]Housing Generation'!X37</f>
        <v>13</v>
      </c>
      <c r="Y37" s="224">
        <f>'[1]Housing Generation'!Y37</f>
        <v>96</v>
      </c>
      <c r="Z37" s="229">
        <f>'[1]Housing Generation'!Z37</f>
        <v>25</v>
      </c>
      <c r="AA37" s="229">
        <f>'[1]Housing Generation'!AA37</f>
        <v>25</v>
      </c>
      <c r="AB37" s="229">
        <f>'[1]Housing Generation'!AB37</f>
        <v>24</v>
      </c>
      <c r="AC37" s="229">
        <f>'[1]Housing Generation'!AC37</f>
        <v>24</v>
      </c>
      <c r="AD37" s="229">
        <f>'[1]Housing Generation'!AD37</f>
        <v>24</v>
      </c>
      <c r="AE37" s="229">
        <f>'[1]Housing Generation'!AE37</f>
        <v>24</v>
      </c>
      <c r="AF37" s="229">
        <f>'[1]Housing Generation'!AF37</f>
        <v>24</v>
      </c>
      <c r="AG37" s="225">
        <f>'[1]Housing Generation'!AG37</f>
        <v>170</v>
      </c>
      <c r="AH37" s="227">
        <f>'[1]Housing Generation'!AH37</f>
        <v>35</v>
      </c>
      <c r="AI37" s="227">
        <f>'[1]Housing Generation'!AI37</f>
        <v>35</v>
      </c>
      <c r="AJ37" s="227">
        <f>'[1]Housing Generation'!AJ37</f>
        <v>34</v>
      </c>
      <c r="AK37" s="227">
        <f>'[1]Housing Generation'!AK37</f>
        <v>34</v>
      </c>
      <c r="AL37" s="227">
        <f>'[1]Housing Generation'!AL37</f>
        <v>34</v>
      </c>
      <c r="AM37" s="227">
        <f>'[1]Housing Generation'!AM37</f>
        <v>34</v>
      </c>
      <c r="AN37" s="227">
        <f>'[1]Housing Generation'!AN37</f>
        <v>34</v>
      </c>
      <c r="AO37" s="224">
        <f>'[1]Housing Generation'!AO37</f>
        <v>240</v>
      </c>
      <c r="AP37" s="229">
        <f>'[1]Housing Generation'!AP37</f>
        <v>42</v>
      </c>
      <c r="AQ37" s="229">
        <f>'[1]Housing Generation'!AQ37</f>
        <v>42</v>
      </c>
      <c r="AR37" s="229">
        <f>'[1]Housing Generation'!AR37</f>
        <v>42</v>
      </c>
      <c r="AS37" s="229">
        <f>'[1]Housing Generation'!AS37</f>
        <v>41</v>
      </c>
      <c r="AT37" s="229">
        <f>'[1]Housing Generation'!AT37</f>
        <v>41</v>
      </c>
      <c r="AU37" s="229">
        <f>'[1]Housing Generation'!AU37</f>
        <v>41</v>
      </c>
      <c r="AV37" s="229">
        <f>'[1]Housing Generation'!AV37</f>
        <v>41</v>
      </c>
      <c r="AW37" s="225">
        <f>'[1]Housing Generation'!AW37</f>
        <v>290</v>
      </c>
      <c r="AX37" s="227">
        <f>'[1]Housing Generation'!AX37</f>
        <v>49</v>
      </c>
      <c r="AY37" s="227">
        <f>'[1]Housing Generation'!AY37</f>
        <v>48</v>
      </c>
      <c r="AZ37" s="227">
        <f>'[1]Housing Generation'!AZ37</f>
        <v>48</v>
      </c>
      <c r="BA37" s="227">
        <f>'[1]Housing Generation'!BA37</f>
        <v>48</v>
      </c>
      <c r="BB37" s="227">
        <f>'[1]Housing Generation'!BB37</f>
        <v>48</v>
      </c>
      <c r="BC37" s="227">
        <f>'[1]Housing Generation'!BC37</f>
        <v>48</v>
      </c>
      <c r="BD37" s="227">
        <f>'[1]Housing Generation'!BD37</f>
        <v>48</v>
      </c>
      <c r="BE37" s="224">
        <f>'[1]Housing Generation'!BE37</f>
        <v>337</v>
      </c>
      <c r="BF37" s="229">
        <f>'[1]Housing Generation'!BF37</f>
        <v>54</v>
      </c>
      <c r="BG37" s="229">
        <f>'[1]Housing Generation'!BG37</f>
        <v>54</v>
      </c>
      <c r="BH37" s="229">
        <f>'[1]Housing Generation'!BH37</f>
        <v>53</v>
      </c>
      <c r="BI37" s="229">
        <f>'[1]Housing Generation'!BI37</f>
        <v>53</v>
      </c>
      <c r="BJ37" s="229">
        <f>'[1]Housing Generation'!BJ37</f>
        <v>53</v>
      </c>
      <c r="BK37" s="229">
        <f>'[1]Housing Generation'!BK37</f>
        <v>53</v>
      </c>
      <c r="BL37" s="229">
        <f>'[1]Housing Generation'!BL37</f>
        <v>53</v>
      </c>
      <c r="BM37" s="225">
        <f>'[1]Housing Generation'!BM37</f>
        <v>373</v>
      </c>
      <c r="BN37" s="227">
        <f>'[1]Housing Generation'!BN37</f>
        <v>58</v>
      </c>
      <c r="BO37" s="227">
        <f>'[1]Housing Generation'!BO37</f>
        <v>58</v>
      </c>
      <c r="BP37" s="227">
        <f>'[1]Housing Generation'!BP37</f>
        <v>58</v>
      </c>
      <c r="BQ37" s="227">
        <f>'[1]Housing Generation'!BQ37</f>
        <v>58</v>
      </c>
      <c r="BR37" s="227">
        <f>'[1]Housing Generation'!BR37</f>
        <v>58</v>
      </c>
      <c r="BS37" s="227">
        <f>'[1]Housing Generation'!BS37</f>
        <v>58</v>
      </c>
      <c r="BT37" s="227">
        <f>'[1]Housing Generation'!BT37</f>
        <v>57</v>
      </c>
      <c r="BU37" s="224">
        <f>'[1]Housing Generation'!BU37</f>
        <v>405</v>
      </c>
      <c r="BV37" s="229">
        <f>'[1]Housing Generation'!BV37</f>
        <v>61</v>
      </c>
      <c r="BW37" s="229">
        <f>'[1]Housing Generation'!BW37</f>
        <v>61</v>
      </c>
      <c r="BX37" s="229">
        <f>'[1]Housing Generation'!BX37</f>
        <v>60</v>
      </c>
      <c r="BY37" s="229">
        <f>'[1]Housing Generation'!BY37</f>
        <v>60</v>
      </c>
      <c r="BZ37" s="229">
        <f>'[1]Housing Generation'!BZ37</f>
        <v>60</v>
      </c>
      <c r="CA37" s="229">
        <f>'[1]Housing Generation'!CA37</f>
        <v>60</v>
      </c>
      <c r="CB37" s="229">
        <f>'[1]Housing Generation'!CB37</f>
        <v>60</v>
      </c>
      <c r="CC37" s="225">
        <f>'[1]Housing Generation'!CC37</f>
        <v>422</v>
      </c>
      <c r="CD37" s="227">
        <f>'[1]Housing Generation'!CD37</f>
        <v>61</v>
      </c>
      <c r="CE37" s="227">
        <f>'[1]Housing Generation'!CE37</f>
        <v>61</v>
      </c>
      <c r="CF37" s="227">
        <f>'[1]Housing Generation'!CF37</f>
        <v>60</v>
      </c>
      <c r="CG37" s="227">
        <f>'[1]Housing Generation'!CG37</f>
        <v>60</v>
      </c>
      <c r="CH37" s="227">
        <f>'[1]Housing Generation'!CH37</f>
        <v>60</v>
      </c>
      <c r="CI37" s="227">
        <f>'[1]Housing Generation'!CI37</f>
        <v>60</v>
      </c>
      <c r="CJ37" s="227">
        <f>'[1]Housing Generation'!CJ37</f>
        <v>60</v>
      </c>
      <c r="CK37" s="224">
        <f>'[1]Housing Generation'!CK37</f>
        <v>422</v>
      </c>
      <c r="CL37" s="229">
        <f>'[1]Housing Generation'!CL37</f>
        <v>61</v>
      </c>
      <c r="CM37" s="229">
        <f>'[1]Housing Generation'!CM37</f>
        <v>61</v>
      </c>
      <c r="CN37" s="229">
        <f>'[1]Housing Generation'!CN37</f>
        <v>60</v>
      </c>
      <c r="CO37" s="229">
        <f>'[1]Housing Generation'!CO37</f>
        <v>60</v>
      </c>
      <c r="CP37" s="229">
        <f>'[1]Housing Generation'!CP37</f>
        <v>60</v>
      </c>
      <c r="CQ37" s="229">
        <f>'[1]Housing Generation'!CQ37</f>
        <v>60</v>
      </c>
      <c r="CR37" s="229">
        <f>'[1]Housing Generation'!CR37</f>
        <v>60</v>
      </c>
      <c r="CS37" s="225">
        <f>'[1]Housing Generation'!CS37</f>
        <v>422</v>
      </c>
      <c r="CT37" s="227">
        <f>'[1]Housing Generation'!CT37</f>
        <v>61</v>
      </c>
      <c r="CU37" s="227">
        <f>'[1]Housing Generation'!CU37</f>
        <v>61</v>
      </c>
      <c r="CV37" s="227">
        <f>'[1]Housing Generation'!CV37</f>
        <v>60</v>
      </c>
      <c r="CW37" s="227">
        <f>'[1]Housing Generation'!CW37</f>
        <v>60</v>
      </c>
      <c r="CX37" s="227">
        <f>'[1]Housing Generation'!CX37</f>
        <v>60</v>
      </c>
      <c r="CY37" s="227">
        <f>'[1]Housing Generation'!CY37</f>
        <v>60</v>
      </c>
      <c r="CZ37" s="227">
        <f>'[1]Housing Generation'!CZ37</f>
        <v>60</v>
      </c>
      <c r="DA37" s="224">
        <f>'[1]Housing Generation'!DA37</f>
        <v>422</v>
      </c>
      <c r="DB37" s="229">
        <f>'[1]Housing Generation'!DB37</f>
        <v>61</v>
      </c>
      <c r="DC37" s="229">
        <f>'[1]Housing Generation'!DC37</f>
        <v>61</v>
      </c>
      <c r="DD37" s="229">
        <f>'[1]Housing Generation'!DD37</f>
        <v>60</v>
      </c>
      <c r="DE37" s="229">
        <f>'[1]Housing Generation'!DE37</f>
        <v>60</v>
      </c>
      <c r="DF37" s="229">
        <f>'[1]Housing Generation'!DF37</f>
        <v>60</v>
      </c>
      <c r="DG37" s="229">
        <f>'[1]Housing Generation'!DG37</f>
        <v>60</v>
      </c>
      <c r="DH37" s="229">
        <f>'[1]Housing Generation'!DH37</f>
        <v>60</v>
      </c>
      <c r="DI37" s="225">
        <f>'[1]Housing Generation'!DI37</f>
        <v>422</v>
      </c>
      <c r="DJ37" s="227">
        <f>'[1]Housing Generation'!DJ37</f>
        <v>61</v>
      </c>
      <c r="DK37" s="227">
        <f>'[1]Housing Generation'!DK37</f>
        <v>61</v>
      </c>
      <c r="DL37" s="227">
        <f>'[1]Housing Generation'!DL37</f>
        <v>60</v>
      </c>
      <c r="DM37" s="227">
        <f>'[1]Housing Generation'!DM37</f>
        <v>60</v>
      </c>
      <c r="DN37" s="227">
        <f>'[1]Housing Generation'!DN37</f>
        <v>60</v>
      </c>
      <c r="DO37" s="227">
        <f>'[1]Housing Generation'!DO37</f>
        <v>60</v>
      </c>
      <c r="DP37" s="227">
        <f>'[1]Housing Generation'!DP37</f>
        <v>60</v>
      </c>
      <c r="DQ37" s="224">
        <f>'[1]Housing Generation'!DQ37</f>
        <v>422</v>
      </c>
    </row>
    <row r="38" spans="1:121" x14ac:dyDescent="0.2">
      <c r="A38" s="237" t="s">
        <v>39</v>
      </c>
      <c r="B38" s="227">
        <f>'[1]Housing Generation'!B38</f>
        <v>2</v>
      </c>
      <c r="C38" s="227">
        <f>'[1]Housing Generation'!C38</f>
        <v>2</v>
      </c>
      <c r="D38" s="227">
        <f>'[1]Housing Generation'!D38</f>
        <v>2</v>
      </c>
      <c r="E38" s="227">
        <f>'[1]Housing Generation'!E38</f>
        <v>2</v>
      </c>
      <c r="F38" s="227">
        <f>'[1]Housing Generation'!F38</f>
        <v>2</v>
      </c>
      <c r="G38" s="227">
        <f>'[1]Housing Generation'!G38</f>
        <v>2</v>
      </c>
      <c r="H38" s="227">
        <f>'[1]Housing Generation'!H38</f>
        <v>1</v>
      </c>
      <c r="I38" s="224">
        <f>'[1]Housing Generation'!I38</f>
        <v>13</v>
      </c>
      <c r="J38" s="229">
        <f>'[1]Housing Generation'!J38</f>
        <v>5</v>
      </c>
      <c r="K38" s="229">
        <f>'[1]Housing Generation'!K38</f>
        <v>5</v>
      </c>
      <c r="L38" s="229">
        <f>'[1]Housing Generation'!L38</f>
        <v>5</v>
      </c>
      <c r="M38" s="229">
        <f>'[1]Housing Generation'!M38</f>
        <v>5</v>
      </c>
      <c r="N38" s="229">
        <f>'[1]Housing Generation'!N38</f>
        <v>5</v>
      </c>
      <c r="O38" s="229">
        <f>'[1]Housing Generation'!O38</f>
        <v>4</v>
      </c>
      <c r="P38" s="229">
        <f>'[1]Housing Generation'!P38</f>
        <v>4</v>
      </c>
      <c r="Q38" s="225">
        <f>'[1]Housing Generation'!Q38</f>
        <v>33</v>
      </c>
      <c r="R38" s="227">
        <f>'[1]Housing Generation'!R38</f>
        <v>7</v>
      </c>
      <c r="S38" s="227">
        <f>'[1]Housing Generation'!S38</f>
        <v>7</v>
      </c>
      <c r="T38" s="227">
        <f>'[1]Housing Generation'!T38</f>
        <v>6</v>
      </c>
      <c r="U38" s="227">
        <f>'[1]Housing Generation'!U38</f>
        <v>6</v>
      </c>
      <c r="V38" s="227">
        <f>'[1]Housing Generation'!V38</f>
        <v>6</v>
      </c>
      <c r="W38" s="227">
        <f>'[1]Housing Generation'!W38</f>
        <v>6</v>
      </c>
      <c r="X38" s="227">
        <f>'[1]Housing Generation'!X38</f>
        <v>6</v>
      </c>
      <c r="Y38" s="224">
        <f>'[1]Housing Generation'!Y38</f>
        <v>44</v>
      </c>
      <c r="Z38" s="229">
        <f>'[1]Housing Generation'!Z38</f>
        <v>8</v>
      </c>
      <c r="AA38" s="229">
        <f>'[1]Housing Generation'!AA38</f>
        <v>8</v>
      </c>
      <c r="AB38" s="229">
        <f>'[1]Housing Generation'!AB38</f>
        <v>8</v>
      </c>
      <c r="AC38" s="229">
        <f>'[1]Housing Generation'!AC38</f>
        <v>8</v>
      </c>
      <c r="AD38" s="229">
        <f>'[1]Housing Generation'!AD38</f>
        <v>8</v>
      </c>
      <c r="AE38" s="229">
        <f>'[1]Housing Generation'!AE38</f>
        <v>8</v>
      </c>
      <c r="AF38" s="229">
        <f>'[1]Housing Generation'!AF38</f>
        <v>7</v>
      </c>
      <c r="AG38" s="225">
        <f>'[1]Housing Generation'!AG38</f>
        <v>55</v>
      </c>
      <c r="AH38" s="227">
        <f>'[1]Housing Generation'!AH38</f>
        <v>10</v>
      </c>
      <c r="AI38" s="227">
        <f>'[1]Housing Generation'!AI38</f>
        <v>10</v>
      </c>
      <c r="AJ38" s="227">
        <f>'[1]Housing Generation'!AJ38</f>
        <v>10</v>
      </c>
      <c r="AK38" s="227">
        <f>'[1]Housing Generation'!AK38</f>
        <v>9</v>
      </c>
      <c r="AL38" s="227">
        <f>'[1]Housing Generation'!AL38</f>
        <v>9</v>
      </c>
      <c r="AM38" s="227">
        <f>'[1]Housing Generation'!AM38</f>
        <v>9</v>
      </c>
      <c r="AN38" s="227">
        <f>'[1]Housing Generation'!AN38</f>
        <v>9</v>
      </c>
      <c r="AO38" s="224">
        <f>'[1]Housing Generation'!AO38</f>
        <v>66</v>
      </c>
      <c r="AP38" s="229">
        <f>'[1]Housing Generation'!AP38</f>
        <v>11</v>
      </c>
      <c r="AQ38" s="229">
        <f>'[1]Housing Generation'!AQ38</f>
        <v>11</v>
      </c>
      <c r="AR38" s="229">
        <f>'[1]Housing Generation'!AR38</f>
        <v>11</v>
      </c>
      <c r="AS38" s="229">
        <f>'[1]Housing Generation'!AS38</f>
        <v>11</v>
      </c>
      <c r="AT38" s="229">
        <f>'[1]Housing Generation'!AT38</f>
        <v>11</v>
      </c>
      <c r="AU38" s="229">
        <f>'[1]Housing Generation'!AU38</f>
        <v>11</v>
      </c>
      <c r="AV38" s="229">
        <f>'[1]Housing Generation'!AV38</f>
        <v>11</v>
      </c>
      <c r="AW38" s="225">
        <f>'[1]Housing Generation'!AW38</f>
        <v>77</v>
      </c>
      <c r="AX38" s="227">
        <f>'[1]Housing Generation'!AX38</f>
        <v>15</v>
      </c>
      <c r="AY38" s="227">
        <f>'[1]Housing Generation'!AY38</f>
        <v>15</v>
      </c>
      <c r="AZ38" s="227">
        <f>'[1]Housing Generation'!AZ38</f>
        <v>15</v>
      </c>
      <c r="BA38" s="227">
        <f>'[1]Housing Generation'!BA38</f>
        <v>15</v>
      </c>
      <c r="BB38" s="227">
        <f>'[1]Housing Generation'!BB38</f>
        <v>15</v>
      </c>
      <c r="BC38" s="227">
        <f>'[1]Housing Generation'!BC38</f>
        <v>15</v>
      </c>
      <c r="BD38" s="227">
        <f>'[1]Housing Generation'!BD38</f>
        <v>15</v>
      </c>
      <c r="BE38" s="224">
        <f>'[1]Housing Generation'!BE38</f>
        <v>105</v>
      </c>
      <c r="BF38" s="229">
        <f>'[1]Housing Generation'!BF38</f>
        <v>20</v>
      </c>
      <c r="BG38" s="229">
        <f>'[1]Housing Generation'!BG38</f>
        <v>19</v>
      </c>
      <c r="BH38" s="229">
        <f>'[1]Housing Generation'!BH38</f>
        <v>19</v>
      </c>
      <c r="BI38" s="229">
        <f>'[1]Housing Generation'!BI38</f>
        <v>19</v>
      </c>
      <c r="BJ38" s="229">
        <f>'[1]Housing Generation'!BJ38</f>
        <v>19</v>
      </c>
      <c r="BK38" s="229">
        <f>'[1]Housing Generation'!BK38</f>
        <v>19</v>
      </c>
      <c r="BL38" s="229">
        <f>'[1]Housing Generation'!BL38</f>
        <v>19</v>
      </c>
      <c r="BM38" s="225">
        <f>'[1]Housing Generation'!BM38</f>
        <v>134</v>
      </c>
      <c r="BN38" s="227">
        <f>'[1]Housing Generation'!BN38</f>
        <v>24</v>
      </c>
      <c r="BO38" s="227">
        <f>'[1]Housing Generation'!BO38</f>
        <v>24</v>
      </c>
      <c r="BP38" s="227">
        <f>'[1]Housing Generation'!BP38</f>
        <v>23</v>
      </c>
      <c r="BQ38" s="227">
        <f>'[1]Housing Generation'!BQ38</f>
        <v>23</v>
      </c>
      <c r="BR38" s="227">
        <f>'[1]Housing Generation'!BR38</f>
        <v>23</v>
      </c>
      <c r="BS38" s="227">
        <f>'[1]Housing Generation'!BS38</f>
        <v>23</v>
      </c>
      <c r="BT38" s="227">
        <f>'[1]Housing Generation'!BT38</f>
        <v>23</v>
      </c>
      <c r="BU38" s="224">
        <f>'[1]Housing Generation'!BU38</f>
        <v>163</v>
      </c>
      <c r="BV38" s="229">
        <f>'[1]Housing Generation'!BV38</f>
        <v>28</v>
      </c>
      <c r="BW38" s="229">
        <f>'[1]Housing Generation'!BW38</f>
        <v>28</v>
      </c>
      <c r="BX38" s="229">
        <f>'[1]Housing Generation'!BX38</f>
        <v>28</v>
      </c>
      <c r="BY38" s="229">
        <f>'[1]Housing Generation'!BY38</f>
        <v>27</v>
      </c>
      <c r="BZ38" s="229">
        <f>'[1]Housing Generation'!BZ38</f>
        <v>27</v>
      </c>
      <c r="CA38" s="229">
        <f>'[1]Housing Generation'!CA38</f>
        <v>27</v>
      </c>
      <c r="CB38" s="229">
        <f>'[1]Housing Generation'!CB38</f>
        <v>27</v>
      </c>
      <c r="CC38" s="225">
        <f>'[1]Housing Generation'!CC38</f>
        <v>192</v>
      </c>
      <c r="CD38" s="227">
        <f>'[1]Housing Generation'!CD38</f>
        <v>30</v>
      </c>
      <c r="CE38" s="227">
        <f>'[1]Housing Generation'!CE38</f>
        <v>30</v>
      </c>
      <c r="CF38" s="227">
        <f>'[1]Housing Generation'!CF38</f>
        <v>30</v>
      </c>
      <c r="CG38" s="227">
        <f>'[1]Housing Generation'!CG38</f>
        <v>30</v>
      </c>
      <c r="CH38" s="227">
        <f>'[1]Housing Generation'!CH38</f>
        <v>30</v>
      </c>
      <c r="CI38" s="227">
        <f>'[1]Housing Generation'!CI38</f>
        <v>30</v>
      </c>
      <c r="CJ38" s="227">
        <f>'[1]Housing Generation'!CJ38</f>
        <v>30</v>
      </c>
      <c r="CK38" s="224">
        <f>'[1]Housing Generation'!CK38</f>
        <v>210</v>
      </c>
      <c r="CL38" s="229">
        <f>'[1]Housing Generation'!CL38</f>
        <v>31</v>
      </c>
      <c r="CM38" s="229">
        <f>'[1]Housing Generation'!CM38</f>
        <v>31</v>
      </c>
      <c r="CN38" s="229">
        <f>'[1]Housing Generation'!CN38</f>
        <v>31</v>
      </c>
      <c r="CO38" s="229">
        <f>'[1]Housing Generation'!CO38</f>
        <v>31</v>
      </c>
      <c r="CP38" s="229">
        <f>'[1]Housing Generation'!CP38</f>
        <v>31</v>
      </c>
      <c r="CQ38" s="229">
        <f>'[1]Housing Generation'!CQ38</f>
        <v>31</v>
      </c>
      <c r="CR38" s="229">
        <f>'[1]Housing Generation'!CR38</f>
        <v>30</v>
      </c>
      <c r="CS38" s="225">
        <f>'[1]Housing Generation'!CS38</f>
        <v>216</v>
      </c>
      <c r="CT38" s="227">
        <f>'[1]Housing Generation'!CT38</f>
        <v>32</v>
      </c>
      <c r="CU38" s="227">
        <f>'[1]Housing Generation'!CU38</f>
        <v>32</v>
      </c>
      <c r="CV38" s="227">
        <f>'[1]Housing Generation'!CV38</f>
        <v>32</v>
      </c>
      <c r="CW38" s="227">
        <f>'[1]Housing Generation'!CW38</f>
        <v>32</v>
      </c>
      <c r="CX38" s="227">
        <f>'[1]Housing Generation'!CX38</f>
        <v>32</v>
      </c>
      <c r="CY38" s="227">
        <f>'[1]Housing Generation'!CY38</f>
        <v>31</v>
      </c>
      <c r="CZ38" s="227">
        <f>'[1]Housing Generation'!CZ38</f>
        <v>31</v>
      </c>
      <c r="DA38" s="224">
        <f>'[1]Housing Generation'!DA38</f>
        <v>222</v>
      </c>
      <c r="DB38" s="229">
        <f>'[1]Housing Generation'!DB38</f>
        <v>33</v>
      </c>
      <c r="DC38" s="229">
        <f>'[1]Housing Generation'!DC38</f>
        <v>33</v>
      </c>
      <c r="DD38" s="229">
        <f>'[1]Housing Generation'!DD38</f>
        <v>33</v>
      </c>
      <c r="DE38" s="229">
        <f>'[1]Housing Generation'!DE38</f>
        <v>33</v>
      </c>
      <c r="DF38" s="229">
        <f>'[1]Housing Generation'!DF38</f>
        <v>32</v>
      </c>
      <c r="DG38" s="229">
        <f>'[1]Housing Generation'!DG38</f>
        <v>32</v>
      </c>
      <c r="DH38" s="229">
        <f>'[1]Housing Generation'!DH38</f>
        <v>32</v>
      </c>
      <c r="DI38" s="225">
        <f>'[1]Housing Generation'!DI38</f>
        <v>228</v>
      </c>
      <c r="DJ38" s="227">
        <f>'[1]Housing Generation'!DJ38</f>
        <v>34</v>
      </c>
      <c r="DK38" s="227">
        <f>'[1]Housing Generation'!DK38</f>
        <v>34</v>
      </c>
      <c r="DL38" s="227">
        <f>'[1]Housing Generation'!DL38</f>
        <v>34</v>
      </c>
      <c r="DM38" s="227">
        <f>'[1]Housing Generation'!DM38</f>
        <v>33</v>
      </c>
      <c r="DN38" s="227">
        <f>'[1]Housing Generation'!DN38</f>
        <v>33</v>
      </c>
      <c r="DO38" s="227">
        <f>'[1]Housing Generation'!DO38</f>
        <v>33</v>
      </c>
      <c r="DP38" s="227">
        <f>'[1]Housing Generation'!DP38</f>
        <v>33</v>
      </c>
      <c r="DQ38" s="224">
        <f>'[1]Housing Generation'!DQ38</f>
        <v>234</v>
      </c>
    </row>
    <row r="39" spans="1:121" x14ac:dyDescent="0.2">
      <c r="A39" s="237" t="s">
        <v>40</v>
      </c>
      <c r="B39" s="227">
        <f>'[1]Housing Generation'!B39</f>
        <v>1</v>
      </c>
      <c r="C39" s="227">
        <f>'[1]Housing Generation'!C39</f>
        <v>1</v>
      </c>
      <c r="D39" s="227">
        <f>'[1]Housing Generation'!D39</f>
        <v>1</v>
      </c>
      <c r="E39" s="227">
        <f>'[1]Housing Generation'!E39</f>
        <v>0</v>
      </c>
      <c r="F39" s="227">
        <f>'[1]Housing Generation'!F39</f>
        <v>0</v>
      </c>
      <c r="G39" s="227">
        <f>'[1]Housing Generation'!G39</f>
        <v>0</v>
      </c>
      <c r="H39" s="227">
        <f>'[1]Housing Generation'!H39</f>
        <v>0</v>
      </c>
      <c r="I39" s="224">
        <f>'[1]Housing Generation'!I39</f>
        <v>3</v>
      </c>
      <c r="J39" s="229">
        <f>'[1]Housing Generation'!J39</f>
        <v>0</v>
      </c>
      <c r="K39" s="229">
        <f>'[1]Housing Generation'!K39</f>
        <v>0</v>
      </c>
      <c r="L39" s="229">
        <f>'[1]Housing Generation'!L39</f>
        <v>0</v>
      </c>
      <c r="M39" s="229">
        <f>'[1]Housing Generation'!M39</f>
        <v>0</v>
      </c>
      <c r="N39" s="229">
        <f>'[1]Housing Generation'!N39</f>
        <v>0</v>
      </c>
      <c r="O39" s="229">
        <f>'[1]Housing Generation'!O39</f>
        <v>0</v>
      </c>
      <c r="P39" s="229">
        <f>'[1]Housing Generation'!P39</f>
        <v>0</v>
      </c>
      <c r="Q39" s="225">
        <f>'[1]Housing Generation'!Q39</f>
        <v>0</v>
      </c>
      <c r="R39" s="227">
        <f>'[1]Housing Generation'!R39</f>
        <v>3</v>
      </c>
      <c r="S39" s="227">
        <f>'[1]Housing Generation'!S39</f>
        <v>3</v>
      </c>
      <c r="T39" s="227">
        <f>'[1]Housing Generation'!T39</f>
        <v>3</v>
      </c>
      <c r="U39" s="227">
        <f>'[1]Housing Generation'!U39</f>
        <v>2</v>
      </c>
      <c r="V39" s="227">
        <f>'[1]Housing Generation'!V39</f>
        <v>2</v>
      </c>
      <c r="W39" s="227">
        <f>'[1]Housing Generation'!W39</f>
        <v>2</v>
      </c>
      <c r="X39" s="227">
        <f>'[1]Housing Generation'!X39</f>
        <v>2</v>
      </c>
      <c r="Y39" s="224">
        <f>'[1]Housing Generation'!Y39</f>
        <v>17</v>
      </c>
      <c r="Z39" s="229">
        <f>'[1]Housing Generation'!Z39</f>
        <v>5</v>
      </c>
      <c r="AA39" s="229">
        <f>'[1]Housing Generation'!AA39</f>
        <v>5</v>
      </c>
      <c r="AB39" s="229">
        <f>'[1]Housing Generation'!AB39</f>
        <v>5</v>
      </c>
      <c r="AC39" s="229">
        <f>'[1]Housing Generation'!AC39</f>
        <v>5</v>
      </c>
      <c r="AD39" s="229">
        <f>'[1]Housing Generation'!AD39</f>
        <v>5</v>
      </c>
      <c r="AE39" s="229">
        <f>'[1]Housing Generation'!AE39</f>
        <v>5</v>
      </c>
      <c r="AF39" s="229">
        <f>'[1]Housing Generation'!AF39</f>
        <v>4</v>
      </c>
      <c r="AG39" s="225">
        <f>'[1]Housing Generation'!AG39</f>
        <v>34</v>
      </c>
      <c r="AH39" s="227">
        <f>'[1]Housing Generation'!AH39</f>
        <v>7</v>
      </c>
      <c r="AI39" s="227">
        <f>'[1]Housing Generation'!AI39</f>
        <v>7</v>
      </c>
      <c r="AJ39" s="227">
        <f>'[1]Housing Generation'!AJ39</f>
        <v>7</v>
      </c>
      <c r="AK39" s="227">
        <f>'[1]Housing Generation'!AK39</f>
        <v>7</v>
      </c>
      <c r="AL39" s="227">
        <f>'[1]Housing Generation'!AL39</f>
        <v>7</v>
      </c>
      <c r="AM39" s="227">
        <f>'[1]Housing Generation'!AM39</f>
        <v>6</v>
      </c>
      <c r="AN39" s="227">
        <f>'[1]Housing Generation'!AN39</f>
        <v>6</v>
      </c>
      <c r="AO39" s="224">
        <f>'[1]Housing Generation'!AO39</f>
        <v>47</v>
      </c>
      <c r="AP39" s="229">
        <f>'[1]Housing Generation'!AP39</f>
        <v>8</v>
      </c>
      <c r="AQ39" s="229">
        <f>'[1]Housing Generation'!AQ39</f>
        <v>7</v>
      </c>
      <c r="AR39" s="229">
        <f>'[1]Housing Generation'!AR39</f>
        <v>7</v>
      </c>
      <c r="AS39" s="229">
        <f>'[1]Housing Generation'!AS39</f>
        <v>7</v>
      </c>
      <c r="AT39" s="229">
        <f>'[1]Housing Generation'!AT39</f>
        <v>7</v>
      </c>
      <c r="AU39" s="229">
        <f>'[1]Housing Generation'!AU39</f>
        <v>7</v>
      </c>
      <c r="AV39" s="229">
        <f>'[1]Housing Generation'!AV39</f>
        <v>7</v>
      </c>
      <c r="AW39" s="225">
        <f>'[1]Housing Generation'!AW39</f>
        <v>50</v>
      </c>
      <c r="AX39" s="227">
        <f>'[1]Housing Generation'!AX39</f>
        <v>11</v>
      </c>
      <c r="AY39" s="227">
        <f>'[1]Housing Generation'!AY39</f>
        <v>10</v>
      </c>
      <c r="AZ39" s="227">
        <f>'[1]Housing Generation'!AZ39</f>
        <v>10</v>
      </c>
      <c r="BA39" s="227">
        <f>'[1]Housing Generation'!BA39</f>
        <v>10</v>
      </c>
      <c r="BB39" s="227">
        <f>'[1]Housing Generation'!BB39</f>
        <v>10</v>
      </c>
      <c r="BC39" s="227">
        <f>'[1]Housing Generation'!BC39</f>
        <v>10</v>
      </c>
      <c r="BD39" s="227">
        <f>'[1]Housing Generation'!BD39</f>
        <v>10</v>
      </c>
      <c r="BE39" s="224">
        <f>'[1]Housing Generation'!BE39</f>
        <v>71</v>
      </c>
      <c r="BF39" s="229">
        <f>'[1]Housing Generation'!BF39</f>
        <v>15</v>
      </c>
      <c r="BG39" s="229">
        <f>'[1]Housing Generation'!BG39</f>
        <v>14</v>
      </c>
      <c r="BH39" s="229">
        <f>'[1]Housing Generation'!BH39</f>
        <v>14</v>
      </c>
      <c r="BI39" s="229">
        <f>'[1]Housing Generation'!BI39</f>
        <v>14</v>
      </c>
      <c r="BJ39" s="229">
        <f>'[1]Housing Generation'!BJ39</f>
        <v>14</v>
      </c>
      <c r="BK39" s="229">
        <f>'[1]Housing Generation'!BK39</f>
        <v>14</v>
      </c>
      <c r="BL39" s="229">
        <f>'[1]Housing Generation'!BL39</f>
        <v>14</v>
      </c>
      <c r="BM39" s="225">
        <f>'[1]Housing Generation'!BM39</f>
        <v>99</v>
      </c>
      <c r="BN39" s="227">
        <f>'[1]Housing Generation'!BN39</f>
        <v>18</v>
      </c>
      <c r="BO39" s="227">
        <f>'[1]Housing Generation'!BO39</f>
        <v>18</v>
      </c>
      <c r="BP39" s="227">
        <f>'[1]Housing Generation'!BP39</f>
        <v>18</v>
      </c>
      <c r="BQ39" s="227">
        <f>'[1]Housing Generation'!BQ39</f>
        <v>18</v>
      </c>
      <c r="BR39" s="227">
        <f>'[1]Housing Generation'!BR39</f>
        <v>18</v>
      </c>
      <c r="BS39" s="227">
        <f>'[1]Housing Generation'!BS39</f>
        <v>18</v>
      </c>
      <c r="BT39" s="227">
        <f>'[1]Housing Generation'!BT39</f>
        <v>17</v>
      </c>
      <c r="BU39" s="224">
        <f>'[1]Housing Generation'!BU39</f>
        <v>125</v>
      </c>
      <c r="BV39" s="229">
        <f>'[1]Housing Generation'!BV39</f>
        <v>21</v>
      </c>
      <c r="BW39" s="229">
        <f>'[1]Housing Generation'!BW39</f>
        <v>21</v>
      </c>
      <c r="BX39" s="229">
        <f>'[1]Housing Generation'!BX39</f>
        <v>21</v>
      </c>
      <c r="BY39" s="229">
        <f>'[1]Housing Generation'!BY39</f>
        <v>21</v>
      </c>
      <c r="BZ39" s="229">
        <f>'[1]Housing Generation'!BZ39</f>
        <v>21</v>
      </c>
      <c r="CA39" s="229">
        <f>'[1]Housing Generation'!CA39</f>
        <v>21</v>
      </c>
      <c r="CB39" s="229">
        <f>'[1]Housing Generation'!CB39</f>
        <v>20</v>
      </c>
      <c r="CC39" s="225">
        <f>'[1]Housing Generation'!CC39</f>
        <v>146</v>
      </c>
      <c r="CD39" s="227">
        <f>'[1]Housing Generation'!CD39</f>
        <v>26</v>
      </c>
      <c r="CE39" s="227">
        <f>'[1]Housing Generation'!CE39</f>
        <v>26</v>
      </c>
      <c r="CF39" s="227">
        <f>'[1]Housing Generation'!CF39</f>
        <v>26</v>
      </c>
      <c r="CG39" s="227">
        <f>'[1]Housing Generation'!CG39</f>
        <v>26</v>
      </c>
      <c r="CH39" s="227">
        <f>'[1]Housing Generation'!CH39</f>
        <v>26</v>
      </c>
      <c r="CI39" s="227">
        <f>'[1]Housing Generation'!CI39</f>
        <v>26</v>
      </c>
      <c r="CJ39" s="227">
        <f>'[1]Housing Generation'!CJ39</f>
        <v>25</v>
      </c>
      <c r="CK39" s="224">
        <f>'[1]Housing Generation'!CK39</f>
        <v>181</v>
      </c>
      <c r="CL39" s="229">
        <f>'[1]Housing Generation'!CL39</f>
        <v>28</v>
      </c>
      <c r="CM39" s="229">
        <f>'[1]Housing Generation'!CM39</f>
        <v>28</v>
      </c>
      <c r="CN39" s="229">
        <f>'[1]Housing Generation'!CN39</f>
        <v>28</v>
      </c>
      <c r="CO39" s="229">
        <f>'[1]Housing Generation'!CO39</f>
        <v>28</v>
      </c>
      <c r="CP39" s="229">
        <f>'[1]Housing Generation'!CP39</f>
        <v>28</v>
      </c>
      <c r="CQ39" s="229">
        <f>'[1]Housing Generation'!CQ39</f>
        <v>28</v>
      </c>
      <c r="CR39" s="229">
        <f>'[1]Housing Generation'!CR39</f>
        <v>27</v>
      </c>
      <c r="CS39" s="225">
        <f>'[1]Housing Generation'!CS39</f>
        <v>195</v>
      </c>
      <c r="CT39" s="227">
        <f>'[1]Housing Generation'!CT39</f>
        <v>30</v>
      </c>
      <c r="CU39" s="227">
        <f>'[1]Housing Generation'!CU39</f>
        <v>30</v>
      </c>
      <c r="CV39" s="227">
        <f>'[1]Housing Generation'!CV39</f>
        <v>30</v>
      </c>
      <c r="CW39" s="227">
        <f>'[1]Housing Generation'!CW39</f>
        <v>30</v>
      </c>
      <c r="CX39" s="227">
        <f>'[1]Housing Generation'!CX39</f>
        <v>30</v>
      </c>
      <c r="CY39" s="227">
        <f>'[1]Housing Generation'!CY39</f>
        <v>30</v>
      </c>
      <c r="CZ39" s="227">
        <f>'[1]Housing Generation'!CZ39</f>
        <v>29</v>
      </c>
      <c r="DA39" s="224">
        <f>'[1]Housing Generation'!DA39</f>
        <v>209</v>
      </c>
      <c r="DB39" s="229">
        <f>'[1]Housing Generation'!DB39</f>
        <v>32</v>
      </c>
      <c r="DC39" s="229">
        <f>'[1]Housing Generation'!DC39</f>
        <v>32</v>
      </c>
      <c r="DD39" s="229">
        <f>'[1]Housing Generation'!DD39</f>
        <v>32</v>
      </c>
      <c r="DE39" s="229">
        <f>'[1]Housing Generation'!DE39</f>
        <v>32</v>
      </c>
      <c r="DF39" s="229">
        <f>'[1]Housing Generation'!DF39</f>
        <v>32</v>
      </c>
      <c r="DG39" s="229">
        <f>'[1]Housing Generation'!DG39</f>
        <v>32</v>
      </c>
      <c r="DH39" s="229">
        <f>'[1]Housing Generation'!DH39</f>
        <v>31</v>
      </c>
      <c r="DI39" s="225">
        <f>'[1]Housing Generation'!DI39</f>
        <v>223</v>
      </c>
      <c r="DJ39" s="227">
        <f>'[1]Housing Generation'!DJ39</f>
        <v>34</v>
      </c>
      <c r="DK39" s="227">
        <f>'[1]Housing Generation'!DK39</f>
        <v>34</v>
      </c>
      <c r="DL39" s="227">
        <f>'[1]Housing Generation'!DL39</f>
        <v>34</v>
      </c>
      <c r="DM39" s="227">
        <f>'[1]Housing Generation'!DM39</f>
        <v>34</v>
      </c>
      <c r="DN39" s="227">
        <f>'[1]Housing Generation'!DN39</f>
        <v>34</v>
      </c>
      <c r="DO39" s="227">
        <f>'[1]Housing Generation'!DO39</f>
        <v>34</v>
      </c>
      <c r="DP39" s="227">
        <f>'[1]Housing Generation'!DP39</f>
        <v>33</v>
      </c>
      <c r="DQ39" s="224">
        <f>'[1]Housing Generation'!DQ39</f>
        <v>237</v>
      </c>
    </row>
    <row r="40" spans="1:121" x14ac:dyDescent="0.2">
      <c r="A40" s="237" t="s">
        <v>41</v>
      </c>
      <c r="B40" s="227">
        <f>'[1]Housing Generation'!B40</f>
        <v>4</v>
      </c>
      <c r="C40" s="227">
        <f>'[1]Housing Generation'!C40</f>
        <v>4</v>
      </c>
      <c r="D40" s="227">
        <f>'[1]Housing Generation'!D40</f>
        <v>3</v>
      </c>
      <c r="E40" s="227">
        <f>'[1]Housing Generation'!E40</f>
        <v>3</v>
      </c>
      <c r="F40" s="227">
        <f>'[1]Housing Generation'!F40</f>
        <v>3</v>
      </c>
      <c r="G40" s="227">
        <f>'[1]Housing Generation'!G40</f>
        <v>3</v>
      </c>
      <c r="H40" s="227">
        <f>'[1]Housing Generation'!H40</f>
        <v>3</v>
      </c>
      <c r="I40" s="224">
        <f>'[1]Housing Generation'!I40</f>
        <v>23</v>
      </c>
      <c r="J40" s="229">
        <f>'[1]Housing Generation'!J40</f>
        <v>2</v>
      </c>
      <c r="K40" s="229">
        <f>'[1]Housing Generation'!K40</f>
        <v>2</v>
      </c>
      <c r="L40" s="229">
        <f>'[1]Housing Generation'!L40</f>
        <v>2</v>
      </c>
      <c r="M40" s="229">
        <f>'[1]Housing Generation'!M40</f>
        <v>2</v>
      </c>
      <c r="N40" s="229">
        <f>'[1]Housing Generation'!N40</f>
        <v>2</v>
      </c>
      <c r="O40" s="229">
        <f>'[1]Housing Generation'!O40</f>
        <v>2</v>
      </c>
      <c r="P40" s="229">
        <f>'[1]Housing Generation'!P40</f>
        <v>1</v>
      </c>
      <c r="Q40" s="225">
        <f>'[1]Housing Generation'!Q40</f>
        <v>13</v>
      </c>
      <c r="R40" s="227">
        <f>'[1]Housing Generation'!R40</f>
        <v>2</v>
      </c>
      <c r="S40" s="227">
        <f>'[1]Housing Generation'!S40</f>
        <v>2</v>
      </c>
      <c r="T40" s="227">
        <f>'[1]Housing Generation'!T40</f>
        <v>2</v>
      </c>
      <c r="U40" s="227">
        <f>'[1]Housing Generation'!U40</f>
        <v>2</v>
      </c>
      <c r="V40" s="227">
        <f>'[1]Housing Generation'!V40</f>
        <v>2</v>
      </c>
      <c r="W40" s="227">
        <f>'[1]Housing Generation'!W40</f>
        <v>2</v>
      </c>
      <c r="X40" s="227">
        <f>'[1]Housing Generation'!X40</f>
        <v>1</v>
      </c>
      <c r="Y40" s="224">
        <f>'[1]Housing Generation'!Y40</f>
        <v>13</v>
      </c>
      <c r="Z40" s="229">
        <f>'[1]Housing Generation'!Z40</f>
        <v>2</v>
      </c>
      <c r="AA40" s="229">
        <f>'[1]Housing Generation'!AA40</f>
        <v>2</v>
      </c>
      <c r="AB40" s="229">
        <f>'[1]Housing Generation'!AB40</f>
        <v>2</v>
      </c>
      <c r="AC40" s="229">
        <f>'[1]Housing Generation'!AC40</f>
        <v>2</v>
      </c>
      <c r="AD40" s="229">
        <f>'[1]Housing Generation'!AD40</f>
        <v>2</v>
      </c>
      <c r="AE40" s="229">
        <f>'[1]Housing Generation'!AE40</f>
        <v>2</v>
      </c>
      <c r="AF40" s="229">
        <f>'[1]Housing Generation'!AF40</f>
        <v>1</v>
      </c>
      <c r="AG40" s="225">
        <f>'[1]Housing Generation'!AG40</f>
        <v>13</v>
      </c>
      <c r="AH40" s="227">
        <f>'[1]Housing Generation'!AH40</f>
        <v>2</v>
      </c>
      <c r="AI40" s="227">
        <f>'[1]Housing Generation'!AI40</f>
        <v>2</v>
      </c>
      <c r="AJ40" s="227">
        <f>'[1]Housing Generation'!AJ40</f>
        <v>2</v>
      </c>
      <c r="AK40" s="227">
        <f>'[1]Housing Generation'!AK40</f>
        <v>2</v>
      </c>
      <c r="AL40" s="227">
        <f>'[1]Housing Generation'!AL40</f>
        <v>2</v>
      </c>
      <c r="AM40" s="227">
        <f>'[1]Housing Generation'!AM40</f>
        <v>2</v>
      </c>
      <c r="AN40" s="227">
        <f>'[1]Housing Generation'!AN40</f>
        <v>1</v>
      </c>
      <c r="AO40" s="224">
        <f>'[1]Housing Generation'!AO40</f>
        <v>13</v>
      </c>
      <c r="AP40" s="229">
        <f>'[1]Housing Generation'!AP40</f>
        <v>2</v>
      </c>
      <c r="AQ40" s="229">
        <f>'[1]Housing Generation'!AQ40</f>
        <v>2</v>
      </c>
      <c r="AR40" s="229">
        <f>'[1]Housing Generation'!AR40</f>
        <v>2</v>
      </c>
      <c r="AS40" s="229">
        <f>'[1]Housing Generation'!AS40</f>
        <v>2</v>
      </c>
      <c r="AT40" s="229">
        <f>'[1]Housing Generation'!AT40</f>
        <v>2</v>
      </c>
      <c r="AU40" s="229">
        <f>'[1]Housing Generation'!AU40</f>
        <v>2</v>
      </c>
      <c r="AV40" s="229">
        <f>'[1]Housing Generation'!AV40</f>
        <v>1</v>
      </c>
      <c r="AW40" s="225">
        <f>'[1]Housing Generation'!AW40</f>
        <v>13</v>
      </c>
      <c r="AX40" s="227">
        <f>'[1]Housing Generation'!AX40</f>
        <v>3</v>
      </c>
      <c r="AY40" s="227">
        <f>'[1]Housing Generation'!AY40</f>
        <v>3</v>
      </c>
      <c r="AZ40" s="227">
        <f>'[1]Housing Generation'!AZ40</f>
        <v>3</v>
      </c>
      <c r="BA40" s="227">
        <f>'[1]Housing Generation'!BA40</f>
        <v>3</v>
      </c>
      <c r="BB40" s="227">
        <f>'[1]Housing Generation'!BB40</f>
        <v>2</v>
      </c>
      <c r="BC40" s="227">
        <f>'[1]Housing Generation'!BC40</f>
        <v>2</v>
      </c>
      <c r="BD40" s="227">
        <f>'[1]Housing Generation'!BD40</f>
        <v>2</v>
      </c>
      <c r="BE40" s="224">
        <f>'[1]Housing Generation'!BE40</f>
        <v>18</v>
      </c>
      <c r="BF40" s="229">
        <f>'[1]Housing Generation'!BF40</f>
        <v>4</v>
      </c>
      <c r="BG40" s="229">
        <f>'[1]Housing Generation'!BG40</f>
        <v>4</v>
      </c>
      <c r="BH40" s="229">
        <f>'[1]Housing Generation'!BH40</f>
        <v>3</v>
      </c>
      <c r="BI40" s="229">
        <f>'[1]Housing Generation'!BI40</f>
        <v>3</v>
      </c>
      <c r="BJ40" s="229">
        <f>'[1]Housing Generation'!BJ40</f>
        <v>3</v>
      </c>
      <c r="BK40" s="229">
        <f>'[1]Housing Generation'!BK40</f>
        <v>3</v>
      </c>
      <c r="BL40" s="229">
        <f>'[1]Housing Generation'!BL40</f>
        <v>3</v>
      </c>
      <c r="BM40" s="225">
        <f>'[1]Housing Generation'!BM40</f>
        <v>23</v>
      </c>
      <c r="BN40" s="227">
        <f>'[1]Housing Generation'!BN40</f>
        <v>4</v>
      </c>
      <c r="BO40" s="227">
        <f>'[1]Housing Generation'!BO40</f>
        <v>4</v>
      </c>
      <c r="BP40" s="227">
        <f>'[1]Housing Generation'!BP40</f>
        <v>4</v>
      </c>
      <c r="BQ40" s="227">
        <f>'[1]Housing Generation'!BQ40</f>
        <v>4</v>
      </c>
      <c r="BR40" s="227">
        <f>'[1]Housing Generation'!BR40</f>
        <v>4</v>
      </c>
      <c r="BS40" s="227">
        <f>'[1]Housing Generation'!BS40</f>
        <v>4</v>
      </c>
      <c r="BT40" s="227">
        <f>'[1]Housing Generation'!BT40</f>
        <v>4</v>
      </c>
      <c r="BU40" s="224">
        <f>'[1]Housing Generation'!BU40</f>
        <v>28</v>
      </c>
      <c r="BV40" s="229">
        <f>'[1]Housing Generation'!BV40</f>
        <v>5</v>
      </c>
      <c r="BW40" s="229">
        <f>'[1]Housing Generation'!BW40</f>
        <v>5</v>
      </c>
      <c r="BX40" s="229">
        <f>'[1]Housing Generation'!BX40</f>
        <v>5</v>
      </c>
      <c r="BY40" s="229">
        <f>'[1]Housing Generation'!BY40</f>
        <v>5</v>
      </c>
      <c r="BZ40" s="229">
        <f>'[1]Housing Generation'!BZ40</f>
        <v>5</v>
      </c>
      <c r="CA40" s="229">
        <f>'[1]Housing Generation'!CA40</f>
        <v>4</v>
      </c>
      <c r="CB40" s="229">
        <f>'[1]Housing Generation'!CB40</f>
        <v>4</v>
      </c>
      <c r="CC40" s="225">
        <f>'[1]Housing Generation'!CC40</f>
        <v>33</v>
      </c>
      <c r="CD40" s="227">
        <f>'[1]Housing Generation'!CD40</f>
        <v>6</v>
      </c>
      <c r="CE40" s="227">
        <f>'[1]Housing Generation'!CE40</f>
        <v>6</v>
      </c>
      <c r="CF40" s="227">
        <f>'[1]Housing Generation'!CF40</f>
        <v>6</v>
      </c>
      <c r="CG40" s="227">
        <f>'[1]Housing Generation'!CG40</f>
        <v>5</v>
      </c>
      <c r="CH40" s="227">
        <f>'[1]Housing Generation'!CH40</f>
        <v>5</v>
      </c>
      <c r="CI40" s="227">
        <f>'[1]Housing Generation'!CI40</f>
        <v>5</v>
      </c>
      <c r="CJ40" s="227">
        <f>'[1]Housing Generation'!CJ40</f>
        <v>5</v>
      </c>
      <c r="CK40" s="224">
        <f>'[1]Housing Generation'!CK40</f>
        <v>38</v>
      </c>
      <c r="CL40" s="229">
        <f>'[1]Housing Generation'!CL40</f>
        <v>6</v>
      </c>
      <c r="CM40" s="229">
        <f>'[1]Housing Generation'!CM40</f>
        <v>6</v>
      </c>
      <c r="CN40" s="229">
        <f>'[1]Housing Generation'!CN40</f>
        <v>6</v>
      </c>
      <c r="CO40" s="229">
        <f>'[1]Housing Generation'!CO40</f>
        <v>6</v>
      </c>
      <c r="CP40" s="229">
        <f>'[1]Housing Generation'!CP40</f>
        <v>6</v>
      </c>
      <c r="CQ40" s="229">
        <f>'[1]Housing Generation'!CQ40</f>
        <v>6</v>
      </c>
      <c r="CR40" s="229">
        <f>'[1]Housing Generation'!CR40</f>
        <v>5</v>
      </c>
      <c r="CS40" s="225">
        <f>'[1]Housing Generation'!CS40</f>
        <v>41</v>
      </c>
      <c r="CT40" s="227">
        <f>'[1]Housing Generation'!CT40</f>
        <v>7</v>
      </c>
      <c r="CU40" s="227">
        <f>'[1]Housing Generation'!CU40</f>
        <v>6</v>
      </c>
      <c r="CV40" s="227">
        <f>'[1]Housing Generation'!CV40</f>
        <v>6</v>
      </c>
      <c r="CW40" s="227">
        <f>'[1]Housing Generation'!CW40</f>
        <v>6</v>
      </c>
      <c r="CX40" s="227">
        <f>'[1]Housing Generation'!CX40</f>
        <v>6</v>
      </c>
      <c r="CY40" s="227">
        <f>'[1]Housing Generation'!CY40</f>
        <v>6</v>
      </c>
      <c r="CZ40" s="227">
        <f>'[1]Housing Generation'!CZ40</f>
        <v>6</v>
      </c>
      <c r="DA40" s="224">
        <f>'[1]Housing Generation'!DA40</f>
        <v>43</v>
      </c>
      <c r="DB40" s="229">
        <f>'[1]Housing Generation'!DB40</f>
        <v>7</v>
      </c>
      <c r="DC40" s="229">
        <f>'[1]Housing Generation'!DC40</f>
        <v>7</v>
      </c>
      <c r="DD40" s="229">
        <f>'[1]Housing Generation'!DD40</f>
        <v>7</v>
      </c>
      <c r="DE40" s="229">
        <f>'[1]Housing Generation'!DE40</f>
        <v>7</v>
      </c>
      <c r="DF40" s="229">
        <f>'[1]Housing Generation'!DF40</f>
        <v>6</v>
      </c>
      <c r="DG40" s="229">
        <f>'[1]Housing Generation'!DG40</f>
        <v>6</v>
      </c>
      <c r="DH40" s="229">
        <f>'[1]Housing Generation'!DH40</f>
        <v>6</v>
      </c>
      <c r="DI40" s="225">
        <f>'[1]Housing Generation'!DI40</f>
        <v>46</v>
      </c>
      <c r="DJ40" s="227">
        <f>'[1]Housing Generation'!DJ40</f>
        <v>7</v>
      </c>
      <c r="DK40" s="227">
        <f>'[1]Housing Generation'!DK40</f>
        <v>7</v>
      </c>
      <c r="DL40" s="227">
        <f>'[1]Housing Generation'!DL40</f>
        <v>7</v>
      </c>
      <c r="DM40" s="227">
        <f>'[1]Housing Generation'!DM40</f>
        <v>7</v>
      </c>
      <c r="DN40" s="227">
        <f>'[1]Housing Generation'!DN40</f>
        <v>7</v>
      </c>
      <c r="DO40" s="227">
        <f>'[1]Housing Generation'!DO40</f>
        <v>7</v>
      </c>
      <c r="DP40" s="227">
        <f>'[1]Housing Generation'!DP40</f>
        <v>6</v>
      </c>
      <c r="DQ40" s="224">
        <f>'[1]Housing Generation'!DQ40</f>
        <v>48</v>
      </c>
    </row>
    <row r="41" spans="1:121" x14ac:dyDescent="0.2">
      <c r="A41" s="237" t="s">
        <v>42</v>
      </c>
      <c r="B41" s="227">
        <f>'[1]Housing Generation'!B41</f>
        <v>0</v>
      </c>
      <c r="C41" s="227">
        <f>'[1]Housing Generation'!C41</f>
        <v>0</v>
      </c>
      <c r="D41" s="227">
        <f>'[1]Housing Generation'!D41</f>
        <v>0</v>
      </c>
      <c r="E41" s="227">
        <f>'[1]Housing Generation'!E41</f>
        <v>0</v>
      </c>
      <c r="F41" s="227">
        <f>'[1]Housing Generation'!F41</f>
        <v>0</v>
      </c>
      <c r="G41" s="227">
        <f>'[1]Housing Generation'!G41</f>
        <v>0</v>
      </c>
      <c r="H41" s="227">
        <f>'[1]Housing Generation'!H41</f>
        <v>0</v>
      </c>
      <c r="I41" s="224">
        <f>'[1]Housing Generation'!I41</f>
        <v>0</v>
      </c>
      <c r="J41" s="229">
        <f>'[1]Housing Generation'!J41</f>
        <v>0</v>
      </c>
      <c r="K41" s="229">
        <f>'[1]Housing Generation'!K41</f>
        <v>0</v>
      </c>
      <c r="L41" s="229">
        <f>'[1]Housing Generation'!L41</f>
        <v>0</v>
      </c>
      <c r="M41" s="229">
        <f>'[1]Housing Generation'!M41</f>
        <v>0</v>
      </c>
      <c r="N41" s="229">
        <f>'[1]Housing Generation'!N41</f>
        <v>0</v>
      </c>
      <c r="O41" s="229">
        <f>'[1]Housing Generation'!O41</f>
        <v>0</v>
      </c>
      <c r="P41" s="229">
        <f>'[1]Housing Generation'!P41</f>
        <v>0</v>
      </c>
      <c r="Q41" s="225">
        <f>'[1]Housing Generation'!Q41</f>
        <v>0</v>
      </c>
      <c r="R41" s="227">
        <f>'[1]Housing Generation'!R41</f>
        <v>0</v>
      </c>
      <c r="S41" s="227">
        <f>'[1]Housing Generation'!S41</f>
        <v>0</v>
      </c>
      <c r="T41" s="227">
        <f>'[1]Housing Generation'!T41</f>
        <v>0</v>
      </c>
      <c r="U41" s="227">
        <f>'[1]Housing Generation'!U41</f>
        <v>0</v>
      </c>
      <c r="V41" s="227">
        <f>'[1]Housing Generation'!V41</f>
        <v>0</v>
      </c>
      <c r="W41" s="227">
        <f>'[1]Housing Generation'!W41</f>
        <v>0</v>
      </c>
      <c r="X41" s="227">
        <f>'[1]Housing Generation'!X41</f>
        <v>0</v>
      </c>
      <c r="Y41" s="224">
        <f>'[1]Housing Generation'!Y41</f>
        <v>0</v>
      </c>
      <c r="Z41" s="229">
        <f>'[1]Housing Generation'!Z41</f>
        <v>1</v>
      </c>
      <c r="AA41" s="229">
        <f>'[1]Housing Generation'!AA41</f>
        <v>0</v>
      </c>
      <c r="AB41" s="229">
        <f>'[1]Housing Generation'!AB41</f>
        <v>0</v>
      </c>
      <c r="AC41" s="229">
        <f>'[1]Housing Generation'!AC41</f>
        <v>0</v>
      </c>
      <c r="AD41" s="229">
        <f>'[1]Housing Generation'!AD41</f>
        <v>0</v>
      </c>
      <c r="AE41" s="229">
        <f>'[1]Housing Generation'!AE41</f>
        <v>0</v>
      </c>
      <c r="AF41" s="229">
        <f>'[1]Housing Generation'!AF41</f>
        <v>0</v>
      </c>
      <c r="AG41" s="225">
        <f>'[1]Housing Generation'!AG41</f>
        <v>1</v>
      </c>
      <c r="AH41" s="227">
        <f>'[1]Housing Generation'!AH41</f>
        <v>1</v>
      </c>
      <c r="AI41" s="227">
        <f>'[1]Housing Generation'!AI41</f>
        <v>1</v>
      </c>
      <c r="AJ41" s="227">
        <f>'[1]Housing Generation'!AJ41</f>
        <v>0</v>
      </c>
      <c r="AK41" s="227">
        <f>'[1]Housing Generation'!AK41</f>
        <v>0</v>
      </c>
      <c r="AL41" s="227">
        <f>'[1]Housing Generation'!AL41</f>
        <v>0</v>
      </c>
      <c r="AM41" s="227">
        <f>'[1]Housing Generation'!AM41</f>
        <v>0</v>
      </c>
      <c r="AN41" s="227">
        <f>'[1]Housing Generation'!AN41</f>
        <v>0</v>
      </c>
      <c r="AO41" s="224">
        <f>'[1]Housing Generation'!AO41</f>
        <v>2</v>
      </c>
      <c r="AP41" s="229">
        <f>'[1]Housing Generation'!AP41</f>
        <v>1</v>
      </c>
      <c r="AQ41" s="229">
        <f>'[1]Housing Generation'!AQ41</f>
        <v>1</v>
      </c>
      <c r="AR41" s="229">
        <f>'[1]Housing Generation'!AR41</f>
        <v>0</v>
      </c>
      <c r="AS41" s="229">
        <f>'[1]Housing Generation'!AS41</f>
        <v>0</v>
      </c>
      <c r="AT41" s="229">
        <f>'[1]Housing Generation'!AT41</f>
        <v>0</v>
      </c>
      <c r="AU41" s="229">
        <f>'[1]Housing Generation'!AU41</f>
        <v>0</v>
      </c>
      <c r="AV41" s="229">
        <f>'[1]Housing Generation'!AV41</f>
        <v>0</v>
      </c>
      <c r="AW41" s="225">
        <f>'[1]Housing Generation'!AW41</f>
        <v>2</v>
      </c>
      <c r="AX41" s="227">
        <f>'[1]Housing Generation'!AX41</f>
        <v>1</v>
      </c>
      <c r="AY41" s="227">
        <f>'[1]Housing Generation'!AY41</f>
        <v>1</v>
      </c>
      <c r="AZ41" s="227">
        <f>'[1]Housing Generation'!AZ41</f>
        <v>0</v>
      </c>
      <c r="BA41" s="227">
        <f>'[1]Housing Generation'!BA41</f>
        <v>0</v>
      </c>
      <c r="BB41" s="227">
        <f>'[1]Housing Generation'!BB41</f>
        <v>0</v>
      </c>
      <c r="BC41" s="227">
        <f>'[1]Housing Generation'!BC41</f>
        <v>0</v>
      </c>
      <c r="BD41" s="227">
        <f>'[1]Housing Generation'!BD41</f>
        <v>0</v>
      </c>
      <c r="BE41" s="224">
        <f>'[1]Housing Generation'!BE41</f>
        <v>2</v>
      </c>
      <c r="BF41" s="229">
        <f>'[1]Housing Generation'!BF41</f>
        <v>1</v>
      </c>
      <c r="BG41" s="229">
        <f>'[1]Housing Generation'!BG41</f>
        <v>1</v>
      </c>
      <c r="BH41" s="229">
        <f>'[1]Housing Generation'!BH41</f>
        <v>0</v>
      </c>
      <c r="BI41" s="229">
        <f>'[1]Housing Generation'!BI41</f>
        <v>0</v>
      </c>
      <c r="BJ41" s="229">
        <f>'[1]Housing Generation'!BJ41</f>
        <v>0</v>
      </c>
      <c r="BK41" s="229">
        <f>'[1]Housing Generation'!BK41</f>
        <v>0</v>
      </c>
      <c r="BL41" s="229">
        <f>'[1]Housing Generation'!BL41</f>
        <v>0</v>
      </c>
      <c r="BM41" s="225">
        <f>'[1]Housing Generation'!BM41</f>
        <v>2</v>
      </c>
      <c r="BN41" s="227">
        <f>'[1]Housing Generation'!BN41</f>
        <v>1</v>
      </c>
      <c r="BO41" s="227">
        <f>'[1]Housing Generation'!BO41</f>
        <v>1</v>
      </c>
      <c r="BP41" s="227">
        <f>'[1]Housing Generation'!BP41</f>
        <v>0</v>
      </c>
      <c r="BQ41" s="227">
        <f>'[1]Housing Generation'!BQ41</f>
        <v>0</v>
      </c>
      <c r="BR41" s="227">
        <f>'[1]Housing Generation'!BR41</f>
        <v>0</v>
      </c>
      <c r="BS41" s="227">
        <f>'[1]Housing Generation'!BS41</f>
        <v>0</v>
      </c>
      <c r="BT41" s="227">
        <f>'[1]Housing Generation'!BT41</f>
        <v>0</v>
      </c>
      <c r="BU41" s="224">
        <f>'[1]Housing Generation'!BU41</f>
        <v>2</v>
      </c>
      <c r="BV41" s="229">
        <f>'[1]Housing Generation'!BV41</f>
        <v>1</v>
      </c>
      <c r="BW41" s="229">
        <f>'[1]Housing Generation'!BW41</f>
        <v>1</v>
      </c>
      <c r="BX41" s="229">
        <f>'[1]Housing Generation'!BX41</f>
        <v>0</v>
      </c>
      <c r="BY41" s="229">
        <f>'[1]Housing Generation'!BY41</f>
        <v>0</v>
      </c>
      <c r="BZ41" s="229">
        <f>'[1]Housing Generation'!BZ41</f>
        <v>0</v>
      </c>
      <c r="CA41" s="229">
        <f>'[1]Housing Generation'!CA41</f>
        <v>0</v>
      </c>
      <c r="CB41" s="229">
        <f>'[1]Housing Generation'!CB41</f>
        <v>0</v>
      </c>
      <c r="CC41" s="225">
        <f>'[1]Housing Generation'!CC41</f>
        <v>2</v>
      </c>
      <c r="CD41" s="227">
        <f>'[1]Housing Generation'!CD41</f>
        <v>1</v>
      </c>
      <c r="CE41" s="227">
        <f>'[1]Housing Generation'!CE41</f>
        <v>1</v>
      </c>
      <c r="CF41" s="227">
        <f>'[1]Housing Generation'!CF41</f>
        <v>0</v>
      </c>
      <c r="CG41" s="227">
        <f>'[1]Housing Generation'!CG41</f>
        <v>0</v>
      </c>
      <c r="CH41" s="227">
        <f>'[1]Housing Generation'!CH41</f>
        <v>0</v>
      </c>
      <c r="CI41" s="227">
        <f>'[1]Housing Generation'!CI41</f>
        <v>0</v>
      </c>
      <c r="CJ41" s="227">
        <f>'[1]Housing Generation'!CJ41</f>
        <v>0</v>
      </c>
      <c r="CK41" s="224">
        <f>'[1]Housing Generation'!CK41</f>
        <v>2</v>
      </c>
      <c r="CL41" s="229">
        <f>'[1]Housing Generation'!CL41</f>
        <v>1</v>
      </c>
      <c r="CM41" s="229">
        <f>'[1]Housing Generation'!CM41</f>
        <v>1</v>
      </c>
      <c r="CN41" s="229">
        <f>'[1]Housing Generation'!CN41</f>
        <v>0</v>
      </c>
      <c r="CO41" s="229">
        <f>'[1]Housing Generation'!CO41</f>
        <v>0</v>
      </c>
      <c r="CP41" s="229">
        <f>'[1]Housing Generation'!CP41</f>
        <v>0</v>
      </c>
      <c r="CQ41" s="229">
        <f>'[1]Housing Generation'!CQ41</f>
        <v>0</v>
      </c>
      <c r="CR41" s="229">
        <f>'[1]Housing Generation'!CR41</f>
        <v>0</v>
      </c>
      <c r="CS41" s="225">
        <f>'[1]Housing Generation'!CS41</f>
        <v>2</v>
      </c>
      <c r="CT41" s="227">
        <f>'[1]Housing Generation'!CT41</f>
        <v>0</v>
      </c>
      <c r="CU41" s="227">
        <f>'[1]Housing Generation'!CU41</f>
        <v>0</v>
      </c>
      <c r="CV41" s="227">
        <f>'[1]Housing Generation'!CV41</f>
        <v>0</v>
      </c>
      <c r="CW41" s="227">
        <f>'[1]Housing Generation'!CW41</f>
        <v>0</v>
      </c>
      <c r="CX41" s="227">
        <f>'[1]Housing Generation'!CX41</f>
        <v>0</v>
      </c>
      <c r="CY41" s="227">
        <f>'[1]Housing Generation'!CY41</f>
        <v>0</v>
      </c>
      <c r="CZ41" s="227">
        <f>'[1]Housing Generation'!CZ41</f>
        <v>0</v>
      </c>
      <c r="DA41" s="224">
        <f>'[1]Housing Generation'!DA41</f>
        <v>0</v>
      </c>
      <c r="DB41" s="229">
        <f>'[1]Housing Generation'!DB41</f>
        <v>0</v>
      </c>
      <c r="DC41" s="229">
        <f>'[1]Housing Generation'!DC41</f>
        <v>0</v>
      </c>
      <c r="DD41" s="229">
        <f>'[1]Housing Generation'!DD41</f>
        <v>0</v>
      </c>
      <c r="DE41" s="229">
        <f>'[1]Housing Generation'!DE41</f>
        <v>0</v>
      </c>
      <c r="DF41" s="229">
        <f>'[1]Housing Generation'!DF41</f>
        <v>0</v>
      </c>
      <c r="DG41" s="229">
        <f>'[1]Housing Generation'!DG41</f>
        <v>0</v>
      </c>
      <c r="DH41" s="229">
        <f>'[1]Housing Generation'!DH41</f>
        <v>0</v>
      </c>
      <c r="DI41" s="225">
        <f>'[1]Housing Generation'!DI41</f>
        <v>0</v>
      </c>
      <c r="DJ41" s="227">
        <f>'[1]Housing Generation'!DJ41</f>
        <v>0</v>
      </c>
      <c r="DK41" s="227">
        <f>'[1]Housing Generation'!DK41</f>
        <v>0</v>
      </c>
      <c r="DL41" s="227">
        <f>'[1]Housing Generation'!DL41</f>
        <v>0</v>
      </c>
      <c r="DM41" s="227">
        <f>'[1]Housing Generation'!DM41</f>
        <v>0</v>
      </c>
      <c r="DN41" s="227">
        <f>'[1]Housing Generation'!DN41</f>
        <v>0</v>
      </c>
      <c r="DO41" s="227">
        <f>'[1]Housing Generation'!DO41</f>
        <v>0</v>
      </c>
      <c r="DP41" s="227">
        <f>'[1]Housing Generation'!DP41</f>
        <v>0</v>
      </c>
      <c r="DQ41" s="224">
        <f>'[1]Housing Generation'!DQ41</f>
        <v>0</v>
      </c>
    </row>
    <row r="42" spans="1:121" x14ac:dyDescent="0.2">
      <c r="A42" s="237" t="s">
        <v>43</v>
      </c>
      <c r="B42" s="227">
        <f>'[1]Housing Generation'!B42</f>
        <v>0</v>
      </c>
      <c r="C42" s="227">
        <f>'[1]Housing Generation'!C42</f>
        <v>0</v>
      </c>
      <c r="D42" s="227">
        <f>'[1]Housing Generation'!D42</f>
        <v>0</v>
      </c>
      <c r="E42" s="227">
        <f>'[1]Housing Generation'!E42</f>
        <v>0</v>
      </c>
      <c r="F42" s="227">
        <f>'[1]Housing Generation'!F42</f>
        <v>0</v>
      </c>
      <c r="G42" s="227">
        <f>'[1]Housing Generation'!G42</f>
        <v>0</v>
      </c>
      <c r="H42" s="227">
        <f>'[1]Housing Generation'!H42</f>
        <v>0</v>
      </c>
      <c r="I42" s="224">
        <f>'[1]Housing Generation'!I42</f>
        <v>0</v>
      </c>
      <c r="J42" s="229">
        <f>'[1]Housing Generation'!J42</f>
        <v>0</v>
      </c>
      <c r="K42" s="229">
        <f>'[1]Housing Generation'!K42</f>
        <v>0</v>
      </c>
      <c r="L42" s="229">
        <f>'[1]Housing Generation'!L42</f>
        <v>0</v>
      </c>
      <c r="M42" s="229">
        <f>'[1]Housing Generation'!M42</f>
        <v>0</v>
      </c>
      <c r="N42" s="229">
        <f>'[1]Housing Generation'!N42</f>
        <v>0</v>
      </c>
      <c r="O42" s="229">
        <f>'[1]Housing Generation'!O42</f>
        <v>0</v>
      </c>
      <c r="P42" s="229">
        <f>'[1]Housing Generation'!P42</f>
        <v>0</v>
      </c>
      <c r="Q42" s="225">
        <f>'[1]Housing Generation'!Q42</f>
        <v>0</v>
      </c>
      <c r="R42" s="227">
        <f>'[1]Housing Generation'!R42</f>
        <v>1</v>
      </c>
      <c r="S42" s="227">
        <f>'[1]Housing Generation'!S42</f>
        <v>1</v>
      </c>
      <c r="T42" s="227">
        <f>'[1]Housing Generation'!T42</f>
        <v>1</v>
      </c>
      <c r="U42" s="227">
        <f>'[1]Housing Generation'!U42</f>
        <v>1</v>
      </c>
      <c r="V42" s="227">
        <f>'[1]Housing Generation'!V42</f>
        <v>1</v>
      </c>
      <c r="W42" s="227">
        <f>'[1]Housing Generation'!W42</f>
        <v>0</v>
      </c>
      <c r="X42" s="227">
        <f>'[1]Housing Generation'!X42</f>
        <v>0</v>
      </c>
      <c r="Y42" s="224">
        <f>'[1]Housing Generation'!Y42</f>
        <v>5</v>
      </c>
      <c r="Z42" s="229">
        <f>'[1]Housing Generation'!Z42</f>
        <v>2</v>
      </c>
      <c r="AA42" s="229">
        <f>'[1]Housing Generation'!AA42</f>
        <v>2</v>
      </c>
      <c r="AB42" s="229">
        <f>'[1]Housing Generation'!AB42</f>
        <v>2</v>
      </c>
      <c r="AC42" s="229">
        <f>'[1]Housing Generation'!AC42</f>
        <v>2</v>
      </c>
      <c r="AD42" s="229">
        <f>'[1]Housing Generation'!AD42</f>
        <v>2</v>
      </c>
      <c r="AE42" s="229">
        <f>'[1]Housing Generation'!AE42</f>
        <v>2</v>
      </c>
      <c r="AF42" s="229">
        <f>'[1]Housing Generation'!AF42</f>
        <v>2</v>
      </c>
      <c r="AG42" s="225">
        <f>'[1]Housing Generation'!AG42</f>
        <v>14</v>
      </c>
      <c r="AH42" s="227">
        <f>'[1]Housing Generation'!AH42</f>
        <v>4</v>
      </c>
      <c r="AI42" s="227">
        <f>'[1]Housing Generation'!AI42</f>
        <v>4</v>
      </c>
      <c r="AJ42" s="227">
        <f>'[1]Housing Generation'!AJ42</f>
        <v>3</v>
      </c>
      <c r="AK42" s="227">
        <f>'[1]Housing Generation'!AK42</f>
        <v>3</v>
      </c>
      <c r="AL42" s="227">
        <f>'[1]Housing Generation'!AL42</f>
        <v>3</v>
      </c>
      <c r="AM42" s="227">
        <f>'[1]Housing Generation'!AM42</f>
        <v>3</v>
      </c>
      <c r="AN42" s="227">
        <f>'[1]Housing Generation'!AN42</f>
        <v>3</v>
      </c>
      <c r="AO42" s="224">
        <f>'[1]Housing Generation'!AO42</f>
        <v>23</v>
      </c>
      <c r="AP42" s="229">
        <f>'[1]Housing Generation'!AP42</f>
        <v>5</v>
      </c>
      <c r="AQ42" s="229">
        <f>'[1]Housing Generation'!AQ42</f>
        <v>5</v>
      </c>
      <c r="AR42" s="229">
        <f>'[1]Housing Generation'!AR42</f>
        <v>4</v>
      </c>
      <c r="AS42" s="229">
        <f>'[1]Housing Generation'!AS42</f>
        <v>4</v>
      </c>
      <c r="AT42" s="229">
        <f>'[1]Housing Generation'!AT42</f>
        <v>4</v>
      </c>
      <c r="AU42" s="229">
        <f>'[1]Housing Generation'!AU42</f>
        <v>4</v>
      </c>
      <c r="AV42" s="229">
        <f>'[1]Housing Generation'!AV42</f>
        <v>4</v>
      </c>
      <c r="AW42" s="225">
        <f>'[1]Housing Generation'!AW42</f>
        <v>30</v>
      </c>
      <c r="AX42" s="227">
        <f>'[1]Housing Generation'!AX42</f>
        <v>5</v>
      </c>
      <c r="AY42" s="227">
        <f>'[1]Housing Generation'!AY42</f>
        <v>5</v>
      </c>
      <c r="AZ42" s="227">
        <f>'[1]Housing Generation'!AZ42</f>
        <v>4</v>
      </c>
      <c r="BA42" s="227">
        <f>'[1]Housing Generation'!BA42</f>
        <v>4</v>
      </c>
      <c r="BB42" s="227">
        <f>'[1]Housing Generation'!BB42</f>
        <v>4</v>
      </c>
      <c r="BC42" s="227">
        <f>'[1]Housing Generation'!BC42</f>
        <v>4</v>
      </c>
      <c r="BD42" s="227">
        <f>'[1]Housing Generation'!BD42</f>
        <v>4</v>
      </c>
      <c r="BE42" s="224">
        <f>'[1]Housing Generation'!BE42</f>
        <v>30</v>
      </c>
      <c r="BF42" s="229">
        <f>'[1]Housing Generation'!BF42</f>
        <v>5</v>
      </c>
      <c r="BG42" s="229">
        <f>'[1]Housing Generation'!BG42</f>
        <v>5</v>
      </c>
      <c r="BH42" s="229">
        <f>'[1]Housing Generation'!BH42</f>
        <v>4</v>
      </c>
      <c r="BI42" s="229">
        <f>'[1]Housing Generation'!BI42</f>
        <v>4</v>
      </c>
      <c r="BJ42" s="229">
        <f>'[1]Housing Generation'!BJ42</f>
        <v>4</v>
      </c>
      <c r="BK42" s="229">
        <f>'[1]Housing Generation'!BK42</f>
        <v>4</v>
      </c>
      <c r="BL42" s="229">
        <f>'[1]Housing Generation'!BL42</f>
        <v>4</v>
      </c>
      <c r="BM42" s="225">
        <f>'[1]Housing Generation'!BM42</f>
        <v>30</v>
      </c>
      <c r="BN42" s="227">
        <f>'[1]Housing Generation'!BN42</f>
        <v>5</v>
      </c>
      <c r="BO42" s="227">
        <f>'[1]Housing Generation'!BO42</f>
        <v>5</v>
      </c>
      <c r="BP42" s="227">
        <f>'[1]Housing Generation'!BP42</f>
        <v>4</v>
      </c>
      <c r="BQ42" s="227">
        <f>'[1]Housing Generation'!BQ42</f>
        <v>4</v>
      </c>
      <c r="BR42" s="227">
        <f>'[1]Housing Generation'!BR42</f>
        <v>4</v>
      </c>
      <c r="BS42" s="227">
        <f>'[1]Housing Generation'!BS42</f>
        <v>4</v>
      </c>
      <c r="BT42" s="227">
        <f>'[1]Housing Generation'!BT42</f>
        <v>4</v>
      </c>
      <c r="BU42" s="224">
        <f>'[1]Housing Generation'!BU42</f>
        <v>30</v>
      </c>
      <c r="BV42" s="229">
        <f>'[1]Housing Generation'!BV42</f>
        <v>5</v>
      </c>
      <c r="BW42" s="229">
        <f>'[1]Housing Generation'!BW42</f>
        <v>5</v>
      </c>
      <c r="BX42" s="229">
        <f>'[1]Housing Generation'!BX42</f>
        <v>4</v>
      </c>
      <c r="BY42" s="229">
        <f>'[1]Housing Generation'!BY42</f>
        <v>4</v>
      </c>
      <c r="BZ42" s="229">
        <f>'[1]Housing Generation'!BZ42</f>
        <v>4</v>
      </c>
      <c r="CA42" s="229">
        <f>'[1]Housing Generation'!CA42</f>
        <v>4</v>
      </c>
      <c r="CB42" s="229">
        <f>'[1]Housing Generation'!CB42</f>
        <v>4</v>
      </c>
      <c r="CC42" s="225">
        <f>'[1]Housing Generation'!CC42</f>
        <v>30</v>
      </c>
      <c r="CD42" s="227">
        <f>'[1]Housing Generation'!CD42</f>
        <v>5</v>
      </c>
      <c r="CE42" s="227">
        <f>'[1]Housing Generation'!CE42</f>
        <v>5</v>
      </c>
      <c r="CF42" s="227">
        <f>'[1]Housing Generation'!CF42</f>
        <v>4</v>
      </c>
      <c r="CG42" s="227">
        <f>'[1]Housing Generation'!CG42</f>
        <v>4</v>
      </c>
      <c r="CH42" s="227">
        <f>'[1]Housing Generation'!CH42</f>
        <v>4</v>
      </c>
      <c r="CI42" s="227">
        <f>'[1]Housing Generation'!CI42</f>
        <v>4</v>
      </c>
      <c r="CJ42" s="227">
        <f>'[1]Housing Generation'!CJ42</f>
        <v>4</v>
      </c>
      <c r="CK42" s="224">
        <f>'[1]Housing Generation'!CK42</f>
        <v>30</v>
      </c>
      <c r="CL42" s="229">
        <f>'[1]Housing Generation'!CL42</f>
        <v>6</v>
      </c>
      <c r="CM42" s="229">
        <f>'[1]Housing Generation'!CM42</f>
        <v>6</v>
      </c>
      <c r="CN42" s="229">
        <f>'[1]Housing Generation'!CN42</f>
        <v>6</v>
      </c>
      <c r="CO42" s="229">
        <f>'[1]Housing Generation'!CO42</f>
        <v>6</v>
      </c>
      <c r="CP42" s="229">
        <f>'[1]Housing Generation'!CP42</f>
        <v>6</v>
      </c>
      <c r="CQ42" s="229">
        <f>'[1]Housing Generation'!CQ42</f>
        <v>5</v>
      </c>
      <c r="CR42" s="229">
        <f>'[1]Housing Generation'!CR42</f>
        <v>5</v>
      </c>
      <c r="CS42" s="225">
        <f>'[1]Housing Generation'!CS42</f>
        <v>40</v>
      </c>
      <c r="CT42" s="227">
        <f>'[1]Housing Generation'!CT42</f>
        <v>8</v>
      </c>
      <c r="CU42" s="227">
        <f>'[1]Housing Generation'!CU42</f>
        <v>8</v>
      </c>
      <c r="CV42" s="227">
        <f>'[1]Housing Generation'!CV42</f>
        <v>8</v>
      </c>
      <c r="CW42" s="227">
        <f>'[1]Housing Generation'!CW42</f>
        <v>8</v>
      </c>
      <c r="CX42" s="227">
        <f>'[1]Housing Generation'!CX42</f>
        <v>8</v>
      </c>
      <c r="CY42" s="227">
        <f>'[1]Housing Generation'!CY42</f>
        <v>8</v>
      </c>
      <c r="CZ42" s="227">
        <f>'[1]Housing Generation'!CZ42</f>
        <v>7</v>
      </c>
      <c r="DA42" s="224">
        <f>'[1]Housing Generation'!DA42</f>
        <v>55</v>
      </c>
      <c r="DB42" s="229">
        <f>'[1]Housing Generation'!DB42</f>
        <v>10</v>
      </c>
      <c r="DC42" s="229">
        <f>'[1]Housing Generation'!DC42</f>
        <v>10</v>
      </c>
      <c r="DD42" s="229">
        <f>'[1]Housing Generation'!DD42</f>
        <v>10</v>
      </c>
      <c r="DE42" s="229">
        <f>'[1]Housing Generation'!DE42</f>
        <v>10</v>
      </c>
      <c r="DF42" s="229">
        <f>'[1]Housing Generation'!DF42</f>
        <v>10</v>
      </c>
      <c r="DG42" s="229">
        <f>'[1]Housing Generation'!DG42</f>
        <v>10</v>
      </c>
      <c r="DH42" s="229">
        <f>'[1]Housing Generation'!DH42</f>
        <v>10</v>
      </c>
      <c r="DI42" s="225">
        <f>'[1]Housing Generation'!DI42</f>
        <v>70</v>
      </c>
      <c r="DJ42" s="227">
        <f>'[1]Housing Generation'!DJ42</f>
        <v>13</v>
      </c>
      <c r="DK42" s="227">
        <f>'[1]Housing Generation'!DK42</f>
        <v>12</v>
      </c>
      <c r="DL42" s="227">
        <f>'[1]Housing Generation'!DL42</f>
        <v>12</v>
      </c>
      <c r="DM42" s="227">
        <f>'[1]Housing Generation'!DM42</f>
        <v>12</v>
      </c>
      <c r="DN42" s="227">
        <f>'[1]Housing Generation'!DN42</f>
        <v>12</v>
      </c>
      <c r="DO42" s="227">
        <f>'[1]Housing Generation'!DO42</f>
        <v>12</v>
      </c>
      <c r="DP42" s="227">
        <f>'[1]Housing Generation'!DP42</f>
        <v>12</v>
      </c>
      <c r="DQ42" s="224">
        <f>'[1]Housing Generation'!DQ42</f>
        <v>85</v>
      </c>
    </row>
    <row r="43" spans="1:121" x14ac:dyDescent="0.2">
      <c r="A43" s="238" t="s">
        <v>44</v>
      </c>
      <c r="B43" s="227">
        <f>'[1]Housing Generation'!B43</f>
        <v>1</v>
      </c>
      <c r="C43" s="227">
        <f>'[1]Housing Generation'!C43</f>
        <v>0</v>
      </c>
      <c r="D43" s="227">
        <f>'[1]Housing Generation'!D43</f>
        <v>0</v>
      </c>
      <c r="E43" s="227">
        <f>'[1]Housing Generation'!E43</f>
        <v>0</v>
      </c>
      <c r="F43" s="227">
        <f>'[1]Housing Generation'!F43</f>
        <v>0</v>
      </c>
      <c r="G43" s="227">
        <f>'[1]Housing Generation'!G43</f>
        <v>0</v>
      </c>
      <c r="H43" s="227">
        <f>'[1]Housing Generation'!H43</f>
        <v>0</v>
      </c>
      <c r="I43" s="224">
        <f>'[1]Housing Generation'!I43</f>
        <v>1</v>
      </c>
      <c r="J43" s="229">
        <f>'[1]Housing Generation'!J43</f>
        <v>1</v>
      </c>
      <c r="K43" s="229">
        <f>'[1]Housing Generation'!K43</f>
        <v>0</v>
      </c>
      <c r="L43" s="229">
        <f>'[1]Housing Generation'!L43</f>
        <v>0</v>
      </c>
      <c r="M43" s="229">
        <f>'[1]Housing Generation'!M43</f>
        <v>0</v>
      </c>
      <c r="N43" s="229">
        <f>'[1]Housing Generation'!N43</f>
        <v>0</v>
      </c>
      <c r="O43" s="229">
        <f>'[1]Housing Generation'!O43</f>
        <v>0</v>
      </c>
      <c r="P43" s="229">
        <f>'[1]Housing Generation'!P43</f>
        <v>0</v>
      </c>
      <c r="Q43" s="225">
        <f>'[1]Housing Generation'!Q43</f>
        <v>1</v>
      </c>
      <c r="R43" s="227">
        <f>'[1]Housing Generation'!R43</f>
        <v>1</v>
      </c>
      <c r="S43" s="227">
        <f>'[1]Housing Generation'!S43</f>
        <v>1</v>
      </c>
      <c r="T43" s="227">
        <f>'[1]Housing Generation'!T43</f>
        <v>1</v>
      </c>
      <c r="U43" s="227">
        <f>'[1]Housing Generation'!U43</f>
        <v>1</v>
      </c>
      <c r="V43" s="227">
        <f>'[1]Housing Generation'!V43</f>
        <v>0</v>
      </c>
      <c r="W43" s="227">
        <f>'[1]Housing Generation'!W43</f>
        <v>0</v>
      </c>
      <c r="X43" s="227">
        <f>'[1]Housing Generation'!X43</f>
        <v>0</v>
      </c>
      <c r="Y43" s="224">
        <f>'[1]Housing Generation'!Y43</f>
        <v>4</v>
      </c>
      <c r="Z43" s="229">
        <f>'[1]Housing Generation'!Z43</f>
        <v>1</v>
      </c>
      <c r="AA43" s="229">
        <f>'[1]Housing Generation'!AA43</f>
        <v>1</v>
      </c>
      <c r="AB43" s="229">
        <f>'[1]Housing Generation'!AB43</f>
        <v>1</v>
      </c>
      <c r="AC43" s="229">
        <f>'[1]Housing Generation'!AC43</f>
        <v>1</v>
      </c>
      <c r="AD43" s="229">
        <f>'[1]Housing Generation'!AD43</f>
        <v>1</v>
      </c>
      <c r="AE43" s="229">
        <f>'[1]Housing Generation'!AE43</f>
        <v>1</v>
      </c>
      <c r="AF43" s="229">
        <f>'[1]Housing Generation'!AF43</f>
        <v>1</v>
      </c>
      <c r="AG43" s="225">
        <f>'[1]Housing Generation'!AG43</f>
        <v>7</v>
      </c>
      <c r="AH43" s="227">
        <f>'[1]Housing Generation'!AH43</f>
        <v>2</v>
      </c>
      <c r="AI43" s="227">
        <f>'[1]Housing Generation'!AI43</f>
        <v>2</v>
      </c>
      <c r="AJ43" s="227">
        <f>'[1]Housing Generation'!AJ43</f>
        <v>1</v>
      </c>
      <c r="AK43" s="227">
        <f>'[1]Housing Generation'!AK43</f>
        <v>1</v>
      </c>
      <c r="AL43" s="227">
        <f>'[1]Housing Generation'!AL43</f>
        <v>1</v>
      </c>
      <c r="AM43" s="227">
        <f>'[1]Housing Generation'!AM43</f>
        <v>1</v>
      </c>
      <c r="AN43" s="227">
        <f>'[1]Housing Generation'!AN43</f>
        <v>1</v>
      </c>
      <c r="AO43" s="224">
        <f>'[1]Housing Generation'!AO43</f>
        <v>9</v>
      </c>
      <c r="AP43" s="229">
        <f>'[1]Housing Generation'!AP43</f>
        <v>2</v>
      </c>
      <c r="AQ43" s="229">
        <f>'[1]Housing Generation'!AQ43</f>
        <v>2</v>
      </c>
      <c r="AR43" s="229">
        <f>'[1]Housing Generation'!AR43</f>
        <v>2</v>
      </c>
      <c r="AS43" s="229">
        <f>'[1]Housing Generation'!AS43</f>
        <v>2</v>
      </c>
      <c r="AT43" s="229">
        <f>'[1]Housing Generation'!AT43</f>
        <v>1</v>
      </c>
      <c r="AU43" s="229">
        <f>'[1]Housing Generation'!AU43</f>
        <v>1</v>
      </c>
      <c r="AV43" s="229">
        <f>'[1]Housing Generation'!AV43</f>
        <v>1</v>
      </c>
      <c r="AW43" s="225">
        <f>'[1]Housing Generation'!AW43</f>
        <v>11</v>
      </c>
      <c r="AX43" s="227">
        <f>'[1]Housing Generation'!AX43</f>
        <v>3</v>
      </c>
      <c r="AY43" s="227">
        <f>'[1]Housing Generation'!AY43</f>
        <v>3</v>
      </c>
      <c r="AZ43" s="227">
        <f>'[1]Housing Generation'!AZ43</f>
        <v>2</v>
      </c>
      <c r="BA43" s="227">
        <f>'[1]Housing Generation'!BA43</f>
        <v>2</v>
      </c>
      <c r="BB43" s="227">
        <f>'[1]Housing Generation'!BB43</f>
        <v>2</v>
      </c>
      <c r="BC43" s="227">
        <f>'[1]Housing Generation'!BC43</f>
        <v>2</v>
      </c>
      <c r="BD43" s="227">
        <f>'[1]Housing Generation'!BD43</f>
        <v>2</v>
      </c>
      <c r="BE43" s="224">
        <f>'[1]Housing Generation'!BE43</f>
        <v>16</v>
      </c>
      <c r="BF43" s="229">
        <f>'[1]Housing Generation'!BF43</f>
        <v>4</v>
      </c>
      <c r="BG43" s="229">
        <f>'[1]Housing Generation'!BG43</f>
        <v>3</v>
      </c>
      <c r="BH43" s="229">
        <f>'[1]Housing Generation'!BH43</f>
        <v>3</v>
      </c>
      <c r="BI43" s="229">
        <f>'[1]Housing Generation'!BI43</f>
        <v>3</v>
      </c>
      <c r="BJ43" s="229">
        <f>'[1]Housing Generation'!BJ43</f>
        <v>3</v>
      </c>
      <c r="BK43" s="229">
        <f>'[1]Housing Generation'!BK43</f>
        <v>3</v>
      </c>
      <c r="BL43" s="229">
        <f>'[1]Housing Generation'!BL43</f>
        <v>3</v>
      </c>
      <c r="BM43" s="225">
        <f>'[1]Housing Generation'!BM43</f>
        <v>22</v>
      </c>
      <c r="BN43" s="227">
        <f>'[1]Housing Generation'!BN43</f>
        <v>4</v>
      </c>
      <c r="BO43" s="227">
        <f>'[1]Housing Generation'!BO43</f>
        <v>4</v>
      </c>
      <c r="BP43" s="227">
        <f>'[1]Housing Generation'!BP43</f>
        <v>4</v>
      </c>
      <c r="BQ43" s="227">
        <f>'[1]Housing Generation'!BQ43</f>
        <v>4</v>
      </c>
      <c r="BR43" s="227">
        <f>'[1]Housing Generation'!BR43</f>
        <v>4</v>
      </c>
      <c r="BS43" s="227">
        <f>'[1]Housing Generation'!BS43</f>
        <v>4</v>
      </c>
      <c r="BT43" s="227">
        <f>'[1]Housing Generation'!BT43</f>
        <v>4</v>
      </c>
      <c r="BU43" s="224">
        <f>'[1]Housing Generation'!BU43</f>
        <v>28</v>
      </c>
      <c r="BV43" s="229">
        <f>'[1]Housing Generation'!BV43</f>
        <v>5</v>
      </c>
      <c r="BW43" s="229">
        <f>'[1]Housing Generation'!BW43</f>
        <v>5</v>
      </c>
      <c r="BX43" s="229">
        <f>'[1]Housing Generation'!BX43</f>
        <v>5</v>
      </c>
      <c r="BY43" s="229">
        <f>'[1]Housing Generation'!BY43</f>
        <v>5</v>
      </c>
      <c r="BZ43" s="229">
        <f>'[1]Housing Generation'!BZ43</f>
        <v>5</v>
      </c>
      <c r="CA43" s="229">
        <f>'[1]Housing Generation'!CA43</f>
        <v>4</v>
      </c>
      <c r="CB43" s="229">
        <f>'[1]Housing Generation'!CB43</f>
        <v>4</v>
      </c>
      <c r="CC43" s="225">
        <f>'[1]Housing Generation'!CC43</f>
        <v>33</v>
      </c>
      <c r="CD43" s="227">
        <f>'[1]Housing Generation'!CD43</f>
        <v>6</v>
      </c>
      <c r="CE43" s="227">
        <f>'[1]Housing Generation'!CE43</f>
        <v>6</v>
      </c>
      <c r="CF43" s="227">
        <f>'[1]Housing Generation'!CF43</f>
        <v>6</v>
      </c>
      <c r="CG43" s="227">
        <f>'[1]Housing Generation'!CG43</f>
        <v>6</v>
      </c>
      <c r="CH43" s="227">
        <f>'[1]Housing Generation'!CH43</f>
        <v>6</v>
      </c>
      <c r="CI43" s="227">
        <f>'[1]Housing Generation'!CI43</f>
        <v>5</v>
      </c>
      <c r="CJ43" s="227">
        <f>'[1]Housing Generation'!CJ43</f>
        <v>5</v>
      </c>
      <c r="CK43" s="224">
        <f>'[1]Housing Generation'!CK43</f>
        <v>40</v>
      </c>
      <c r="CL43" s="229">
        <f>'[1]Housing Generation'!CL43</f>
        <v>6</v>
      </c>
      <c r="CM43" s="229">
        <f>'[1]Housing Generation'!CM43</f>
        <v>6</v>
      </c>
      <c r="CN43" s="229">
        <f>'[1]Housing Generation'!CN43</f>
        <v>6</v>
      </c>
      <c r="CO43" s="229">
        <f>'[1]Housing Generation'!CO43</f>
        <v>6</v>
      </c>
      <c r="CP43" s="229">
        <f>'[1]Housing Generation'!CP43</f>
        <v>6</v>
      </c>
      <c r="CQ43" s="229">
        <f>'[1]Housing Generation'!CQ43</f>
        <v>6</v>
      </c>
      <c r="CR43" s="229">
        <f>'[1]Housing Generation'!CR43</f>
        <v>6</v>
      </c>
      <c r="CS43" s="225">
        <f>'[1]Housing Generation'!CS43</f>
        <v>42</v>
      </c>
      <c r="CT43" s="227">
        <f>'[1]Housing Generation'!CT43</f>
        <v>7</v>
      </c>
      <c r="CU43" s="227">
        <f>'[1]Housing Generation'!CU43</f>
        <v>7</v>
      </c>
      <c r="CV43" s="227">
        <f>'[1]Housing Generation'!CV43</f>
        <v>6</v>
      </c>
      <c r="CW43" s="227">
        <f>'[1]Housing Generation'!CW43</f>
        <v>6</v>
      </c>
      <c r="CX43" s="227">
        <f>'[1]Housing Generation'!CX43</f>
        <v>6</v>
      </c>
      <c r="CY43" s="227">
        <f>'[1]Housing Generation'!CY43</f>
        <v>6</v>
      </c>
      <c r="CZ43" s="227">
        <f>'[1]Housing Generation'!CZ43</f>
        <v>6</v>
      </c>
      <c r="DA43" s="224">
        <f>'[1]Housing Generation'!DA43</f>
        <v>44</v>
      </c>
      <c r="DB43" s="229">
        <f>'[1]Housing Generation'!DB43</f>
        <v>7</v>
      </c>
      <c r="DC43" s="229">
        <f>'[1]Housing Generation'!DC43</f>
        <v>7</v>
      </c>
      <c r="DD43" s="229">
        <f>'[1]Housing Generation'!DD43</f>
        <v>7</v>
      </c>
      <c r="DE43" s="229">
        <f>'[1]Housing Generation'!DE43</f>
        <v>7</v>
      </c>
      <c r="DF43" s="229">
        <f>'[1]Housing Generation'!DF43</f>
        <v>6</v>
      </c>
      <c r="DG43" s="229">
        <f>'[1]Housing Generation'!DG43</f>
        <v>6</v>
      </c>
      <c r="DH43" s="229">
        <f>'[1]Housing Generation'!DH43</f>
        <v>6</v>
      </c>
      <c r="DI43" s="225">
        <f>'[1]Housing Generation'!DI43</f>
        <v>46</v>
      </c>
      <c r="DJ43" s="227">
        <f>'[1]Housing Generation'!DJ43</f>
        <v>7</v>
      </c>
      <c r="DK43" s="227">
        <f>'[1]Housing Generation'!DK43</f>
        <v>7</v>
      </c>
      <c r="DL43" s="227">
        <f>'[1]Housing Generation'!DL43</f>
        <v>7</v>
      </c>
      <c r="DM43" s="227">
        <f>'[1]Housing Generation'!DM43</f>
        <v>7</v>
      </c>
      <c r="DN43" s="227">
        <f>'[1]Housing Generation'!DN43</f>
        <v>7</v>
      </c>
      <c r="DO43" s="227">
        <f>'[1]Housing Generation'!DO43</f>
        <v>7</v>
      </c>
      <c r="DP43" s="227">
        <f>'[1]Housing Generation'!DP43</f>
        <v>6</v>
      </c>
      <c r="DQ43" s="224">
        <f>'[1]Housing Generation'!DQ43</f>
        <v>48</v>
      </c>
    </row>
    <row r="44" spans="1:121" x14ac:dyDescent="0.2">
      <c r="A44" s="237" t="s">
        <v>45</v>
      </c>
      <c r="B44" s="227">
        <f>'[1]Housing Generation'!B44</f>
        <v>0</v>
      </c>
      <c r="C44" s="227">
        <f>'[1]Housing Generation'!C44</f>
        <v>0</v>
      </c>
      <c r="D44" s="227">
        <f>'[1]Housing Generation'!D44</f>
        <v>0</v>
      </c>
      <c r="E44" s="227">
        <f>'[1]Housing Generation'!E44</f>
        <v>0</v>
      </c>
      <c r="F44" s="227">
        <f>'[1]Housing Generation'!F44</f>
        <v>0</v>
      </c>
      <c r="G44" s="227">
        <f>'[1]Housing Generation'!G44</f>
        <v>0</v>
      </c>
      <c r="H44" s="227">
        <f>'[1]Housing Generation'!H44</f>
        <v>0</v>
      </c>
      <c r="I44" s="224">
        <f>'[1]Housing Generation'!I44</f>
        <v>0</v>
      </c>
      <c r="J44" s="229">
        <f>'[1]Housing Generation'!J44</f>
        <v>0</v>
      </c>
      <c r="K44" s="229">
        <f>'[1]Housing Generation'!K44</f>
        <v>0</v>
      </c>
      <c r="L44" s="229">
        <f>'[1]Housing Generation'!L44</f>
        <v>0</v>
      </c>
      <c r="M44" s="229">
        <f>'[1]Housing Generation'!M44</f>
        <v>0</v>
      </c>
      <c r="N44" s="229">
        <f>'[1]Housing Generation'!N44</f>
        <v>0</v>
      </c>
      <c r="O44" s="229">
        <f>'[1]Housing Generation'!O44</f>
        <v>0</v>
      </c>
      <c r="P44" s="229">
        <f>'[1]Housing Generation'!P44</f>
        <v>0</v>
      </c>
      <c r="Q44" s="225">
        <f>'[1]Housing Generation'!Q44</f>
        <v>0</v>
      </c>
      <c r="R44" s="227">
        <f>'[1]Housing Generation'!R44</f>
        <v>0</v>
      </c>
      <c r="S44" s="227">
        <f>'[1]Housing Generation'!S44</f>
        <v>0</v>
      </c>
      <c r="T44" s="227">
        <f>'[1]Housing Generation'!T44</f>
        <v>0</v>
      </c>
      <c r="U44" s="227">
        <f>'[1]Housing Generation'!U44</f>
        <v>0</v>
      </c>
      <c r="V44" s="227">
        <f>'[1]Housing Generation'!V44</f>
        <v>0</v>
      </c>
      <c r="W44" s="227">
        <f>'[1]Housing Generation'!W44</f>
        <v>0</v>
      </c>
      <c r="X44" s="227">
        <f>'[1]Housing Generation'!X44</f>
        <v>0</v>
      </c>
      <c r="Y44" s="224">
        <f>'[1]Housing Generation'!Y44</f>
        <v>0</v>
      </c>
      <c r="Z44" s="229">
        <f>'[1]Housing Generation'!Z44</f>
        <v>0</v>
      </c>
      <c r="AA44" s="229">
        <f>'[1]Housing Generation'!AA44</f>
        <v>0</v>
      </c>
      <c r="AB44" s="229">
        <f>'[1]Housing Generation'!AB44</f>
        <v>0</v>
      </c>
      <c r="AC44" s="229">
        <f>'[1]Housing Generation'!AC44</f>
        <v>0</v>
      </c>
      <c r="AD44" s="229">
        <f>'[1]Housing Generation'!AD44</f>
        <v>0</v>
      </c>
      <c r="AE44" s="229">
        <f>'[1]Housing Generation'!AE44</f>
        <v>0</v>
      </c>
      <c r="AF44" s="229">
        <f>'[1]Housing Generation'!AF44</f>
        <v>0</v>
      </c>
      <c r="AG44" s="225">
        <f>'[1]Housing Generation'!AG44</f>
        <v>0</v>
      </c>
      <c r="AH44" s="227">
        <f>'[1]Housing Generation'!AH44</f>
        <v>0</v>
      </c>
      <c r="AI44" s="227">
        <f>'[1]Housing Generation'!AI44</f>
        <v>0</v>
      </c>
      <c r="AJ44" s="227">
        <f>'[1]Housing Generation'!AJ44</f>
        <v>0</v>
      </c>
      <c r="AK44" s="227">
        <f>'[1]Housing Generation'!AK44</f>
        <v>0</v>
      </c>
      <c r="AL44" s="227">
        <f>'[1]Housing Generation'!AL44</f>
        <v>0</v>
      </c>
      <c r="AM44" s="227">
        <f>'[1]Housing Generation'!AM44</f>
        <v>0</v>
      </c>
      <c r="AN44" s="227">
        <f>'[1]Housing Generation'!AN44</f>
        <v>0</v>
      </c>
      <c r="AO44" s="224">
        <f>'[1]Housing Generation'!AO44</f>
        <v>0</v>
      </c>
      <c r="AP44" s="229">
        <f>'[1]Housing Generation'!AP44</f>
        <v>0</v>
      </c>
      <c r="AQ44" s="229">
        <f>'[1]Housing Generation'!AQ44</f>
        <v>0</v>
      </c>
      <c r="AR44" s="229">
        <f>'[1]Housing Generation'!AR44</f>
        <v>0</v>
      </c>
      <c r="AS44" s="229">
        <f>'[1]Housing Generation'!AS44</f>
        <v>0</v>
      </c>
      <c r="AT44" s="229">
        <f>'[1]Housing Generation'!AT44</f>
        <v>0</v>
      </c>
      <c r="AU44" s="229">
        <f>'[1]Housing Generation'!AU44</f>
        <v>0</v>
      </c>
      <c r="AV44" s="229">
        <f>'[1]Housing Generation'!AV44</f>
        <v>0</v>
      </c>
      <c r="AW44" s="225">
        <f>'[1]Housing Generation'!AW44</f>
        <v>0</v>
      </c>
      <c r="AX44" s="227">
        <f>'[1]Housing Generation'!AX44</f>
        <v>2</v>
      </c>
      <c r="AY44" s="227">
        <f>'[1]Housing Generation'!AY44</f>
        <v>2</v>
      </c>
      <c r="AZ44" s="227">
        <f>'[1]Housing Generation'!AZ44</f>
        <v>2</v>
      </c>
      <c r="BA44" s="227">
        <f>'[1]Housing Generation'!BA44</f>
        <v>2</v>
      </c>
      <c r="BB44" s="227">
        <f>'[1]Housing Generation'!BB44</f>
        <v>2</v>
      </c>
      <c r="BC44" s="227">
        <f>'[1]Housing Generation'!BC44</f>
        <v>2</v>
      </c>
      <c r="BD44" s="227">
        <f>'[1]Housing Generation'!BD44</f>
        <v>2</v>
      </c>
      <c r="BE44" s="224">
        <f>'[1]Housing Generation'!BE44</f>
        <v>14</v>
      </c>
      <c r="BF44" s="229">
        <f>'[1]Housing Generation'!BF44</f>
        <v>4</v>
      </c>
      <c r="BG44" s="229">
        <f>'[1]Housing Generation'!BG44</f>
        <v>4</v>
      </c>
      <c r="BH44" s="229">
        <f>'[1]Housing Generation'!BH44</f>
        <v>4</v>
      </c>
      <c r="BI44" s="229">
        <f>'[1]Housing Generation'!BI44</f>
        <v>3</v>
      </c>
      <c r="BJ44" s="229">
        <f>'[1]Housing Generation'!BJ44</f>
        <v>3</v>
      </c>
      <c r="BK44" s="229">
        <f>'[1]Housing Generation'!BK44</f>
        <v>3</v>
      </c>
      <c r="BL44" s="229">
        <f>'[1]Housing Generation'!BL44</f>
        <v>3</v>
      </c>
      <c r="BM44" s="225">
        <f>'[1]Housing Generation'!BM44</f>
        <v>24</v>
      </c>
      <c r="BN44" s="227">
        <f>'[1]Housing Generation'!BN44</f>
        <v>5</v>
      </c>
      <c r="BO44" s="227">
        <f>'[1]Housing Generation'!BO44</f>
        <v>5</v>
      </c>
      <c r="BP44" s="227">
        <f>'[1]Housing Generation'!BP44</f>
        <v>5</v>
      </c>
      <c r="BQ44" s="227">
        <f>'[1]Housing Generation'!BQ44</f>
        <v>5</v>
      </c>
      <c r="BR44" s="227">
        <f>'[1]Housing Generation'!BR44</f>
        <v>5</v>
      </c>
      <c r="BS44" s="227">
        <f>'[1]Housing Generation'!BS44</f>
        <v>5</v>
      </c>
      <c r="BT44" s="227">
        <f>'[1]Housing Generation'!BT44</f>
        <v>4</v>
      </c>
      <c r="BU44" s="224">
        <f>'[1]Housing Generation'!BU44</f>
        <v>34</v>
      </c>
      <c r="BV44" s="229">
        <f>'[1]Housing Generation'!BV44</f>
        <v>7</v>
      </c>
      <c r="BW44" s="229">
        <f>'[1]Housing Generation'!BW44</f>
        <v>7</v>
      </c>
      <c r="BX44" s="229">
        <f>'[1]Housing Generation'!BX44</f>
        <v>6</v>
      </c>
      <c r="BY44" s="229">
        <f>'[1]Housing Generation'!BY44</f>
        <v>6</v>
      </c>
      <c r="BZ44" s="229">
        <f>'[1]Housing Generation'!BZ44</f>
        <v>6</v>
      </c>
      <c r="CA44" s="229">
        <f>'[1]Housing Generation'!CA44</f>
        <v>6</v>
      </c>
      <c r="CB44" s="229">
        <f>'[1]Housing Generation'!CB44</f>
        <v>6</v>
      </c>
      <c r="CC44" s="225">
        <f>'[1]Housing Generation'!CC44</f>
        <v>44</v>
      </c>
      <c r="CD44" s="227">
        <f>'[1]Housing Generation'!CD44</f>
        <v>8</v>
      </c>
      <c r="CE44" s="227">
        <f>'[1]Housing Generation'!CE44</f>
        <v>8</v>
      </c>
      <c r="CF44" s="227">
        <f>'[1]Housing Generation'!CF44</f>
        <v>8</v>
      </c>
      <c r="CG44" s="227">
        <f>'[1]Housing Generation'!CG44</f>
        <v>8</v>
      </c>
      <c r="CH44" s="227">
        <f>'[1]Housing Generation'!CH44</f>
        <v>8</v>
      </c>
      <c r="CI44" s="227">
        <f>'[1]Housing Generation'!CI44</f>
        <v>7</v>
      </c>
      <c r="CJ44" s="227">
        <f>'[1]Housing Generation'!CJ44</f>
        <v>7</v>
      </c>
      <c r="CK44" s="224">
        <f>'[1]Housing Generation'!CK44</f>
        <v>54</v>
      </c>
      <c r="CL44" s="229">
        <f>'[1]Housing Generation'!CL44</f>
        <v>8</v>
      </c>
      <c r="CM44" s="229">
        <f>'[1]Housing Generation'!CM44</f>
        <v>8</v>
      </c>
      <c r="CN44" s="229">
        <f>'[1]Housing Generation'!CN44</f>
        <v>8</v>
      </c>
      <c r="CO44" s="229">
        <f>'[1]Housing Generation'!CO44</f>
        <v>8</v>
      </c>
      <c r="CP44" s="229">
        <f>'[1]Housing Generation'!CP44</f>
        <v>8</v>
      </c>
      <c r="CQ44" s="229">
        <f>'[1]Housing Generation'!CQ44</f>
        <v>8</v>
      </c>
      <c r="CR44" s="229">
        <f>'[1]Housing Generation'!CR44</f>
        <v>8</v>
      </c>
      <c r="CS44" s="225">
        <f>'[1]Housing Generation'!CS44</f>
        <v>56</v>
      </c>
      <c r="CT44" s="227">
        <f>'[1]Housing Generation'!CT44</f>
        <v>9</v>
      </c>
      <c r="CU44" s="227">
        <f>'[1]Housing Generation'!CU44</f>
        <v>9</v>
      </c>
      <c r="CV44" s="227">
        <f>'[1]Housing Generation'!CV44</f>
        <v>8</v>
      </c>
      <c r="CW44" s="227">
        <f>'[1]Housing Generation'!CW44</f>
        <v>8</v>
      </c>
      <c r="CX44" s="227">
        <f>'[1]Housing Generation'!CX44</f>
        <v>8</v>
      </c>
      <c r="CY44" s="227">
        <f>'[1]Housing Generation'!CY44</f>
        <v>8</v>
      </c>
      <c r="CZ44" s="227">
        <f>'[1]Housing Generation'!CZ44</f>
        <v>8</v>
      </c>
      <c r="DA44" s="224">
        <f>'[1]Housing Generation'!DA44</f>
        <v>58</v>
      </c>
      <c r="DB44" s="229">
        <f>'[1]Housing Generation'!DB44</f>
        <v>9</v>
      </c>
      <c r="DC44" s="229">
        <f>'[1]Housing Generation'!DC44</f>
        <v>9</v>
      </c>
      <c r="DD44" s="229">
        <f>'[1]Housing Generation'!DD44</f>
        <v>9</v>
      </c>
      <c r="DE44" s="229">
        <f>'[1]Housing Generation'!DE44</f>
        <v>9</v>
      </c>
      <c r="DF44" s="229">
        <f>'[1]Housing Generation'!DF44</f>
        <v>8</v>
      </c>
      <c r="DG44" s="229">
        <f>'[1]Housing Generation'!DG44</f>
        <v>8</v>
      </c>
      <c r="DH44" s="229">
        <f>'[1]Housing Generation'!DH44</f>
        <v>8</v>
      </c>
      <c r="DI44" s="225">
        <f>'[1]Housing Generation'!DI44</f>
        <v>60</v>
      </c>
      <c r="DJ44" s="227">
        <f>'[1]Housing Generation'!DJ44</f>
        <v>9</v>
      </c>
      <c r="DK44" s="227">
        <f>'[1]Housing Generation'!DK44</f>
        <v>9</v>
      </c>
      <c r="DL44" s="227">
        <f>'[1]Housing Generation'!DL44</f>
        <v>9</v>
      </c>
      <c r="DM44" s="227">
        <f>'[1]Housing Generation'!DM44</f>
        <v>9</v>
      </c>
      <c r="DN44" s="227">
        <f>'[1]Housing Generation'!DN44</f>
        <v>9</v>
      </c>
      <c r="DO44" s="227">
        <f>'[1]Housing Generation'!DO44</f>
        <v>9</v>
      </c>
      <c r="DP44" s="227">
        <f>'[1]Housing Generation'!DP44</f>
        <v>8</v>
      </c>
      <c r="DQ44" s="224">
        <f>'[1]Housing Generation'!DQ44</f>
        <v>62</v>
      </c>
    </row>
    <row r="45" spans="1:121" x14ac:dyDescent="0.2">
      <c r="A45" s="237" t="s">
        <v>46</v>
      </c>
      <c r="B45" s="227">
        <f>'[1]Housing Generation'!B45</f>
        <v>1</v>
      </c>
      <c r="C45" s="227">
        <f>'[1]Housing Generation'!C45</f>
        <v>0</v>
      </c>
      <c r="D45" s="227">
        <f>'[1]Housing Generation'!D45</f>
        <v>0</v>
      </c>
      <c r="E45" s="227">
        <f>'[1]Housing Generation'!E45</f>
        <v>0</v>
      </c>
      <c r="F45" s="227">
        <f>'[1]Housing Generation'!F45</f>
        <v>0</v>
      </c>
      <c r="G45" s="227">
        <f>'[1]Housing Generation'!G45</f>
        <v>0</v>
      </c>
      <c r="H45" s="227">
        <f>'[1]Housing Generation'!H45</f>
        <v>0</v>
      </c>
      <c r="I45" s="224">
        <f>'[1]Housing Generation'!I45</f>
        <v>1</v>
      </c>
      <c r="J45" s="229">
        <f>'[1]Housing Generation'!J45</f>
        <v>0</v>
      </c>
      <c r="K45" s="229">
        <f>'[1]Housing Generation'!K45</f>
        <v>0</v>
      </c>
      <c r="L45" s="229">
        <f>'[1]Housing Generation'!L45</f>
        <v>0</v>
      </c>
      <c r="M45" s="229">
        <f>'[1]Housing Generation'!M45</f>
        <v>0</v>
      </c>
      <c r="N45" s="229">
        <f>'[1]Housing Generation'!N45</f>
        <v>0</v>
      </c>
      <c r="O45" s="229">
        <f>'[1]Housing Generation'!O45</f>
        <v>0</v>
      </c>
      <c r="P45" s="229">
        <f>'[1]Housing Generation'!P45</f>
        <v>0</v>
      </c>
      <c r="Q45" s="225">
        <f>'[1]Housing Generation'!Q45</f>
        <v>0</v>
      </c>
      <c r="R45" s="227">
        <f>'[1]Housing Generation'!R45</f>
        <v>0</v>
      </c>
      <c r="S45" s="227">
        <f>'[1]Housing Generation'!S45</f>
        <v>0</v>
      </c>
      <c r="T45" s="227">
        <f>'[1]Housing Generation'!T45</f>
        <v>0</v>
      </c>
      <c r="U45" s="227">
        <f>'[1]Housing Generation'!U45</f>
        <v>0</v>
      </c>
      <c r="V45" s="227">
        <f>'[1]Housing Generation'!V45</f>
        <v>0</v>
      </c>
      <c r="W45" s="227">
        <f>'[1]Housing Generation'!W45</f>
        <v>0</v>
      </c>
      <c r="X45" s="227">
        <f>'[1]Housing Generation'!X45</f>
        <v>0</v>
      </c>
      <c r="Y45" s="224">
        <f>'[1]Housing Generation'!Y45</f>
        <v>0</v>
      </c>
      <c r="Z45" s="229">
        <f>'[1]Housing Generation'!Z45</f>
        <v>0</v>
      </c>
      <c r="AA45" s="229">
        <f>'[1]Housing Generation'!AA45</f>
        <v>0</v>
      </c>
      <c r="AB45" s="229">
        <f>'[1]Housing Generation'!AB45</f>
        <v>0</v>
      </c>
      <c r="AC45" s="229">
        <f>'[1]Housing Generation'!AC45</f>
        <v>0</v>
      </c>
      <c r="AD45" s="229">
        <f>'[1]Housing Generation'!AD45</f>
        <v>0</v>
      </c>
      <c r="AE45" s="229">
        <f>'[1]Housing Generation'!AE45</f>
        <v>0</v>
      </c>
      <c r="AF45" s="229">
        <f>'[1]Housing Generation'!AF45</f>
        <v>0</v>
      </c>
      <c r="AG45" s="225">
        <f>'[1]Housing Generation'!AG45</f>
        <v>0</v>
      </c>
      <c r="AH45" s="227">
        <f>'[1]Housing Generation'!AH45</f>
        <v>1</v>
      </c>
      <c r="AI45" s="227">
        <f>'[1]Housing Generation'!AI45</f>
        <v>1</v>
      </c>
      <c r="AJ45" s="227">
        <f>'[1]Housing Generation'!AJ45</f>
        <v>1</v>
      </c>
      <c r="AK45" s="227">
        <f>'[1]Housing Generation'!AK45</f>
        <v>1</v>
      </c>
      <c r="AL45" s="227">
        <f>'[1]Housing Generation'!AL45</f>
        <v>1</v>
      </c>
      <c r="AM45" s="227">
        <f>'[1]Housing Generation'!AM45</f>
        <v>0</v>
      </c>
      <c r="AN45" s="227">
        <f>'[1]Housing Generation'!AN45</f>
        <v>0</v>
      </c>
      <c r="AO45" s="224">
        <f>'[1]Housing Generation'!AO45</f>
        <v>5</v>
      </c>
      <c r="AP45" s="229">
        <f>'[1]Housing Generation'!AP45</f>
        <v>3</v>
      </c>
      <c r="AQ45" s="229">
        <f>'[1]Housing Generation'!AQ45</f>
        <v>3</v>
      </c>
      <c r="AR45" s="229">
        <f>'[1]Housing Generation'!AR45</f>
        <v>2</v>
      </c>
      <c r="AS45" s="229">
        <f>'[1]Housing Generation'!AS45</f>
        <v>2</v>
      </c>
      <c r="AT45" s="229">
        <f>'[1]Housing Generation'!AT45</f>
        <v>2</v>
      </c>
      <c r="AU45" s="229">
        <f>'[1]Housing Generation'!AU45</f>
        <v>2</v>
      </c>
      <c r="AV45" s="229">
        <f>'[1]Housing Generation'!AV45</f>
        <v>2</v>
      </c>
      <c r="AW45" s="225">
        <f>'[1]Housing Generation'!AW45</f>
        <v>16</v>
      </c>
      <c r="AX45" s="227">
        <f>'[1]Housing Generation'!AX45</f>
        <v>4</v>
      </c>
      <c r="AY45" s="227">
        <f>'[1]Housing Generation'!AY45</f>
        <v>4</v>
      </c>
      <c r="AZ45" s="227">
        <f>'[1]Housing Generation'!AZ45</f>
        <v>4</v>
      </c>
      <c r="BA45" s="227">
        <f>'[1]Housing Generation'!BA45</f>
        <v>4</v>
      </c>
      <c r="BB45" s="227">
        <f>'[1]Housing Generation'!BB45</f>
        <v>4</v>
      </c>
      <c r="BC45" s="227">
        <f>'[1]Housing Generation'!BC45</f>
        <v>4</v>
      </c>
      <c r="BD45" s="227">
        <f>'[1]Housing Generation'!BD45</f>
        <v>3</v>
      </c>
      <c r="BE45" s="224">
        <f>'[1]Housing Generation'!BE45</f>
        <v>27</v>
      </c>
      <c r="BF45" s="229">
        <f>'[1]Housing Generation'!BF45</f>
        <v>6</v>
      </c>
      <c r="BG45" s="229">
        <f>'[1]Housing Generation'!BG45</f>
        <v>6</v>
      </c>
      <c r="BH45" s="229">
        <f>'[1]Housing Generation'!BH45</f>
        <v>6</v>
      </c>
      <c r="BI45" s="229">
        <f>'[1]Housing Generation'!BI45</f>
        <v>5</v>
      </c>
      <c r="BJ45" s="229">
        <f>'[1]Housing Generation'!BJ45</f>
        <v>5</v>
      </c>
      <c r="BK45" s="229">
        <f>'[1]Housing Generation'!BK45</f>
        <v>5</v>
      </c>
      <c r="BL45" s="229">
        <f>'[1]Housing Generation'!BL45</f>
        <v>5</v>
      </c>
      <c r="BM45" s="225">
        <f>'[1]Housing Generation'!BM45</f>
        <v>38</v>
      </c>
      <c r="BN45" s="227">
        <f>'[1]Housing Generation'!BN45</f>
        <v>6</v>
      </c>
      <c r="BO45" s="227">
        <f>'[1]Housing Generation'!BO45</f>
        <v>6</v>
      </c>
      <c r="BP45" s="227">
        <f>'[1]Housing Generation'!BP45</f>
        <v>6</v>
      </c>
      <c r="BQ45" s="227">
        <f>'[1]Housing Generation'!BQ45</f>
        <v>6</v>
      </c>
      <c r="BR45" s="227">
        <f>'[1]Housing Generation'!BR45</f>
        <v>6</v>
      </c>
      <c r="BS45" s="227">
        <f>'[1]Housing Generation'!BS45</f>
        <v>6</v>
      </c>
      <c r="BT45" s="227">
        <f>'[1]Housing Generation'!BT45</f>
        <v>5</v>
      </c>
      <c r="BU45" s="224">
        <f>'[1]Housing Generation'!BU45</f>
        <v>41</v>
      </c>
      <c r="BV45" s="229">
        <f>'[1]Housing Generation'!BV45</f>
        <v>6</v>
      </c>
      <c r="BW45" s="229">
        <f>'[1]Housing Generation'!BW45</f>
        <v>6</v>
      </c>
      <c r="BX45" s="229">
        <f>'[1]Housing Generation'!BX45</f>
        <v>6</v>
      </c>
      <c r="BY45" s="229">
        <f>'[1]Housing Generation'!BY45</f>
        <v>6</v>
      </c>
      <c r="BZ45" s="229">
        <f>'[1]Housing Generation'!BZ45</f>
        <v>6</v>
      </c>
      <c r="CA45" s="229">
        <f>'[1]Housing Generation'!CA45</f>
        <v>6</v>
      </c>
      <c r="CB45" s="229">
        <f>'[1]Housing Generation'!CB45</f>
        <v>5</v>
      </c>
      <c r="CC45" s="225">
        <f>'[1]Housing Generation'!CC45</f>
        <v>41</v>
      </c>
      <c r="CD45" s="227">
        <f>'[1]Housing Generation'!CD45</f>
        <v>6</v>
      </c>
      <c r="CE45" s="227">
        <f>'[1]Housing Generation'!CE45</f>
        <v>6</v>
      </c>
      <c r="CF45" s="227">
        <f>'[1]Housing Generation'!CF45</f>
        <v>6</v>
      </c>
      <c r="CG45" s="227">
        <f>'[1]Housing Generation'!CG45</f>
        <v>6</v>
      </c>
      <c r="CH45" s="227">
        <f>'[1]Housing Generation'!CH45</f>
        <v>6</v>
      </c>
      <c r="CI45" s="227">
        <f>'[1]Housing Generation'!CI45</f>
        <v>6</v>
      </c>
      <c r="CJ45" s="227">
        <f>'[1]Housing Generation'!CJ45</f>
        <v>5</v>
      </c>
      <c r="CK45" s="224">
        <f>'[1]Housing Generation'!CK45</f>
        <v>41</v>
      </c>
      <c r="CL45" s="229">
        <f>'[1]Housing Generation'!CL45</f>
        <v>6</v>
      </c>
      <c r="CM45" s="229">
        <f>'[1]Housing Generation'!CM45</f>
        <v>6</v>
      </c>
      <c r="CN45" s="229">
        <f>'[1]Housing Generation'!CN45</f>
        <v>6</v>
      </c>
      <c r="CO45" s="229">
        <f>'[1]Housing Generation'!CO45</f>
        <v>6</v>
      </c>
      <c r="CP45" s="229">
        <f>'[1]Housing Generation'!CP45</f>
        <v>6</v>
      </c>
      <c r="CQ45" s="229">
        <f>'[1]Housing Generation'!CQ45</f>
        <v>6</v>
      </c>
      <c r="CR45" s="229">
        <f>'[1]Housing Generation'!CR45</f>
        <v>5</v>
      </c>
      <c r="CS45" s="225">
        <f>'[1]Housing Generation'!CS45</f>
        <v>41</v>
      </c>
      <c r="CT45" s="227">
        <f>'[1]Housing Generation'!CT45</f>
        <v>6</v>
      </c>
      <c r="CU45" s="227">
        <f>'[1]Housing Generation'!CU45</f>
        <v>6</v>
      </c>
      <c r="CV45" s="227">
        <f>'[1]Housing Generation'!CV45</f>
        <v>6</v>
      </c>
      <c r="CW45" s="227">
        <f>'[1]Housing Generation'!CW45</f>
        <v>6</v>
      </c>
      <c r="CX45" s="227">
        <f>'[1]Housing Generation'!CX45</f>
        <v>6</v>
      </c>
      <c r="CY45" s="227">
        <f>'[1]Housing Generation'!CY45</f>
        <v>6</v>
      </c>
      <c r="CZ45" s="227">
        <f>'[1]Housing Generation'!CZ45</f>
        <v>5</v>
      </c>
      <c r="DA45" s="224">
        <f>'[1]Housing Generation'!DA45</f>
        <v>41</v>
      </c>
      <c r="DB45" s="229">
        <f>'[1]Housing Generation'!DB45</f>
        <v>6</v>
      </c>
      <c r="DC45" s="229">
        <f>'[1]Housing Generation'!DC45</f>
        <v>6</v>
      </c>
      <c r="DD45" s="229">
        <f>'[1]Housing Generation'!DD45</f>
        <v>6</v>
      </c>
      <c r="DE45" s="229">
        <f>'[1]Housing Generation'!DE45</f>
        <v>6</v>
      </c>
      <c r="DF45" s="229">
        <f>'[1]Housing Generation'!DF45</f>
        <v>6</v>
      </c>
      <c r="DG45" s="229">
        <f>'[1]Housing Generation'!DG45</f>
        <v>6</v>
      </c>
      <c r="DH45" s="229">
        <f>'[1]Housing Generation'!DH45</f>
        <v>5</v>
      </c>
      <c r="DI45" s="225">
        <f>'[1]Housing Generation'!DI45</f>
        <v>41</v>
      </c>
      <c r="DJ45" s="227">
        <f>'[1]Housing Generation'!DJ45</f>
        <v>6</v>
      </c>
      <c r="DK45" s="227">
        <f>'[1]Housing Generation'!DK45</f>
        <v>6</v>
      </c>
      <c r="DL45" s="227">
        <f>'[1]Housing Generation'!DL45</f>
        <v>6</v>
      </c>
      <c r="DM45" s="227">
        <f>'[1]Housing Generation'!DM45</f>
        <v>6</v>
      </c>
      <c r="DN45" s="227">
        <f>'[1]Housing Generation'!DN45</f>
        <v>6</v>
      </c>
      <c r="DO45" s="227">
        <f>'[1]Housing Generation'!DO45</f>
        <v>6</v>
      </c>
      <c r="DP45" s="227">
        <f>'[1]Housing Generation'!DP45</f>
        <v>5</v>
      </c>
      <c r="DQ45" s="224">
        <f>'[1]Housing Generation'!DQ45</f>
        <v>41</v>
      </c>
    </row>
    <row r="46" spans="1:121" x14ac:dyDescent="0.2">
      <c r="A46" s="237" t="s">
        <v>47</v>
      </c>
      <c r="B46" s="227">
        <f>'[1]Housing Generation'!B46</f>
        <v>3</v>
      </c>
      <c r="C46" s="227">
        <f>'[1]Housing Generation'!C46</f>
        <v>3</v>
      </c>
      <c r="D46" s="227">
        <f>'[1]Housing Generation'!D46</f>
        <v>3</v>
      </c>
      <c r="E46" s="227">
        <f>'[1]Housing Generation'!E46</f>
        <v>3</v>
      </c>
      <c r="F46" s="227">
        <f>'[1]Housing Generation'!F46</f>
        <v>3</v>
      </c>
      <c r="G46" s="227">
        <f>'[1]Housing Generation'!G46</f>
        <v>3</v>
      </c>
      <c r="H46" s="227">
        <f>'[1]Housing Generation'!H46</f>
        <v>3</v>
      </c>
      <c r="I46" s="224">
        <f>'[1]Housing Generation'!I46</f>
        <v>21</v>
      </c>
      <c r="J46" s="229">
        <f>'[1]Housing Generation'!J46</f>
        <v>2</v>
      </c>
      <c r="K46" s="229">
        <f>'[1]Housing Generation'!K46</f>
        <v>1</v>
      </c>
      <c r="L46" s="229">
        <f>'[1]Housing Generation'!L46</f>
        <v>1</v>
      </c>
      <c r="M46" s="229">
        <f>'[1]Housing Generation'!M46</f>
        <v>1</v>
      </c>
      <c r="N46" s="229">
        <f>'[1]Housing Generation'!N46</f>
        <v>1</v>
      </c>
      <c r="O46" s="229">
        <f>'[1]Housing Generation'!O46</f>
        <v>1</v>
      </c>
      <c r="P46" s="229">
        <f>'[1]Housing Generation'!P46</f>
        <v>1</v>
      </c>
      <c r="Q46" s="225">
        <f>'[1]Housing Generation'!Q46</f>
        <v>8</v>
      </c>
      <c r="R46" s="227">
        <f>'[1]Housing Generation'!R46</f>
        <v>2</v>
      </c>
      <c r="S46" s="227">
        <f>'[1]Housing Generation'!S46</f>
        <v>1</v>
      </c>
      <c r="T46" s="227">
        <f>'[1]Housing Generation'!T46</f>
        <v>1</v>
      </c>
      <c r="U46" s="227">
        <f>'[1]Housing Generation'!U46</f>
        <v>1</v>
      </c>
      <c r="V46" s="227">
        <f>'[1]Housing Generation'!V46</f>
        <v>1</v>
      </c>
      <c r="W46" s="227">
        <f>'[1]Housing Generation'!W46</f>
        <v>1</v>
      </c>
      <c r="X46" s="227">
        <f>'[1]Housing Generation'!X46</f>
        <v>1</v>
      </c>
      <c r="Y46" s="224">
        <f>'[1]Housing Generation'!Y46</f>
        <v>8</v>
      </c>
      <c r="Z46" s="229">
        <f>'[1]Housing Generation'!Z46</f>
        <v>2</v>
      </c>
      <c r="AA46" s="229">
        <f>'[1]Housing Generation'!AA46</f>
        <v>1</v>
      </c>
      <c r="AB46" s="229">
        <f>'[1]Housing Generation'!AB46</f>
        <v>1</v>
      </c>
      <c r="AC46" s="229">
        <f>'[1]Housing Generation'!AC46</f>
        <v>1</v>
      </c>
      <c r="AD46" s="229">
        <f>'[1]Housing Generation'!AD46</f>
        <v>1</v>
      </c>
      <c r="AE46" s="229">
        <f>'[1]Housing Generation'!AE46</f>
        <v>1</v>
      </c>
      <c r="AF46" s="229">
        <f>'[1]Housing Generation'!AF46</f>
        <v>1</v>
      </c>
      <c r="AG46" s="225">
        <f>'[1]Housing Generation'!AG46</f>
        <v>8</v>
      </c>
      <c r="AH46" s="227">
        <f>'[1]Housing Generation'!AH46</f>
        <v>2</v>
      </c>
      <c r="AI46" s="227">
        <f>'[1]Housing Generation'!AI46</f>
        <v>1</v>
      </c>
      <c r="AJ46" s="227">
        <f>'[1]Housing Generation'!AJ46</f>
        <v>1</v>
      </c>
      <c r="AK46" s="227">
        <f>'[1]Housing Generation'!AK46</f>
        <v>1</v>
      </c>
      <c r="AL46" s="227">
        <f>'[1]Housing Generation'!AL46</f>
        <v>1</v>
      </c>
      <c r="AM46" s="227">
        <f>'[1]Housing Generation'!AM46</f>
        <v>1</v>
      </c>
      <c r="AN46" s="227">
        <f>'[1]Housing Generation'!AN46</f>
        <v>1</v>
      </c>
      <c r="AO46" s="224">
        <f>'[1]Housing Generation'!AO46</f>
        <v>8</v>
      </c>
      <c r="AP46" s="229">
        <f>'[1]Housing Generation'!AP46</f>
        <v>2</v>
      </c>
      <c r="AQ46" s="229">
        <f>'[1]Housing Generation'!AQ46</f>
        <v>1</v>
      </c>
      <c r="AR46" s="229">
        <f>'[1]Housing Generation'!AR46</f>
        <v>1</v>
      </c>
      <c r="AS46" s="229">
        <f>'[1]Housing Generation'!AS46</f>
        <v>1</v>
      </c>
      <c r="AT46" s="229">
        <f>'[1]Housing Generation'!AT46</f>
        <v>1</v>
      </c>
      <c r="AU46" s="229">
        <f>'[1]Housing Generation'!AU46</f>
        <v>1</v>
      </c>
      <c r="AV46" s="229">
        <f>'[1]Housing Generation'!AV46</f>
        <v>1</v>
      </c>
      <c r="AW46" s="225">
        <f>'[1]Housing Generation'!AW46</f>
        <v>8</v>
      </c>
      <c r="AX46" s="227">
        <f>'[1]Housing Generation'!AX46</f>
        <v>2</v>
      </c>
      <c r="AY46" s="227">
        <f>'[1]Housing Generation'!AY46</f>
        <v>1</v>
      </c>
      <c r="AZ46" s="227">
        <f>'[1]Housing Generation'!AZ46</f>
        <v>1</v>
      </c>
      <c r="BA46" s="227">
        <f>'[1]Housing Generation'!BA46</f>
        <v>1</v>
      </c>
      <c r="BB46" s="227">
        <f>'[1]Housing Generation'!BB46</f>
        <v>1</v>
      </c>
      <c r="BC46" s="227">
        <f>'[1]Housing Generation'!BC46</f>
        <v>1</v>
      </c>
      <c r="BD46" s="227">
        <f>'[1]Housing Generation'!BD46</f>
        <v>1</v>
      </c>
      <c r="BE46" s="224">
        <f>'[1]Housing Generation'!BE46</f>
        <v>8</v>
      </c>
      <c r="BF46" s="229">
        <f>'[1]Housing Generation'!BF46</f>
        <v>3</v>
      </c>
      <c r="BG46" s="229">
        <f>'[1]Housing Generation'!BG46</f>
        <v>2</v>
      </c>
      <c r="BH46" s="229">
        <f>'[1]Housing Generation'!BH46</f>
        <v>2</v>
      </c>
      <c r="BI46" s="229">
        <f>'[1]Housing Generation'!BI46</f>
        <v>2</v>
      </c>
      <c r="BJ46" s="229">
        <f>'[1]Housing Generation'!BJ46</f>
        <v>2</v>
      </c>
      <c r="BK46" s="229">
        <f>'[1]Housing Generation'!BK46</f>
        <v>2</v>
      </c>
      <c r="BL46" s="229">
        <f>'[1]Housing Generation'!BL46</f>
        <v>2</v>
      </c>
      <c r="BM46" s="225">
        <f>'[1]Housing Generation'!BM46</f>
        <v>15</v>
      </c>
      <c r="BN46" s="227">
        <f>'[1]Housing Generation'!BN46</f>
        <v>4</v>
      </c>
      <c r="BO46" s="227">
        <f>'[1]Housing Generation'!BO46</f>
        <v>3</v>
      </c>
      <c r="BP46" s="227">
        <f>'[1]Housing Generation'!BP46</f>
        <v>3</v>
      </c>
      <c r="BQ46" s="227">
        <f>'[1]Housing Generation'!BQ46</f>
        <v>3</v>
      </c>
      <c r="BR46" s="227">
        <f>'[1]Housing Generation'!BR46</f>
        <v>3</v>
      </c>
      <c r="BS46" s="227">
        <f>'[1]Housing Generation'!BS46</f>
        <v>3</v>
      </c>
      <c r="BT46" s="227">
        <f>'[1]Housing Generation'!BT46</f>
        <v>3</v>
      </c>
      <c r="BU46" s="224">
        <f>'[1]Housing Generation'!BU46</f>
        <v>22</v>
      </c>
      <c r="BV46" s="229">
        <f>'[1]Housing Generation'!BV46</f>
        <v>5</v>
      </c>
      <c r="BW46" s="229">
        <f>'[1]Housing Generation'!BW46</f>
        <v>5</v>
      </c>
      <c r="BX46" s="229">
        <f>'[1]Housing Generation'!BX46</f>
        <v>5</v>
      </c>
      <c r="BY46" s="229">
        <f>'[1]Housing Generation'!BY46</f>
        <v>4</v>
      </c>
      <c r="BZ46" s="229">
        <f>'[1]Housing Generation'!BZ46</f>
        <v>4</v>
      </c>
      <c r="CA46" s="229">
        <f>'[1]Housing Generation'!CA46</f>
        <v>4</v>
      </c>
      <c r="CB46" s="229">
        <f>'[1]Housing Generation'!CB46</f>
        <v>4</v>
      </c>
      <c r="CC46" s="225">
        <f>'[1]Housing Generation'!CC46</f>
        <v>31</v>
      </c>
      <c r="CD46" s="227">
        <f>'[1]Housing Generation'!CD46</f>
        <v>5</v>
      </c>
      <c r="CE46" s="227">
        <f>'[1]Housing Generation'!CE46</f>
        <v>5</v>
      </c>
      <c r="CF46" s="227">
        <f>'[1]Housing Generation'!CF46</f>
        <v>5</v>
      </c>
      <c r="CG46" s="227">
        <f>'[1]Housing Generation'!CG46</f>
        <v>4</v>
      </c>
      <c r="CH46" s="227">
        <f>'[1]Housing Generation'!CH46</f>
        <v>4</v>
      </c>
      <c r="CI46" s="227">
        <f>'[1]Housing Generation'!CI46</f>
        <v>4</v>
      </c>
      <c r="CJ46" s="227">
        <f>'[1]Housing Generation'!CJ46</f>
        <v>4</v>
      </c>
      <c r="CK46" s="224">
        <f>'[1]Housing Generation'!CK46</f>
        <v>31</v>
      </c>
      <c r="CL46" s="229">
        <f>'[1]Housing Generation'!CL46</f>
        <v>5</v>
      </c>
      <c r="CM46" s="229">
        <f>'[1]Housing Generation'!CM46</f>
        <v>5</v>
      </c>
      <c r="CN46" s="229">
        <f>'[1]Housing Generation'!CN46</f>
        <v>5</v>
      </c>
      <c r="CO46" s="229">
        <f>'[1]Housing Generation'!CO46</f>
        <v>4</v>
      </c>
      <c r="CP46" s="229">
        <f>'[1]Housing Generation'!CP46</f>
        <v>4</v>
      </c>
      <c r="CQ46" s="229">
        <f>'[1]Housing Generation'!CQ46</f>
        <v>4</v>
      </c>
      <c r="CR46" s="229">
        <f>'[1]Housing Generation'!CR46</f>
        <v>4</v>
      </c>
      <c r="CS46" s="225">
        <f>'[1]Housing Generation'!CS46</f>
        <v>31</v>
      </c>
      <c r="CT46" s="227">
        <f>'[1]Housing Generation'!CT46</f>
        <v>5</v>
      </c>
      <c r="CU46" s="227">
        <f>'[1]Housing Generation'!CU46</f>
        <v>5</v>
      </c>
      <c r="CV46" s="227">
        <f>'[1]Housing Generation'!CV46</f>
        <v>5</v>
      </c>
      <c r="CW46" s="227">
        <f>'[1]Housing Generation'!CW46</f>
        <v>4</v>
      </c>
      <c r="CX46" s="227">
        <f>'[1]Housing Generation'!CX46</f>
        <v>4</v>
      </c>
      <c r="CY46" s="227">
        <f>'[1]Housing Generation'!CY46</f>
        <v>4</v>
      </c>
      <c r="CZ46" s="227">
        <f>'[1]Housing Generation'!CZ46</f>
        <v>4</v>
      </c>
      <c r="DA46" s="224">
        <f>'[1]Housing Generation'!DA46</f>
        <v>31</v>
      </c>
      <c r="DB46" s="229">
        <f>'[1]Housing Generation'!DB46</f>
        <v>5</v>
      </c>
      <c r="DC46" s="229">
        <f>'[1]Housing Generation'!DC46</f>
        <v>5</v>
      </c>
      <c r="DD46" s="229">
        <f>'[1]Housing Generation'!DD46</f>
        <v>5</v>
      </c>
      <c r="DE46" s="229">
        <f>'[1]Housing Generation'!DE46</f>
        <v>4</v>
      </c>
      <c r="DF46" s="229">
        <f>'[1]Housing Generation'!DF46</f>
        <v>4</v>
      </c>
      <c r="DG46" s="229">
        <f>'[1]Housing Generation'!DG46</f>
        <v>4</v>
      </c>
      <c r="DH46" s="229">
        <f>'[1]Housing Generation'!DH46</f>
        <v>4</v>
      </c>
      <c r="DI46" s="225">
        <f>'[1]Housing Generation'!DI46</f>
        <v>31</v>
      </c>
      <c r="DJ46" s="227">
        <f>'[1]Housing Generation'!DJ46</f>
        <v>5</v>
      </c>
      <c r="DK46" s="227">
        <f>'[1]Housing Generation'!DK46</f>
        <v>5</v>
      </c>
      <c r="DL46" s="227">
        <f>'[1]Housing Generation'!DL46</f>
        <v>5</v>
      </c>
      <c r="DM46" s="227">
        <f>'[1]Housing Generation'!DM46</f>
        <v>4</v>
      </c>
      <c r="DN46" s="227">
        <f>'[1]Housing Generation'!DN46</f>
        <v>4</v>
      </c>
      <c r="DO46" s="227">
        <f>'[1]Housing Generation'!DO46</f>
        <v>4</v>
      </c>
      <c r="DP46" s="227">
        <f>'[1]Housing Generation'!DP46</f>
        <v>4</v>
      </c>
      <c r="DQ46" s="224">
        <f>'[1]Housing Generation'!DQ46</f>
        <v>31</v>
      </c>
    </row>
    <row r="47" spans="1:121" x14ac:dyDescent="0.2">
      <c r="A47" s="237" t="s">
        <v>48</v>
      </c>
      <c r="B47" s="227">
        <f>'[1]Housing Generation'!B47</f>
        <v>1</v>
      </c>
      <c r="C47" s="227">
        <f>'[1]Housing Generation'!C47</f>
        <v>1</v>
      </c>
      <c r="D47" s="227">
        <f>'[1]Housing Generation'!D47</f>
        <v>0</v>
      </c>
      <c r="E47" s="227">
        <f>'[1]Housing Generation'!E47</f>
        <v>0</v>
      </c>
      <c r="F47" s="227">
        <f>'[1]Housing Generation'!F47</f>
        <v>0</v>
      </c>
      <c r="G47" s="227">
        <f>'[1]Housing Generation'!G47</f>
        <v>0</v>
      </c>
      <c r="H47" s="227">
        <f>'[1]Housing Generation'!H47</f>
        <v>0</v>
      </c>
      <c r="I47" s="224">
        <f>'[1]Housing Generation'!I47</f>
        <v>2</v>
      </c>
      <c r="J47" s="229">
        <f>'[1]Housing Generation'!J47</f>
        <v>1</v>
      </c>
      <c r="K47" s="229">
        <f>'[1]Housing Generation'!K47</f>
        <v>1</v>
      </c>
      <c r="L47" s="229">
        <f>'[1]Housing Generation'!L47</f>
        <v>1</v>
      </c>
      <c r="M47" s="229">
        <f>'[1]Housing Generation'!M47</f>
        <v>1</v>
      </c>
      <c r="N47" s="229">
        <f>'[1]Housing Generation'!N47</f>
        <v>0</v>
      </c>
      <c r="O47" s="229">
        <f>'[1]Housing Generation'!O47</f>
        <v>0</v>
      </c>
      <c r="P47" s="229">
        <f>'[1]Housing Generation'!P47</f>
        <v>0</v>
      </c>
      <c r="Q47" s="225">
        <f>'[1]Housing Generation'!Q47</f>
        <v>4</v>
      </c>
      <c r="R47" s="227">
        <f>'[1]Housing Generation'!R47</f>
        <v>2</v>
      </c>
      <c r="S47" s="227">
        <f>'[1]Housing Generation'!S47</f>
        <v>2</v>
      </c>
      <c r="T47" s="227">
        <f>'[1]Housing Generation'!T47</f>
        <v>2</v>
      </c>
      <c r="U47" s="227">
        <f>'[1]Housing Generation'!U47</f>
        <v>1</v>
      </c>
      <c r="V47" s="227">
        <f>'[1]Housing Generation'!V47</f>
        <v>1</v>
      </c>
      <c r="W47" s="227">
        <f>'[1]Housing Generation'!W47</f>
        <v>1</v>
      </c>
      <c r="X47" s="227">
        <f>'[1]Housing Generation'!X47</f>
        <v>1</v>
      </c>
      <c r="Y47" s="224">
        <f>'[1]Housing Generation'!Y47</f>
        <v>10</v>
      </c>
      <c r="Z47" s="229">
        <f>'[1]Housing Generation'!Z47</f>
        <v>3</v>
      </c>
      <c r="AA47" s="229">
        <f>'[1]Housing Generation'!AA47</f>
        <v>3</v>
      </c>
      <c r="AB47" s="229">
        <f>'[1]Housing Generation'!AB47</f>
        <v>3</v>
      </c>
      <c r="AC47" s="229">
        <f>'[1]Housing Generation'!AC47</f>
        <v>3</v>
      </c>
      <c r="AD47" s="229">
        <f>'[1]Housing Generation'!AD47</f>
        <v>3</v>
      </c>
      <c r="AE47" s="229">
        <f>'[1]Housing Generation'!AE47</f>
        <v>3</v>
      </c>
      <c r="AF47" s="229">
        <f>'[1]Housing Generation'!AF47</f>
        <v>3</v>
      </c>
      <c r="AG47" s="225">
        <f>'[1]Housing Generation'!AG47</f>
        <v>21</v>
      </c>
      <c r="AH47" s="227">
        <f>'[1]Housing Generation'!AH47</f>
        <v>5</v>
      </c>
      <c r="AI47" s="227">
        <f>'[1]Housing Generation'!AI47</f>
        <v>4</v>
      </c>
      <c r="AJ47" s="227">
        <f>'[1]Housing Generation'!AJ47</f>
        <v>4</v>
      </c>
      <c r="AK47" s="227">
        <f>'[1]Housing Generation'!AK47</f>
        <v>4</v>
      </c>
      <c r="AL47" s="227">
        <f>'[1]Housing Generation'!AL47</f>
        <v>4</v>
      </c>
      <c r="AM47" s="227">
        <f>'[1]Housing Generation'!AM47</f>
        <v>4</v>
      </c>
      <c r="AN47" s="227">
        <f>'[1]Housing Generation'!AN47</f>
        <v>4</v>
      </c>
      <c r="AO47" s="224">
        <f>'[1]Housing Generation'!AO47</f>
        <v>29</v>
      </c>
      <c r="AP47" s="229">
        <f>'[1]Housing Generation'!AP47</f>
        <v>6</v>
      </c>
      <c r="AQ47" s="229">
        <f>'[1]Housing Generation'!AQ47</f>
        <v>6</v>
      </c>
      <c r="AR47" s="229">
        <f>'[1]Housing Generation'!AR47</f>
        <v>6</v>
      </c>
      <c r="AS47" s="229">
        <f>'[1]Housing Generation'!AS47</f>
        <v>5</v>
      </c>
      <c r="AT47" s="229">
        <f>'[1]Housing Generation'!AT47</f>
        <v>5</v>
      </c>
      <c r="AU47" s="229">
        <f>'[1]Housing Generation'!AU47</f>
        <v>5</v>
      </c>
      <c r="AV47" s="229">
        <f>'[1]Housing Generation'!AV47</f>
        <v>5</v>
      </c>
      <c r="AW47" s="225">
        <f>'[1]Housing Generation'!AW47</f>
        <v>38</v>
      </c>
      <c r="AX47" s="227">
        <f>'[1]Housing Generation'!AX47</f>
        <v>8</v>
      </c>
      <c r="AY47" s="227">
        <f>'[1]Housing Generation'!AY47</f>
        <v>8</v>
      </c>
      <c r="AZ47" s="227">
        <f>'[1]Housing Generation'!AZ47</f>
        <v>8</v>
      </c>
      <c r="BA47" s="227">
        <f>'[1]Housing Generation'!BA47</f>
        <v>8</v>
      </c>
      <c r="BB47" s="227">
        <f>'[1]Housing Generation'!BB47</f>
        <v>8</v>
      </c>
      <c r="BC47" s="227">
        <f>'[1]Housing Generation'!BC47</f>
        <v>8</v>
      </c>
      <c r="BD47" s="227">
        <f>'[1]Housing Generation'!BD47</f>
        <v>7</v>
      </c>
      <c r="BE47" s="224">
        <f>'[1]Housing Generation'!BE47</f>
        <v>55</v>
      </c>
      <c r="BF47" s="229">
        <f>'[1]Housing Generation'!BF47</f>
        <v>11</v>
      </c>
      <c r="BG47" s="229">
        <f>'[1]Housing Generation'!BG47</f>
        <v>11</v>
      </c>
      <c r="BH47" s="229">
        <f>'[1]Housing Generation'!BH47</f>
        <v>10</v>
      </c>
      <c r="BI47" s="229">
        <f>'[1]Housing Generation'!BI47</f>
        <v>10</v>
      </c>
      <c r="BJ47" s="229">
        <f>'[1]Housing Generation'!BJ47</f>
        <v>10</v>
      </c>
      <c r="BK47" s="229">
        <f>'[1]Housing Generation'!BK47</f>
        <v>10</v>
      </c>
      <c r="BL47" s="229">
        <f>'[1]Housing Generation'!BL47</f>
        <v>10</v>
      </c>
      <c r="BM47" s="225">
        <f>'[1]Housing Generation'!BM47</f>
        <v>72</v>
      </c>
      <c r="BN47" s="227">
        <f>'[1]Housing Generation'!BN47</f>
        <v>13</v>
      </c>
      <c r="BO47" s="227">
        <f>'[1]Housing Generation'!BO47</f>
        <v>13</v>
      </c>
      <c r="BP47" s="227">
        <f>'[1]Housing Generation'!BP47</f>
        <v>13</v>
      </c>
      <c r="BQ47" s="227">
        <f>'[1]Housing Generation'!BQ47</f>
        <v>13</v>
      </c>
      <c r="BR47" s="227">
        <f>'[1]Housing Generation'!BR47</f>
        <v>13</v>
      </c>
      <c r="BS47" s="227">
        <f>'[1]Housing Generation'!BS47</f>
        <v>12</v>
      </c>
      <c r="BT47" s="227">
        <f>'[1]Housing Generation'!BT47</f>
        <v>12</v>
      </c>
      <c r="BU47" s="224">
        <f>'[1]Housing Generation'!BU47</f>
        <v>89</v>
      </c>
      <c r="BV47" s="229">
        <f>'[1]Housing Generation'!BV47</f>
        <v>16</v>
      </c>
      <c r="BW47" s="229">
        <f>'[1]Housing Generation'!BW47</f>
        <v>16</v>
      </c>
      <c r="BX47" s="229">
        <f>'[1]Housing Generation'!BX47</f>
        <v>15</v>
      </c>
      <c r="BY47" s="229">
        <f>'[1]Housing Generation'!BY47</f>
        <v>15</v>
      </c>
      <c r="BZ47" s="229">
        <f>'[1]Housing Generation'!BZ47</f>
        <v>15</v>
      </c>
      <c r="CA47" s="229">
        <f>'[1]Housing Generation'!CA47</f>
        <v>15</v>
      </c>
      <c r="CB47" s="229">
        <f>'[1]Housing Generation'!CB47</f>
        <v>15</v>
      </c>
      <c r="CC47" s="225">
        <f>'[1]Housing Generation'!CC47</f>
        <v>107</v>
      </c>
      <c r="CD47" s="227">
        <f>'[1]Housing Generation'!CD47</f>
        <v>18</v>
      </c>
      <c r="CE47" s="227">
        <f>'[1]Housing Generation'!CE47</f>
        <v>18</v>
      </c>
      <c r="CF47" s="227">
        <f>'[1]Housing Generation'!CF47</f>
        <v>18</v>
      </c>
      <c r="CG47" s="227">
        <f>'[1]Housing Generation'!CG47</f>
        <v>17</v>
      </c>
      <c r="CH47" s="227">
        <f>'[1]Housing Generation'!CH47</f>
        <v>17</v>
      </c>
      <c r="CI47" s="227">
        <f>'[1]Housing Generation'!CI47</f>
        <v>17</v>
      </c>
      <c r="CJ47" s="227">
        <f>'[1]Housing Generation'!CJ47</f>
        <v>17</v>
      </c>
      <c r="CK47" s="224">
        <f>'[1]Housing Generation'!CK47</f>
        <v>122</v>
      </c>
      <c r="CL47" s="229">
        <f>'[1]Housing Generation'!CL47</f>
        <v>20</v>
      </c>
      <c r="CM47" s="229">
        <f>'[1]Housing Generation'!CM47</f>
        <v>19</v>
      </c>
      <c r="CN47" s="229">
        <f>'[1]Housing Generation'!CN47</f>
        <v>19</v>
      </c>
      <c r="CO47" s="229">
        <f>'[1]Housing Generation'!CO47</f>
        <v>19</v>
      </c>
      <c r="CP47" s="229">
        <f>'[1]Housing Generation'!CP47</f>
        <v>19</v>
      </c>
      <c r="CQ47" s="229">
        <f>'[1]Housing Generation'!CQ47</f>
        <v>19</v>
      </c>
      <c r="CR47" s="229">
        <f>'[1]Housing Generation'!CR47</f>
        <v>19</v>
      </c>
      <c r="CS47" s="225">
        <f>'[1]Housing Generation'!CS47</f>
        <v>134</v>
      </c>
      <c r="CT47" s="227">
        <f>'[1]Housing Generation'!CT47</f>
        <v>21</v>
      </c>
      <c r="CU47" s="227">
        <f>'[1]Housing Generation'!CU47</f>
        <v>21</v>
      </c>
      <c r="CV47" s="227">
        <f>'[1]Housing Generation'!CV47</f>
        <v>21</v>
      </c>
      <c r="CW47" s="227">
        <f>'[1]Housing Generation'!CW47</f>
        <v>21</v>
      </c>
      <c r="CX47" s="227">
        <f>'[1]Housing Generation'!CX47</f>
        <v>21</v>
      </c>
      <c r="CY47" s="227">
        <f>'[1]Housing Generation'!CY47</f>
        <v>21</v>
      </c>
      <c r="CZ47" s="227">
        <f>'[1]Housing Generation'!CZ47</f>
        <v>20</v>
      </c>
      <c r="DA47" s="224">
        <f>'[1]Housing Generation'!DA47</f>
        <v>146</v>
      </c>
      <c r="DB47" s="229">
        <f>'[1]Housing Generation'!DB47</f>
        <v>23</v>
      </c>
      <c r="DC47" s="229">
        <f>'[1]Housing Generation'!DC47</f>
        <v>23</v>
      </c>
      <c r="DD47" s="229">
        <f>'[1]Housing Generation'!DD47</f>
        <v>23</v>
      </c>
      <c r="DE47" s="229">
        <f>'[1]Housing Generation'!DE47</f>
        <v>23</v>
      </c>
      <c r="DF47" s="229">
        <f>'[1]Housing Generation'!DF47</f>
        <v>22</v>
      </c>
      <c r="DG47" s="229">
        <f>'[1]Housing Generation'!DG47</f>
        <v>22</v>
      </c>
      <c r="DH47" s="229">
        <f>'[1]Housing Generation'!DH47</f>
        <v>22</v>
      </c>
      <c r="DI47" s="225">
        <f>'[1]Housing Generation'!DI47</f>
        <v>158</v>
      </c>
      <c r="DJ47" s="227">
        <f>'[1]Housing Generation'!DJ47</f>
        <v>25</v>
      </c>
      <c r="DK47" s="227">
        <f>'[1]Housing Generation'!DK47</f>
        <v>25</v>
      </c>
      <c r="DL47" s="227">
        <f>'[1]Housing Generation'!DL47</f>
        <v>24</v>
      </c>
      <c r="DM47" s="227">
        <f>'[1]Housing Generation'!DM47</f>
        <v>24</v>
      </c>
      <c r="DN47" s="227">
        <f>'[1]Housing Generation'!DN47</f>
        <v>24</v>
      </c>
      <c r="DO47" s="227">
        <f>'[1]Housing Generation'!DO47</f>
        <v>24</v>
      </c>
      <c r="DP47" s="227">
        <f>'[1]Housing Generation'!DP47</f>
        <v>24</v>
      </c>
      <c r="DQ47" s="224">
        <f>'[1]Housing Generation'!DQ47</f>
        <v>170</v>
      </c>
    </row>
    <row r="48" spans="1:121" x14ac:dyDescent="0.2">
      <c r="A48" s="237" t="s">
        <v>49</v>
      </c>
      <c r="B48" s="227">
        <f>'[1]Housing Generation'!B48</f>
        <v>1</v>
      </c>
      <c r="C48" s="227">
        <f>'[1]Housing Generation'!C48</f>
        <v>1</v>
      </c>
      <c r="D48" s="227">
        <f>'[1]Housing Generation'!D48</f>
        <v>1</v>
      </c>
      <c r="E48" s="227">
        <f>'[1]Housing Generation'!E48</f>
        <v>1</v>
      </c>
      <c r="F48" s="227">
        <f>'[1]Housing Generation'!F48</f>
        <v>1</v>
      </c>
      <c r="G48" s="227">
        <f>'[1]Housing Generation'!G48</f>
        <v>1</v>
      </c>
      <c r="H48" s="227">
        <f>'[1]Housing Generation'!H48</f>
        <v>0</v>
      </c>
      <c r="I48" s="224">
        <f>'[1]Housing Generation'!I48</f>
        <v>6</v>
      </c>
      <c r="J48" s="229">
        <f>'[1]Housing Generation'!J48</f>
        <v>1</v>
      </c>
      <c r="K48" s="229">
        <f>'[1]Housing Generation'!K48</f>
        <v>1</v>
      </c>
      <c r="L48" s="229">
        <f>'[1]Housing Generation'!L48</f>
        <v>1</v>
      </c>
      <c r="M48" s="229">
        <f>'[1]Housing Generation'!M48</f>
        <v>0</v>
      </c>
      <c r="N48" s="229">
        <f>'[1]Housing Generation'!N48</f>
        <v>0</v>
      </c>
      <c r="O48" s="229">
        <f>'[1]Housing Generation'!O48</f>
        <v>0</v>
      </c>
      <c r="P48" s="229">
        <f>'[1]Housing Generation'!P48</f>
        <v>0</v>
      </c>
      <c r="Q48" s="225">
        <f>'[1]Housing Generation'!Q48</f>
        <v>3</v>
      </c>
      <c r="R48" s="227">
        <f>'[1]Housing Generation'!R48</f>
        <v>1</v>
      </c>
      <c r="S48" s="227">
        <f>'[1]Housing Generation'!S48</f>
        <v>1</v>
      </c>
      <c r="T48" s="227">
        <f>'[1]Housing Generation'!T48</f>
        <v>1</v>
      </c>
      <c r="U48" s="227">
        <f>'[1]Housing Generation'!U48</f>
        <v>0</v>
      </c>
      <c r="V48" s="227">
        <f>'[1]Housing Generation'!V48</f>
        <v>0</v>
      </c>
      <c r="W48" s="227">
        <f>'[1]Housing Generation'!W48</f>
        <v>0</v>
      </c>
      <c r="X48" s="227">
        <f>'[1]Housing Generation'!X48</f>
        <v>0</v>
      </c>
      <c r="Y48" s="224">
        <f>'[1]Housing Generation'!Y48</f>
        <v>3</v>
      </c>
      <c r="Z48" s="229">
        <f>'[1]Housing Generation'!Z48</f>
        <v>1</v>
      </c>
      <c r="AA48" s="229">
        <f>'[1]Housing Generation'!AA48</f>
        <v>1</v>
      </c>
      <c r="AB48" s="229">
        <f>'[1]Housing Generation'!AB48</f>
        <v>1</v>
      </c>
      <c r="AC48" s="229">
        <f>'[1]Housing Generation'!AC48</f>
        <v>0</v>
      </c>
      <c r="AD48" s="229">
        <f>'[1]Housing Generation'!AD48</f>
        <v>0</v>
      </c>
      <c r="AE48" s="229">
        <f>'[1]Housing Generation'!AE48</f>
        <v>0</v>
      </c>
      <c r="AF48" s="229">
        <f>'[1]Housing Generation'!AF48</f>
        <v>0</v>
      </c>
      <c r="AG48" s="225">
        <f>'[1]Housing Generation'!AG48</f>
        <v>3</v>
      </c>
      <c r="AH48" s="227">
        <f>'[1]Housing Generation'!AH48</f>
        <v>1</v>
      </c>
      <c r="AI48" s="227">
        <f>'[1]Housing Generation'!AI48</f>
        <v>1</v>
      </c>
      <c r="AJ48" s="227">
        <f>'[1]Housing Generation'!AJ48</f>
        <v>1</v>
      </c>
      <c r="AK48" s="227">
        <f>'[1]Housing Generation'!AK48</f>
        <v>0</v>
      </c>
      <c r="AL48" s="227">
        <f>'[1]Housing Generation'!AL48</f>
        <v>0</v>
      </c>
      <c r="AM48" s="227">
        <f>'[1]Housing Generation'!AM48</f>
        <v>0</v>
      </c>
      <c r="AN48" s="227">
        <f>'[1]Housing Generation'!AN48</f>
        <v>0</v>
      </c>
      <c r="AO48" s="224">
        <f>'[1]Housing Generation'!AO48</f>
        <v>3</v>
      </c>
      <c r="AP48" s="229">
        <f>'[1]Housing Generation'!AP48</f>
        <v>1</v>
      </c>
      <c r="AQ48" s="229">
        <f>'[1]Housing Generation'!AQ48</f>
        <v>1</v>
      </c>
      <c r="AR48" s="229">
        <f>'[1]Housing Generation'!AR48</f>
        <v>1</v>
      </c>
      <c r="AS48" s="229">
        <f>'[1]Housing Generation'!AS48</f>
        <v>0</v>
      </c>
      <c r="AT48" s="229">
        <f>'[1]Housing Generation'!AT48</f>
        <v>0</v>
      </c>
      <c r="AU48" s="229">
        <f>'[1]Housing Generation'!AU48</f>
        <v>0</v>
      </c>
      <c r="AV48" s="229">
        <f>'[1]Housing Generation'!AV48</f>
        <v>0</v>
      </c>
      <c r="AW48" s="225">
        <f>'[1]Housing Generation'!AW48</f>
        <v>3</v>
      </c>
      <c r="AX48" s="227">
        <f>'[1]Housing Generation'!AX48</f>
        <v>1</v>
      </c>
      <c r="AY48" s="227">
        <f>'[1]Housing Generation'!AY48</f>
        <v>1</v>
      </c>
      <c r="AZ48" s="227">
        <f>'[1]Housing Generation'!AZ48</f>
        <v>1</v>
      </c>
      <c r="BA48" s="227">
        <f>'[1]Housing Generation'!BA48</f>
        <v>1</v>
      </c>
      <c r="BB48" s="227">
        <f>'[1]Housing Generation'!BB48</f>
        <v>0</v>
      </c>
      <c r="BC48" s="227">
        <f>'[1]Housing Generation'!BC48</f>
        <v>0</v>
      </c>
      <c r="BD48" s="227">
        <f>'[1]Housing Generation'!BD48</f>
        <v>0</v>
      </c>
      <c r="BE48" s="224">
        <f>'[1]Housing Generation'!BE48</f>
        <v>4</v>
      </c>
      <c r="BF48" s="229">
        <f>'[1]Housing Generation'!BF48</f>
        <v>1</v>
      </c>
      <c r="BG48" s="229">
        <f>'[1]Housing Generation'!BG48</f>
        <v>1</v>
      </c>
      <c r="BH48" s="229">
        <f>'[1]Housing Generation'!BH48</f>
        <v>1</v>
      </c>
      <c r="BI48" s="229">
        <f>'[1]Housing Generation'!BI48</f>
        <v>1</v>
      </c>
      <c r="BJ48" s="229">
        <f>'[1]Housing Generation'!BJ48</f>
        <v>1</v>
      </c>
      <c r="BK48" s="229">
        <f>'[1]Housing Generation'!BK48</f>
        <v>1</v>
      </c>
      <c r="BL48" s="229">
        <f>'[1]Housing Generation'!BL48</f>
        <v>0</v>
      </c>
      <c r="BM48" s="225">
        <f>'[1]Housing Generation'!BM48</f>
        <v>6</v>
      </c>
      <c r="BN48" s="227">
        <f>'[1]Housing Generation'!BN48</f>
        <v>1</v>
      </c>
      <c r="BO48" s="227">
        <f>'[1]Housing Generation'!BO48</f>
        <v>1</v>
      </c>
      <c r="BP48" s="227">
        <f>'[1]Housing Generation'!BP48</f>
        <v>1</v>
      </c>
      <c r="BQ48" s="227">
        <f>'[1]Housing Generation'!BQ48</f>
        <v>1</v>
      </c>
      <c r="BR48" s="227">
        <f>'[1]Housing Generation'!BR48</f>
        <v>1</v>
      </c>
      <c r="BS48" s="227">
        <f>'[1]Housing Generation'!BS48</f>
        <v>1</v>
      </c>
      <c r="BT48" s="227">
        <f>'[1]Housing Generation'!BT48</f>
        <v>0</v>
      </c>
      <c r="BU48" s="224">
        <f>'[1]Housing Generation'!BU48</f>
        <v>6</v>
      </c>
      <c r="BV48" s="229">
        <f>'[1]Housing Generation'!BV48</f>
        <v>1</v>
      </c>
      <c r="BW48" s="229">
        <f>'[1]Housing Generation'!BW48</f>
        <v>1</v>
      </c>
      <c r="BX48" s="229">
        <f>'[1]Housing Generation'!BX48</f>
        <v>1</v>
      </c>
      <c r="BY48" s="229">
        <f>'[1]Housing Generation'!BY48</f>
        <v>1</v>
      </c>
      <c r="BZ48" s="229">
        <f>'[1]Housing Generation'!BZ48</f>
        <v>1</v>
      </c>
      <c r="CA48" s="229">
        <f>'[1]Housing Generation'!CA48</f>
        <v>1</v>
      </c>
      <c r="CB48" s="229">
        <f>'[1]Housing Generation'!CB48</f>
        <v>0</v>
      </c>
      <c r="CC48" s="225">
        <f>'[1]Housing Generation'!CC48</f>
        <v>6</v>
      </c>
      <c r="CD48" s="227">
        <f>'[1]Housing Generation'!CD48</f>
        <v>1</v>
      </c>
      <c r="CE48" s="227">
        <f>'[1]Housing Generation'!CE48</f>
        <v>1</v>
      </c>
      <c r="CF48" s="227">
        <f>'[1]Housing Generation'!CF48</f>
        <v>1</v>
      </c>
      <c r="CG48" s="227">
        <f>'[1]Housing Generation'!CG48</f>
        <v>1</v>
      </c>
      <c r="CH48" s="227">
        <f>'[1]Housing Generation'!CH48</f>
        <v>1</v>
      </c>
      <c r="CI48" s="227">
        <f>'[1]Housing Generation'!CI48</f>
        <v>1</v>
      </c>
      <c r="CJ48" s="227">
        <f>'[1]Housing Generation'!CJ48</f>
        <v>0</v>
      </c>
      <c r="CK48" s="224">
        <f>'[1]Housing Generation'!CK48</f>
        <v>6</v>
      </c>
      <c r="CL48" s="229">
        <f>'[1]Housing Generation'!CL48</f>
        <v>1</v>
      </c>
      <c r="CM48" s="229">
        <f>'[1]Housing Generation'!CM48</f>
        <v>1</v>
      </c>
      <c r="CN48" s="229">
        <f>'[1]Housing Generation'!CN48</f>
        <v>1</v>
      </c>
      <c r="CO48" s="229">
        <f>'[1]Housing Generation'!CO48</f>
        <v>1</v>
      </c>
      <c r="CP48" s="229">
        <f>'[1]Housing Generation'!CP48</f>
        <v>1</v>
      </c>
      <c r="CQ48" s="229">
        <f>'[1]Housing Generation'!CQ48</f>
        <v>1</v>
      </c>
      <c r="CR48" s="229">
        <f>'[1]Housing Generation'!CR48</f>
        <v>0</v>
      </c>
      <c r="CS48" s="225">
        <f>'[1]Housing Generation'!CS48</f>
        <v>6</v>
      </c>
      <c r="CT48" s="227">
        <f>'[1]Housing Generation'!CT48</f>
        <v>1</v>
      </c>
      <c r="CU48" s="227">
        <f>'[1]Housing Generation'!CU48</f>
        <v>1</v>
      </c>
      <c r="CV48" s="227">
        <f>'[1]Housing Generation'!CV48</f>
        <v>1</v>
      </c>
      <c r="CW48" s="227">
        <f>'[1]Housing Generation'!CW48</f>
        <v>1</v>
      </c>
      <c r="CX48" s="227">
        <f>'[1]Housing Generation'!CX48</f>
        <v>1</v>
      </c>
      <c r="CY48" s="227">
        <f>'[1]Housing Generation'!CY48</f>
        <v>1</v>
      </c>
      <c r="CZ48" s="227">
        <f>'[1]Housing Generation'!CZ48</f>
        <v>0</v>
      </c>
      <c r="DA48" s="224">
        <f>'[1]Housing Generation'!DA48</f>
        <v>6</v>
      </c>
      <c r="DB48" s="229">
        <f>'[1]Housing Generation'!DB48</f>
        <v>1</v>
      </c>
      <c r="DC48" s="229">
        <f>'[1]Housing Generation'!DC48</f>
        <v>1</v>
      </c>
      <c r="DD48" s="229">
        <f>'[1]Housing Generation'!DD48</f>
        <v>1</v>
      </c>
      <c r="DE48" s="229">
        <f>'[1]Housing Generation'!DE48</f>
        <v>1</v>
      </c>
      <c r="DF48" s="229">
        <f>'[1]Housing Generation'!DF48</f>
        <v>1</v>
      </c>
      <c r="DG48" s="229">
        <f>'[1]Housing Generation'!DG48</f>
        <v>1</v>
      </c>
      <c r="DH48" s="229">
        <f>'[1]Housing Generation'!DH48</f>
        <v>0</v>
      </c>
      <c r="DI48" s="225">
        <f>'[1]Housing Generation'!DI48</f>
        <v>6</v>
      </c>
      <c r="DJ48" s="227">
        <f>'[1]Housing Generation'!DJ48</f>
        <v>1</v>
      </c>
      <c r="DK48" s="227">
        <f>'[1]Housing Generation'!DK48</f>
        <v>1</v>
      </c>
      <c r="DL48" s="227">
        <f>'[1]Housing Generation'!DL48</f>
        <v>1</v>
      </c>
      <c r="DM48" s="227">
        <f>'[1]Housing Generation'!DM48</f>
        <v>1</v>
      </c>
      <c r="DN48" s="227">
        <f>'[1]Housing Generation'!DN48</f>
        <v>1</v>
      </c>
      <c r="DO48" s="227">
        <f>'[1]Housing Generation'!DO48</f>
        <v>1</v>
      </c>
      <c r="DP48" s="227">
        <f>'[1]Housing Generation'!DP48</f>
        <v>0</v>
      </c>
      <c r="DQ48" s="224">
        <f>'[1]Housing Generation'!DQ48</f>
        <v>6</v>
      </c>
    </row>
    <row r="49" spans="1:121" x14ac:dyDescent="0.2">
      <c r="A49" s="237" t="s">
        <v>50</v>
      </c>
      <c r="B49" s="227">
        <f>'[1]Housing Generation'!B49</f>
        <v>0</v>
      </c>
      <c r="C49" s="227">
        <f>'[1]Housing Generation'!C49</f>
        <v>0</v>
      </c>
      <c r="D49" s="227">
        <f>'[1]Housing Generation'!D49</f>
        <v>0</v>
      </c>
      <c r="E49" s="227">
        <f>'[1]Housing Generation'!E49</f>
        <v>0</v>
      </c>
      <c r="F49" s="227">
        <f>'[1]Housing Generation'!F49</f>
        <v>0</v>
      </c>
      <c r="G49" s="227">
        <f>'[1]Housing Generation'!G49</f>
        <v>0</v>
      </c>
      <c r="H49" s="227">
        <f>'[1]Housing Generation'!H49</f>
        <v>0</v>
      </c>
      <c r="I49" s="224">
        <f>'[1]Housing Generation'!I49</f>
        <v>0</v>
      </c>
      <c r="J49" s="229">
        <f>'[1]Housing Generation'!J49</f>
        <v>0</v>
      </c>
      <c r="K49" s="229">
        <f>'[1]Housing Generation'!K49</f>
        <v>0</v>
      </c>
      <c r="L49" s="229">
        <f>'[1]Housing Generation'!L49</f>
        <v>0</v>
      </c>
      <c r="M49" s="229">
        <f>'[1]Housing Generation'!M49</f>
        <v>0</v>
      </c>
      <c r="N49" s="229">
        <f>'[1]Housing Generation'!N49</f>
        <v>0</v>
      </c>
      <c r="O49" s="229">
        <f>'[1]Housing Generation'!O49</f>
        <v>0</v>
      </c>
      <c r="P49" s="229">
        <f>'[1]Housing Generation'!P49</f>
        <v>0</v>
      </c>
      <c r="Q49" s="225">
        <f>'[1]Housing Generation'!Q49</f>
        <v>0</v>
      </c>
      <c r="R49" s="227">
        <f>'[1]Housing Generation'!R49</f>
        <v>1</v>
      </c>
      <c r="S49" s="227">
        <f>'[1]Housing Generation'!S49</f>
        <v>0</v>
      </c>
      <c r="T49" s="227">
        <f>'[1]Housing Generation'!T49</f>
        <v>0</v>
      </c>
      <c r="U49" s="227">
        <f>'[1]Housing Generation'!U49</f>
        <v>0</v>
      </c>
      <c r="V49" s="227">
        <f>'[1]Housing Generation'!V49</f>
        <v>0</v>
      </c>
      <c r="W49" s="227">
        <f>'[1]Housing Generation'!W49</f>
        <v>0</v>
      </c>
      <c r="X49" s="227">
        <f>'[1]Housing Generation'!X49</f>
        <v>0</v>
      </c>
      <c r="Y49" s="224">
        <f>'[1]Housing Generation'!Y49</f>
        <v>1</v>
      </c>
      <c r="Z49" s="229">
        <f>'[1]Housing Generation'!Z49</f>
        <v>1</v>
      </c>
      <c r="AA49" s="229">
        <f>'[1]Housing Generation'!AA49</f>
        <v>1</v>
      </c>
      <c r="AB49" s="229">
        <f>'[1]Housing Generation'!AB49</f>
        <v>1</v>
      </c>
      <c r="AC49" s="229">
        <f>'[1]Housing Generation'!AC49</f>
        <v>0</v>
      </c>
      <c r="AD49" s="229">
        <f>'[1]Housing Generation'!AD49</f>
        <v>0</v>
      </c>
      <c r="AE49" s="229">
        <f>'[1]Housing Generation'!AE49</f>
        <v>0</v>
      </c>
      <c r="AF49" s="229">
        <f>'[1]Housing Generation'!AF49</f>
        <v>0</v>
      </c>
      <c r="AG49" s="225">
        <f>'[1]Housing Generation'!AG49</f>
        <v>3</v>
      </c>
      <c r="AH49" s="227">
        <f>'[1]Housing Generation'!AH49</f>
        <v>1</v>
      </c>
      <c r="AI49" s="227">
        <f>'[1]Housing Generation'!AI49</f>
        <v>1</v>
      </c>
      <c r="AJ49" s="227">
        <f>'[1]Housing Generation'!AJ49</f>
        <v>1</v>
      </c>
      <c r="AK49" s="227">
        <f>'[1]Housing Generation'!AK49</f>
        <v>0</v>
      </c>
      <c r="AL49" s="227">
        <f>'[1]Housing Generation'!AL49</f>
        <v>0</v>
      </c>
      <c r="AM49" s="227">
        <f>'[1]Housing Generation'!AM49</f>
        <v>0</v>
      </c>
      <c r="AN49" s="227">
        <f>'[1]Housing Generation'!AN49</f>
        <v>0</v>
      </c>
      <c r="AO49" s="224">
        <f>'[1]Housing Generation'!AO49</f>
        <v>3</v>
      </c>
      <c r="AP49" s="229">
        <f>'[1]Housing Generation'!AP49</f>
        <v>1</v>
      </c>
      <c r="AQ49" s="229">
        <f>'[1]Housing Generation'!AQ49</f>
        <v>1</v>
      </c>
      <c r="AR49" s="229">
        <f>'[1]Housing Generation'!AR49</f>
        <v>1</v>
      </c>
      <c r="AS49" s="229">
        <f>'[1]Housing Generation'!AS49</f>
        <v>0</v>
      </c>
      <c r="AT49" s="229">
        <f>'[1]Housing Generation'!AT49</f>
        <v>0</v>
      </c>
      <c r="AU49" s="229">
        <f>'[1]Housing Generation'!AU49</f>
        <v>0</v>
      </c>
      <c r="AV49" s="229">
        <f>'[1]Housing Generation'!AV49</f>
        <v>0</v>
      </c>
      <c r="AW49" s="225">
        <f>'[1]Housing Generation'!AW49</f>
        <v>3</v>
      </c>
      <c r="AX49" s="227">
        <f>'[1]Housing Generation'!AX49</f>
        <v>1</v>
      </c>
      <c r="AY49" s="227">
        <f>'[1]Housing Generation'!AY49</f>
        <v>1</v>
      </c>
      <c r="AZ49" s="227">
        <f>'[1]Housing Generation'!AZ49</f>
        <v>1</v>
      </c>
      <c r="BA49" s="227">
        <f>'[1]Housing Generation'!BA49</f>
        <v>0</v>
      </c>
      <c r="BB49" s="227">
        <f>'[1]Housing Generation'!BB49</f>
        <v>0</v>
      </c>
      <c r="BC49" s="227">
        <f>'[1]Housing Generation'!BC49</f>
        <v>0</v>
      </c>
      <c r="BD49" s="227">
        <f>'[1]Housing Generation'!BD49</f>
        <v>0</v>
      </c>
      <c r="BE49" s="224">
        <f>'[1]Housing Generation'!BE49</f>
        <v>3</v>
      </c>
      <c r="BF49" s="229">
        <f>'[1]Housing Generation'!BF49</f>
        <v>1</v>
      </c>
      <c r="BG49" s="229">
        <f>'[1]Housing Generation'!BG49</f>
        <v>1</v>
      </c>
      <c r="BH49" s="229">
        <f>'[1]Housing Generation'!BH49</f>
        <v>1</v>
      </c>
      <c r="BI49" s="229">
        <f>'[1]Housing Generation'!BI49</f>
        <v>0</v>
      </c>
      <c r="BJ49" s="229">
        <f>'[1]Housing Generation'!BJ49</f>
        <v>0</v>
      </c>
      <c r="BK49" s="229">
        <f>'[1]Housing Generation'!BK49</f>
        <v>0</v>
      </c>
      <c r="BL49" s="229">
        <f>'[1]Housing Generation'!BL49</f>
        <v>0</v>
      </c>
      <c r="BM49" s="225">
        <f>'[1]Housing Generation'!BM49</f>
        <v>3</v>
      </c>
      <c r="BN49" s="227">
        <f>'[1]Housing Generation'!BN49</f>
        <v>1</v>
      </c>
      <c r="BO49" s="227">
        <f>'[1]Housing Generation'!BO49</f>
        <v>1</v>
      </c>
      <c r="BP49" s="227">
        <f>'[1]Housing Generation'!BP49</f>
        <v>1</v>
      </c>
      <c r="BQ49" s="227">
        <f>'[1]Housing Generation'!BQ49</f>
        <v>0</v>
      </c>
      <c r="BR49" s="227">
        <f>'[1]Housing Generation'!BR49</f>
        <v>0</v>
      </c>
      <c r="BS49" s="227">
        <f>'[1]Housing Generation'!BS49</f>
        <v>0</v>
      </c>
      <c r="BT49" s="227">
        <f>'[1]Housing Generation'!BT49</f>
        <v>0</v>
      </c>
      <c r="BU49" s="224">
        <f>'[1]Housing Generation'!BU49</f>
        <v>3</v>
      </c>
      <c r="BV49" s="229">
        <f>'[1]Housing Generation'!BV49</f>
        <v>1</v>
      </c>
      <c r="BW49" s="229">
        <f>'[1]Housing Generation'!BW49</f>
        <v>1</v>
      </c>
      <c r="BX49" s="229">
        <f>'[1]Housing Generation'!BX49</f>
        <v>1</v>
      </c>
      <c r="BY49" s="229">
        <f>'[1]Housing Generation'!BY49</f>
        <v>0</v>
      </c>
      <c r="BZ49" s="229">
        <f>'[1]Housing Generation'!BZ49</f>
        <v>0</v>
      </c>
      <c r="CA49" s="229">
        <f>'[1]Housing Generation'!CA49</f>
        <v>0</v>
      </c>
      <c r="CB49" s="229">
        <f>'[1]Housing Generation'!CB49</f>
        <v>0</v>
      </c>
      <c r="CC49" s="225">
        <f>'[1]Housing Generation'!CC49</f>
        <v>3</v>
      </c>
      <c r="CD49" s="227">
        <f>'[1]Housing Generation'!CD49</f>
        <v>1</v>
      </c>
      <c r="CE49" s="227">
        <f>'[1]Housing Generation'!CE49</f>
        <v>1</v>
      </c>
      <c r="CF49" s="227">
        <f>'[1]Housing Generation'!CF49</f>
        <v>1</v>
      </c>
      <c r="CG49" s="227">
        <f>'[1]Housing Generation'!CG49</f>
        <v>0</v>
      </c>
      <c r="CH49" s="227">
        <f>'[1]Housing Generation'!CH49</f>
        <v>0</v>
      </c>
      <c r="CI49" s="227">
        <f>'[1]Housing Generation'!CI49</f>
        <v>0</v>
      </c>
      <c r="CJ49" s="227">
        <f>'[1]Housing Generation'!CJ49</f>
        <v>0</v>
      </c>
      <c r="CK49" s="224">
        <f>'[1]Housing Generation'!CK49</f>
        <v>3</v>
      </c>
      <c r="CL49" s="229">
        <f>'[1]Housing Generation'!CL49</f>
        <v>1</v>
      </c>
      <c r="CM49" s="229">
        <f>'[1]Housing Generation'!CM49</f>
        <v>1</v>
      </c>
      <c r="CN49" s="229">
        <f>'[1]Housing Generation'!CN49</f>
        <v>1</v>
      </c>
      <c r="CO49" s="229">
        <f>'[1]Housing Generation'!CO49</f>
        <v>0</v>
      </c>
      <c r="CP49" s="229">
        <f>'[1]Housing Generation'!CP49</f>
        <v>0</v>
      </c>
      <c r="CQ49" s="229">
        <f>'[1]Housing Generation'!CQ49</f>
        <v>0</v>
      </c>
      <c r="CR49" s="229">
        <f>'[1]Housing Generation'!CR49</f>
        <v>0</v>
      </c>
      <c r="CS49" s="225">
        <f>'[1]Housing Generation'!CS49</f>
        <v>3</v>
      </c>
      <c r="CT49" s="227">
        <f>'[1]Housing Generation'!CT49</f>
        <v>1</v>
      </c>
      <c r="CU49" s="227">
        <f>'[1]Housing Generation'!CU49</f>
        <v>1</v>
      </c>
      <c r="CV49" s="227">
        <f>'[1]Housing Generation'!CV49</f>
        <v>1</v>
      </c>
      <c r="CW49" s="227">
        <f>'[1]Housing Generation'!CW49</f>
        <v>0</v>
      </c>
      <c r="CX49" s="227">
        <f>'[1]Housing Generation'!CX49</f>
        <v>0</v>
      </c>
      <c r="CY49" s="227">
        <f>'[1]Housing Generation'!CY49</f>
        <v>0</v>
      </c>
      <c r="CZ49" s="227">
        <f>'[1]Housing Generation'!CZ49</f>
        <v>0</v>
      </c>
      <c r="DA49" s="224">
        <f>'[1]Housing Generation'!DA49</f>
        <v>3</v>
      </c>
      <c r="DB49" s="229">
        <f>'[1]Housing Generation'!DB49</f>
        <v>1</v>
      </c>
      <c r="DC49" s="229">
        <f>'[1]Housing Generation'!DC49</f>
        <v>1</v>
      </c>
      <c r="DD49" s="229">
        <f>'[1]Housing Generation'!DD49</f>
        <v>1</v>
      </c>
      <c r="DE49" s="229">
        <f>'[1]Housing Generation'!DE49</f>
        <v>0</v>
      </c>
      <c r="DF49" s="229">
        <f>'[1]Housing Generation'!DF49</f>
        <v>0</v>
      </c>
      <c r="DG49" s="229">
        <f>'[1]Housing Generation'!DG49</f>
        <v>0</v>
      </c>
      <c r="DH49" s="229">
        <f>'[1]Housing Generation'!DH49</f>
        <v>0</v>
      </c>
      <c r="DI49" s="225">
        <f>'[1]Housing Generation'!DI49</f>
        <v>3</v>
      </c>
      <c r="DJ49" s="227">
        <f>'[1]Housing Generation'!DJ49</f>
        <v>1</v>
      </c>
      <c r="DK49" s="227">
        <f>'[1]Housing Generation'!DK49</f>
        <v>1</v>
      </c>
      <c r="DL49" s="227">
        <f>'[1]Housing Generation'!DL49</f>
        <v>1</v>
      </c>
      <c r="DM49" s="227">
        <f>'[1]Housing Generation'!DM49</f>
        <v>0</v>
      </c>
      <c r="DN49" s="227">
        <f>'[1]Housing Generation'!DN49</f>
        <v>0</v>
      </c>
      <c r="DO49" s="227">
        <f>'[1]Housing Generation'!DO49</f>
        <v>0</v>
      </c>
      <c r="DP49" s="227">
        <f>'[1]Housing Generation'!DP49</f>
        <v>0</v>
      </c>
      <c r="DQ49" s="224">
        <f>'[1]Housing Generation'!DQ49</f>
        <v>3</v>
      </c>
    </row>
    <row r="50" spans="1:121" x14ac:dyDescent="0.2">
      <c r="A50" s="237" t="s">
        <v>51</v>
      </c>
      <c r="B50" s="227">
        <f>'[1]Housing Generation'!B50</f>
        <v>1</v>
      </c>
      <c r="C50" s="227">
        <f>'[1]Housing Generation'!C50</f>
        <v>1</v>
      </c>
      <c r="D50" s="227">
        <f>'[1]Housing Generation'!D50</f>
        <v>0</v>
      </c>
      <c r="E50" s="227">
        <f>'[1]Housing Generation'!E50</f>
        <v>0</v>
      </c>
      <c r="F50" s="227">
        <f>'[1]Housing Generation'!F50</f>
        <v>0</v>
      </c>
      <c r="G50" s="227">
        <f>'[1]Housing Generation'!G50</f>
        <v>0</v>
      </c>
      <c r="H50" s="227">
        <f>'[1]Housing Generation'!H50</f>
        <v>0</v>
      </c>
      <c r="I50" s="224">
        <f>'[1]Housing Generation'!I50</f>
        <v>2</v>
      </c>
      <c r="J50" s="229">
        <f>'[1]Housing Generation'!J50</f>
        <v>0</v>
      </c>
      <c r="K50" s="229">
        <f>'[1]Housing Generation'!K50</f>
        <v>0</v>
      </c>
      <c r="L50" s="229">
        <f>'[1]Housing Generation'!L50</f>
        <v>0</v>
      </c>
      <c r="M50" s="229">
        <f>'[1]Housing Generation'!M50</f>
        <v>0</v>
      </c>
      <c r="N50" s="229">
        <f>'[1]Housing Generation'!N50</f>
        <v>0</v>
      </c>
      <c r="O50" s="229">
        <f>'[1]Housing Generation'!O50</f>
        <v>0</v>
      </c>
      <c r="P50" s="229">
        <f>'[1]Housing Generation'!P50</f>
        <v>0</v>
      </c>
      <c r="Q50" s="225">
        <f>'[1]Housing Generation'!Q50</f>
        <v>0</v>
      </c>
      <c r="R50" s="227">
        <f>'[1]Housing Generation'!R50</f>
        <v>0</v>
      </c>
      <c r="S50" s="227">
        <f>'[1]Housing Generation'!S50</f>
        <v>0</v>
      </c>
      <c r="T50" s="227">
        <f>'[1]Housing Generation'!T50</f>
        <v>0</v>
      </c>
      <c r="U50" s="227">
        <f>'[1]Housing Generation'!U50</f>
        <v>0</v>
      </c>
      <c r="V50" s="227">
        <f>'[1]Housing Generation'!V50</f>
        <v>0</v>
      </c>
      <c r="W50" s="227">
        <f>'[1]Housing Generation'!W50</f>
        <v>0</v>
      </c>
      <c r="X50" s="227">
        <f>'[1]Housing Generation'!X50</f>
        <v>0</v>
      </c>
      <c r="Y50" s="224">
        <f>'[1]Housing Generation'!Y50</f>
        <v>0</v>
      </c>
      <c r="Z50" s="229">
        <f>'[1]Housing Generation'!Z50</f>
        <v>0</v>
      </c>
      <c r="AA50" s="229">
        <f>'[1]Housing Generation'!AA50</f>
        <v>0</v>
      </c>
      <c r="AB50" s="229">
        <f>'[1]Housing Generation'!AB50</f>
        <v>0</v>
      </c>
      <c r="AC50" s="229">
        <f>'[1]Housing Generation'!AC50</f>
        <v>0</v>
      </c>
      <c r="AD50" s="229">
        <f>'[1]Housing Generation'!AD50</f>
        <v>0</v>
      </c>
      <c r="AE50" s="229">
        <f>'[1]Housing Generation'!AE50</f>
        <v>0</v>
      </c>
      <c r="AF50" s="229">
        <f>'[1]Housing Generation'!AF50</f>
        <v>0</v>
      </c>
      <c r="AG50" s="225">
        <f>'[1]Housing Generation'!AG50</f>
        <v>0</v>
      </c>
      <c r="AH50" s="227">
        <f>'[1]Housing Generation'!AH50</f>
        <v>0</v>
      </c>
      <c r="AI50" s="227">
        <f>'[1]Housing Generation'!AI50</f>
        <v>0</v>
      </c>
      <c r="AJ50" s="227">
        <f>'[1]Housing Generation'!AJ50</f>
        <v>0</v>
      </c>
      <c r="AK50" s="227">
        <f>'[1]Housing Generation'!AK50</f>
        <v>0</v>
      </c>
      <c r="AL50" s="227">
        <f>'[1]Housing Generation'!AL50</f>
        <v>0</v>
      </c>
      <c r="AM50" s="227">
        <f>'[1]Housing Generation'!AM50</f>
        <v>0</v>
      </c>
      <c r="AN50" s="227">
        <f>'[1]Housing Generation'!AN50</f>
        <v>0</v>
      </c>
      <c r="AO50" s="224">
        <f>'[1]Housing Generation'!AO50</f>
        <v>0</v>
      </c>
      <c r="AP50" s="229">
        <f>'[1]Housing Generation'!AP50</f>
        <v>0</v>
      </c>
      <c r="AQ50" s="229">
        <f>'[1]Housing Generation'!AQ50</f>
        <v>0</v>
      </c>
      <c r="AR50" s="229">
        <f>'[1]Housing Generation'!AR50</f>
        <v>0</v>
      </c>
      <c r="AS50" s="229">
        <f>'[1]Housing Generation'!AS50</f>
        <v>0</v>
      </c>
      <c r="AT50" s="229">
        <f>'[1]Housing Generation'!AT50</f>
        <v>0</v>
      </c>
      <c r="AU50" s="229">
        <f>'[1]Housing Generation'!AU50</f>
        <v>0</v>
      </c>
      <c r="AV50" s="229">
        <f>'[1]Housing Generation'!AV50</f>
        <v>0</v>
      </c>
      <c r="AW50" s="225">
        <f>'[1]Housing Generation'!AW50</f>
        <v>0</v>
      </c>
      <c r="AX50" s="227">
        <f>'[1]Housing Generation'!AX50</f>
        <v>0</v>
      </c>
      <c r="AY50" s="227">
        <f>'[1]Housing Generation'!AY50</f>
        <v>0</v>
      </c>
      <c r="AZ50" s="227">
        <f>'[1]Housing Generation'!AZ50</f>
        <v>0</v>
      </c>
      <c r="BA50" s="227">
        <f>'[1]Housing Generation'!BA50</f>
        <v>0</v>
      </c>
      <c r="BB50" s="227">
        <f>'[1]Housing Generation'!BB50</f>
        <v>0</v>
      </c>
      <c r="BC50" s="227">
        <f>'[1]Housing Generation'!BC50</f>
        <v>0</v>
      </c>
      <c r="BD50" s="227">
        <f>'[1]Housing Generation'!BD50</f>
        <v>0</v>
      </c>
      <c r="BE50" s="224">
        <f>'[1]Housing Generation'!BE50</f>
        <v>0</v>
      </c>
      <c r="BF50" s="229">
        <f>'[1]Housing Generation'!BF50</f>
        <v>0</v>
      </c>
      <c r="BG50" s="229">
        <f>'[1]Housing Generation'!BG50</f>
        <v>0</v>
      </c>
      <c r="BH50" s="229">
        <f>'[1]Housing Generation'!BH50</f>
        <v>0</v>
      </c>
      <c r="BI50" s="229">
        <f>'[1]Housing Generation'!BI50</f>
        <v>0</v>
      </c>
      <c r="BJ50" s="229">
        <f>'[1]Housing Generation'!BJ50</f>
        <v>0</v>
      </c>
      <c r="BK50" s="229">
        <f>'[1]Housing Generation'!BK50</f>
        <v>0</v>
      </c>
      <c r="BL50" s="229">
        <f>'[1]Housing Generation'!BL50</f>
        <v>0</v>
      </c>
      <c r="BM50" s="225">
        <f>'[1]Housing Generation'!BM50</f>
        <v>0</v>
      </c>
      <c r="BN50" s="227">
        <f>'[1]Housing Generation'!BN50</f>
        <v>0</v>
      </c>
      <c r="BO50" s="227">
        <f>'[1]Housing Generation'!BO50</f>
        <v>0</v>
      </c>
      <c r="BP50" s="227">
        <f>'[1]Housing Generation'!BP50</f>
        <v>0</v>
      </c>
      <c r="BQ50" s="227">
        <f>'[1]Housing Generation'!BQ50</f>
        <v>0</v>
      </c>
      <c r="BR50" s="227">
        <f>'[1]Housing Generation'!BR50</f>
        <v>0</v>
      </c>
      <c r="BS50" s="227">
        <f>'[1]Housing Generation'!BS50</f>
        <v>0</v>
      </c>
      <c r="BT50" s="227">
        <f>'[1]Housing Generation'!BT50</f>
        <v>0</v>
      </c>
      <c r="BU50" s="224">
        <f>'[1]Housing Generation'!BU50</f>
        <v>0</v>
      </c>
      <c r="BV50" s="229">
        <f>'[1]Housing Generation'!BV50</f>
        <v>0</v>
      </c>
      <c r="BW50" s="229">
        <f>'[1]Housing Generation'!BW50</f>
        <v>0</v>
      </c>
      <c r="BX50" s="229">
        <f>'[1]Housing Generation'!BX50</f>
        <v>0</v>
      </c>
      <c r="BY50" s="229">
        <f>'[1]Housing Generation'!BY50</f>
        <v>0</v>
      </c>
      <c r="BZ50" s="229">
        <f>'[1]Housing Generation'!BZ50</f>
        <v>0</v>
      </c>
      <c r="CA50" s="229">
        <f>'[1]Housing Generation'!CA50</f>
        <v>0</v>
      </c>
      <c r="CB50" s="229">
        <f>'[1]Housing Generation'!CB50</f>
        <v>0</v>
      </c>
      <c r="CC50" s="225">
        <f>'[1]Housing Generation'!CC50</f>
        <v>0</v>
      </c>
      <c r="CD50" s="227">
        <f>'[1]Housing Generation'!CD50</f>
        <v>0</v>
      </c>
      <c r="CE50" s="227">
        <f>'[1]Housing Generation'!CE50</f>
        <v>0</v>
      </c>
      <c r="CF50" s="227">
        <f>'[1]Housing Generation'!CF50</f>
        <v>0</v>
      </c>
      <c r="CG50" s="227">
        <f>'[1]Housing Generation'!CG50</f>
        <v>0</v>
      </c>
      <c r="CH50" s="227">
        <f>'[1]Housing Generation'!CH50</f>
        <v>0</v>
      </c>
      <c r="CI50" s="227">
        <f>'[1]Housing Generation'!CI50</f>
        <v>0</v>
      </c>
      <c r="CJ50" s="227">
        <f>'[1]Housing Generation'!CJ50</f>
        <v>0</v>
      </c>
      <c r="CK50" s="224">
        <f>'[1]Housing Generation'!CK50</f>
        <v>0</v>
      </c>
      <c r="CL50" s="229">
        <f>'[1]Housing Generation'!CL50</f>
        <v>0</v>
      </c>
      <c r="CM50" s="229">
        <f>'[1]Housing Generation'!CM50</f>
        <v>0</v>
      </c>
      <c r="CN50" s="229">
        <f>'[1]Housing Generation'!CN50</f>
        <v>0</v>
      </c>
      <c r="CO50" s="229">
        <f>'[1]Housing Generation'!CO50</f>
        <v>0</v>
      </c>
      <c r="CP50" s="229">
        <f>'[1]Housing Generation'!CP50</f>
        <v>0</v>
      </c>
      <c r="CQ50" s="229">
        <f>'[1]Housing Generation'!CQ50</f>
        <v>0</v>
      </c>
      <c r="CR50" s="229">
        <f>'[1]Housing Generation'!CR50</f>
        <v>0</v>
      </c>
      <c r="CS50" s="225">
        <f>'[1]Housing Generation'!CS50</f>
        <v>0</v>
      </c>
      <c r="CT50" s="227">
        <f>'[1]Housing Generation'!CT50</f>
        <v>0</v>
      </c>
      <c r="CU50" s="227">
        <f>'[1]Housing Generation'!CU50</f>
        <v>0</v>
      </c>
      <c r="CV50" s="227">
        <f>'[1]Housing Generation'!CV50</f>
        <v>0</v>
      </c>
      <c r="CW50" s="227">
        <f>'[1]Housing Generation'!CW50</f>
        <v>0</v>
      </c>
      <c r="CX50" s="227">
        <f>'[1]Housing Generation'!CX50</f>
        <v>0</v>
      </c>
      <c r="CY50" s="227">
        <f>'[1]Housing Generation'!CY50</f>
        <v>0</v>
      </c>
      <c r="CZ50" s="227">
        <f>'[1]Housing Generation'!CZ50</f>
        <v>0</v>
      </c>
      <c r="DA50" s="224">
        <f>'[1]Housing Generation'!DA50</f>
        <v>0</v>
      </c>
      <c r="DB50" s="229">
        <f>'[1]Housing Generation'!DB50</f>
        <v>0</v>
      </c>
      <c r="DC50" s="229">
        <f>'[1]Housing Generation'!DC50</f>
        <v>0</v>
      </c>
      <c r="DD50" s="229">
        <f>'[1]Housing Generation'!DD50</f>
        <v>0</v>
      </c>
      <c r="DE50" s="229">
        <f>'[1]Housing Generation'!DE50</f>
        <v>0</v>
      </c>
      <c r="DF50" s="229">
        <f>'[1]Housing Generation'!DF50</f>
        <v>0</v>
      </c>
      <c r="DG50" s="229">
        <f>'[1]Housing Generation'!DG50</f>
        <v>0</v>
      </c>
      <c r="DH50" s="229">
        <f>'[1]Housing Generation'!DH50</f>
        <v>0</v>
      </c>
      <c r="DI50" s="225">
        <f>'[1]Housing Generation'!DI50</f>
        <v>0</v>
      </c>
      <c r="DJ50" s="227">
        <f>'[1]Housing Generation'!DJ50</f>
        <v>0</v>
      </c>
      <c r="DK50" s="227">
        <f>'[1]Housing Generation'!DK50</f>
        <v>0</v>
      </c>
      <c r="DL50" s="227">
        <f>'[1]Housing Generation'!DL50</f>
        <v>0</v>
      </c>
      <c r="DM50" s="227">
        <f>'[1]Housing Generation'!DM50</f>
        <v>0</v>
      </c>
      <c r="DN50" s="227">
        <f>'[1]Housing Generation'!DN50</f>
        <v>0</v>
      </c>
      <c r="DO50" s="227">
        <f>'[1]Housing Generation'!DO50</f>
        <v>0</v>
      </c>
      <c r="DP50" s="227">
        <f>'[1]Housing Generation'!DP50</f>
        <v>0</v>
      </c>
      <c r="DQ50" s="224">
        <f>'[1]Housing Generation'!DQ50</f>
        <v>0</v>
      </c>
    </row>
    <row r="51" spans="1:121" x14ac:dyDescent="0.2">
      <c r="A51" s="237" t="s">
        <v>52</v>
      </c>
      <c r="B51" s="227">
        <f>'[1]Housing Generation'!B51</f>
        <v>0</v>
      </c>
      <c r="C51" s="227">
        <f>'[1]Housing Generation'!C51</f>
        <v>0</v>
      </c>
      <c r="D51" s="227">
        <f>'[1]Housing Generation'!D51</f>
        <v>0</v>
      </c>
      <c r="E51" s="227">
        <f>'[1]Housing Generation'!E51</f>
        <v>0</v>
      </c>
      <c r="F51" s="227">
        <f>'[1]Housing Generation'!F51</f>
        <v>0</v>
      </c>
      <c r="G51" s="227">
        <f>'[1]Housing Generation'!G51</f>
        <v>0</v>
      </c>
      <c r="H51" s="227">
        <f>'[1]Housing Generation'!H51</f>
        <v>0</v>
      </c>
      <c r="I51" s="224">
        <f>'[1]Housing Generation'!I51</f>
        <v>0</v>
      </c>
      <c r="J51" s="229">
        <f>'[1]Housing Generation'!J51</f>
        <v>0</v>
      </c>
      <c r="K51" s="229">
        <f>'[1]Housing Generation'!K51</f>
        <v>0</v>
      </c>
      <c r="L51" s="229">
        <f>'[1]Housing Generation'!L51</f>
        <v>0</v>
      </c>
      <c r="M51" s="229">
        <f>'[1]Housing Generation'!M51</f>
        <v>0</v>
      </c>
      <c r="N51" s="229">
        <f>'[1]Housing Generation'!N51</f>
        <v>0</v>
      </c>
      <c r="O51" s="229">
        <f>'[1]Housing Generation'!O51</f>
        <v>0</v>
      </c>
      <c r="P51" s="229">
        <f>'[1]Housing Generation'!P51</f>
        <v>0</v>
      </c>
      <c r="Q51" s="225">
        <f>'[1]Housing Generation'!Q51</f>
        <v>0</v>
      </c>
      <c r="R51" s="227">
        <f>'[1]Housing Generation'!R51</f>
        <v>0</v>
      </c>
      <c r="S51" s="227">
        <f>'[1]Housing Generation'!S51</f>
        <v>0</v>
      </c>
      <c r="T51" s="227">
        <f>'[1]Housing Generation'!T51</f>
        <v>0</v>
      </c>
      <c r="U51" s="227">
        <f>'[1]Housing Generation'!U51</f>
        <v>0</v>
      </c>
      <c r="V51" s="227">
        <f>'[1]Housing Generation'!V51</f>
        <v>0</v>
      </c>
      <c r="W51" s="227">
        <f>'[1]Housing Generation'!W51</f>
        <v>0</v>
      </c>
      <c r="X51" s="227">
        <f>'[1]Housing Generation'!X51</f>
        <v>0</v>
      </c>
      <c r="Y51" s="224">
        <f>'[1]Housing Generation'!Y51</f>
        <v>0</v>
      </c>
      <c r="Z51" s="229">
        <f>'[1]Housing Generation'!Z51</f>
        <v>0</v>
      </c>
      <c r="AA51" s="229">
        <f>'[1]Housing Generation'!AA51</f>
        <v>0</v>
      </c>
      <c r="AB51" s="229">
        <f>'[1]Housing Generation'!AB51</f>
        <v>0</v>
      </c>
      <c r="AC51" s="229">
        <f>'[1]Housing Generation'!AC51</f>
        <v>0</v>
      </c>
      <c r="AD51" s="229">
        <f>'[1]Housing Generation'!AD51</f>
        <v>0</v>
      </c>
      <c r="AE51" s="229">
        <f>'[1]Housing Generation'!AE51</f>
        <v>0</v>
      </c>
      <c r="AF51" s="229">
        <f>'[1]Housing Generation'!AF51</f>
        <v>0</v>
      </c>
      <c r="AG51" s="225">
        <f>'[1]Housing Generation'!AG51</f>
        <v>0</v>
      </c>
      <c r="AH51" s="227">
        <f>'[1]Housing Generation'!AH51</f>
        <v>0</v>
      </c>
      <c r="AI51" s="227">
        <f>'[1]Housing Generation'!AI51</f>
        <v>0</v>
      </c>
      <c r="AJ51" s="227">
        <f>'[1]Housing Generation'!AJ51</f>
        <v>0</v>
      </c>
      <c r="AK51" s="227">
        <f>'[1]Housing Generation'!AK51</f>
        <v>0</v>
      </c>
      <c r="AL51" s="227">
        <f>'[1]Housing Generation'!AL51</f>
        <v>0</v>
      </c>
      <c r="AM51" s="227">
        <f>'[1]Housing Generation'!AM51</f>
        <v>0</v>
      </c>
      <c r="AN51" s="227">
        <f>'[1]Housing Generation'!AN51</f>
        <v>0</v>
      </c>
      <c r="AO51" s="224">
        <f>'[1]Housing Generation'!AO51</f>
        <v>0</v>
      </c>
      <c r="AP51" s="229">
        <f>'[1]Housing Generation'!AP51</f>
        <v>0</v>
      </c>
      <c r="AQ51" s="229">
        <f>'[1]Housing Generation'!AQ51</f>
        <v>0</v>
      </c>
      <c r="AR51" s="229">
        <f>'[1]Housing Generation'!AR51</f>
        <v>0</v>
      </c>
      <c r="AS51" s="229">
        <f>'[1]Housing Generation'!AS51</f>
        <v>0</v>
      </c>
      <c r="AT51" s="229">
        <f>'[1]Housing Generation'!AT51</f>
        <v>0</v>
      </c>
      <c r="AU51" s="229">
        <f>'[1]Housing Generation'!AU51</f>
        <v>0</v>
      </c>
      <c r="AV51" s="229">
        <f>'[1]Housing Generation'!AV51</f>
        <v>0</v>
      </c>
      <c r="AW51" s="225">
        <f>'[1]Housing Generation'!AW51</f>
        <v>0</v>
      </c>
      <c r="AX51" s="227">
        <f>'[1]Housing Generation'!AX51</f>
        <v>0</v>
      </c>
      <c r="AY51" s="227">
        <f>'[1]Housing Generation'!AY51</f>
        <v>0</v>
      </c>
      <c r="AZ51" s="227">
        <f>'[1]Housing Generation'!AZ51</f>
        <v>0</v>
      </c>
      <c r="BA51" s="227">
        <f>'[1]Housing Generation'!BA51</f>
        <v>0</v>
      </c>
      <c r="BB51" s="227">
        <f>'[1]Housing Generation'!BB51</f>
        <v>0</v>
      </c>
      <c r="BC51" s="227">
        <f>'[1]Housing Generation'!BC51</f>
        <v>0</v>
      </c>
      <c r="BD51" s="227">
        <f>'[1]Housing Generation'!BD51</f>
        <v>0</v>
      </c>
      <c r="BE51" s="224">
        <f>'[1]Housing Generation'!BE51</f>
        <v>0</v>
      </c>
      <c r="BF51" s="229">
        <f>'[1]Housing Generation'!BF51</f>
        <v>0</v>
      </c>
      <c r="BG51" s="229">
        <f>'[1]Housing Generation'!BG51</f>
        <v>0</v>
      </c>
      <c r="BH51" s="229">
        <f>'[1]Housing Generation'!BH51</f>
        <v>0</v>
      </c>
      <c r="BI51" s="229">
        <f>'[1]Housing Generation'!BI51</f>
        <v>0</v>
      </c>
      <c r="BJ51" s="229">
        <f>'[1]Housing Generation'!BJ51</f>
        <v>0</v>
      </c>
      <c r="BK51" s="229">
        <f>'[1]Housing Generation'!BK51</f>
        <v>0</v>
      </c>
      <c r="BL51" s="229">
        <f>'[1]Housing Generation'!BL51</f>
        <v>0</v>
      </c>
      <c r="BM51" s="225">
        <f>'[1]Housing Generation'!BM51</f>
        <v>0</v>
      </c>
      <c r="BN51" s="227">
        <f>'[1]Housing Generation'!BN51</f>
        <v>0</v>
      </c>
      <c r="BO51" s="227">
        <f>'[1]Housing Generation'!BO51</f>
        <v>0</v>
      </c>
      <c r="BP51" s="227">
        <f>'[1]Housing Generation'!BP51</f>
        <v>0</v>
      </c>
      <c r="BQ51" s="227">
        <f>'[1]Housing Generation'!BQ51</f>
        <v>0</v>
      </c>
      <c r="BR51" s="227">
        <f>'[1]Housing Generation'!BR51</f>
        <v>0</v>
      </c>
      <c r="BS51" s="227">
        <f>'[1]Housing Generation'!BS51</f>
        <v>0</v>
      </c>
      <c r="BT51" s="227">
        <f>'[1]Housing Generation'!BT51</f>
        <v>0</v>
      </c>
      <c r="BU51" s="224">
        <f>'[1]Housing Generation'!BU51</f>
        <v>0</v>
      </c>
      <c r="BV51" s="229">
        <f>'[1]Housing Generation'!BV51</f>
        <v>0</v>
      </c>
      <c r="BW51" s="229">
        <f>'[1]Housing Generation'!BW51</f>
        <v>0</v>
      </c>
      <c r="BX51" s="229">
        <f>'[1]Housing Generation'!BX51</f>
        <v>0</v>
      </c>
      <c r="BY51" s="229">
        <f>'[1]Housing Generation'!BY51</f>
        <v>0</v>
      </c>
      <c r="BZ51" s="229">
        <f>'[1]Housing Generation'!BZ51</f>
        <v>0</v>
      </c>
      <c r="CA51" s="229">
        <f>'[1]Housing Generation'!CA51</f>
        <v>0</v>
      </c>
      <c r="CB51" s="229">
        <f>'[1]Housing Generation'!CB51</f>
        <v>0</v>
      </c>
      <c r="CC51" s="225">
        <f>'[1]Housing Generation'!CC51</f>
        <v>0</v>
      </c>
      <c r="CD51" s="227">
        <f>'[1]Housing Generation'!CD51</f>
        <v>0</v>
      </c>
      <c r="CE51" s="227">
        <f>'[1]Housing Generation'!CE51</f>
        <v>0</v>
      </c>
      <c r="CF51" s="227">
        <f>'[1]Housing Generation'!CF51</f>
        <v>0</v>
      </c>
      <c r="CG51" s="227">
        <f>'[1]Housing Generation'!CG51</f>
        <v>0</v>
      </c>
      <c r="CH51" s="227">
        <f>'[1]Housing Generation'!CH51</f>
        <v>0</v>
      </c>
      <c r="CI51" s="227">
        <f>'[1]Housing Generation'!CI51</f>
        <v>0</v>
      </c>
      <c r="CJ51" s="227">
        <f>'[1]Housing Generation'!CJ51</f>
        <v>0</v>
      </c>
      <c r="CK51" s="224">
        <f>'[1]Housing Generation'!CK51</f>
        <v>0</v>
      </c>
      <c r="CL51" s="229">
        <f>'[1]Housing Generation'!CL51</f>
        <v>0</v>
      </c>
      <c r="CM51" s="229">
        <f>'[1]Housing Generation'!CM51</f>
        <v>0</v>
      </c>
      <c r="CN51" s="229">
        <f>'[1]Housing Generation'!CN51</f>
        <v>0</v>
      </c>
      <c r="CO51" s="229">
        <f>'[1]Housing Generation'!CO51</f>
        <v>0</v>
      </c>
      <c r="CP51" s="229">
        <f>'[1]Housing Generation'!CP51</f>
        <v>0</v>
      </c>
      <c r="CQ51" s="229">
        <f>'[1]Housing Generation'!CQ51</f>
        <v>0</v>
      </c>
      <c r="CR51" s="229">
        <f>'[1]Housing Generation'!CR51</f>
        <v>0</v>
      </c>
      <c r="CS51" s="225">
        <f>'[1]Housing Generation'!CS51</f>
        <v>0</v>
      </c>
      <c r="CT51" s="227">
        <f>'[1]Housing Generation'!CT51</f>
        <v>0</v>
      </c>
      <c r="CU51" s="227">
        <f>'[1]Housing Generation'!CU51</f>
        <v>0</v>
      </c>
      <c r="CV51" s="227">
        <f>'[1]Housing Generation'!CV51</f>
        <v>0</v>
      </c>
      <c r="CW51" s="227">
        <f>'[1]Housing Generation'!CW51</f>
        <v>0</v>
      </c>
      <c r="CX51" s="227">
        <f>'[1]Housing Generation'!CX51</f>
        <v>0</v>
      </c>
      <c r="CY51" s="227">
        <f>'[1]Housing Generation'!CY51</f>
        <v>0</v>
      </c>
      <c r="CZ51" s="227">
        <f>'[1]Housing Generation'!CZ51</f>
        <v>0</v>
      </c>
      <c r="DA51" s="224">
        <f>'[1]Housing Generation'!DA51</f>
        <v>0</v>
      </c>
      <c r="DB51" s="229">
        <f>'[1]Housing Generation'!DB51</f>
        <v>0</v>
      </c>
      <c r="DC51" s="229">
        <f>'[1]Housing Generation'!DC51</f>
        <v>0</v>
      </c>
      <c r="DD51" s="229">
        <f>'[1]Housing Generation'!DD51</f>
        <v>0</v>
      </c>
      <c r="DE51" s="229">
        <f>'[1]Housing Generation'!DE51</f>
        <v>0</v>
      </c>
      <c r="DF51" s="229">
        <f>'[1]Housing Generation'!DF51</f>
        <v>0</v>
      </c>
      <c r="DG51" s="229">
        <f>'[1]Housing Generation'!DG51</f>
        <v>0</v>
      </c>
      <c r="DH51" s="229">
        <f>'[1]Housing Generation'!DH51</f>
        <v>0</v>
      </c>
      <c r="DI51" s="225">
        <f>'[1]Housing Generation'!DI51</f>
        <v>0</v>
      </c>
      <c r="DJ51" s="227">
        <f>'[1]Housing Generation'!DJ51</f>
        <v>0</v>
      </c>
      <c r="DK51" s="227">
        <f>'[1]Housing Generation'!DK51</f>
        <v>0</v>
      </c>
      <c r="DL51" s="227">
        <f>'[1]Housing Generation'!DL51</f>
        <v>0</v>
      </c>
      <c r="DM51" s="227">
        <f>'[1]Housing Generation'!DM51</f>
        <v>0</v>
      </c>
      <c r="DN51" s="227">
        <f>'[1]Housing Generation'!DN51</f>
        <v>0</v>
      </c>
      <c r="DO51" s="227">
        <f>'[1]Housing Generation'!DO51</f>
        <v>0</v>
      </c>
      <c r="DP51" s="227">
        <f>'[1]Housing Generation'!DP51</f>
        <v>0</v>
      </c>
      <c r="DQ51" s="224">
        <f>'[1]Housing Generation'!DQ51</f>
        <v>0</v>
      </c>
    </row>
    <row r="52" spans="1:121" x14ac:dyDescent="0.2">
      <c r="A52" s="237" t="s">
        <v>53</v>
      </c>
      <c r="B52" s="227">
        <f>'[1]Housing Generation'!B52</f>
        <v>0</v>
      </c>
      <c r="C52" s="227">
        <f>'[1]Housing Generation'!C52</f>
        <v>0</v>
      </c>
      <c r="D52" s="227">
        <f>'[1]Housing Generation'!D52</f>
        <v>0</v>
      </c>
      <c r="E52" s="227">
        <f>'[1]Housing Generation'!E52</f>
        <v>0</v>
      </c>
      <c r="F52" s="227">
        <f>'[1]Housing Generation'!F52</f>
        <v>0</v>
      </c>
      <c r="G52" s="227">
        <f>'[1]Housing Generation'!G52</f>
        <v>0</v>
      </c>
      <c r="H52" s="227">
        <f>'[1]Housing Generation'!H52</f>
        <v>0</v>
      </c>
      <c r="I52" s="224">
        <f>'[1]Housing Generation'!I52</f>
        <v>0</v>
      </c>
      <c r="J52" s="229">
        <f>'[1]Housing Generation'!J52</f>
        <v>0</v>
      </c>
      <c r="K52" s="229">
        <f>'[1]Housing Generation'!K52</f>
        <v>0</v>
      </c>
      <c r="L52" s="229">
        <f>'[1]Housing Generation'!L52</f>
        <v>0</v>
      </c>
      <c r="M52" s="229">
        <f>'[1]Housing Generation'!M52</f>
        <v>0</v>
      </c>
      <c r="N52" s="229">
        <f>'[1]Housing Generation'!N52</f>
        <v>0</v>
      </c>
      <c r="O52" s="229">
        <f>'[1]Housing Generation'!O52</f>
        <v>0</v>
      </c>
      <c r="P52" s="229">
        <f>'[1]Housing Generation'!P52</f>
        <v>0</v>
      </c>
      <c r="Q52" s="225">
        <f>'[1]Housing Generation'!Q52</f>
        <v>0</v>
      </c>
      <c r="R52" s="227">
        <f>'[1]Housing Generation'!R52</f>
        <v>0</v>
      </c>
      <c r="S52" s="227">
        <f>'[1]Housing Generation'!S52</f>
        <v>0</v>
      </c>
      <c r="T52" s="227">
        <f>'[1]Housing Generation'!T52</f>
        <v>0</v>
      </c>
      <c r="U52" s="227">
        <f>'[1]Housing Generation'!U52</f>
        <v>0</v>
      </c>
      <c r="V52" s="227">
        <f>'[1]Housing Generation'!V52</f>
        <v>0</v>
      </c>
      <c r="W52" s="227">
        <f>'[1]Housing Generation'!W52</f>
        <v>0</v>
      </c>
      <c r="X52" s="227">
        <f>'[1]Housing Generation'!X52</f>
        <v>0</v>
      </c>
      <c r="Y52" s="224">
        <f>'[1]Housing Generation'!Y52</f>
        <v>0</v>
      </c>
      <c r="Z52" s="229">
        <f>'[1]Housing Generation'!Z52</f>
        <v>0</v>
      </c>
      <c r="AA52" s="229">
        <f>'[1]Housing Generation'!AA52</f>
        <v>0</v>
      </c>
      <c r="AB52" s="229">
        <f>'[1]Housing Generation'!AB52</f>
        <v>0</v>
      </c>
      <c r="AC52" s="229">
        <f>'[1]Housing Generation'!AC52</f>
        <v>0</v>
      </c>
      <c r="AD52" s="229">
        <f>'[1]Housing Generation'!AD52</f>
        <v>0</v>
      </c>
      <c r="AE52" s="229">
        <f>'[1]Housing Generation'!AE52</f>
        <v>0</v>
      </c>
      <c r="AF52" s="229">
        <f>'[1]Housing Generation'!AF52</f>
        <v>0</v>
      </c>
      <c r="AG52" s="225">
        <f>'[1]Housing Generation'!AG52</f>
        <v>0</v>
      </c>
      <c r="AH52" s="227">
        <f>'[1]Housing Generation'!AH52</f>
        <v>0</v>
      </c>
      <c r="AI52" s="227">
        <f>'[1]Housing Generation'!AI52</f>
        <v>0</v>
      </c>
      <c r="AJ52" s="227">
        <f>'[1]Housing Generation'!AJ52</f>
        <v>0</v>
      </c>
      <c r="AK52" s="227">
        <f>'[1]Housing Generation'!AK52</f>
        <v>0</v>
      </c>
      <c r="AL52" s="227">
        <f>'[1]Housing Generation'!AL52</f>
        <v>0</v>
      </c>
      <c r="AM52" s="227">
        <f>'[1]Housing Generation'!AM52</f>
        <v>0</v>
      </c>
      <c r="AN52" s="227">
        <f>'[1]Housing Generation'!AN52</f>
        <v>0</v>
      </c>
      <c r="AO52" s="224">
        <f>'[1]Housing Generation'!AO52</f>
        <v>0</v>
      </c>
      <c r="AP52" s="229">
        <f>'[1]Housing Generation'!AP52</f>
        <v>0</v>
      </c>
      <c r="AQ52" s="229">
        <f>'[1]Housing Generation'!AQ52</f>
        <v>0</v>
      </c>
      <c r="AR52" s="229">
        <f>'[1]Housing Generation'!AR52</f>
        <v>0</v>
      </c>
      <c r="AS52" s="229">
        <f>'[1]Housing Generation'!AS52</f>
        <v>0</v>
      </c>
      <c r="AT52" s="229">
        <f>'[1]Housing Generation'!AT52</f>
        <v>0</v>
      </c>
      <c r="AU52" s="229">
        <f>'[1]Housing Generation'!AU52</f>
        <v>0</v>
      </c>
      <c r="AV52" s="229">
        <f>'[1]Housing Generation'!AV52</f>
        <v>0</v>
      </c>
      <c r="AW52" s="225">
        <f>'[1]Housing Generation'!AW52</f>
        <v>0</v>
      </c>
      <c r="AX52" s="227">
        <f>'[1]Housing Generation'!AX52</f>
        <v>0</v>
      </c>
      <c r="AY52" s="227">
        <f>'[1]Housing Generation'!AY52</f>
        <v>0</v>
      </c>
      <c r="AZ52" s="227">
        <f>'[1]Housing Generation'!AZ52</f>
        <v>0</v>
      </c>
      <c r="BA52" s="227">
        <f>'[1]Housing Generation'!BA52</f>
        <v>0</v>
      </c>
      <c r="BB52" s="227">
        <f>'[1]Housing Generation'!BB52</f>
        <v>0</v>
      </c>
      <c r="BC52" s="227">
        <f>'[1]Housing Generation'!BC52</f>
        <v>0</v>
      </c>
      <c r="BD52" s="227">
        <f>'[1]Housing Generation'!BD52</f>
        <v>0</v>
      </c>
      <c r="BE52" s="224">
        <f>'[1]Housing Generation'!BE52</f>
        <v>0</v>
      </c>
      <c r="BF52" s="229">
        <f>'[1]Housing Generation'!BF52</f>
        <v>0</v>
      </c>
      <c r="BG52" s="229">
        <f>'[1]Housing Generation'!BG52</f>
        <v>0</v>
      </c>
      <c r="BH52" s="229">
        <f>'[1]Housing Generation'!BH52</f>
        <v>0</v>
      </c>
      <c r="BI52" s="229">
        <f>'[1]Housing Generation'!BI52</f>
        <v>0</v>
      </c>
      <c r="BJ52" s="229">
        <f>'[1]Housing Generation'!BJ52</f>
        <v>0</v>
      </c>
      <c r="BK52" s="229">
        <f>'[1]Housing Generation'!BK52</f>
        <v>0</v>
      </c>
      <c r="BL52" s="229">
        <f>'[1]Housing Generation'!BL52</f>
        <v>0</v>
      </c>
      <c r="BM52" s="225">
        <f>'[1]Housing Generation'!BM52</f>
        <v>0</v>
      </c>
      <c r="BN52" s="227">
        <f>'[1]Housing Generation'!BN52</f>
        <v>0</v>
      </c>
      <c r="BO52" s="227">
        <f>'[1]Housing Generation'!BO52</f>
        <v>0</v>
      </c>
      <c r="BP52" s="227">
        <f>'[1]Housing Generation'!BP52</f>
        <v>0</v>
      </c>
      <c r="BQ52" s="227">
        <f>'[1]Housing Generation'!BQ52</f>
        <v>0</v>
      </c>
      <c r="BR52" s="227">
        <f>'[1]Housing Generation'!BR52</f>
        <v>0</v>
      </c>
      <c r="BS52" s="227">
        <f>'[1]Housing Generation'!BS52</f>
        <v>0</v>
      </c>
      <c r="BT52" s="227">
        <f>'[1]Housing Generation'!BT52</f>
        <v>0</v>
      </c>
      <c r="BU52" s="224">
        <f>'[1]Housing Generation'!BU52</f>
        <v>0</v>
      </c>
      <c r="BV52" s="229">
        <f>'[1]Housing Generation'!BV52</f>
        <v>0</v>
      </c>
      <c r="BW52" s="229">
        <f>'[1]Housing Generation'!BW52</f>
        <v>0</v>
      </c>
      <c r="BX52" s="229">
        <f>'[1]Housing Generation'!BX52</f>
        <v>0</v>
      </c>
      <c r="BY52" s="229">
        <f>'[1]Housing Generation'!BY52</f>
        <v>0</v>
      </c>
      <c r="BZ52" s="229">
        <f>'[1]Housing Generation'!BZ52</f>
        <v>0</v>
      </c>
      <c r="CA52" s="229">
        <f>'[1]Housing Generation'!CA52</f>
        <v>0</v>
      </c>
      <c r="CB52" s="229">
        <f>'[1]Housing Generation'!CB52</f>
        <v>0</v>
      </c>
      <c r="CC52" s="225">
        <f>'[1]Housing Generation'!CC52</f>
        <v>0</v>
      </c>
      <c r="CD52" s="227">
        <f>'[1]Housing Generation'!CD52</f>
        <v>0</v>
      </c>
      <c r="CE52" s="227">
        <f>'[1]Housing Generation'!CE52</f>
        <v>0</v>
      </c>
      <c r="CF52" s="227">
        <f>'[1]Housing Generation'!CF52</f>
        <v>0</v>
      </c>
      <c r="CG52" s="227">
        <f>'[1]Housing Generation'!CG52</f>
        <v>0</v>
      </c>
      <c r="CH52" s="227">
        <f>'[1]Housing Generation'!CH52</f>
        <v>0</v>
      </c>
      <c r="CI52" s="227">
        <f>'[1]Housing Generation'!CI52</f>
        <v>0</v>
      </c>
      <c r="CJ52" s="227">
        <f>'[1]Housing Generation'!CJ52</f>
        <v>0</v>
      </c>
      <c r="CK52" s="224">
        <f>'[1]Housing Generation'!CK52</f>
        <v>0</v>
      </c>
      <c r="CL52" s="229">
        <f>'[1]Housing Generation'!CL52</f>
        <v>0</v>
      </c>
      <c r="CM52" s="229">
        <f>'[1]Housing Generation'!CM52</f>
        <v>0</v>
      </c>
      <c r="CN52" s="229">
        <f>'[1]Housing Generation'!CN52</f>
        <v>0</v>
      </c>
      <c r="CO52" s="229">
        <f>'[1]Housing Generation'!CO52</f>
        <v>0</v>
      </c>
      <c r="CP52" s="229">
        <f>'[1]Housing Generation'!CP52</f>
        <v>0</v>
      </c>
      <c r="CQ52" s="229">
        <f>'[1]Housing Generation'!CQ52</f>
        <v>0</v>
      </c>
      <c r="CR52" s="229">
        <f>'[1]Housing Generation'!CR52</f>
        <v>0</v>
      </c>
      <c r="CS52" s="225">
        <f>'[1]Housing Generation'!CS52</f>
        <v>0</v>
      </c>
      <c r="CT52" s="227">
        <f>'[1]Housing Generation'!CT52</f>
        <v>0</v>
      </c>
      <c r="CU52" s="227">
        <f>'[1]Housing Generation'!CU52</f>
        <v>0</v>
      </c>
      <c r="CV52" s="227">
        <f>'[1]Housing Generation'!CV52</f>
        <v>0</v>
      </c>
      <c r="CW52" s="227">
        <f>'[1]Housing Generation'!CW52</f>
        <v>0</v>
      </c>
      <c r="CX52" s="227">
        <f>'[1]Housing Generation'!CX52</f>
        <v>0</v>
      </c>
      <c r="CY52" s="227">
        <f>'[1]Housing Generation'!CY52</f>
        <v>0</v>
      </c>
      <c r="CZ52" s="227">
        <f>'[1]Housing Generation'!CZ52</f>
        <v>0</v>
      </c>
      <c r="DA52" s="224">
        <f>'[1]Housing Generation'!DA52</f>
        <v>0</v>
      </c>
      <c r="DB52" s="229">
        <f>'[1]Housing Generation'!DB52</f>
        <v>0</v>
      </c>
      <c r="DC52" s="229">
        <f>'[1]Housing Generation'!DC52</f>
        <v>0</v>
      </c>
      <c r="DD52" s="229">
        <f>'[1]Housing Generation'!DD52</f>
        <v>0</v>
      </c>
      <c r="DE52" s="229">
        <f>'[1]Housing Generation'!DE52</f>
        <v>0</v>
      </c>
      <c r="DF52" s="229">
        <f>'[1]Housing Generation'!DF52</f>
        <v>0</v>
      </c>
      <c r="DG52" s="229">
        <f>'[1]Housing Generation'!DG52</f>
        <v>0</v>
      </c>
      <c r="DH52" s="229">
        <f>'[1]Housing Generation'!DH52</f>
        <v>0</v>
      </c>
      <c r="DI52" s="225">
        <f>'[1]Housing Generation'!DI52</f>
        <v>0</v>
      </c>
      <c r="DJ52" s="227">
        <f>'[1]Housing Generation'!DJ52</f>
        <v>0</v>
      </c>
      <c r="DK52" s="227">
        <f>'[1]Housing Generation'!DK52</f>
        <v>0</v>
      </c>
      <c r="DL52" s="227">
        <f>'[1]Housing Generation'!DL52</f>
        <v>0</v>
      </c>
      <c r="DM52" s="227">
        <f>'[1]Housing Generation'!DM52</f>
        <v>0</v>
      </c>
      <c r="DN52" s="227">
        <f>'[1]Housing Generation'!DN52</f>
        <v>0</v>
      </c>
      <c r="DO52" s="227">
        <f>'[1]Housing Generation'!DO52</f>
        <v>0</v>
      </c>
      <c r="DP52" s="227">
        <f>'[1]Housing Generation'!DP52</f>
        <v>0</v>
      </c>
      <c r="DQ52" s="224">
        <f>'[1]Housing Generation'!DQ52</f>
        <v>0</v>
      </c>
    </row>
    <row r="53" spans="1:121" x14ac:dyDescent="0.2">
      <c r="A53" s="237" t="s">
        <v>54</v>
      </c>
      <c r="B53" s="227">
        <f>'[1]Housing Generation'!B53</f>
        <v>0</v>
      </c>
      <c r="C53" s="227">
        <f>'[1]Housing Generation'!C53</f>
        <v>0</v>
      </c>
      <c r="D53" s="227">
        <f>'[1]Housing Generation'!D53</f>
        <v>0</v>
      </c>
      <c r="E53" s="227">
        <f>'[1]Housing Generation'!E53</f>
        <v>0</v>
      </c>
      <c r="F53" s="227">
        <f>'[1]Housing Generation'!F53</f>
        <v>0</v>
      </c>
      <c r="G53" s="227">
        <f>'[1]Housing Generation'!G53</f>
        <v>0</v>
      </c>
      <c r="H53" s="227">
        <f>'[1]Housing Generation'!H53</f>
        <v>0</v>
      </c>
      <c r="I53" s="224">
        <f>'[1]Housing Generation'!I53</f>
        <v>0</v>
      </c>
      <c r="J53" s="229">
        <f>'[1]Housing Generation'!J53</f>
        <v>0</v>
      </c>
      <c r="K53" s="229">
        <f>'[1]Housing Generation'!K53</f>
        <v>0</v>
      </c>
      <c r="L53" s="229">
        <f>'[1]Housing Generation'!L53</f>
        <v>0</v>
      </c>
      <c r="M53" s="229">
        <f>'[1]Housing Generation'!M53</f>
        <v>0</v>
      </c>
      <c r="N53" s="229">
        <f>'[1]Housing Generation'!N53</f>
        <v>0</v>
      </c>
      <c r="O53" s="229">
        <f>'[1]Housing Generation'!O53</f>
        <v>0</v>
      </c>
      <c r="P53" s="229">
        <f>'[1]Housing Generation'!P53</f>
        <v>0</v>
      </c>
      <c r="Q53" s="225">
        <f>'[1]Housing Generation'!Q53</f>
        <v>0</v>
      </c>
      <c r="R53" s="227">
        <f>'[1]Housing Generation'!R53</f>
        <v>0</v>
      </c>
      <c r="S53" s="227">
        <f>'[1]Housing Generation'!S53</f>
        <v>0</v>
      </c>
      <c r="T53" s="227">
        <f>'[1]Housing Generation'!T53</f>
        <v>0</v>
      </c>
      <c r="U53" s="227">
        <f>'[1]Housing Generation'!U53</f>
        <v>0</v>
      </c>
      <c r="V53" s="227">
        <f>'[1]Housing Generation'!V53</f>
        <v>0</v>
      </c>
      <c r="W53" s="227">
        <f>'[1]Housing Generation'!W53</f>
        <v>0</v>
      </c>
      <c r="X53" s="227">
        <f>'[1]Housing Generation'!X53</f>
        <v>0</v>
      </c>
      <c r="Y53" s="224">
        <f>'[1]Housing Generation'!Y53</f>
        <v>0</v>
      </c>
      <c r="Z53" s="229">
        <f>'[1]Housing Generation'!Z53</f>
        <v>0</v>
      </c>
      <c r="AA53" s="229">
        <f>'[1]Housing Generation'!AA53</f>
        <v>0</v>
      </c>
      <c r="AB53" s="229">
        <f>'[1]Housing Generation'!AB53</f>
        <v>0</v>
      </c>
      <c r="AC53" s="229">
        <f>'[1]Housing Generation'!AC53</f>
        <v>0</v>
      </c>
      <c r="AD53" s="229">
        <f>'[1]Housing Generation'!AD53</f>
        <v>0</v>
      </c>
      <c r="AE53" s="229">
        <f>'[1]Housing Generation'!AE53</f>
        <v>0</v>
      </c>
      <c r="AF53" s="229">
        <f>'[1]Housing Generation'!AF53</f>
        <v>0</v>
      </c>
      <c r="AG53" s="225">
        <f>'[1]Housing Generation'!AG53</f>
        <v>0</v>
      </c>
      <c r="AH53" s="227">
        <f>'[1]Housing Generation'!AH53</f>
        <v>0</v>
      </c>
      <c r="AI53" s="227">
        <f>'[1]Housing Generation'!AI53</f>
        <v>0</v>
      </c>
      <c r="AJ53" s="227">
        <f>'[1]Housing Generation'!AJ53</f>
        <v>0</v>
      </c>
      <c r="AK53" s="227">
        <f>'[1]Housing Generation'!AK53</f>
        <v>0</v>
      </c>
      <c r="AL53" s="227">
        <f>'[1]Housing Generation'!AL53</f>
        <v>0</v>
      </c>
      <c r="AM53" s="227">
        <f>'[1]Housing Generation'!AM53</f>
        <v>0</v>
      </c>
      <c r="AN53" s="227">
        <f>'[1]Housing Generation'!AN53</f>
        <v>0</v>
      </c>
      <c r="AO53" s="224">
        <f>'[1]Housing Generation'!AO53</f>
        <v>0</v>
      </c>
      <c r="AP53" s="229">
        <f>'[1]Housing Generation'!AP53</f>
        <v>0</v>
      </c>
      <c r="AQ53" s="229">
        <f>'[1]Housing Generation'!AQ53</f>
        <v>0</v>
      </c>
      <c r="AR53" s="229">
        <f>'[1]Housing Generation'!AR53</f>
        <v>0</v>
      </c>
      <c r="AS53" s="229">
        <f>'[1]Housing Generation'!AS53</f>
        <v>0</v>
      </c>
      <c r="AT53" s="229">
        <f>'[1]Housing Generation'!AT53</f>
        <v>0</v>
      </c>
      <c r="AU53" s="229">
        <f>'[1]Housing Generation'!AU53</f>
        <v>0</v>
      </c>
      <c r="AV53" s="229">
        <f>'[1]Housing Generation'!AV53</f>
        <v>0</v>
      </c>
      <c r="AW53" s="225">
        <f>'[1]Housing Generation'!AW53</f>
        <v>0</v>
      </c>
      <c r="AX53" s="227">
        <f>'[1]Housing Generation'!AX53</f>
        <v>0</v>
      </c>
      <c r="AY53" s="227">
        <f>'[1]Housing Generation'!AY53</f>
        <v>0</v>
      </c>
      <c r="AZ53" s="227">
        <f>'[1]Housing Generation'!AZ53</f>
        <v>0</v>
      </c>
      <c r="BA53" s="227">
        <f>'[1]Housing Generation'!BA53</f>
        <v>0</v>
      </c>
      <c r="BB53" s="227">
        <f>'[1]Housing Generation'!BB53</f>
        <v>0</v>
      </c>
      <c r="BC53" s="227">
        <f>'[1]Housing Generation'!BC53</f>
        <v>0</v>
      </c>
      <c r="BD53" s="227">
        <f>'[1]Housing Generation'!BD53</f>
        <v>0</v>
      </c>
      <c r="BE53" s="224">
        <f>'[1]Housing Generation'!BE53</f>
        <v>0</v>
      </c>
      <c r="BF53" s="229">
        <f>'[1]Housing Generation'!BF53</f>
        <v>0</v>
      </c>
      <c r="BG53" s="229">
        <f>'[1]Housing Generation'!BG53</f>
        <v>0</v>
      </c>
      <c r="BH53" s="229">
        <f>'[1]Housing Generation'!BH53</f>
        <v>0</v>
      </c>
      <c r="BI53" s="229">
        <f>'[1]Housing Generation'!BI53</f>
        <v>0</v>
      </c>
      <c r="BJ53" s="229">
        <f>'[1]Housing Generation'!BJ53</f>
        <v>0</v>
      </c>
      <c r="BK53" s="229">
        <f>'[1]Housing Generation'!BK53</f>
        <v>0</v>
      </c>
      <c r="BL53" s="229">
        <f>'[1]Housing Generation'!BL53</f>
        <v>0</v>
      </c>
      <c r="BM53" s="225">
        <f>'[1]Housing Generation'!BM53</f>
        <v>0</v>
      </c>
      <c r="BN53" s="227">
        <f>'[1]Housing Generation'!BN53</f>
        <v>0</v>
      </c>
      <c r="BO53" s="227">
        <f>'[1]Housing Generation'!BO53</f>
        <v>0</v>
      </c>
      <c r="BP53" s="227">
        <f>'[1]Housing Generation'!BP53</f>
        <v>0</v>
      </c>
      <c r="BQ53" s="227">
        <f>'[1]Housing Generation'!BQ53</f>
        <v>0</v>
      </c>
      <c r="BR53" s="227">
        <f>'[1]Housing Generation'!BR53</f>
        <v>0</v>
      </c>
      <c r="BS53" s="227">
        <f>'[1]Housing Generation'!BS53</f>
        <v>0</v>
      </c>
      <c r="BT53" s="227">
        <f>'[1]Housing Generation'!BT53</f>
        <v>0</v>
      </c>
      <c r="BU53" s="224">
        <f>'[1]Housing Generation'!BU53</f>
        <v>0</v>
      </c>
      <c r="BV53" s="229">
        <f>'[1]Housing Generation'!BV53</f>
        <v>0</v>
      </c>
      <c r="BW53" s="229">
        <f>'[1]Housing Generation'!BW53</f>
        <v>0</v>
      </c>
      <c r="BX53" s="229">
        <f>'[1]Housing Generation'!BX53</f>
        <v>0</v>
      </c>
      <c r="BY53" s="229">
        <f>'[1]Housing Generation'!BY53</f>
        <v>0</v>
      </c>
      <c r="BZ53" s="229">
        <f>'[1]Housing Generation'!BZ53</f>
        <v>0</v>
      </c>
      <c r="CA53" s="229">
        <f>'[1]Housing Generation'!CA53</f>
        <v>0</v>
      </c>
      <c r="CB53" s="229">
        <f>'[1]Housing Generation'!CB53</f>
        <v>0</v>
      </c>
      <c r="CC53" s="225">
        <f>'[1]Housing Generation'!CC53</f>
        <v>0</v>
      </c>
      <c r="CD53" s="227">
        <f>'[1]Housing Generation'!CD53</f>
        <v>0</v>
      </c>
      <c r="CE53" s="227">
        <f>'[1]Housing Generation'!CE53</f>
        <v>0</v>
      </c>
      <c r="CF53" s="227">
        <f>'[1]Housing Generation'!CF53</f>
        <v>0</v>
      </c>
      <c r="CG53" s="227">
        <f>'[1]Housing Generation'!CG53</f>
        <v>0</v>
      </c>
      <c r="CH53" s="227">
        <f>'[1]Housing Generation'!CH53</f>
        <v>0</v>
      </c>
      <c r="CI53" s="227">
        <f>'[1]Housing Generation'!CI53</f>
        <v>0</v>
      </c>
      <c r="CJ53" s="227">
        <f>'[1]Housing Generation'!CJ53</f>
        <v>0</v>
      </c>
      <c r="CK53" s="224">
        <f>'[1]Housing Generation'!CK53</f>
        <v>0</v>
      </c>
      <c r="CL53" s="229">
        <f>'[1]Housing Generation'!CL53</f>
        <v>0</v>
      </c>
      <c r="CM53" s="229">
        <f>'[1]Housing Generation'!CM53</f>
        <v>0</v>
      </c>
      <c r="CN53" s="229">
        <f>'[1]Housing Generation'!CN53</f>
        <v>0</v>
      </c>
      <c r="CO53" s="229">
        <f>'[1]Housing Generation'!CO53</f>
        <v>0</v>
      </c>
      <c r="CP53" s="229">
        <f>'[1]Housing Generation'!CP53</f>
        <v>0</v>
      </c>
      <c r="CQ53" s="229">
        <f>'[1]Housing Generation'!CQ53</f>
        <v>0</v>
      </c>
      <c r="CR53" s="229">
        <f>'[1]Housing Generation'!CR53</f>
        <v>0</v>
      </c>
      <c r="CS53" s="225">
        <f>'[1]Housing Generation'!CS53</f>
        <v>0</v>
      </c>
      <c r="CT53" s="227">
        <f>'[1]Housing Generation'!CT53</f>
        <v>0</v>
      </c>
      <c r="CU53" s="227">
        <f>'[1]Housing Generation'!CU53</f>
        <v>0</v>
      </c>
      <c r="CV53" s="227">
        <f>'[1]Housing Generation'!CV53</f>
        <v>0</v>
      </c>
      <c r="CW53" s="227">
        <f>'[1]Housing Generation'!CW53</f>
        <v>0</v>
      </c>
      <c r="CX53" s="227">
        <f>'[1]Housing Generation'!CX53</f>
        <v>0</v>
      </c>
      <c r="CY53" s="227">
        <f>'[1]Housing Generation'!CY53</f>
        <v>0</v>
      </c>
      <c r="CZ53" s="227">
        <f>'[1]Housing Generation'!CZ53</f>
        <v>0</v>
      </c>
      <c r="DA53" s="224">
        <f>'[1]Housing Generation'!DA53</f>
        <v>0</v>
      </c>
      <c r="DB53" s="229">
        <f>'[1]Housing Generation'!DB53</f>
        <v>0</v>
      </c>
      <c r="DC53" s="229">
        <f>'[1]Housing Generation'!DC53</f>
        <v>0</v>
      </c>
      <c r="DD53" s="229">
        <f>'[1]Housing Generation'!DD53</f>
        <v>0</v>
      </c>
      <c r="DE53" s="229">
        <f>'[1]Housing Generation'!DE53</f>
        <v>0</v>
      </c>
      <c r="DF53" s="229">
        <f>'[1]Housing Generation'!DF53</f>
        <v>0</v>
      </c>
      <c r="DG53" s="229">
        <f>'[1]Housing Generation'!DG53</f>
        <v>0</v>
      </c>
      <c r="DH53" s="229">
        <f>'[1]Housing Generation'!DH53</f>
        <v>0</v>
      </c>
      <c r="DI53" s="225">
        <f>'[1]Housing Generation'!DI53</f>
        <v>0</v>
      </c>
      <c r="DJ53" s="227">
        <f>'[1]Housing Generation'!DJ53</f>
        <v>0</v>
      </c>
      <c r="DK53" s="227">
        <f>'[1]Housing Generation'!DK53</f>
        <v>0</v>
      </c>
      <c r="DL53" s="227">
        <f>'[1]Housing Generation'!DL53</f>
        <v>0</v>
      </c>
      <c r="DM53" s="227">
        <f>'[1]Housing Generation'!DM53</f>
        <v>0</v>
      </c>
      <c r="DN53" s="227">
        <f>'[1]Housing Generation'!DN53</f>
        <v>0</v>
      </c>
      <c r="DO53" s="227">
        <f>'[1]Housing Generation'!DO53</f>
        <v>0</v>
      </c>
      <c r="DP53" s="227">
        <f>'[1]Housing Generation'!DP53</f>
        <v>0</v>
      </c>
      <c r="DQ53" s="224">
        <f>'[1]Housing Generation'!DQ53</f>
        <v>0</v>
      </c>
    </row>
    <row r="54" spans="1:121" x14ac:dyDescent="0.2">
      <c r="A54" s="237" t="s">
        <v>55</v>
      </c>
      <c r="B54" s="227">
        <f>'[1]Housing Generation'!B54</f>
        <v>2</v>
      </c>
      <c r="C54" s="227">
        <f>'[1]Housing Generation'!C54</f>
        <v>2</v>
      </c>
      <c r="D54" s="227">
        <f>'[1]Housing Generation'!D54</f>
        <v>2</v>
      </c>
      <c r="E54" s="227">
        <f>'[1]Housing Generation'!E54</f>
        <v>2</v>
      </c>
      <c r="F54" s="227">
        <f>'[1]Housing Generation'!F54</f>
        <v>2</v>
      </c>
      <c r="G54" s="227">
        <f>'[1]Housing Generation'!G54</f>
        <v>2</v>
      </c>
      <c r="H54" s="227">
        <f>'[1]Housing Generation'!H54</f>
        <v>2</v>
      </c>
      <c r="I54" s="224">
        <f>'[1]Housing Generation'!I54</f>
        <v>14</v>
      </c>
      <c r="J54" s="229">
        <f>'[1]Housing Generation'!J54</f>
        <v>4</v>
      </c>
      <c r="K54" s="229">
        <f>'[1]Housing Generation'!K54</f>
        <v>3</v>
      </c>
      <c r="L54" s="229">
        <f>'[1]Housing Generation'!L54</f>
        <v>3</v>
      </c>
      <c r="M54" s="229">
        <f>'[1]Housing Generation'!M54</f>
        <v>3</v>
      </c>
      <c r="N54" s="229">
        <f>'[1]Housing Generation'!N54</f>
        <v>3</v>
      </c>
      <c r="O54" s="229">
        <f>'[1]Housing Generation'!O54</f>
        <v>3</v>
      </c>
      <c r="P54" s="229">
        <f>'[1]Housing Generation'!P54</f>
        <v>3</v>
      </c>
      <c r="Q54" s="225">
        <f>'[1]Housing Generation'!Q54</f>
        <v>22</v>
      </c>
      <c r="R54" s="227">
        <f>'[1]Housing Generation'!R54</f>
        <v>7</v>
      </c>
      <c r="S54" s="227">
        <f>'[1]Housing Generation'!S54</f>
        <v>6</v>
      </c>
      <c r="T54" s="227">
        <f>'[1]Housing Generation'!T54</f>
        <v>6</v>
      </c>
      <c r="U54" s="227">
        <f>'[1]Housing Generation'!U54</f>
        <v>6</v>
      </c>
      <c r="V54" s="227">
        <f>'[1]Housing Generation'!V54</f>
        <v>6</v>
      </c>
      <c r="W54" s="227">
        <f>'[1]Housing Generation'!W54</f>
        <v>6</v>
      </c>
      <c r="X54" s="227">
        <f>'[1]Housing Generation'!X54</f>
        <v>6</v>
      </c>
      <c r="Y54" s="224">
        <f>'[1]Housing Generation'!Y54</f>
        <v>43</v>
      </c>
      <c r="Z54" s="229">
        <f>'[1]Housing Generation'!Z54</f>
        <v>9</v>
      </c>
      <c r="AA54" s="229">
        <f>'[1]Housing Generation'!AA54</f>
        <v>9</v>
      </c>
      <c r="AB54" s="229">
        <f>'[1]Housing Generation'!AB54</f>
        <v>8</v>
      </c>
      <c r="AC54" s="229">
        <f>'[1]Housing Generation'!AC54</f>
        <v>8</v>
      </c>
      <c r="AD54" s="229">
        <f>'[1]Housing Generation'!AD54</f>
        <v>8</v>
      </c>
      <c r="AE54" s="229">
        <f>'[1]Housing Generation'!AE54</f>
        <v>8</v>
      </c>
      <c r="AF54" s="229">
        <f>'[1]Housing Generation'!AF54</f>
        <v>8</v>
      </c>
      <c r="AG54" s="225">
        <f>'[1]Housing Generation'!AG54</f>
        <v>58</v>
      </c>
      <c r="AH54" s="227">
        <f>'[1]Housing Generation'!AH54</f>
        <v>11</v>
      </c>
      <c r="AI54" s="227">
        <f>'[1]Housing Generation'!AI54</f>
        <v>11</v>
      </c>
      <c r="AJ54" s="227">
        <f>'[1]Housing Generation'!AJ54</f>
        <v>11</v>
      </c>
      <c r="AK54" s="227">
        <f>'[1]Housing Generation'!AK54</f>
        <v>11</v>
      </c>
      <c r="AL54" s="227">
        <f>'[1]Housing Generation'!AL54</f>
        <v>11</v>
      </c>
      <c r="AM54" s="227">
        <f>'[1]Housing Generation'!AM54</f>
        <v>10</v>
      </c>
      <c r="AN54" s="227">
        <f>'[1]Housing Generation'!AN54</f>
        <v>10</v>
      </c>
      <c r="AO54" s="224">
        <f>'[1]Housing Generation'!AO54</f>
        <v>75</v>
      </c>
      <c r="AP54" s="229">
        <f>'[1]Housing Generation'!AP54</f>
        <v>16</v>
      </c>
      <c r="AQ54" s="229">
        <f>'[1]Housing Generation'!AQ54</f>
        <v>16</v>
      </c>
      <c r="AR54" s="229">
        <f>'[1]Housing Generation'!AR54</f>
        <v>16</v>
      </c>
      <c r="AS54" s="229">
        <f>'[1]Housing Generation'!AS54</f>
        <v>16</v>
      </c>
      <c r="AT54" s="229">
        <f>'[1]Housing Generation'!AT54</f>
        <v>15</v>
      </c>
      <c r="AU54" s="229">
        <f>'[1]Housing Generation'!AU54</f>
        <v>15</v>
      </c>
      <c r="AV54" s="229">
        <f>'[1]Housing Generation'!AV54</f>
        <v>15</v>
      </c>
      <c r="AW54" s="225">
        <f>'[1]Housing Generation'!AW54</f>
        <v>109</v>
      </c>
      <c r="AX54" s="227">
        <f>'[1]Housing Generation'!AX54</f>
        <v>21</v>
      </c>
      <c r="AY54" s="227">
        <f>'[1]Housing Generation'!AY54</f>
        <v>21</v>
      </c>
      <c r="AZ54" s="227">
        <f>'[1]Housing Generation'!AZ54</f>
        <v>21</v>
      </c>
      <c r="BA54" s="227">
        <f>'[1]Housing Generation'!BA54</f>
        <v>20</v>
      </c>
      <c r="BB54" s="227">
        <f>'[1]Housing Generation'!BB54</f>
        <v>20</v>
      </c>
      <c r="BC54" s="227">
        <f>'[1]Housing Generation'!BC54</f>
        <v>20</v>
      </c>
      <c r="BD54" s="227">
        <f>'[1]Housing Generation'!BD54</f>
        <v>20</v>
      </c>
      <c r="BE54" s="224">
        <f>'[1]Housing Generation'!BE54</f>
        <v>143</v>
      </c>
      <c r="BF54" s="229">
        <f>'[1]Housing Generation'!BF54</f>
        <v>25</v>
      </c>
      <c r="BG54" s="229">
        <f>'[1]Housing Generation'!BG54</f>
        <v>25</v>
      </c>
      <c r="BH54" s="229">
        <f>'[1]Housing Generation'!BH54</f>
        <v>25</v>
      </c>
      <c r="BI54" s="229">
        <f>'[1]Housing Generation'!BI54</f>
        <v>25</v>
      </c>
      <c r="BJ54" s="229">
        <f>'[1]Housing Generation'!BJ54</f>
        <v>24</v>
      </c>
      <c r="BK54" s="229">
        <f>'[1]Housing Generation'!BK54</f>
        <v>24</v>
      </c>
      <c r="BL54" s="229">
        <f>'[1]Housing Generation'!BL54</f>
        <v>24</v>
      </c>
      <c r="BM54" s="225">
        <f>'[1]Housing Generation'!BM54</f>
        <v>172</v>
      </c>
      <c r="BN54" s="227">
        <f>'[1]Housing Generation'!BN54</f>
        <v>30</v>
      </c>
      <c r="BO54" s="227">
        <f>'[1]Housing Generation'!BO54</f>
        <v>30</v>
      </c>
      <c r="BP54" s="227">
        <f>'[1]Housing Generation'!BP54</f>
        <v>29</v>
      </c>
      <c r="BQ54" s="227">
        <f>'[1]Housing Generation'!BQ54</f>
        <v>29</v>
      </c>
      <c r="BR54" s="227">
        <f>'[1]Housing Generation'!BR54</f>
        <v>29</v>
      </c>
      <c r="BS54" s="227">
        <f>'[1]Housing Generation'!BS54</f>
        <v>29</v>
      </c>
      <c r="BT54" s="227">
        <f>'[1]Housing Generation'!BT54</f>
        <v>29</v>
      </c>
      <c r="BU54" s="224">
        <f>'[1]Housing Generation'!BU54</f>
        <v>205</v>
      </c>
      <c r="BV54" s="229">
        <f>'[1]Housing Generation'!BV54</f>
        <v>34</v>
      </c>
      <c r="BW54" s="229">
        <f>'[1]Housing Generation'!BW54</f>
        <v>34</v>
      </c>
      <c r="BX54" s="229">
        <f>'[1]Housing Generation'!BX54</f>
        <v>34</v>
      </c>
      <c r="BY54" s="229">
        <f>'[1]Housing Generation'!BY54</f>
        <v>34</v>
      </c>
      <c r="BZ54" s="229">
        <f>'[1]Housing Generation'!BZ54</f>
        <v>34</v>
      </c>
      <c r="CA54" s="229">
        <f>'[1]Housing Generation'!CA54</f>
        <v>34</v>
      </c>
      <c r="CB54" s="229">
        <f>'[1]Housing Generation'!CB54</f>
        <v>34</v>
      </c>
      <c r="CC54" s="225">
        <f>'[1]Housing Generation'!CC54</f>
        <v>238</v>
      </c>
      <c r="CD54" s="227">
        <f>'[1]Housing Generation'!CD54</f>
        <v>39</v>
      </c>
      <c r="CE54" s="227">
        <f>'[1]Housing Generation'!CE54</f>
        <v>39</v>
      </c>
      <c r="CF54" s="227">
        <f>'[1]Housing Generation'!CF54</f>
        <v>39</v>
      </c>
      <c r="CG54" s="227">
        <f>'[1]Housing Generation'!CG54</f>
        <v>39</v>
      </c>
      <c r="CH54" s="227">
        <f>'[1]Housing Generation'!CH54</f>
        <v>39</v>
      </c>
      <c r="CI54" s="227">
        <f>'[1]Housing Generation'!CI54</f>
        <v>38</v>
      </c>
      <c r="CJ54" s="227">
        <f>'[1]Housing Generation'!CJ54</f>
        <v>38</v>
      </c>
      <c r="CK54" s="224">
        <f>'[1]Housing Generation'!CK54</f>
        <v>271</v>
      </c>
      <c r="CL54" s="229">
        <f>'[1]Housing Generation'!CL54</f>
        <v>42</v>
      </c>
      <c r="CM54" s="229">
        <f>'[1]Housing Generation'!CM54</f>
        <v>42</v>
      </c>
      <c r="CN54" s="229">
        <f>'[1]Housing Generation'!CN54</f>
        <v>42</v>
      </c>
      <c r="CO54" s="229">
        <f>'[1]Housing Generation'!CO54</f>
        <v>42</v>
      </c>
      <c r="CP54" s="229">
        <f>'[1]Housing Generation'!CP54</f>
        <v>42</v>
      </c>
      <c r="CQ54" s="229">
        <f>'[1]Housing Generation'!CQ54</f>
        <v>42</v>
      </c>
      <c r="CR54" s="229">
        <f>'[1]Housing Generation'!CR54</f>
        <v>41</v>
      </c>
      <c r="CS54" s="225">
        <f>'[1]Housing Generation'!CS54</f>
        <v>293</v>
      </c>
      <c r="CT54" s="227">
        <f>'[1]Housing Generation'!CT54</f>
        <v>45</v>
      </c>
      <c r="CU54" s="227">
        <f>'[1]Housing Generation'!CU54</f>
        <v>45</v>
      </c>
      <c r="CV54" s="227">
        <f>'[1]Housing Generation'!CV54</f>
        <v>45</v>
      </c>
      <c r="CW54" s="227">
        <f>'[1]Housing Generation'!CW54</f>
        <v>45</v>
      </c>
      <c r="CX54" s="227">
        <f>'[1]Housing Generation'!CX54</f>
        <v>45</v>
      </c>
      <c r="CY54" s="227">
        <f>'[1]Housing Generation'!CY54</f>
        <v>45</v>
      </c>
      <c r="CZ54" s="227">
        <f>'[1]Housing Generation'!CZ54</f>
        <v>45</v>
      </c>
      <c r="DA54" s="224">
        <f>'[1]Housing Generation'!DA54</f>
        <v>315</v>
      </c>
      <c r="DB54" s="229">
        <f>'[1]Housing Generation'!DB54</f>
        <v>49</v>
      </c>
      <c r="DC54" s="229">
        <f>'[1]Housing Generation'!DC54</f>
        <v>48</v>
      </c>
      <c r="DD54" s="229">
        <f>'[1]Housing Generation'!DD54</f>
        <v>48</v>
      </c>
      <c r="DE54" s="229">
        <f>'[1]Housing Generation'!DE54</f>
        <v>48</v>
      </c>
      <c r="DF54" s="229">
        <f>'[1]Housing Generation'!DF54</f>
        <v>48</v>
      </c>
      <c r="DG54" s="229">
        <f>'[1]Housing Generation'!DG54</f>
        <v>48</v>
      </c>
      <c r="DH54" s="229">
        <f>'[1]Housing Generation'!DH54</f>
        <v>48</v>
      </c>
      <c r="DI54" s="225">
        <f>'[1]Housing Generation'!DI54</f>
        <v>337</v>
      </c>
      <c r="DJ54" s="227">
        <f>'[1]Housing Generation'!DJ54</f>
        <v>52</v>
      </c>
      <c r="DK54" s="227">
        <f>'[1]Housing Generation'!DK54</f>
        <v>52</v>
      </c>
      <c r="DL54" s="227">
        <f>'[1]Housing Generation'!DL54</f>
        <v>51</v>
      </c>
      <c r="DM54" s="227">
        <f>'[1]Housing Generation'!DM54</f>
        <v>51</v>
      </c>
      <c r="DN54" s="227">
        <f>'[1]Housing Generation'!DN54</f>
        <v>51</v>
      </c>
      <c r="DO54" s="227">
        <f>'[1]Housing Generation'!DO54</f>
        <v>51</v>
      </c>
      <c r="DP54" s="227">
        <f>'[1]Housing Generation'!DP54</f>
        <v>51</v>
      </c>
      <c r="DQ54" s="224">
        <f>'[1]Housing Generation'!DQ54</f>
        <v>359</v>
      </c>
    </row>
    <row r="55" spans="1:121" x14ac:dyDescent="0.2">
      <c r="A55" s="237" t="s">
        <v>56</v>
      </c>
      <c r="B55" s="227">
        <f>'[1]Housing Generation'!B55</f>
        <v>2</v>
      </c>
      <c r="C55" s="227">
        <f>'[1]Housing Generation'!C55</f>
        <v>2</v>
      </c>
      <c r="D55" s="227">
        <f>'[1]Housing Generation'!D55</f>
        <v>2</v>
      </c>
      <c r="E55" s="227">
        <f>'[1]Housing Generation'!E55</f>
        <v>1</v>
      </c>
      <c r="F55" s="227">
        <f>'[1]Housing Generation'!F55</f>
        <v>1</v>
      </c>
      <c r="G55" s="227">
        <f>'[1]Housing Generation'!G55</f>
        <v>1</v>
      </c>
      <c r="H55" s="227">
        <f>'[1]Housing Generation'!H55</f>
        <v>1</v>
      </c>
      <c r="I55" s="224">
        <f>'[1]Housing Generation'!I55</f>
        <v>10</v>
      </c>
      <c r="J55" s="229">
        <f>'[1]Housing Generation'!J55</f>
        <v>4</v>
      </c>
      <c r="K55" s="229">
        <f>'[1]Housing Generation'!K55</f>
        <v>3</v>
      </c>
      <c r="L55" s="229">
        <f>'[1]Housing Generation'!L55</f>
        <v>3</v>
      </c>
      <c r="M55" s="229">
        <f>'[1]Housing Generation'!M55</f>
        <v>3</v>
      </c>
      <c r="N55" s="229">
        <f>'[1]Housing Generation'!N55</f>
        <v>3</v>
      </c>
      <c r="O55" s="229">
        <f>'[1]Housing Generation'!O55</f>
        <v>3</v>
      </c>
      <c r="P55" s="229">
        <f>'[1]Housing Generation'!P55</f>
        <v>3</v>
      </c>
      <c r="Q55" s="225">
        <f>'[1]Housing Generation'!Q55</f>
        <v>22</v>
      </c>
      <c r="R55" s="227">
        <f>'[1]Housing Generation'!R55</f>
        <v>7</v>
      </c>
      <c r="S55" s="227">
        <f>'[1]Housing Generation'!S55</f>
        <v>7</v>
      </c>
      <c r="T55" s="227">
        <f>'[1]Housing Generation'!T55</f>
        <v>7</v>
      </c>
      <c r="U55" s="227">
        <f>'[1]Housing Generation'!U55</f>
        <v>6</v>
      </c>
      <c r="V55" s="227">
        <f>'[1]Housing Generation'!V55</f>
        <v>6</v>
      </c>
      <c r="W55" s="227">
        <f>'[1]Housing Generation'!W55</f>
        <v>6</v>
      </c>
      <c r="X55" s="227">
        <f>'[1]Housing Generation'!X55</f>
        <v>6</v>
      </c>
      <c r="Y55" s="224">
        <f>'[1]Housing Generation'!Y55</f>
        <v>45</v>
      </c>
      <c r="Z55" s="229">
        <f>'[1]Housing Generation'!Z55</f>
        <v>8</v>
      </c>
      <c r="AA55" s="229">
        <f>'[1]Housing Generation'!AA55</f>
        <v>8</v>
      </c>
      <c r="AB55" s="229">
        <f>'[1]Housing Generation'!AB55</f>
        <v>8</v>
      </c>
      <c r="AC55" s="229">
        <f>'[1]Housing Generation'!AC55</f>
        <v>8</v>
      </c>
      <c r="AD55" s="229">
        <f>'[1]Housing Generation'!AD55</f>
        <v>7</v>
      </c>
      <c r="AE55" s="229">
        <f>'[1]Housing Generation'!AE55</f>
        <v>7</v>
      </c>
      <c r="AF55" s="229">
        <f>'[1]Housing Generation'!AF55</f>
        <v>7</v>
      </c>
      <c r="AG55" s="225">
        <f>'[1]Housing Generation'!AG55</f>
        <v>53</v>
      </c>
      <c r="AH55" s="227">
        <f>'[1]Housing Generation'!AH55</f>
        <v>9</v>
      </c>
      <c r="AI55" s="227">
        <f>'[1]Housing Generation'!AI55</f>
        <v>8</v>
      </c>
      <c r="AJ55" s="227">
        <f>'[1]Housing Generation'!AJ55</f>
        <v>8</v>
      </c>
      <c r="AK55" s="227">
        <f>'[1]Housing Generation'!AK55</f>
        <v>8</v>
      </c>
      <c r="AL55" s="227">
        <f>'[1]Housing Generation'!AL55</f>
        <v>8</v>
      </c>
      <c r="AM55" s="227">
        <f>'[1]Housing Generation'!AM55</f>
        <v>8</v>
      </c>
      <c r="AN55" s="227">
        <f>'[1]Housing Generation'!AN55</f>
        <v>8</v>
      </c>
      <c r="AO55" s="224">
        <f>'[1]Housing Generation'!AO55</f>
        <v>57</v>
      </c>
      <c r="AP55" s="229">
        <f>'[1]Housing Generation'!AP55</f>
        <v>9</v>
      </c>
      <c r="AQ55" s="229">
        <f>'[1]Housing Generation'!AQ55</f>
        <v>8</v>
      </c>
      <c r="AR55" s="229">
        <f>'[1]Housing Generation'!AR55</f>
        <v>8</v>
      </c>
      <c r="AS55" s="229">
        <f>'[1]Housing Generation'!AS55</f>
        <v>8</v>
      </c>
      <c r="AT55" s="229">
        <f>'[1]Housing Generation'!AT55</f>
        <v>8</v>
      </c>
      <c r="AU55" s="229">
        <f>'[1]Housing Generation'!AU55</f>
        <v>8</v>
      </c>
      <c r="AV55" s="229">
        <f>'[1]Housing Generation'!AV55</f>
        <v>8</v>
      </c>
      <c r="AW55" s="225">
        <f>'[1]Housing Generation'!AW55</f>
        <v>57</v>
      </c>
      <c r="AX55" s="227">
        <f>'[1]Housing Generation'!AX55</f>
        <v>9</v>
      </c>
      <c r="AY55" s="227">
        <f>'[1]Housing Generation'!AY55</f>
        <v>8</v>
      </c>
      <c r="AZ55" s="227">
        <f>'[1]Housing Generation'!AZ55</f>
        <v>8</v>
      </c>
      <c r="BA55" s="227">
        <f>'[1]Housing Generation'!BA55</f>
        <v>8</v>
      </c>
      <c r="BB55" s="227">
        <f>'[1]Housing Generation'!BB55</f>
        <v>8</v>
      </c>
      <c r="BC55" s="227">
        <f>'[1]Housing Generation'!BC55</f>
        <v>8</v>
      </c>
      <c r="BD55" s="227">
        <f>'[1]Housing Generation'!BD55</f>
        <v>8</v>
      </c>
      <c r="BE55" s="224">
        <f>'[1]Housing Generation'!BE55</f>
        <v>57</v>
      </c>
      <c r="BF55" s="229">
        <f>'[1]Housing Generation'!BF55</f>
        <v>9</v>
      </c>
      <c r="BG55" s="229">
        <f>'[1]Housing Generation'!BG55</f>
        <v>8</v>
      </c>
      <c r="BH55" s="229">
        <f>'[1]Housing Generation'!BH55</f>
        <v>8</v>
      </c>
      <c r="BI55" s="229">
        <f>'[1]Housing Generation'!BI55</f>
        <v>8</v>
      </c>
      <c r="BJ55" s="229">
        <f>'[1]Housing Generation'!BJ55</f>
        <v>8</v>
      </c>
      <c r="BK55" s="229">
        <f>'[1]Housing Generation'!BK55</f>
        <v>8</v>
      </c>
      <c r="BL55" s="229">
        <f>'[1]Housing Generation'!BL55</f>
        <v>8</v>
      </c>
      <c r="BM55" s="225">
        <f>'[1]Housing Generation'!BM55</f>
        <v>57</v>
      </c>
      <c r="BN55" s="227">
        <f>'[1]Housing Generation'!BN55</f>
        <v>9</v>
      </c>
      <c r="BO55" s="227">
        <f>'[1]Housing Generation'!BO55</f>
        <v>8</v>
      </c>
      <c r="BP55" s="227">
        <f>'[1]Housing Generation'!BP55</f>
        <v>8</v>
      </c>
      <c r="BQ55" s="227">
        <f>'[1]Housing Generation'!BQ55</f>
        <v>8</v>
      </c>
      <c r="BR55" s="227">
        <f>'[1]Housing Generation'!BR55</f>
        <v>8</v>
      </c>
      <c r="BS55" s="227">
        <f>'[1]Housing Generation'!BS55</f>
        <v>8</v>
      </c>
      <c r="BT55" s="227">
        <f>'[1]Housing Generation'!BT55</f>
        <v>8</v>
      </c>
      <c r="BU55" s="224">
        <f>'[1]Housing Generation'!BU55</f>
        <v>57</v>
      </c>
      <c r="BV55" s="229">
        <f>'[1]Housing Generation'!BV55</f>
        <v>9</v>
      </c>
      <c r="BW55" s="229">
        <f>'[1]Housing Generation'!BW55</f>
        <v>8</v>
      </c>
      <c r="BX55" s="229">
        <f>'[1]Housing Generation'!BX55</f>
        <v>8</v>
      </c>
      <c r="BY55" s="229">
        <f>'[1]Housing Generation'!BY55</f>
        <v>8</v>
      </c>
      <c r="BZ55" s="229">
        <f>'[1]Housing Generation'!BZ55</f>
        <v>8</v>
      </c>
      <c r="CA55" s="229">
        <f>'[1]Housing Generation'!CA55</f>
        <v>8</v>
      </c>
      <c r="CB55" s="229">
        <f>'[1]Housing Generation'!CB55</f>
        <v>8</v>
      </c>
      <c r="CC55" s="225">
        <f>'[1]Housing Generation'!CC55</f>
        <v>57</v>
      </c>
      <c r="CD55" s="227">
        <f>'[1]Housing Generation'!CD55</f>
        <v>9</v>
      </c>
      <c r="CE55" s="227">
        <f>'[1]Housing Generation'!CE55</f>
        <v>8</v>
      </c>
      <c r="CF55" s="227">
        <f>'[1]Housing Generation'!CF55</f>
        <v>8</v>
      </c>
      <c r="CG55" s="227">
        <f>'[1]Housing Generation'!CG55</f>
        <v>8</v>
      </c>
      <c r="CH55" s="227">
        <f>'[1]Housing Generation'!CH55</f>
        <v>8</v>
      </c>
      <c r="CI55" s="227">
        <f>'[1]Housing Generation'!CI55</f>
        <v>8</v>
      </c>
      <c r="CJ55" s="227">
        <f>'[1]Housing Generation'!CJ55</f>
        <v>8</v>
      </c>
      <c r="CK55" s="224">
        <f>'[1]Housing Generation'!CK55</f>
        <v>57</v>
      </c>
      <c r="CL55" s="229">
        <f>'[1]Housing Generation'!CL55</f>
        <v>9</v>
      </c>
      <c r="CM55" s="229">
        <f>'[1]Housing Generation'!CM55</f>
        <v>8</v>
      </c>
      <c r="CN55" s="229">
        <f>'[1]Housing Generation'!CN55</f>
        <v>8</v>
      </c>
      <c r="CO55" s="229">
        <f>'[1]Housing Generation'!CO55</f>
        <v>8</v>
      </c>
      <c r="CP55" s="229">
        <f>'[1]Housing Generation'!CP55</f>
        <v>8</v>
      </c>
      <c r="CQ55" s="229">
        <f>'[1]Housing Generation'!CQ55</f>
        <v>8</v>
      </c>
      <c r="CR55" s="229">
        <f>'[1]Housing Generation'!CR55</f>
        <v>8</v>
      </c>
      <c r="CS55" s="225">
        <f>'[1]Housing Generation'!CS55</f>
        <v>57</v>
      </c>
      <c r="CT55" s="227">
        <f>'[1]Housing Generation'!CT55</f>
        <v>9</v>
      </c>
      <c r="CU55" s="227">
        <f>'[1]Housing Generation'!CU55</f>
        <v>8</v>
      </c>
      <c r="CV55" s="227">
        <f>'[1]Housing Generation'!CV55</f>
        <v>8</v>
      </c>
      <c r="CW55" s="227">
        <f>'[1]Housing Generation'!CW55</f>
        <v>8</v>
      </c>
      <c r="CX55" s="227">
        <f>'[1]Housing Generation'!CX55</f>
        <v>8</v>
      </c>
      <c r="CY55" s="227">
        <f>'[1]Housing Generation'!CY55</f>
        <v>8</v>
      </c>
      <c r="CZ55" s="227">
        <f>'[1]Housing Generation'!CZ55</f>
        <v>8</v>
      </c>
      <c r="DA55" s="224">
        <f>'[1]Housing Generation'!DA55</f>
        <v>57</v>
      </c>
      <c r="DB55" s="229">
        <f>'[1]Housing Generation'!DB55</f>
        <v>9</v>
      </c>
      <c r="DC55" s="229">
        <f>'[1]Housing Generation'!DC55</f>
        <v>8</v>
      </c>
      <c r="DD55" s="229">
        <f>'[1]Housing Generation'!DD55</f>
        <v>8</v>
      </c>
      <c r="DE55" s="229">
        <f>'[1]Housing Generation'!DE55</f>
        <v>8</v>
      </c>
      <c r="DF55" s="229">
        <f>'[1]Housing Generation'!DF55</f>
        <v>8</v>
      </c>
      <c r="DG55" s="229">
        <f>'[1]Housing Generation'!DG55</f>
        <v>8</v>
      </c>
      <c r="DH55" s="229">
        <f>'[1]Housing Generation'!DH55</f>
        <v>8</v>
      </c>
      <c r="DI55" s="225">
        <f>'[1]Housing Generation'!DI55</f>
        <v>57</v>
      </c>
      <c r="DJ55" s="227">
        <f>'[1]Housing Generation'!DJ55</f>
        <v>9</v>
      </c>
      <c r="DK55" s="227">
        <f>'[1]Housing Generation'!DK55</f>
        <v>8</v>
      </c>
      <c r="DL55" s="227">
        <f>'[1]Housing Generation'!DL55</f>
        <v>8</v>
      </c>
      <c r="DM55" s="227">
        <f>'[1]Housing Generation'!DM55</f>
        <v>8</v>
      </c>
      <c r="DN55" s="227">
        <f>'[1]Housing Generation'!DN55</f>
        <v>8</v>
      </c>
      <c r="DO55" s="227">
        <f>'[1]Housing Generation'!DO55</f>
        <v>8</v>
      </c>
      <c r="DP55" s="227">
        <f>'[1]Housing Generation'!DP55</f>
        <v>8</v>
      </c>
      <c r="DQ55" s="224">
        <f>'[1]Housing Generation'!DQ55</f>
        <v>57</v>
      </c>
    </row>
    <row r="56" spans="1:121" x14ac:dyDescent="0.2">
      <c r="A56" s="237" t="s">
        <v>57</v>
      </c>
      <c r="B56" s="227">
        <f>'[1]Housing Generation'!B56</f>
        <v>0</v>
      </c>
      <c r="C56" s="227">
        <f>'[1]Housing Generation'!C56</f>
        <v>0</v>
      </c>
      <c r="D56" s="227">
        <f>'[1]Housing Generation'!D56</f>
        <v>0</v>
      </c>
      <c r="E56" s="227">
        <f>'[1]Housing Generation'!E56</f>
        <v>0</v>
      </c>
      <c r="F56" s="227">
        <f>'[1]Housing Generation'!F56</f>
        <v>0</v>
      </c>
      <c r="G56" s="227">
        <f>'[1]Housing Generation'!G56</f>
        <v>0</v>
      </c>
      <c r="H56" s="227">
        <f>'[1]Housing Generation'!H56</f>
        <v>0</v>
      </c>
      <c r="I56" s="224">
        <f>'[1]Housing Generation'!I56</f>
        <v>0</v>
      </c>
      <c r="J56" s="229">
        <f>'[1]Housing Generation'!J56</f>
        <v>0</v>
      </c>
      <c r="K56" s="229">
        <f>'[1]Housing Generation'!K56</f>
        <v>0</v>
      </c>
      <c r="L56" s="229">
        <f>'[1]Housing Generation'!L56</f>
        <v>0</v>
      </c>
      <c r="M56" s="229">
        <f>'[1]Housing Generation'!M56</f>
        <v>0</v>
      </c>
      <c r="N56" s="229">
        <f>'[1]Housing Generation'!N56</f>
        <v>0</v>
      </c>
      <c r="O56" s="229">
        <f>'[1]Housing Generation'!O56</f>
        <v>0</v>
      </c>
      <c r="P56" s="229">
        <f>'[1]Housing Generation'!P56</f>
        <v>0</v>
      </c>
      <c r="Q56" s="225">
        <f>'[1]Housing Generation'!Q56</f>
        <v>0</v>
      </c>
      <c r="R56" s="227">
        <f>'[1]Housing Generation'!R56</f>
        <v>1</v>
      </c>
      <c r="S56" s="227">
        <f>'[1]Housing Generation'!S56</f>
        <v>1</v>
      </c>
      <c r="T56" s="227">
        <f>'[1]Housing Generation'!T56</f>
        <v>0</v>
      </c>
      <c r="U56" s="227">
        <f>'[1]Housing Generation'!U56</f>
        <v>0</v>
      </c>
      <c r="V56" s="227">
        <f>'[1]Housing Generation'!V56</f>
        <v>0</v>
      </c>
      <c r="W56" s="227">
        <f>'[1]Housing Generation'!W56</f>
        <v>0</v>
      </c>
      <c r="X56" s="227">
        <f>'[1]Housing Generation'!X56</f>
        <v>0</v>
      </c>
      <c r="Y56" s="224">
        <f>'[1]Housing Generation'!Y56</f>
        <v>2</v>
      </c>
      <c r="Z56" s="229">
        <f>'[1]Housing Generation'!Z56</f>
        <v>1</v>
      </c>
      <c r="AA56" s="229">
        <f>'[1]Housing Generation'!AA56</f>
        <v>1</v>
      </c>
      <c r="AB56" s="229">
        <f>'[1]Housing Generation'!AB56</f>
        <v>0</v>
      </c>
      <c r="AC56" s="229">
        <f>'[1]Housing Generation'!AC56</f>
        <v>0</v>
      </c>
      <c r="AD56" s="229">
        <f>'[1]Housing Generation'!AD56</f>
        <v>0</v>
      </c>
      <c r="AE56" s="229">
        <f>'[1]Housing Generation'!AE56</f>
        <v>0</v>
      </c>
      <c r="AF56" s="229">
        <f>'[1]Housing Generation'!AF56</f>
        <v>0</v>
      </c>
      <c r="AG56" s="225">
        <f>'[1]Housing Generation'!AG56</f>
        <v>2</v>
      </c>
      <c r="AH56" s="227">
        <f>'[1]Housing Generation'!AH56</f>
        <v>1</v>
      </c>
      <c r="AI56" s="227">
        <f>'[1]Housing Generation'!AI56</f>
        <v>1</v>
      </c>
      <c r="AJ56" s="227">
        <f>'[1]Housing Generation'!AJ56</f>
        <v>0</v>
      </c>
      <c r="AK56" s="227">
        <f>'[1]Housing Generation'!AK56</f>
        <v>0</v>
      </c>
      <c r="AL56" s="227">
        <f>'[1]Housing Generation'!AL56</f>
        <v>0</v>
      </c>
      <c r="AM56" s="227">
        <f>'[1]Housing Generation'!AM56</f>
        <v>0</v>
      </c>
      <c r="AN56" s="227">
        <f>'[1]Housing Generation'!AN56</f>
        <v>0</v>
      </c>
      <c r="AO56" s="224">
        <f>'[1]Housing Generation'!AO56</f>
        <v>2</v>
      </c>
      <c r="AP56" s="229">
        <f>'[1]Housing Generation'!AP56</f>
        <v>1</v>
      </c>
      <c r="AQ56" s="229">
        <f>'[1]Housing Generation'!AQ56</f>
        <v>1</v>
      </c>
      <c r="AR56" s="229">
        <f>'[1]Housing Generation'!AR56</f>
        <v>0</v>
      </c>
      <c r="AS56" s="229">
        <f>'[1]Housing Generation'!AS56</f>
        <v>0</v>
      </c>
      <c r="AT56" s="229">
        <f>'[1]Housing Generation'!AT56</f>
        <v>0</v>
      </c>
      <c r="AU56" s="229">
        <f>'[1]Housing Generation'!AU56</f>
        <v>0</v>
      </c>
      <c r="AV56" s="229">
        <f>'[1]Housing Generation'!AV56</f>
        <v>0</v>
      </c>
      <c r="AW56" s="225">
        <f>'[1]Housing Generation'!AW56</f>
        <v>2</v>
      </c>
      <c r="AX56" s="227">
        <f>'[1]Housing Generation'!AX56</f>
        <v>1</v>
      </c>
      <c r="AY56" s="227">
        <f>'[1]Housing Generation'!AY56</f>
        <v>1</v>
      </c>
      <c r="AZ56" s="227">
        <f>'[1]Housing Generation'!AZ56</f>
        <v>0</v>
      </c>
      <c r="BA56" s="227">
        <f>'[1]Housing Generation'!BA56</f>
        <v>0</v>
      </c>
      <c r="BB56" s="227">
        <f>'[1]Housing Generation'!BB56</f>
        <v>0</v>
      </c>
      <c r="BC56" s="227">
        <f>'[1]Housing Generation'!BC56</f>
        <v>0</v>
      </c>
      <c r="BD56" s="227">
        <f>'[1]Housing Generation'!BD56</f>
        <v>0</v>
      </c>
      <c r="BE56" s="224">
        <f>'[1]Housing Generation'!BE56</f>
        <v>2</v>
      </c>
      <c r="BF56" s="229">
        <f>'[1]Housing Generation'!BF56</f>
        <v>1</v>
      </c>
      <c r="BG56" s="229">
        <f>'[1]Housing Generation'!BG56</f>
        <v>1</v>
      </c>
      <c r="BH56" s="229">
        <f>'[1]Housing Generation'!BH56</f>
        <v>0</v>
      </c>
      <c r="BI56" s="229">
        <f>'[1]Housing Generation'!BI56</f>
        <v>0</v>
      </c>
      <c r="BJ56" s="229">
        <f>'[1]Housing Generation'!BJ56</f>
        <v>0</v>
      </c>
      <c r="BK56" s="229">
        <f>'[1]Housing Generation'!BK56</f>
        <v>0</v>
      </c>
      <c r="BL56" s="229">
        <f>'[1]Housing Generation'!BL56</f>
        <v>0</v>
      </c>
      <c r="BM56" s="225">
        <f>'[1]Housing Generation'!BM56</f>
        <v>2</v>
      </c>
      <c r="BN56" s="227">
        <f>'[1]Housing Generation'!BN56</f>
        <v>1</v>
      </c>
      <c r="BO56" s="227">
        <f>'[1]Housing Generation'!BO56</f>
        <v>1</v>
      </c>
      <c r="BP56" s="227">
        <f>'[1]Housing Generation'!BP56</f>
        <v>0</v>
      </c>
      <c r="BQ56" s="227">
        <f>'[1]Housing Generation'!BQ56</f>
        <v>0</v>
      </c>
      <c r="BR56" s="227">
        <f>'[1]Housing Generation'!BR56</f>
        <v>0</v>
      </c>
      <c r="BS56" s="227">
        <f>'[1]Housing Generation'!BS56</f>
        <v>0</v>
      </c>
      <c r="BT56" s="227">
        <f>'[1]Housing Generation'!BT56</f>
        <v>0</v>
      </c>
      <c r="BU56" s="224">
        <f>'[1]Housing Generation'!BU56</f>
        <v>2</v>
      </c>
      <c r="BV56" s="229">
        <f>'[1]Housing Generation'!BV56</f>
        <v>1</v>
      </c>
      <c r="BW56" s="229">
        <f>'[1]Housing Generation'!BW56</f>
        <v>1</v>
      </c>
      <c r="BX56" s="229">
        <f>'[1]Housing Generation'!BX56</f>
        <v>1</v>
      </c>
      <c r="BY56" s="229">
        <f>'[1]Housing Generation'!BY56</f>
        <v>0</v>
      </c>
      <c r="BZ56" s="229">
        <f>'[1]Housing Generation'!BZ56</f>
        <v>0</v>
      </c>
      <c r="CA56" s="229">
        <f>'[1]Housing Generation'!CA56</f>
        <v>0</v>
      </c>
      <c r="CB56" s="229">
        <f>'[1]Housing Generation'!CB56</f>
        <v>0</v>
      </c>
      <c r="CC56" s="225">
        <f>'[1]Housing Generation'!CC56</f>
        <v>3</v>
      </c>
      <c r="CD56" s="227">
        <f>'[1]Housing Generation'!CD56</f>
        <v>1</v>
      </c>
      <c r="CE56" s="227">
        <f>'[1]Housing Generation'!CE56</f>
        <v>1</v>
      </c>
      <c r="CF56" s="227">
        <f>'[1]Housing Generation'!CF56</f>
        <v>1</v>
      </c>
      <c r="CG56" s="227">
        <f>'[1]Housing Generation'!CG56</f>
        <v>0</v>
      </c>
      <c r="CH56" s="227">
        <f>'[1]Housing Generation'!CH56</f>
        <v>0</v>
      </c>
      <c r="CI56" s="227">
        <f>'[1]Housing Generation'!CI56</f>
        <v>0</v>
      </c>
      <c r="CJ56" s="227">
        <f>'[1]Housing Generation'!CJ56</f>
        <v>0</v>
      </c>
      <c r="CK56" s="224">
        <f>'[1]Housing Generation'!CK56</f>
        <v>3</v>
      </c>
      <c r="CL56" s="229">
        <f>'[1]Housing Generation'!CL56</f>
        <v>1</v>
      </c>
      <c r="CM56" s="229">
        <f>'[1]Housing Generation'!CM56</f>
        <v>1</v>
      </c>
      <c r="CN56" s="229">
        <f>'[1]Housing Generation'!CN56</f>
        <v>1</v>
      </c>
      <c r="CO56" s="229">
        <f>'[1]Housing Generation'!CO56</f>
        <v>0</v>
      </c>
      <c r="CP56" s="229">
        <f>'[1]Housing Generation'!CP56</f>
        <v>0</v>
      </c>
      <c r="CQ56" s="229">
        <f>'[1]Housing Generation'!CQ56</f>
        <v>0</v>
      </c>
      <c r="CR56" s="229">
        <f>'[1]Housing Generation'!CR56</f>
        <v>0</v>
      </c>
      <c r="CS56" s="225">
        <f>'[1]Housing Generation'!CS56</f>
        <v>3</v>
      </c>
      <c r="CT56" s="227">
        <f>'[1]Housing Generation'!CT56</f>
        <v>1</v>
      </c>
      <c r="CU56" s="227">
        <f>'[1]Housing Generation'!CU56</f>
        <v>1</v>
      </c>
      <c r="CV56" s="227">
        <f>'[1]Housing Generation'!CV56</f>
        <v>1</v>
      </c>
      <c r="CW56" s="227">
        <f>'[1]Housing Generation'!CW56</f>
        <v>0</v>
      </c>
      <c r="CX56" s="227">
        <f>'[1]Housing Generation'!CX56</f>
        <v>0</v>
      </c>
      <c r="CY56" s="227">
        <f>'[1]Housing Generation'!CY56</f>
        <v>0</v>
      </c>
      <c r="CZ56" s="227">
        <f>'[1]Housing Generation'!CZ56</f>
        <v>0</v>
      </c>
      <c r="DA56" s="224">
        <f>'[1]Housing Generation'!DA56</f>
        <v>3</v>
      </c>
      <c r="DB56" s="229">
        <f>'[1]Housing Generation'!DB56</f>
        <v>1</v>
      </c>
      <c r="DC56" s="229">
        <f>'[1]Housing Generation'!DC56</f>
        <v>1</v>
      </c>
      <c r="DD56" s="229">
        <f>'[1]Housing Generation'!DD56</f>
        <v>1</v>
      </c>
      <c r="DE56" s="229">
        <f>'[1]Housing Generation'!DE56</f>
        <v>0</v>
      </c>
      <c r="DF56" s="229">
        <f>'[1]Housing Generation'!DF56</f>
        <v>0</v>
      </c>
      <c r="DG56" s="229">
        <f>'[1]Housing Generation'!DG56</f>
        <v>0</v>
      </c>
      <c r="DH56" s="229">
        <f>'[1]Housing Generation'!DH56</f>
        <v>0</v>
      </c>
      <c r="DI56" s="225">
        <f>'[1]Housing Generation'!DI56</f>
        <v>3</v>
      </c>
      <c r="DJ56" s="227">
        <f>'[1]Housing Generation'!DJ56</f>
        <v>1</v>
      </c>
      <c r="DK56" s="227">
        <f>'[1]Housing Generation'!DK56</f>
        <v>1</v>
      </c>
      <c r="DL56" s="227">
        <f>'[1]Housing Generation'!DL56</f>
        <v>1</v>
      </c>
      <c r="DM56" s="227">
        <f>'[1]Housing Generation'!DM56</f>
        <v>0</v>
      </c>
      <c r="DN56" s="227">
        <f>'[1]Housing Generation'!DN56</f>
        <v>0</v>
      </c>
      <c r="DO56" s="227">
        <f>'[1]Housing Generation'!DO56</f>
        <v>0</v>
      </c>
      <c r="DP56" s="227">
        <f>'[1]Housing Generation'!DP56</f>
        <v>0</v>
      </c>
      <c r="DQ56" s="224">
        <f>'[1]Housing Generation'!DQ56</f>
        <v>3</v>
      </c>
    </row>
    <row r="57" spans="1:121" x14ac:dyDescent="0.2">
      <c r="A57" s="237" t="s">
        <v>58</v>
      </c>
      <c r="B57" s="227">
        <f>'[1]Housing Generation'!B57</f>
        <v>0</v>
      </c>
      <c r="C57" s="227">
        <f>'[1]Housing Generation'!C57</f>
        <v>0</v>
      </c>
      <c r="D57" s="227">
        <f>'[1]Housing Generation'!D57</f>
        <v>0</v>
      </c>
      <c r="E57" s="227">
        <f>'[1]Housing Generation'!E57</f>
        <v>0</v>
      </c>
      <c r="F57" s="227">
        <f>'[1]Housing Generation'!F57</f>
        <v>0</v>
      </c>
      <c r="G57" s="227">
        <f>'[1]Housing Generation'!G57</f>
        <v>0</v>
      </c>
      <c r="H57" s="227">
        <f>'[1]Housing Generation'!H57</f>
        <v>0</v>
      </c>
      <c r="I57" s="224">
        <f>'[1]Housing Generation'!I57</f>
        <v>0</v>
      </c>
      <c r="J57" s="229">
        <f>'[1]Housing Generation'!J57</f>
        <v>0</v>
      </c>
      <c r="K57" s="229">
        <f>'[1]Housing Generation'!K57</f>
        <v>0</v>
      </c>
      <c r="L57" s="229">
        <f>'[1]Housing Generation'!L57</f>
        <v>0</v>
      </c>
      <c r="M57" s="229">
        <f>'[1]Housing Generation'!M57</f>
        <v>0</v>
      </c>
      <c r="N57" s="229">
        <f>'[1]Housing Generation'!N57</f>
        <v>0</v>
      </c>
      <c r="O57" s="229">
        <f>'[1]Housing Generation'!O57</f>
        <v>0</v>
      </c>
      <c r="P57" s="229">
        <f>'[1]Housing Generation'!P57</f>
        <v>0</v>
      </c>
      <c r="Q57" s="225">
        <f>'[1]Housing Generation'!Q57</f>
        <v>0</v>
      </c>
      <c r="R57" s="227">
        <f>'[1]Housing Generation'!R57</f>
        <v>0</v>
      </c>
      <c r="S57" s="227">
        <f>'[1]Housing Generation'!S57</f>
        <v>0</v>
      </c>
      <c r="T57" s="227">
        <f>'[1]Housing Generation'!T57</f>
        <v>0</v>
      </c>
      <c r="U57" s="227">
        <f>'[1]Housing Generation'!U57</f>
        <v>0</v>
      </c>
      <c r="V57" s="227">
        <f>'[1]Housing Generation'!V57</f>
        <v>0</v>
      </c>
      <c r="W57" s="227">
        <f>'[1]Housing Generation'!W57</f>
        <v>0</v>
      </c>
      <c r="X57" s="227">
        <f>'[1]Housing Generation'!X57</f>
        <v>0</v>
      </c>
      <c r="Y57" s="224">
        <f>'[1]Housing Generation'!Y57</f>
        <v>0</v>
      </c>
      <c r="Z57" s="229">
        <f>'[1]Housing Generation'!Z57</f>
        <v>0</v>
      </c>
      <c r="AA57" s="229">
        <f>'[1]Housing Generation'!AA57</f>
        <v>0</v>
      </c>
      <c r="AB57" s="229">
        <f>'[1]Housing Generation'!AB57</f>
        <v>0</v>
      </c>
      <c r="AC57" s="229">
        <f>'[1]Housing Generation'!AC57</f>
        <v>0</v>
      </c>
      <c r="AD57" s="229">
        <f>'[1]Housing Generation'!AD57</f>
        <v>0</v>
      </c>
      <c r="AE57" s="229">
        <f>'[1]Housing Generation'!AE57</f>
        <v>0</v>
      </c>
      <c r="AF57" s="229">
        <f>'[1]Housing Generation'!AF57</f>
        <v>0</v>
      </c>
      <c r="AG57" s="225">
        <f>'[1]Housing Generation'!AG57</f>
        <v>0</v>
      </c>
      <c r="AH57" s="227">
        <f>'[1]Housing Generation'!AH57</f>
        <v>0</v>
      </c>
      <c r="AI57" s="227">
        <f>'[1]Housing Generation'!AI57</f>
        <v>0</v>
      </c>
      <c r="AJ57" s="227">
        <f>'[1]Housing Generation'!AJ57</f>
        <v>0</v>
      </c>
      <c r="AK57" s="227">
        <f>'[1]Housing Generation'!AK57</f>
        <v>0</v>
      </c>
      <c r="AL57" s="227">
        <f>'[1]Housing Generation'!AL57</f>
        <v>0</v>
      </c>
      <c r="AM57" s="227">
        <f>'[1]Housing Generation'!AM57</f>
        <v>0</v>
      </c>
      <c r="AN57" s="227">
        <f>'[1]Housing Generation'!AN57</f>
        <v>0</v>
      </c>
      <c r="AO57" s="224">
        <f>'[1]Housing Generation'!AO57</f>
        <v>0</v>
      </c>
      <c r="AP57" s="229">
        <f>'[1]Housing Generation'!AP57</f>
        <v>0</v>
      </c>
      <c r="AQ57" s="229">
        <f>'[1]Housing Generation'!AQ57</f>
        <v>0</v>
      </c>
      <c r="AR57" s="229">
        <f>'[1]Housing Generation'!AR57</f>
        <v>0</v>
      </c>
      <c r="AS57" s="229">
        <f>'[1]Housing Generation'!AS57</f>
        <v>0</v>
      </c>
      <c r="AT57" s="229">
        <f>'[1]Housing Generation'!AT57</f>
        <v>0</v>
      </c>
      <c r="AU57" s="229">
        <f>'[1]Housing Generation'!AU57</f>
        <v>0</v>
      </c>
      <c r="AV57" s="229">
        <f>'[1]Housing Generation'!AV57</f>
        <v>0</v>
      </c>
      <c r="AW57" s="225">
        <f>'[1]Housing Generation'!AW57</f>
        <v>0</v>
      </c>
      <c r="AX57" s="227">
        <f>'[1]Housing Generation'!AX57</f>
        <v>0</v>
      </c>
      <c r="AY57" s="227">
        <f>'[1]Housing Generation'!AY57</f>
        <v>0</v>
      </c>
      <c r="AZ57" s="227">
        <f>'[1]Housing Generation'!AZ57</f>
        <v>0</v>
      </c>
      <c r="BA57" s="227">
        <f>'[1]Housing Generation'!BA57</f>
        <v>0</v>
      </c>
      <c r="BB57" s="227">
        <f>'[1]Housing Generation'!BB57</f>
        <v>0</v>
      </c>
      <c r="BC57" s="227">
        <f>'[1]Housing Generation'!BC57</f>
        <v>0</v>
      </c>
      <c r="BD57" s="227">
        <f>'[1]Housing Generation'!BD57</f>
        <v>0</v>
      </c>
      <c r="BE57" s="224">
        <f>'[1]Housing Generation'!BE57</f>
        <v>0</v>
      </c>
      <c r="BF57" s="229">
        <f>'[1]Housing Generation'!BF57</f>
        <v>0</v>
      </c>
      <c r="BG57" s="229">
        <f>'[1]Housing Generation'!BG57</f>
        <v>0</v>
      </c>
      <c r="BH57" s="229">
        <f>'[1]Housing Generation'!BH57</f>
        <v>0</v>
      </c>
      <c r="BI57" s="229">
        <f>'[1]Housing Generation'!BI57</f>
        <v>0</v>
      </c>
      <c r="BJ57" s="229">
        <f>'[1]Housing Generation'!BJ57</f>
        <v>0</v>
      </c>
      <c r="BK57" s="229">
        <f>'[1]Housing Generation'!BK57</f>
        <v>0</v>
      </c>
      <c r="BL57" s="229">
        <f>'[1]Housing Generation'!BL57</f>
        <v>0</v>
      </c>
      <c r="BM57" s="225">
        <f>'[1]Housing Generation'!BM57</f>
        <v>0</v>
      </c>
      <c r="BN57" s="227">
        <f>'[1]Housing Generation'!BN57</f>
        <v>0</v>
      </c>
      <c r="BO57" s="227">
        <f>'[1]Housing Generation'!BO57</f>
        <v>0</v>
      </c>
      <c r="BP57" s="227">
        <f>'[1]Housing Generation'!BP57</f>
        <v>0</v>
      </c>
      <c r="BQ57" s="227">
        <f>'[1]Housing Generation'!BQ57</f>
        <v>0</v>
      </c>
      <c r="BR57" s="227">
        <f>'[1]Housing Generation'!BR57</f>
        <v>0</v>
      </c>
      <c r="BS57" s="227">
        <f>'[1]Housing Generation'!BS57</f>
        <v>0</v>
      </c>
      <c r="BT57" s="227">
        <f>'[1]Housing Generation'!BT57</f>
        <v>0</v>
      </c>
      <c r="BU57" s="224">
        <f>'[1]Housing Generation'!BU57</f>
        <v>0</v>
      </c>
      <c r="BV57" s="229">
        <f>'[1]Housing Generation'!BV57</f>
        <v>0</v>
      </c>
      <c r="BW57" s="229">
        <f>'[1]Housing Generation'!BW57</f>
        <v>0</v>
      </c>
      <c r="BX57" s="229">
        <f>'[1]Housing Generation'!BX57</f>
        <v>0</v>
      </c>
      <c r="BY57" s="229">
        <f>'[1]Housing Generation'!BY57</f>
        <v>0</v>
      </c>
      <c r="BZ57" s="229">
        <f>'[1]Housing Generation'!BZ57</f>
        <v>0</v>
      </c>
      <c r="CA57" s="229">
        <f>'[1]Housing Generation'!CA57</f>
        <v>0</v>
      </c>
      <c r="CB57" s="229">
        <f>'[1]Housing Generation'!CB57</f>
        <v>0</v>
      </c>
      <c r="CC57" s="225">
        <f>'[1]Housing Generation'!CC57</f>
        <v>0</v>
      </c>
      <c r="CD57" s="227">
        <f>'[1]Housing Generation'!CD57</f>
        <v>0</v>
      </c>
      <c r="CE57" s="227">
        <f>'[1]Housing Generation'!CE57</f>
        <v>0</v>
      </c>
      <c r="CF57" s="227">
        <f>'[1]Housing Generation'!CF57</f>
        <v>0</v>
      </c>
      <c r="CG57" s="227">
        <f>'[1]Housing Generation'!CG57</f>
        <v>0</v>
      </c>
      <c r="CH57" s="227">
        <f>'[1]Housing Generation'!CH57</f>
        <v>0</v>
      </c>
      <c r="CI57" s="227">
        <f>'[1]Housing Generation'!CI57</f>
        <v>0</v>
      </c>
      <c r="CJ57" s="227">
        <f>'[1]Housing Generation'!CJ57</f>
        <v>0</v>
      </c>
      <c r="CK57" s="224">
        <f>'[1]Housing Generation'!CK57</f>
        <v>0</v>
      </c>
      <c r="CL57" s="229">
        <f>'[1]Housing Generation'!CL57</f>
        <v>0</v>
      </c>
      <c r="CM57" s="229">
        <f>'[1]Housing Generation'!CM57</f>
        <v>0</v>
      </c>
      <c r="CN57" s="229">
        <f>'[1]Housing Generation'!CN57</f>
        <v>0</v>
      </c>
      <c r="CO57" s="229">
        <f>'[1]Housing Generation'!CO57</f>
        <v>0</v>
      </c>
      <c r="CP57" s="229">
        <f>'[1]Housing Generation'!CP57</f>
        <v>0</v>
      </c>
      <c r="CQ57" s="229">
        <f>'[1]Housing Generation'!CQ57</f>
        <v>0</v>
      </c>
      <c r="CR57" s="229">
        <f>'[1]Housing Generation'!CR57</f>
        <v>0</v>
      </c>
      <c r="CS57" s="225">
        <f>'[1]Housing Generation'!CS57</f>
        <v>0</v>
      </c>
      <c r="CT57" s="227">
        <f>'[1]Housing Generation'!CT57</f>
        <v>0</v>
      </c>
      <c r="CU57" s="227">
        <f>'[1]Housing Generation'!CU57</f>
        <v>0</v>
      </c>
      <c r="CV57" s="227">
        <f>'[1]Housing Generation'!CV57</f>
        <v>0</v>
      </c>
      <c r="CW57" s="227">
        <f>'[1]Housing Generation'!CW57</f>
        <v>0</v>
      </c>
      <c r="CX57" s="227">
        <f>'[1]Housing Generation'!CX57</f>
        <v>0</v>
      </c>
      <c r="CY57" s="227">
        <f>'[1]Housing Generation'!CY57</f>
        <v>0</v>
      </c>
      <c r="CZ57" s="227">
        <f>'[1]Housing Generation'!CZ57</f>
        <v>0</v>
      </c>
      <c r="DA57" s="224">
        <f>'[1]Housing Generation'!DA57</f>
        <v>0</v>
      </c>
      <c r="DB57" s="229">
        <f>'[1]Housing Generation'!DB57</f>
        <v>0</v>
      </c>
      <c r="DC57" s="229">
        <f>'[1]Housing Generation'!DC57</f>
        <v>0</v>
      </c>
      <c r="DD57" s="229">
        <f>'[1]Housing Generation'!DD57</f>
        <v>0</v>
      </c>
      <c r="DE57" s="229">
        <f>'[1]Housing Generation'!DE57</f>
        <v>0</v>
      </c>
      <c r="DF57" s="229">
        <f>'[1]Housing Generation'!DF57</f>
        <v>0</v>
      </c>
      <c r="DG57" s="229">
        <f>'[1]Housing Generation'!DG57</f>
        <v>0</v>
      </c>
      <c r="DH57" s="229">
        <f>'[1]Housing Generation'!DH57</f>
        <v>0</v>
      </c>
      <c r="DI57" s="225">
        <f>'[1]Housing Generation'!DI57</f>
        <v>0</v>
      </c>
      <c r="DJ57" s="227">
        <f>'[1]Housing Generation'!DJ57</f>
        <v>0</v>
      </c>
      <c r="DK57" s="227">
        <f>'[1]Housing Generation'!DK57</f>
        <v>0</v>
      </c>
      <c r="DL57" s="227">
        <f>'[1]Housing Generation'!DL57</f>
        <v>0</v>
      </c>
      <c r="DM57" s="227">
        <f>'[1]Housing Generation'!DM57</f>
        <v>0</v>
      </c>
      <c r="DN57" s="227">
        <f>'[1]Housing Generation'!DN57</f>
        <v>0</v>
      </c>
      <c r="DO57" s="227">
        <f>'[1]Housing Generation'!DO57</f>
        <v>0</v>
      </c>
      <c r="DP57" s="227">
        <f>'[1]Housing Generation'!DP57</f>
        <v>0</v>
      </c>
      <c r="DQ57" s="224">
        <f>'[1]Housing Generation'!DQ57</f>
        <v>0</v>
      </c>
    </row>
    <row r="58" spans="1:121" x14ac:dyDescent="0.2">
      <c r="A58" s="237" t="s">
        <v>59</v>
      </c>
      <c r="B58" s="227">
        <f>'[1]Housing Generation'!B58</f>
        <v>0</v>
      </c>
      <c r="C58" s="227">
        <f>'[1]Housing Generation'!C58</f>
        <v>0</v>
      </c>
      <c r="D58" s="227">
        <f>'[1]Housing Generation'!D58</f>
        <v>0</v>
      </c>
      <c r="E58" s="227">
        <f>'[1]Housing Generation'!E58</f>
        <v>0</v>
      </c>
      <c r="F58" s="227">
        <f>'[1]Housing Generation'!F58</f>
        <v>0</v>
      </c>
      <c r="G58" s="227">
        <f>'[1]Housing Generation'!G58</f>
        <v>0</v>
      </c>
      <c r="H58" s="227">
        <f>'[1]Housing Generation'!H58</f>
        <v>0</v>
      </c>
      <c r="I58" s="224">
        <f>'[1]Housing Generation'!I58</f>
        <v>0</v>
      </c>
      <c r="J58" s="229">
        <f>'[1]Housing Generation'!J58</f>
        <v>0</v>
      </c>
      <c r="K58" s="229">
        <f>'[1]Housing Generation'!K58</f>
        <v>0</v>
      </c>
      <c r="L58" s="229">
        <f>'[1]Housing Generation'!L58</f>
        <v>0</v>
      </c>
      <c r="M58" s="229">
        <f>'[1]Housing Generation'!M58</f>
        <v>0</v>
      </c>
      <c r="N58" s="229">
        <f>'[1]Housing Generation'!N58</f>
        <v>0</v>
      </c>
      <c r="O58" s="229">
        <f>'[1]Housing Generation'!O58</f>
        <v>0</v>
      </c>
      <c r="P58" s="229">
        <f>'[1]Housing Generation'!P58</f>
        <v>0</v>
      </c>
      <c r="Q58" s="225">
        <f>'[1]Housing Generation'!Q58</f>
        <v>0</v>
      </c>
      <c r="R58" s="227">
        <f>'[1]Housing Generation'!R58</f>
        <v>0</v>
      </c>
      <c r="S58" s="227">
        <f>'[1]Housing Generation'!S58</f>
        <v>0</v>
      </c>
      <c r="T58" s="227">
        <f>'[1]Housing Generation'!T58</f>
        <v>0</v>
      </c>
      <c r="U58" s="227">
        <f>'[1]Housing Generation'!U58</f>
        <v>0</v>
      </c>
      <c r="V58" s="227">
        <f>'[1]Housing Generation'!V58</f>
        <v>0</v>
      </c>
      <c r="W58" s="227">
        <f>'[1]Housing Generation'!W58</f>
        <v>0</v>
      </c>
      <c r="X58" s="227">
        <f>'[1]Housing Generation'!X58</f>
        <v>0</v>
      </c>
      <c r="Y58" s="224">
        <f>'[1]Housing Generation'!Y58</f>
        <v>0</v>
      </c>
      <c r="Z58" s="229">
        <f>'[1]Housing Generation'!Z58</f>
        <v>0</v>
      </c>
      <c r="AA58" s="229">
        <f>'[1]Housing Generation'!AA58</f>
        <v>0</v>
      </c>
      <c r="AB58" s="229">
        <f>'[1]Housing Generation'!AB58</f>
        <v>0</v>
      </c>
      <c r="AC58" s="229">
        <f>'[1]Housing Generation'!AC58</f>
        <v>0</v>
      </c>
      <c r="AD58" s="229">
        <f>'[1]Housing Generation'!AD58</f>
        <v>0</v>
      </c>
      <c r="AE58" s="229">
        <f>'[1]Housing Generation'!AE58</f>
        <v>0</v>
      </c>
      <c r="AF58" s="229">
        <f>'[1]Housing Generation'!AF58</f>
        <v>0</v>
      </c>
      <c r="AG58" s="225">
        <f>'[1]Housing Generation'!AG58</f>
        <v>0</v>
      </c>
      <c r="AH58" s="227">
        <f>'[1]Housing Generation'!AH58</f>
        <v>0</v>
      </c>
      <c r="AI58" s="227">
        <f>'[1]Housing Generation'!AI58</f>
        <v>0</v>
      </c>
      <c r="AJ58" s="227">
        <f>'[1]Housing Generation'!AJ58</f>
        <v>0</v>
      </c>
      <c r="AK58" s="227">
        <f>'[1]Housing Generation'!AK58</f>
        <v>0</v>
      </c>
      <c r="AL58" s="227">
        <f>'[1]Housing Generation'!AL58</f>
        <v>0</v>
      </c>
      <c r="AM58" s="227">
        <f>'[1]Housing Generation'!AM58</f>
        <v>0</v>
      </c>
      <c r="AN58" s="227">
        <f>'[1]Housing Generation'!AN58</f>
        <v>0</v>
      </c>
      <c r="AO58" s="224">
        <f>'[1]Housing Generation'!AO58</f>
        <v>0</v>
      </c>
      <c r="AP58" s="229">
        <f>'[1]Housing Generation'!AP58</f>
        <v>0</v>
      </c>
      <c r="AQ58" s="229">
        <f>'[1]Housing Generation'!AQ58</f>
        <v>0</v>
      </c>
      <c r="AR58" s="229">
        <f>'[1]Housing Generation'!AR58</f>
        <v>0</v>
      </c>
      <c r="AS58" s="229">
        <f>'[1]Housing Generation'!AS58</f>
        <v>0</v>
      </c>
      <c r="AT58" s="229">
        <f>'[1]Housing Generation'!AT58</f>
        <v>0</v>
      </c>
      <c r="AU58" s="229">
        <f>'[1]Housing Generation'!AU58</f>
        <v>0</v>
      </c>
      <c r="AV58" s="229">
        <f>'[1]Housing Generation'!AV58</f>
        <v>0</v>
      </c>
      <c r="AW58" s="225">
        <f>'[1]Housing Generation'!AW58</f>
        <v>0</v>
      </c>
      <c r="AX58" s="227">
        <f>'[1]Housing Generation'!AX58</f>
        <v>1</v>
      </c>
      <c r="AY58" s="227">
        <f>'[1]Housing Generation'!AY58</f>
        <v>1</v>
      </c>
      <c r="AZ58" s="227">
        <f>'[1]Housing Generation'!AZ58</f>
        <v>1</v>
      </c>
      <c r="BA58" s="227">
        <f>'[1]Housing Generation'!BA58</f>
        <v>0</v>
      </c>
      <c r="BB58" s="227">
        <f>'[1]Housing Generation'!BB58</f>
        <v>0</v>
      </c>
      <c r="BC58" s="227">
        <f>'[1]Housing Generation'!BC58</f>
        <v>0</v>
      </c>
      <c r="BD58" s="227">
        <f>'[1]Housing Generation'!BD58</f>
        <v>0</v>
      </c>
      <c r="BE58" s="224">
        <f>'[1]Housing Generation'!BE58</f>
        <v>3</v>
      </c>
      <c r="BF58" s="229">
        <f>'[1]Housing Generation'!BF58</f>
        <v>1</v>
      </c>
      <c r="BG58" s="229">
        <f>'[1]Housing Generation'!BG58</f>
        <v>1</v>
      </c>
      <c r="BH58" s="229">
        <f>'[1]Housing Generation'!BH58</f>
        <v>1</v>
      </c>
      <c r="BI58" s="229">
        <f>'[1]Housing Generation'!BI58</f>
        <v>1</v>
      </c>
      <c r="BJ58" s="229">
        <f>'[1]Housing Generation'!BJ58</f>
        <v>1</v>
      </c>
      <c r="BK58" s="229">
        <f>'[1]Housing Generation'!BK58</f>
        <v>1</v>
      </c>
      <c r="BL58" s="229">
        <f>'[1]Housing Generation'!BL58</f>
        <v>0</v>
      </c>
      <c r="BM58" s="225">
        <f>'[1]Housing Generation'!BM58</f>
        <v>6</v>
      </c>
      <c r="BN58" s="227">
        <f>'[1]Housing Generation'!BN58</f>
        <v>1</v>
      </c>
      <c r="BO58" s="227">
        <f>'[1]Housing Generation'!BO58</f>
        <v>1</v>
      </c>
      <c r="BP58" s="227">
        <f>'[1]Housing Generation'!BP58</f>
        <v>1</v>
      </c>
      <c r="BQ58" s="227">
        <f>'[1]Housing Generation'!BQ58</f>
        <v>1</v>
      </c>
      <c r="BR58" s="227">
        <f>'[1]Housing Generation'!BR58</f>
        <v>1</v>
      </c>
      <c r="BS58" s="227">
        <f>'[1]Housing Generation'!BS58</f>
        <v>1</v>
      </c>
      <c r="BT58" s="227">
        <f>'[1]Housing Generation'!BT58</f>
        <v>0</v>
      </c>
      <c r="BU58" s="224">
        <f>'[1]Housing Generation'!BU58</f>
        <v>6</v>
      </c>
      <c r="BV58" s="229">
        <f>'[1]Housing Generation'!BV58</f>
        <v>1</v>
      </c>
      <c r="BW58" s="229">
        <f>'[1]Housing Generation'!BW58</f>
        <v>1</v>
      </c>
      <c r="BX58" s="229">
        <f>'[1]Housing Generation'!BX58</f>
        <v>1</v>
      </c>
      <c r="BY58" s="229">
        <f>'[1]Housing Generation'!BY58</f>
        <v>1</v>
      </c>
      <c r="BZ58" s="229">
        <f>'[1]Housing Generation'!BZ58</f>
        <v>1</v>
      </c>
      <c r="CA58" s="229">
        <f>'[1]Housing Generation'!CA58</f>
        <v>1</v>
      </c>
      <c r="CB58" s="229">
        <f>'[1]Housing Generation'!CB58</f>
        <v>0</v>
      </c>
      <c r="CC58" s="225">
        <f>'[1]Housing Generation'!CC58</f>
        <v>6</v>
      </c>
      <c r="CD58" s="227">
        <f>'[1]Housing Generation'!CD58</f>
        <v>1</v>
      </c>
      <c r="CE58" s="227">
        <f>'[1]Housing Generation'!CE58</f>
        <v>1</v>
      </c>
      <c r="CF58" s="227">
        <f>'[1]Housing Generation'!CF58</f>
        <v>1</v>
      </c>
      <c r="CG58" s="227">
        <f>'[1]Housing Generation'!CG58</f>
        <v>1</v>
      </c>
      <c r="CH58" s="227">
        <f>'[1]Housing Generation'!CH58</f>
        <v>1</v>
      </c>
      <c r="CI58" s="227">
        <f>'[1]Housing Generation'!CI58</f>
        <v>1</v>
      </c>
      <c r="CJ58" s="227">
        <f>'[1]Housing Generation'!CJ58</f>
        <v>0</v>
      </c>
      <c r="CK58" s="224">
        <f>'[1]Housing Generation'!CK58</f>
        <v>6</v>
      </c>
      <c r="CL58" s="229">
        <f>'[1]Housing Generation'!CL58</f>
        <v>1</v>
      </c>
      <c r="CM58" s="229">
        <f>'[1]Housing Generation'!CM58</f>
        <v>1</v>
      </c>
      <c r="CN58" s="229">
        <f>'[1]Housing Generation'!CN58</f>
        <v>1</v>
      </c>
      <c r="CO58" s="229">
        <f>'[1]Housing Generation'!CO58</f>
        <v>1</v>
      </c>
      <c r="CP58" s="229">
        <f>'[1]Housing Generation'!CP58</f>
        <v>1</v>
      </c>
      <c r="CQ58" s="229">
        <f>'[1]Housing Generation'!CQ58</f>
        <v>1</v>
      </c>
      <c r="CR58" s="229">
        <f>'[1]Housing Generation'!CR58</f>
        <v>0</v>
      </c>
      <c r="CS58" s="225">
        <f>'[1]Housing Generation'!CS58</f>
        <v>6</v>
      </c>
      <c r="CT58" s="227">
        <f>'[1]Housing Generation'!CT58</f>
        <v>1</v>
      </c>
      <c r="CU58" s="227">
        <f>'[1]Housing Generation'!CU58</f>
        <v>1</v>
      </c>
      <c r="CV58" s="227">
        <f>'[1]Housing Generation'!CV58</f>
        <v>1</v>
      </c>
      <c r="CW58" s="227">
        <f>'[1]Housing Generation'!CW58</f>
        <v>1</v>
      </c>
      <c r="CX58" s="227">
        <f>'[1]Housing Generation'!CX58</f>
        <v>1</v>
      </c>
      <c r="CY58" s="227">
        <f>'[1]Housing Generation'!CY58</f>
        <v>1</v>
      </c>
      <c r="CZ58" s="227">
        <f>'[1]Housing Generation'!CZ58</f>
        <v>0</v>
      </c>
      <c r="DA58" s="224">
        <f>'[1]Housing Generation'!DA58</f>
        <v>6</v>
      </c>
      <c r="DB58" s="229">
        <f>'[1]Housing Generation'!DB58</f>
        <v>1</v>
      </c>
      <c r="DC58" s="229">
        <f>'[1]Housing Generation'!DC58</f>
        <v>1</v>
      </c>
      <c r="DD58" s="229">
        <f>'[1]Housing Generation'!DD58</f>
        <v>1</v>
      </c>
      <c r="DE58" s="229">
        <f>'[1]Housing Generation'!DE58</f>
        <v>1</v>
      </c>
      <c r="DF58" s="229">
        <f>'[1]Housing Generation'!DF58</f>
        <v>1</v>
      </c>
      <c r="DG58" s="229">
        <f>'[1]Housing Generation'!DG58</f>
        <v>1</v>
      </c>
      <c r="DH58" s="229">
        <f>'[1]Housing Generation'!DH58</f>
        <v>0</v>
      </c>
      <c r="DI58" s="225">
        <f>'[1]Housing Generation'!DI58</f>
        <v>6</v>
      </c>
      <c r="DJ58" s="227">
        <f>'[1]Housing Generation'!DJ58</f>
        <v>1</v>
      </c>
      <c r="DK58" s="227">
        <f>'[1]Housing Generation'!DK58</f>
        <v>1</v>
      </c>
      <c r="DL58" s="227">
        <f>'[1]Housing Generation'!DL58</f>
        <v>1</v>
      </c>
      <c r="DM58" s="227">
        <f>'[1]Housing Generation'!DM58</f>
        <v>1</v>
      </c>
      <c r="DN58" s="227">
        <f>'[1]Housing Generation'!DN58</f>
        <v>1</v>
      </c>
      <c r="DO58" s="227">
        <f>'[1]Housing Generation'!DO58</f>
        <v>1</v>
      </c>
      <c r="DP58" s="227">
        <f>'[1]Housing Generation'!DP58</f>
        <v>0</v>
      </c>
      <c r="DQ58" s="224">
        <f>'[1]Housing Generation'!DQ58</f>
        <v>6</v>
      </c>
    </row>
    <row r="59" spans="1:121" x14ac:dyDescent="0.2">
      <c r="A59" s="237" t="s">
        <v>60</v>
      </c>
      <c r="B59" s="227">
        <f>'[1]Housing Generation'!B59</f>
        <v>0</v>
      </c>
      <c r="C59" s="227">
        <f>'[1]Housing Generation'!C59</f>
        <v>0</v>
      </c>
      <c r="D59" s="227">
        <f>'[1]Housing Generation'!D59</f>
        <v>0</v>
      </c>
      <c r="E59" s="227">
        <f>'[1]Housing Generation'!E59</f>
        <v>0</v>
      </c>
      <c r="F59" s="227">
        <f>'[1]Housing Generation'!F59</f>
        <v>0</v>
      </c>
      <c r="G59" s="227">
        <f>'[1]Housing Generation'!G59</f>
        <v>0</v>
      </c>
      <c r="H59" s="227">
        <f>'[1]Housing Generation'!H59</f>
        <v>0</v>
      </c>
      <c r="I59" s="224">
        <f>'[1]Housing Generation'!I59</f>
        <v>0</v>
      </c>
      <c r="J59" s="229">
        <f>'[1]Housing Generation'!J59</f>
        <v>0</v>
      </c>
      <c r="K59" s="229">
        <f>'[1]Housing Generation'!K59</f>
        <v>0</v>
      </c>
      <c r="L59" s="229">
        <f>'[1]Housing Generation'!L59</f>
        <v>0</v>
      </c>
      <c r="M59" s="229">
        <f>'[1]Housing Generation'!M59</f>
        <v>0</v>
      </c>
      <c r="N59" s="229">
        <f>'[1]Housing Generation'!N59</f>
        <v>0</v>
      </c>
      <c r="O59" s="229">
        <f>'[1]Housing Generation'!O59</f>
        <v>0</v>
      </c>
      <c r="P59" s="229">
        <f>'[1]Housing Generation'!P59</f>
        <v>0</v>
      </c>
      <c r="Q59" s="225">
        <f>'[1]Housing Generation'!Q59</f>
        <v>0</v>
      </c>
      <c r="R59" s="227">
        <f>'[1]Housing Generation'!R59</f>
        <v>0</v>
      </c>
      <c r="S59" s="227">
        <f>'[1]Housing Generation'!S59</f>
        <v>0</v>
      </c>
      <c r="T59" s="227">
        <f>'[1]Housing Generation'!T59</f>
        <v>0</v>
      </c>
      <c r="U59" s="227">
        <f>'[1]Housing Generation'!U59</f>
        <v>0</v>
      </c>
      <c r="V59" s="227">
        <f>'[1]Housing Generation'!V59</f>
        <v>0</v>
      </c>
      <c r="W59" s="227">
        <f>'[1]Housing Generation'!W59</f>
        <v>0</v>
      </c>
      <c r="X59" s="227">
        <f>'[1]Housing Generation'!X59</f>
        <v>0</v>
      </c>
      <c r="Y59" s="224">
        <f>'[1]Housing Generation'!Y59</f>
        <v>0</v>
      </c>
      <c r="Z59" s="229">
        <f>'[1]Housing Generation'!Z59</f>
        <v>0</v>
      </c>
      <c r="AA59" s="229">
        <f>'[1]Housing Generation'!AA59</f>
        <v>0</v>
      </c>
      <c r="AB59" s="229">
        <f>'[1]Housing Generation'!AB59</f>
        <v>0</v>
      </c>
      <c r="AC59" s="229">
        <f>'[1]Housing Generation'!AC59</f>
        <v>0</v>
      </c>
      <c r="AD59" s="229">
        <f>'[1]Housing Generation'!AD59</f>
        <v>0</v>
      </c>
      <c r="AE59" s="229">
        <f>'[1]Housing Generation'!AE59</f>
        <v>0</v>
      </c>
      <c r="AF59" s="229">
        <f>'[1]Housing Generation'!AF59</f>
        <v>0</v>
      </c>
      <c r="AG59" s="225">
        <f>'[1]Housing Generation'!AG59</f>
        <v>0</v>
      </c>
      <c r="AH59" s="227">
        <f>'[1]Housing Generation'!AH59</f>
        <v>1</v>
      </c>
      <c r="AI59" s="227">
        <f>'[1]Housing Generation'!AI59</f>
        <v>1</v>
      </c>
      <c r="AJ59" s="227">
        <f>'[1]Housing Generation'!AJ59</f>
        <v>1</v>
      </c>
      <c r="AK59" s="227">
        <f>'[1]Housing Generation'!AK59</f>
        <v>1</v>
      </c>
      <c r="AL59" s="227">
        <f>'[1]Housing Generation'!AL59</f>
        <v>1</v>
      </c>
      <c r="AM59" s="227">
        <f>'[1]Housing Generation'!AM59</f>
        <v>0</v>
      </c>
      <c r="AN59" s="227">
        <f>'[1]Housing Generation'!AN59</f>
        <v>0</v>
      </c>
      <c r="AO59" s="224">
        <f>'[1]Housing Generation'!AO59</f>
        <v>5</v>
      </c>
      <c r="AP59" s="229">
        <f>'[1]Housing Generation'!AP59</f>
        <v>2</v>
      </c>
      <c r="AQ59" s="229">
        <f>'[1]Housing Generation'!AQ59</f>
        <v>2</v>
      </c>
      <c r="AR59" s="229">
        <f>'[1]Housing Generation'!AR59</f>
        <v>2</v>
      </c>
      <c r="AS59" s="229">
        <f>'[1]Housing Generation'!AS59</f>
        <v>1</v>
      </c>
      <c r="AT59" s="229">
        <f>'[1]Housing Generation'!AT59</f>
        <v>1</v>
      </c>
      <c r="AU59" s="229">
        <f>'[1]Housing Generation'!AU59</f>
        <v>1</v>
      </c>
      <c r="AV59" s="229">
        <f>'[1]Housing Generation'!AV59</f>
        <v>1</v>
      </c>
      <c r="AW59" s="225">
        <f>'[1]Housing Generation'!AW59</f>
        <v>10</v>
      </c>
      <c r="AX59" s="227">
        <f>'[1]Housing Generation'!AX59</f>
        <v>5</v>
      </c>
      <c r="AY59" s="227">
        <f>'[1]Housing Generation'!AY59</f>
        <v>5</v>
      </c>
      <c r="AZ59" s="227">
        <f>'[1]Housing Generation'!AZ59</f>
        <v>5</v>
      </c>
      <c r="BA59" s="227">
        <f>'[1]Housing Generation'!BA59</f>
        <v>5</v>
      </c>
      <c r="BB59" s="227">
        <f>'[1]Housing Generation'!BB59</f>
        <v>5</v>
      </c>
      <c r="BC59" s="227">
        <f>'[1]Housing Generation'!BC59</f>
        <v>4</v>
      </c>
      <c r="BD59" s="227">
        <f>'[1]Housing Generation'!BD59</f>
        <v>4</v>
      </c>
      <c r="BE59" s="224">
        <f>'[1]Housing Generation'!BE59</f>
        <v>33</v>
      </c>
      <c r="BF59" s="229">
        <f>'[1]Housing Generation'!BF59</f>
        <v>9</v>
      </c>
      <c r="BG59" s="229">
        <f>'[1]Housing Generation'!BG59</f>
        <v>8</v>
      </c>
      <c r="BH59" s="229">
        <f>'[1]Housing Generation'!BH59</f>
        <v>8</v>
      </c>
      <c r="BI59" s="229">
        <f>'[1]Housing Generation'!BI59</f>
        <v>8</v>
      </c>
      <c r="BJ59" s="229">
        <f>'[1]Housing Generation'!BJ59</f>
        <v>8</v>
      </c>
      <c r="BK59" s="229">
        <f>'[1]Housing Generation'!BK59</f>
        <v>8</v>
      </c>
      <c r="BL59" s="229">
        <f>'[1]Housing Generation'!BL59</f>
        <v>8</v>
      </c>
      <c r="BM59" s="225">
        <f>'[1]Housing Generation'!BM59</f>
        <v>57</v>
      </c>
      <c r="BN59" s="227">
        <f>'[1]Housing Generation'!BN59</f>
        <v>12</v>
      </c>
      <c r="BO59" s="227">
        <f>'[1]Housing Generation'!BO59</f>
        <v>11</v>
      </c>
      <c r="BP59" s="227">
        <f>'[1]Housing Generation'!BP59</f>
        <v>11</v>
      </c>
      <c r="BQ59" s="227">
        <f>'[1]Housing Generation'!BQ59</f>
        <v>11</v>
      </c>
      <c r="BR59" s="227">
        <f>'[1]Housing Generation'!BR59</f>
        <v>11</v>
      </c>
      <c r="BS59" s="227">
        <f>'[1]Housing Generation'!BS59</f>
        <v>11</v>
      </c>
      <c r="BT59" s="227">
        <f>'[1]Housing Generation'!BT59</f>
        <v>11</v>
      </c>
      <c r="BU59" s="224">
        <f>'[1]Housing Generation'!BU59</f>
        <v>78</v>
      </c>
      <c r="BV59" s="229">
        <f>'[1]Housing Generation'!BV59</f>
        <v>15</v>
      </c>
      <c r="BW59" s="229">
        <f>'[1]Housing Generation'!BW59</f>
        <v>14</v>
      </c>
      <c r="BX59" s="229">
        <f>'[1]Housing Generation'!BX59</f>
        <v>14</v>
      </c>
      <c r="BY59" s="229">
        <f>'[1]Housing Generation'!BY59</f>
        <v>14</v>
      </c>
      <c r="BZ59" s="229">
        <f>'[1]Housing Generation'!BZ59</f>
        <v>14</v>
      </c>
      <c r="CA59" s="229">
        <f>'[1]Housing Generation'!CA59</f>
        <v>14</v>
      </c>
      <c r="CB59" s="229">
        <f>'[1]Housing Generation'!CB59</f>
        <v>14</v>
      </c>
      <c r="CC59" s="225">
        <f>'[1]Housing Generation'!CC59</f>
        <v>99</v>
      </c>
      <c r="CD59" s="227">
        <f>'[1]Housing Generation'!CD59</f>
        <v>18</v>
      </c>
      <c r="CE59" s="227">
        <f>'[1]Housing Generation'!CE59</f>
        <v>17</v>
      </c>
      <c r="CF59" s="227">
        <f>'[1]Housing Generation'!CF59</f>
        <v>17</v>
      </c>
      <c r="CG59" s="227">
        <f>'[1]Housing Generation'!CG59</f>
        <v>17</v>
      </c>
      <c r="CH59" s="227">
        <f>'[1]Housing Generation'!CH59</f>
        <v>17</v>
      </c>
      <c r="CI59" s="227">
        <f>'[1]Housing Generation'!CI59</f>
        <v>17</v>
      </c>
      <c r="CJ59" s="227">
        <f>'[1]Housing Generation'!CJ59</f>
        <v>17</v>
      </c>
      <c r="CK59" s="224">
        <f>'[1]Housing Generation'!CK59</f>
        <v>120</v>
      </c>
      <c r="CL59" s="229">
        <f>'[1]Housing Generation'!CL59</f>
        <v>19</v>
      </c>
      <c r="CM59" s="229">
        <f>'[1]Housing Generation'!CM59</f>
        <v>19</v>
      </c>
      <c r="CN59" s="229">
        <f>'[1]Housing Generation'!CN59</f>
        <v>18</v>
      </c>
      <c r="CO59" s="229">
        <f>'[1]Housing Generation'!CO59</f>
        <v>18</v>
      </c>
      <c r="CP59" s="229">
        <f>'[1]Housing Generation'!CP59</f>
        <v>18</v>
      </c>
      <c r="CQ59" s="229">
        <f>'[1]Housing Generation'!CQ59</f>
        <v>18</v>
      </c>
      <c r="CR59" s="229">
        <f>'[1]Housing Generation'!CR59</f>
        <v>18</v>
      </c>
      <c r="CS59" s="225">
        <f>'[1]Housing Generation'!CS59</f>
        <v>128</v>
      </c>
      <c r="CT59" s="227">
        <f>'[1]Housing Generation'!CT59</f>
        <v>20</v>
      </c>
      <c r="CU59" s="227">
        <f>'[1]Housing Generation'!CU59</f>
        <v>20</v>
      </c>
      <c r="CV59" s="227">
        <f>'[1]Housing Generation'!CV59</f>
        <v>20</v>
      </c>
      <c r="CW59" s="227">
        <f>'[1]Housing Generation'!CW59</f>
        <v>19</v>
      </c>
      <c r="CX59" s="227">
        <f>'[1]Housing Generation'!CX59</f>
        <v>19</v>
      </c>
      <c r="CY59" s="227">
        <f>'[1]Housing Generation'!CY59</f>
        <v>19</v>
      </c>
      <c r="CZ59" s="227">
        <f>'[1]Housing Generation'!CZ59</f>
        <v>19</v>
      </c>
      <c r="DA59" s="224">
        <f>'[1]Housing Generation'!DA59</f>
        <v>136</v>
      </c>
      <c r="DB59" s="229">
        <f>'[1]Housing Generation'!DB59</f>
        <v>21</v>
      </c>
      <c r="DC59" s="229">
        <f>'[1]Housing Generation'!DC59</f>
        <v>21</v>
      </c>
      <c r="DD59" s="229">
        <f>'[1]Housing Generation'!DD59</f>
        <v>21</v>
      </c>
      <c r="DE59" s="229">
        <f>'[1]Housing Generation'!DE59</f>
        <v>21</v>
      </c>
      <c r="DF59" s="229">
        <f>'[1]Housing Generation'!DF59</f>
        <v>20</v>
      </c>
      <c r="DG59" s="229">
        <f>'[1]Housing Generation'!DG59</f>
        <v>20</v>
      </c>
      <c r="DH59" s="229">
        <f>'[1]Housing Generation'!DH59</f>
        <v>20</v>
      </c>
      <c r="DI59" s="225">
        <f>'[1]Housing Generation'!DI59</f>
        <v>144</v>
      </c>
      <c r="DJ59" s="227">
        <f>'[1]Housing Generation'!DJ59</f>
        <v>22</v>
      </c>
      <c r="DK59" s="227">
        <f>'[1]Housing Generation'!DK59</f>
        <v>22</v>
      </c>
      <c r="DL59" s="227">
        <f>'[1]Housing Generation'!DL59</f>
        <v>22</v>
      </c>
      <c r="DM59" s="227">
        <f>'[1]Housing Generation'!DM59</f>
        <v>22</v>
      </c>
      <c r="DN59" s="227">
        <f>'[1]Housing Generation'!DN59</f>
        <v>22</v>
      </c>
      <c r="DO59" s="227">
        <f>'[1]Housing Generation'!DO59</f>
        <v>21</v>
      </c>
      <c r="DP59" s="227">
        <f>'[1]Housing Generation'!DP59</f>
        <v>21</v>
      </c>
      <c r="DQ59" s="224">
        <f>'[1]Housing Generation'!DQ59</f>
        <v>152</v>
      </c>
    </row>
    <row r="60" spans="1:121" x14ac:dyDescent="0.2">
      <c r="A60" s="237" t="s">
        <v>61</v>
      </c>
      <c r="B60" s="227">
        <f>'[1]Housing Generation'!B60</f>
        <v>0</v>
      </c>
      <c r="C60" s="227">
        <f>'[1]Housing Generation'!C60</f>
        <v>0</v>
      </c>
      <c r="D60" s="227">
        <f>'[1]Housing Generation'!D60</f>
        <v>0</v>
      </c>
      <c r="E60" s="227">
        <f>'[1]Housing Generation'!E60</f>
        <v>0</v>
      </c>
      <c r="F60" s="227">
        <f>'[1]Housing Generation'!F60</f>
        <v>0</v>
      </c>
      <c r="G60" s="227">
        <f>'[1]Housing Generation'!G60</f>
        <v>0</v>
      </c>
      <c r="H60" s="227">
        <f>'[1]Housing Generation'!H60</f>
        <v>0</v>
      </c>
      <c r="I60" s="224">
        <f>'[1]Housing Generation'!I60</f>
        <v>0</v>
      </c>
      <c r="J60" s="229">
        <f>'[1]Housing Generation'!J60</f>
        <v>1</v>
      </c>
      <c r="K60" s="229">
        <f>'[1]Housing Generation'!K60</f>
        <v>0</v>
      </c>
      <c r="L60" s="229">
        <f>'[1]Housing Generation'!L60</f>
        <v>0</v>
      </c>
      <c r="M60" s="229">
        <f>'[1]Housing Generation'!M60</f>
        <v>0</v>
      </c>
      <c r="N60" s="229">
        <f>'[1]Housing Generation'!N60</f>
        <v>0</v>
      </c>
      <c r="O60" s="229">
        <f>'[1]Housing Generation'!O60</f>
        <v>0</v>
      </c>
      <c r="P60" s="229">
        <f>'[1]Housing Generation'!P60</f>
        <v>0</v>
      </c>
      <c r="Q60" s="225">
        <f>'[1]Housing Generation'!Q60</f>
        <v>1</v>
      </c>
      <c r="R60" s="227">
        <f>'[1]Housing Generation'!R60</f>
        <v>1</v>
      </c>
      <c r="S60" s="227">
        <f>'[1]Housing Generation'!S60</f>
        <v>0</v>
      </c>
      <c r="T60" s="227">
        <f>'[1]Housing Generation'!T60</f>
        <v>0</v>
      </c>
      <c r="U60" s="227">
        <f>'[1]Housing Generation'!U60</f>
        <v>0</v>
      </c>
      <c r="V60" s="227">
        <f>'[1]Housing Generation'!V60</f>
        <v>0</v>
      </c>
      <c r="W60" s="227">
        <f>'[1]Housing Generation'!W60</f>
        <v>0</v>
      </c>
      <c r="X60" s="227">
        <f>'[1]Housing Generation'!X60</f>
        <v>0</v>
      </c>
      <c r="Y60" s="224">
        <f>'[1]Housing Generation'!Y60</f>
        <v>1</v>
      </c>
      <c r="Z60" s="229">
        <f>'[1]Housing Generation'!Z60</f>
        <v>1</v>
      </c>
      <c r="AA60" s="229">
        <f>'[1]Housing Generation'!AA60</f>
        <v>0</v>
      </c>
      <c r="AB60" s="229">
        <f>'[1]Housing Generation'!AB60</f>
        <v>0</v>
      </c>
      <c r="AC60" s="229">
        <f>'[1]Housing Generation'!AC60</f>
        <v>0</v>
      </c>
      <c r="AD60" s="229">
        <f>'[1]Housing Generation'!AD60</f>
        <v>0</v>
      </c>
      <c r="AE60" s="229">
        <f>'[1]Housing Generation'!AE60</f>
        <v>0</v>
      </c>
      <c r="AF60" s="229">
        <f>'[1]Housing Generation'!AF60</f>
        <v>0</v>
      </c>
      <c r="AG60" s="225">
        <f>'[1]Housing Generation'!AG60</f>
        <v>1</v>
      </c>
      <c r="AH60" s="227">
        <f>'[1]Housing Generation'!AH60</f>
        <v>1</v>
      </c>
      <c r="AI60" s="227">
        <f>'[1]Housing Generation'!AI60</f>
        <v>0</v>
      </c>
      <c r="AJ60" s="227">
        <f>'[1]Housing Generation'!AJ60</f>
        <v>0</v>
      </c>
      <c r="AK60" s="227">
        <f>'[1]Housing Generation'!AK60</f>
        <v>0</v>
      </c>
      <c r="AL60" s="227">
        <f>'[1]Housing Generation'!AL60</f>
        <v>0</v>
      </c>
      <c r="AM60" s="227">
        <f>'[1]Housing Generation'!AM60</f>
        <v>0</v>
      </c>
      <c r="AN60" s="227">
        <f>'[1]Housing Generation'!AN60</f>
        <v>0</v>
      </c>
      <c r="AO60" s="224">
        <f>'[1]Housing Generation'!AO60</f>
        <v>1</v>
      </c>
      <c r="AP60" s="229">
        <f>'[1]Housing Generation'!AP60</f>
        <v>1</v>
      </c>
      <c r="AQ60" s="229">
        <f>'[1]Housing Generation'!AQ60</f>
        <v>0</v>
      </c>
      <c r="AR60" s="229">
        <f>'[1]Housing Generation'!AR60</f>
        <v>0</v>
      </c>
      <c r="AS60" s="229">
        <f>'[1]Housing Generation'!AS60</f>
        <v>0</v>
      </c>
      <c r="AT60" s="229">
        <f>'[1]Housing Generation'!AT60</f>
        <v>0</v>
      </c>
      <c r="AU60" s="229">
        <f>'[1]Housing Generation'!AU60</f>
        <v>0</v>
      </c>
      <c r="AV60" s="229">
        <f>'[1]Housing Generation'!AV60</f>
        <v>0</v>
      </c>
      <c r="AW60" s="225">
        <f>'[1]Housing Generation'!AW60</f>
        <v>1</v>
      </c>
      <c r="AX60" s="227">
        <f>'[1]Housing Generation'!AX60</f>
        <v>1</v>
      </c>
      <c r="AY60" s="227">
        <f>'[1]Housing Generation'!AY60</f>
        <v>0</v>
      </c>
      <c r="AZ60" s="227">
        <f>'[1]Housing Generation'!AZ60</f>
        <v>0</v>
      </c>
      <c r="BA60" s="227">
        <f>'[1]Housing Generation'!BA60</f>
        <v>0</v>
      </c>
      <c r="BB60" s="227">
        <f>'[1]Housing Generation'!BB60</f>
        <v>0</v>
      </c>
      <c r="BC60" s="227">
        <f>'[1]Housing Generation'!BC60</f>
        <v>0</v>
      </c>
      <c r="BD60" s="227">
        <f>'[1]Housing Generation'!BD60</f>
        <v>0</v>
      </c>
      <c r="BE60" s="224">
        <f>'[1]Housing Generation'!BE60</f>
        <v>1</v>
      </c>
      <c r="BF60" s="229">
        <f>'[1]Housing Generation'!BF60</f>
        <v>1</v>
      </c>
      <c r="BG60" s="229">
        <f>'[1]Housing Generation'!BG60</f>
        <v>0</v>
      </c>
      <c r="BH60" s="229">
        <f>'[1]Housing Generation'!BH60</f>
        <v>0</v>
      </c>
      <c r="BI60" s="229">
        <f>'[1]Housing Generation'!BI60</f>
        <v>0</v>
      </c>
      <c r="BJ60" s="229">
        <f>'[1]Housing Generation'!BJ60</f>
        <v>0</v>
      </c>
      <c r="BK60" s="229">
        <f>'[1]Housing Generation'!BK60</f>
        <v>0</v>
      </c>
      <c r="BL60" s="229">
        <f>'[1]Housing Generation'!BL60</f>
        <v>0</v>
      </c>
      <c r="BM60" s="225">
        <f>'[1]Housing Generation'!BM60</f>
        <v>1</v>
      </c>
      <c r="BN60" s="227">
        <f>'[1]Housing Generation'!BN60</f>
        <v>1</v>
      </c>
      <c r="BO60" s="227">
        <f>'[1]Housing Generation'!BO60</f>
        <v>0</v>
      </c>
      <c r="BP60" s="227">
        <f>'[1]Housing Generation'!BP60</f>
        <v>0</v>
      </c>
      <c r="BQ60" s="227">
        <f>'[1]Housing Generation'!BQ60</f>
        <v>0</v>
      </c>
      <c r="BR60" s="227">
        <f>'[1]Housing Generation'!BR60</f>
        <v>0</v>
      </c>
      <c r="BS60" s="227">
        <f>'[1]Housing Generation'!BS60</f>
        <v>0</v>
      </c>
      <c r="BT60" s="227">
        <f>'[1]Housing Generation'!BT60</f>
        <v>0</v>
      </c>
      <c r="BU60" s="224">
        <f>'[1]Housing Generation'!BU60</f>
        <v>1</v>
      </c>
      <c r="BV60" s="229">
        <f>'[1]Housing Generation'!BV60</f>
        <v>1</v>
      </c>
      <c r="BW60" s="229">
        <f>'[1]Housing Generation'!BW60</f>
        <v>0</v>
      </c>
      <c r="BX60" s="229">
        <f>'[1]Housing Generation'!BX60</f>
        <v>0</v>
      </c>
      <c r="BY60" s="229">
        <f>'[1]Housing Generation'!BY60</f>
        <v>0</v>
      </c>
      <c r="BZ60" s="229">
        <f>'[1]Housing Generation'!BZ60</f>
        <v>0</v>
      </c>
      <c r="CA60" s="229">
        <f>'[1]Housing Generation'!CA60</f>
        <v>0</v>
      </c>
      <c r="CB60" s="229">
        <f>'[1]Housing Generation'!CB60</f>
        <v>0</v>
      </c>
      <c r="CC60" s="225">
        <f>'[1]Housing Generation'!CC60</f>
        <v>1</v>
      </c>
      <c r="CD60" s="227">
        <f>'[1]Housing Generation'!CD60</f>
        <v>1</v>
      </c>
      <c r="CE60" s="227">
        <f>'[1]Housing Generation'!CE60</f>
        <v>0</v>
      </c>
      <c r="CF60" s="227">
        <f>'[1]Housing Generation'!CF60</f>
        <v>0</v>
      </c>
      <c r="CG60" s="227">
        <f>'[1]Housing Generation'!CG60</f>
        <v>0</v>
      </c>
      <c r="CH60" s="227">
        <f>'[1]Housing Generation'!CH60</f>
        <v>0</v>
      </c>
      <c r="CI60" s="227">
        <f>'[1]Housing Generation'!CI60</f>
        <v>0</v>
      </c>
      <c r="CJ60" s="227">
        <f>'[1]Housing Generation'!CJ60</f>
        <v>0</v>
      </c>
      <c r="CK60" s="224">
        <f>'[1]Housing Generation'!CK60</f>
        <v>1</v>
      </c>
      <c r="CL60" s="229">
        <f>'[1]Housing Generation'!CL60</f>
        <v>1</v>
      </c>
      <c r="CM60" s="229">
        <f>'[1]Housing Generation'!CM60</f>
        <v>0</v>
      </c>
      <c r="CN60" s="229">
        <f>'[1]Housing Generation'!CN60</f>
        <v>0</v>
      </c>
      <c r="CO60" s="229">
        <f>'[1]Housing Generation'!CO60</f>
        <v>0</v>
      </c>
      <c r="CP60" s="229">
        <f>'[1]Housing Generation'!CP60</f>
        <v>0</v>
      </c>
      <c r="CQ60" s="229">
        <f>'[1]Housing Generation'!CQ60</f>
        <v>0</v>
      </c>
      <c r="CR60" s="229">
        <f>'[1]Housing Generation'!CR60</f>
        <v>0</v>
      </c>
      <c r="CS60" s="225">
        <f>'[1]Housing Generation'!CS60</f>
        <v>1</v>
      </c>
      <c r="CT60" s="227">
        <f>'[1]Housing Generation'!CT60</f>
        <v>1</v>
      </c>
      <c r="CU60" s="227">
        <f>'[1]Housing Generation'!CU60</f>
        <v>0</v>
      </c>
      <c r="CV60" s="227">
        <f>'[1]Housing Generation'!CV60</f>
        <v>0</v>
      </c>
      <c r="CW60" s="227">
        <f>'[1]Housing Generation'!CW60</f>
        <v>0</v>
      </c>
      <c r="CX60" s="227">
        <f>'[1]Housing Generation'!CX60</f>
        <v>0</v>
      </c>
      <c r="CY60" s="227">
        <f>'[1]Housing Generation'!CY60</f>
        <v>0</v>
      </c>
      <c r="CZ60" s="227">
        <f>'[1]Housing Generation'!CZ60</f>
        <v>0</v>
      </c>
      <c r="DA60" s="224">
        <f>'[1]Housing Generation'!DA60</f>
        <v>1</v>
      </c>
      <c r="DB60" s="229">
        <f>'[1]Housing Generation'!DB60</f>
        <v>1</v>
      </c>
      <c r="DC60" s="229">
        <f>'[1]Housing Generation'!DC60</f>
        <v>0</v>
      </c>
      <c r="DD60" s="229">
        <f>'[1]Housing Generation'!DD60</f>
        <v>0</v>
      </c>
      <c r="DE60" s="229">
        <f>'[1]Housing Generation'!DE60</f>
        <v>0</v>
      </c>
      <c r="DF60" s="229">
        <f>'[1]Housing Generation'!DF60</f>
        <v>0</v>
      </c>
      <c r="DG60" s="229">
        <f>'[1]Housing Generation'!DG60</f>
        <v>0</v>
      </c>
      <c r="DH60" s="229">
        <f>'[1]Housing Generation'!DH60</f>
        <v>0</v>
      </c>
      <c r="DI60" s="225">
        <f>'[1]Housing Generation'!DI60</f>
        <v>1</v>
      </c>
      <c r="DJ60" s="227">
        <f>'[1]Housing Generation'!DJ60</f>
        <v>1</v>
      </c>
      <c r="DK60" s="227">
        <f>'[1]Housing Generation'!DK60</f>
        <v>0</v>
      </c>
      <c r="DL60" s="227">
        <f>'[1]Housing Generation'!DL60</f>
        <v>0</v>
      </c>
      <c r="DM60" s="227">
        <f>'[1]Housing Generation'!DM60</f>
        <v>0</v>
      </c>
      <c r="DN60" s="227">
        <f>'[1]Housing Generation'!DN60</f>
        <v>0</v>
      </c>
      <c r="DO60" s="227">
        <f>'[1]Housing Generation'!DO60</f>
        <v>0</v>
      </c>
      <c r="DP60" s="227">
        <f>'[1]Housing Generation'!DP60</f>
        <v>0</v>
      </c>
      <c r="DQ60" s="224">
        <f>'[1]Housing Generation'!DQ60</f>
        <v>1</v>
      </c>
    </row>
    <row r="61" spans="1:121" x14ac:dyDescent="0.2">
      <c r="A61" s="237" t="s">
        <v>62</v>
      </c>
      <c r="B61" s="227">
        <f>'[1]Housing Generation'!B61</f>
        <v>0</v>
      </c>
      <c r="C61" s="227">
        <f>'[1]Housing Generation'!C61</f>
        <v>0</v>
      </c>
      <c r="D61" s="227">
        <f>'[1]Housing Generation'!D61</f>
        <v>0</v>
      </c>
      <c r="E61" s="227">
        <f>'[1]Housing Generation'!E61</f>
        <v>0</v>
      </c>
      <c r="F61" s="227">
        <f>'[1]Housing Generation'!F61</f>
        <v>0</v>
      </c>
      <c r="G61" s="227">
        <f>'[1]Housing Generation'!G61</f>
        <v>0</v>
      </c>
      <c r="H61" s="227">
        <f>'[1]Housing Generation'!H61</f>
        <v>0</v>
      </c>
      <c r="I61" s="224">
        <f>'[1]Housing Generation'!I61</f>
        <v>0</v>
      </c>
      <c r="J61" s="229">
        <f>'[1]Housing Generation'!J61</f>
        <v>0</v>
      </c>
      <c r="K61" s="229">
        <f>'[1]Housing Generation'!K61</f>
        <v>0</v>
      </c>
      <c r="L61" s="229">
        <f>'[1]Housing Generation'!L61</f>
        <v>0</v>
      </c>
      <c r="M61" s="229">
        <f>'[1]Housing Generation'!M61</f>
        <v>0</v>
      </c>
      <c r="N61" s="229">
        <f>'[1]Housing Generation'!N61</f>
        <v>0</v>
      </c>
      <c r="O61" s="229">
        <f>'[1]Housing Generation'!O61</f>
        <v>0</v>
      </c>
      <c r="P61" s="229">
        <f>'[1]Housing Generation'!P61</f>
        <v>0</v>
      </c>
      <c r="Q61" s="225">
        <f>'[1]Housing Generation'!Q61</f>
        <v>0</v>
      </c>
      <c r="R61" s="227">
        <f>'[1]Housing Generation'!R61</f>
        <v>1</v>
      </c>
      <c r="S61" s="227">
        <f>'[1]Housing Generation'!S61</f>
        <v>1</v>
      </c>
      <c r="T61" s="227">
        <f>'[1]Housing Generation'!T61</f>
        <v>1</v>
      </c>
      <c r="U61" s="227">
        <f>'[1]Housing Generation'!U61</f>
        <v>0</v>
      </c>
      <c r="V61" s="227">
        <f>'[1]Housing Generation'!V61</f>
        <v>0</v>
      </c>
      <c r="W61" s="227">
        <f>'[1]Housing Generation'!W61</f>
        <v>0</v>
      </c>
      <c r="X61" s="227">
        <f>'[1]Housing Generation'!X61</f>
        <v>0</v>
      </c>
      <c r="Y61" s="224">
        <f>'[1]Housing Generation'!Y61</f>
        <v>3</v>
      </c>
      <c r="Z61" s="229">
        <f>'[1]Housing Generation'!Z61</f>
        <v>1</v>
      </c>
      <c r="AA61" s="229">
        <f>'[1]Housing Generation'!AA61</f>
        <v>1</v>
      </c>
      <c r="AB61" s="229">
        <f>'[1]Housing Generation'!AB61</f>
        <v>1</v>
      </c>
      <c r="AC61" s="229">
        <f>'[1]Housing Generation'!AC61</f>
        <v>0</v>
      </c>
      <c r="AD61" s="229">
        <f>'[1]Housing Generation'!AD61</f>
        <v>0</v>
      </c>
      <c r="AE61" s="229">
        <f>'[1]Housing Generation'!AE61</f>
        <v>0</v>
      </c>
      <c r="AF61" s="229">
        <f>'[1]Housing Generation'!AF61</f>
        <v>0</v>
      </c>
      <c r="AG61" s="225">
        <f>'[1]Housing Generation'!AG61</f>
        <v>3</v>
      </c>
      <c r="AH61" s="227">
        <f>'[1]Housing Generation'!AH61</f>
        <v>1</v>
      </c>
      <c r="AI61" s="227">
        <f>'[1]Housing Generation'!AI61</f>
        <v>1</v>
      </c>
      <c r="AJ61" s="227">
        <f>'[1]Housing Generation'!AJ61</f>
        <v>1</v>
      </c>
      <c r="AK61" s="227">
        <f>'[1]Housing Generation'!AK61</f>
        <v>0</v>
      </c>
      <c r="AL61" s="227">
        <f>'[1]Housing Generation'!AL61</f>
        <v>0</v>
      </c>
      <c r="AM61" s="227">
        <f>'[1]Housing Generation'!AM61</f>
        <v>0</v>
      </c>
      <c r="AN61" s="227">
        <f>'[1]Housing Generation'!AN61</f>
        <v>0</v>
      </c>
      <c r="AO61" s="224">
        <f>'[1]Housing Generation'!AO61</f>
        <v>3</v>
      </c>
      <c r="AP61" s="229">
        <f>'[1]Housing Generation'!AP61</f>
        <v>1</v>
      </c>
      <c r="AQ61" s="229">
        <f>'[1]Housing Generation'!AQ61</f>
        <v>1</v>
      </c>
      <c r="AR61" s="229">
        <f>'[1]Housing Generation'!AR61</f>
        <v>1</v>
      </c>
      <c r="AS61" s="229">
        <f>'[1]Housing Generation'!AS61</f>
        <v>0</v>
      </c>
      <c r="AT61" s="229">
        <f>'[1]Housing Generation'!AT61</f>
        <v>0</v>
      </c>
      <c r="AU61" s="229">
        <f>'[1]Housing Generation'!AU61</f>
        <v>0</v>
      </c>
      <c r="AV61" s="229">
        <f>'[1]Housing Generation'!AV61</f>
        <v>0</v>
      </c>
      <c r="AW61" s="225">
        <f>'[1]Housing Generation'!AW61</f>
        <v>3</v>
      </c>
      <c r="AX61" s="227">
        <f>'[1]Housing Generation'!AX61</f>
        <v>1</v>
      </c>
      <c r="AY61" s="227">
        <f>'[1]Housing Generation'!AY61</f>
        <v>1</v>
      </c>
      <c r="AZ61" s="227">
        <f>'[1]Housing Generation'!AZ61</f>
        <v>1</v>
      </c>
      <c r="BA61" s="227">
        <f>'[1]Housing Generation'!BA61</f>
        <v>1</v>
      </c>
      <c r="BB61" s="227">
        <f>'[1]Housing Generation'!BB61</f>
        <v>0</v>
      </c>
      <c r="BC61" s="227">
        <f>'[1]Housing Generation'!BC61</f>
        <v>0</v>
      </c>
      <c r="BD61" s="227">
        <f>'[1]Housing Generation'!BD61</f>
        <v>0</v>
      </c>
      <c r="BE61" s="224">
        <f>'[1]Housing Generation'!BE61</f>
        <v>4</v>
      </c>
      <c r="BF61" s="229">
        <f>'[1]Housing Generation'!BF61</f>
        <v>1</v>
      </c>
      <c r="BG61" s="229">
        <f>'[1]Housing Generation'!BG61</f>
        <v>1</v>
      </c>
      <c r="BH61" s="229">
        <f>'[1]Housing Generation'!BH61</f>
        <v>1</v>
      </c>
      <c r="BI61" s="229">
        <f>'[1]Housing Generation'!BI61</f>
        <v>1</v>
      </c>
      <c r="BJ61" s="229">
        <f>'[1]Housing Generation'!BJ61</f>
        <v>0</v>
      </c>
      <c r="BK61" s="229">
        <f>'[1]Housing Generation'!BK61</f>
        <v>0</v>
      </c>
      <c r="BL61" s="229">
        <f>'[1]Housing Generation'!BL61</f>
        <v>0</v>
      </c>
      <c r="BM61" s="225">
        <f>'[1]Housing Generation'!BM61</f>
        <v>4</v>
      </c>
      <c r="BN61" s="227">
        <f>'[1]Housing Generation'!BN61</f>
        <v>1</v>
      </c>
      <c r="BO61" s="227">
        <f>'[1]Housing Generation'!BO61</f>
        <v>1</v>
      </c>
      <c r="BP61" s="227">
        <f>'[1]Housing Generation'!BP61</f>
        <v>1</v>
      </c>
      <c r="BQ61" s="227">
        <f>'[1]Housing Generation'!BQ61</f>
        <v>1</v>
      </c>
      <c r="BR61" s="227">
        <f>'[1]Housing Generation'!BR61</f>
        <v>0</v>
      </c>
      <c r="BS61" s="227">
        <f>'[1]Housing Generation'!BS61</f>
        <v>0</v>
      </c>
      <c r="BT61" s="227">
        <f>'[1]Housing Generation'!BT61</f>
        <v>0</v>
      </c>
      <c r="BU61" s="224">
        <f>'[1]Housing Generation'!BU61</f>
        <v>4</v>
      </c>
      <c r="BV61" s="229">
        <f>'[1]Housing Generation'!BV61</f>
        <v>1</v>
      </c>
      <c r="BW61" s="229">
        <f>'[1]Housing Generation'!BW61</f>
        <v>1</v>
      </c>
      <c r="BX61" s="229">
        <f>'[1]Housing Generation'!BX61</f>
        <v>1</v>
      </c>
      <c r="BY61" s="229">
        <f>'[1]Housing Generation'!BY61</f>
        <v>1</v>
      </c>
      <c r="BZ61" s="229">
        <f>'[1]Housing Generation'!BZ61</f>
        <v>1</v>
      </c>
      <c r="CA61" s="229">
        <f>'[1]Housing Generation'!CA61</f>
        <v>1</v>
      </c>
      <c r="CB61" s="229">
        <f>'[1]Housing Generation'!CB61</f>
        <v>1</v>
      </c>
      <c r="CC61" s="225">
        <f>'[1]Housing Generation'!CC61</f>
        <v>7</v>
      </c>
      <c r="CD61" s="227">
        <f>'[1]Housing Generation'!CD61</f>
        <v>1</v>
      </c>
      <c r="CE61" s="227">
        <f>'[1]Housing Generation'!CE61</f>
        <v>1</v>
      </c>
      <c r="CF61" s="227">
        <f>'[1]Housing Generation'!CF61</f>
        <v>1</v>
      </c>
      <c r="CG61" s="227">
        <f>'[1]Housing Generation'!CG61</f>
        <v>1</v>
      </c>
      <c r="CH61" s="227">
        <f>'[1]Housing Generation'!CH61</f>
        <v>1</v>
      </c>
      <c r="CI61" s="227">
        <f>'[1]Housing Generation'!CI61</f>
        <v>1</v>
      </c>
      <c r="CJ61" s="227">
        <f>'[1]Housing Generation'!CJ61</f>
        <v>1</v>
      </c>
      <c r="CK61" s="224">
        <f>'[1]Housing Generation'!CK61</f>
        <v>7</v>
      </c>
      <c r="CL61" s="229">
        <f>'[1]Housing Generation'!CL61</f>
        <v>1</v>
      </c>
      <c r="CM61" s="229">
        <f>'[1]Housing Generation'!CM61</f>
        <v>1</v>
      </c>
      <c r="CN61" s="229">
        <f>'[1]Housing Generation'!CN61</f>
        <v>1</v>
      </c>
      <c r="CO61" s="229">
        <f>'[1]Housing Generation'!CO61</f>
        <v>1</v>
      </c>
      <c r="CP61" s="229">
        <f>'[1]Housing Generation'!CP61</f>
        <v>1</v>
      </c>
      <c r="CQ61" s="229">
        <f>'[1]Housing Generation'!CQ61</f>
        <v>1</v>
      </c>
      <c r="CR61" s="229">
        <f>'[1]Housing Generation'!CR61</f>
        <v>1</v>
      </c>
      <c r="CS61" s="225">
        <f>'[1]Housing Generation'!CS61</f>
        <v>7</v>
      </c>
      <c r="CT61" s="227">
        <f>'[1]Housing Generation'!CT61</f>
        <v>1</v>
      </c>
      <c r="CU61" s="227">
        <f>'[1]Housing Generation'!CU61</f>
        <v>1</v>
      </c>
      <c r="CV61" s="227">
        <f>'[1]Housing Generation'!CV61</f>
        <v>1</v>
      </c>
      <c r="CW61" s="227">
        <f>'[1]Housing Generation'!CW61</f>
        <v>1</v>
      </c>
      <c r="CX61" s="227">
        <f>'[1]Housing Generation'!CX61</f>
        <v>1</v>
      </c>
      <c r="CY61" s="227">
        <f>'[1]Housing Generation'!CY61</f>
        <v>1</v>
      </c>
      <c r="CZ61" s="227">
        <f>'[1]Housing Generation'!CZ61</f>
        <v>1</v>
      </c>
      <c r="DA61" s="224">
        <f>'[1]Housing Generation'!DA61</f>
        <v>7</v>
      </c>
      <c r="DB61" s="229">
        <f>'[1]Housing Generation'!DB61</f>
        <v>1</v>
      </c>
      <c r="DC61" s="229">
        <f>'[1]Housing Generation'!DC61</f>
        <v>1</v>
      </c>
      <c r="DD61" s="229">
        <f>'[1]Housing Generation'!DD61</f>
        <v>1</v>
      </c>
      <c r="DE61" s="229">
        <f>'[1]Housing Generation'!DE61</f>
        <v>1</v>
      </c>
      <c r="DF61" s="229">
        <f>'[1]Housing Generation'!DF61</f>
        <v>1</v>
      </c>
      <c r="DG61" s="229">
        <f>'[1]Housing Generation'!DG61</f>
        <v>1</v>
      </c>
      <c r="DH61" s="229">
        <f>'[1]Housing Generation'!DH61</f>
        <v>1</v>
      </c>
      <c r="DI61" s="225">
        <f>'[1]Housing Generation'!DI61</f>
        <v>7</v>
      </c>
      <c r="DJ61" s="227">
        <f>'[1]Housing Generation'!DJ61</f>
        <v>1</v>
      </c>
      <c r="DK61" s="227">
        <f>'[1]Housing Generation'!DK61</f>
        <v>1</v>
      </c>
      <c r="DL61" s="227">
        <f>'[1]Housing Generation'!DL61</f>
        <v>1</v>
      </c>
      <c r="DM61" s="227">
        <f>'[1]Housing Generation'!DM61</f>
        <v>1</v>
      </c>
      <c r="DN61" s="227">
        <f>'[1]Housing Generation'!DN61</f>
        <v>1</v>
      </c>
      <c r="DO61" s="227">
        <f>'[1]Housing Generation'!DO61</f>
        <v>1</v>
      </c>
      <c r="DP61" s="227">
        <f>'[1]Housing Generation'!DP61</f>
        <v>1</v>
      </c>
      <c r="DQ61" s="224">
        <f>'[1]Housing Generation'!DQ61</f>
        <v>7</v>
      </c>
    </row>
    <row r="62" spans="1:121" x14ac:dyDescent="0.2">
      <c r="A62" s="237" t="s">
        <v>63</v>
      </c>
      <c r="B62" s="227">
        <f>'[1]Housing Generation'!B62</f>
        <v>3</v>
      </c>
      <c r="C62" s="227">
        <f>'[1]Housing Generation'!C62</f>
        <v>3</v>
      </c>
      <c r="D62" s="227">
        <f>'[1]Housing Generation'!D62</f>
        <v>3</v>
      </c>
      <c r="E62" s="227">
        <f>'[1]Housing Generation'!E62</f>
        <v>3</v>
      </c>
      <c r="F62" s="227">
        <f>'[1]Housing Generation'!F62</f>
        <v>2</v>
      </c>
      <c r="G62" s="227">
        <f>'[1]Housing Generation'!G62</f>
        <v>2</v>
      </c>
      <c r="H62" s="227">
        <f>'[1]Housing Generation'!H62</f>
        <v>2</v>
      </c>
      <c r="I62" s="224">
        <f>'[1]Housing Generation'!I62</f>
        <v>18</v>
      </c>
      <c r="J62" s="229">
        <f>'[1]Housing Generation'!J62</f>
        <v>2</v>
      </c>
      <c r="K62" s="229">
        <f>'[1]Housing Generation'!K62</f>
        <v>2</v>
      </c>
      <c r="L62" s="229">
        <f>'[1]Housing Generation'!L62</f>
        <v>2</v>
      </c>
      <c r="M62" s="229">
        <f>'[1]Housing Generation'!M62</f>
        <v>2</v>
      </c>
      <c r="N62" s="229">
        <f>'[1]Housing Generation'!N62</f>
        <v>2</v>
      </c>
      <c r="O62" s="229">
        <f>'[1]Housing Generation'!O62</f>
        <v>1</v>
      </c>
      <c r="P62" s="229">
        <f>'[1]Housing Generation'!P62</f>
        <v>1</v>
      </c>
      <c r="Q62" s="225">
        <f>'[1]Housing Generation'!Q62</f>
        <v>12</v>
      </c>
      <c r="R62" s="227">
        <f>'[1]Housing Generation'!R62</f>
        <v>2</v>
      </c>
      <c r="S62" s="227">
        <f>'[1]Housing Generation'!S62</f>
        <v>2</v>
      </c>
      <c r="T62" s="227">
        <f>'[1]Housing Generation'!T62</f>
        <v>2</v>
      </c>
      <c r="U62" s="227">
        <f>'[1]Housing Generation'!U62</f>
        <v>2</v>
      </c>
      <c r="V62" s="227">
        <f>'[1]Housing Generation'!V62</f>
        <v>2</v>
      </c>
      <c r="W62" s="227">
        <f>'[1]Housing Generation'!W62</f>
        <v>1</v>
      </c>
      <c r="X62" s="227">
        <f>'[1]Housing Generation'!X62</f>
        <v>1</v>
      </c>
      <c r="Y62" s="224">
        <f>'[1]Housing Generation'!Y62</f>
        <v>12</v>
      </c>
      <c r="Z62" s="229">
        <f>'[1]Housing Generation'!Z62</f>
        <v>5</v>
      </c>
      <c r="AA62" s="229">
        <f>'[1]Housing Generation'!AA62</f>
        <v>5</v>
      </c>
      <c r="AB62" s="229">
        <f>'[1]Housing Generation'!AB62</f>
        <v>5</v>
      </c>
      <c r="AC62" s="229">
        <f>'[1]Housing Generation'!AC62</f>
        <v>5</v>
      </c>
      <c r="AD62" s="229">
        <f>'[1]Housing Generation'!AD62</f>
        <v>5</v>
      </c>
      <c r="AE62" s="229">
        <f>'[1]Housing Generation'!AE62</f>
        <v>4</v>
      </c>
      <c r="AF62" s="229">
        <f>'[1]Housing Generation'!AF62</f>
        <v>4</v>
      </c>
      <c r="AG62" s="225">
        <f>'[1]Housing Generation'!AG62</f>
        <v>33</v>
      </c>
      <c r="AH62" s="227">
        <f>'[1]Housing Generation'!AH62</f>
        <v>8</v>
      </c>
      <c r="AI62" s="227">
        <f>'[1]Housing Generation'!AI62</f>
        <v>8</v>
      </c>
      <c r="AJ62" s="227">
        <f>'[1]Housing Generation'!AJ62</f>
        <v>8</v>
      </c>
      <c r="AK62" s="227">
        <f>'[1]Housing Generation'!AK62</f>
        <v>8</v>
      </c>
      <c r="AL62" s="227">
        <f>'[1]Housing Generation'!AL62</f>
        <v>8</v>
      </c>
      <c r="AM62" s="227">
        <f>'[1]Housing Generation'!AM62</f>
        <v>8</v>
      </c>
      <c r="AN62" s="227">
        <f>'[1]Housing Generation'!AN62</f>
        <v>8</v>
      </c>
      <c r="AO62" s="224">
        <f>'[1]Housing Generation'!AO62</f>
        <v>56</v>
      </c>
      <c r="AP62" s="229">
        <f>'[1]Housing Generation'!AP62</f>
        <v>10</v>
      </c>
      <c r="AQ62" s="229">
        <f>'[1]Housing Generation'!AQ62</f>
        <v>10</v>
      </c>
      <c r="AR62" s="229">
        <f>'[1]Housing Generation'!AR62</f>
        <v>10</v>
      </c>
      <c r="AS62" s="229">
        <f>'[1]Housing Generation'!AS62</f>
        <v>10</v>
      </c>
      <c r="AT62" s="229">
        <f>'[1]Housing Generation'!AT62</f>
        <v>9</v>
      </c>
      <c r="AU62" s="229">
        <f>'[1]Housing Generation'!AU62</f>
        <v>9</v>
      </c>
      <c r="AV62" s="229">
        <f>'[1]Housing Generation'!AV62</f>
        <v>9</v>
      </c>
      <c r="AW62" s="225">
        <f>'[1]Housing Generation'!AW62</f>
        <v>67</v>
      </c>
      <c r="AX62" s="227">
        <f>'[1]Housing Generation'!AX62</f>
        <v>12</v>
      </c>
      <c r="AY62" s="227">
        <f>'[1]Housing Generation'!AY62</f>
        <v>11</v>
      </c>
      <c r="AZ62" s="227">
        <f>'[1]Housing Generation'!AZ62</f>
        <v>11</v>
      </c>
      <c r="BA62" s="227">
        <f>'[1]Housing Generation'!BA62</f>
        <v>11</v>
      </c>
      <c r="BB62" s="227">
        <f>'[1]Housing Generation'!BB62</f>
        <v>11</v>
      </c>
      <c r="BC62" s="227">
        <f>'[1]Housing Generation'!BC62</f>
        <v>11</v>
      </c>
      <c r="BD62" s="227">
        <f>'[1]Housing Generation'!BD62</f>
        <v>11</v>
      </c>
      <c r="BE62" s="224">
        <f>'[1]Housing Generation'!BE62</f>
        <v>78</v>
      </c>
      <c r="BF62" s="229">
        <f>'[1]Housing Generation'!BF62</f>
        <v>13</v>
      </c>
      <c r="BG62" s="229">
        <f>'[1]Housing Generation'!BG62</f>
        <v>13</v>
      </c>
      <c r="BH62" s="229">
        <f>'[1]Housing Generation'!BH62</f>
        <v>13</v>
      </c>
      <c r="BI62" s="229">
        <f>'[1]Housing Generation'!BI62</f>
        <v>13</v>
      </c>
      <c r="BJ62" s="229">
        <f>'[1]Housing Generation'!BJ62</f>
        <v>13</v>
      </c>
      <c r="BK62" s="229">
        <f>'[1]Housing Generation'!BK62</f>
        <v>12</v>
      </c>
      <c r="BL62" s="229">
        <f>'[1]Housing Generation'!BL62</f>
        <v>12</v>
      </c>
      <c r="BM62" s="225">
        <f>'[1]Housing Generation'!BM62</f>
        <v>89</v>
      </c>
      <c r="BN62" s="227">
        <f>'[1]Housing Generation'!BN62</f>
        <v>15</v>
      </c>
      <c r="BO62" s="227">
        <f>'[1]Housing Generation'!BO62</f>
        <v>15</v>
      </c>
      <c r="BP62" s="227">
        <f>'[1]Housing Generation'!BP62</f>
        <v>14</v>
      </c>
      <c r="BQ62" s="227">
        <f>'[1]Housing Generation'!BQ62</f>
        <v>14</v>
      </c>
      <c r="BR62" s="227">
        <f>'[1]Housing Generation'!BR62</f>
        <v>14</v>
      </c>
      <c r="BS62" s="227">
        <f>'[1]Housing Generation'!BS62</f>
        <v>14</v>
      </c>
      <c r="BT62" s="227">
        <f>'[1]Housing Generation'!BT62</f>
        <v>14</v>
      </c>
      <c r="BU62" s="224">
        <f>'[1]Housing Generation'!BU62</f>
        <v>100</v>
      </c>
      <c r="BV62" s="229">
        <f>'[1]Housing Generation'!BV62</f>
        <v>16</v>
      </c>
      <c r="BW62" s="229">
        <f>'[1]Housing Generation'!BW62</f>
        <v>16</v>
      </c>
      <c r="BX62" s="229">
        <f>'[1]Housing Generation'!BX62</f>
        <v>16</v>
      </c>
      <c r="BY62" s="229">
        <f>'[1]Housing Generation'!BY62</f>
        <v>16</v>
      </c>
      <c r="BZ62" s="229">
        <f>'[1]Housing Generation'!BZ62</f>
        <v>15</v>
      </c>
      <c r="CA62" s="229">
        <f>'[1]Housing Generation'!CA62</f>
        <v>15</v>
      </c>
      <c r="CB62" s="229">
        <f>'[1]Housing Generation'!CB62</f>
        <v>15</v>
      </c>
      <c r="CC62" s="225">
        <f>'[1]Housing Generation'!CC62</f>
        <v>109</v>
      </c>
      <c r="CD62" s="227">
        <f>'[1]Housing Generation'!CD62</f>
        <v>16</v>
      </c>
      <c r="CE62" s="227">
        <f>'[1]Housing Generation'!CE62</f>
        <v>16</v>
      </c>
      <c r="CF62" s="227">
        <f>'[1]Housing Generation'!CF62</f>
        <v>16</v>
      </c>
      <c r="CG62" s="227">
        <f>'[1]Housing Generation'!CG62</f>
        <v>16</v>
      </c>
      <c r="CH62" s="227">
        <f>'[1]Housing Generation'!CH62</f>
        <v>15</v>
      </c>
      <c r="CI62" s="227">
        <f>'[1]Housing Generation'!CI62</f>
        <v>15</v>
      </c>
      <c r="CJ62" s="227">
        <f>'[1]Housing Generation'!CJ62</f>
        <v>15</v>
      </c>
      <c r="CK62" s="224">
        <f>'[1]Housing Generation'!CK62</f>
        <v>109</v>
      </c>
      <c r="CL62" s="229">
        <f>'[1]Housing Generation'!CL62</f>
        <v>17</v>
      </c>
      <c r="CM62" s="229">
        <f>'[1]Housing Generation'!CM62</f>
        <v>17</v>
      </c>
      <c r="CN62" s="229">
        <f>'[1]Housing Generation'!CN62</f>
        <v>17</v>
      </c>
      <c r="CO62" s="229">
        <f>'[1]Housing Generation'!CO62</f>
        <v>16</v>
      </c>
      <c r="CP62" s="229">
        <f>'[1]Housing Generation'!CP62</f>
        <v>16</v>
      </c>
      <c r="CQ62" s="229">
        <f>'[1]Housing Generation'!CQ62</f>
        <v>16</v>
      </c>
      <c r="CR62" s="229">
        <f>'[1]Housing Generation'!CR62</f>
        <v>16</v>
      </c>
      <c r="CS62" s="225">
        <f>'[1]Housing Generation'!CS62</f>
        <v>115</v>
      </c>
      <c r="CT62" s="227">
        <f>'[1]Housing Generation'!CT62</f>
        <v>18</v>
      </c>
      <c r="CU62" s="227">
        <f>'[1]Housing Generation'!CU62</f>
        <v>18</v>
      </c>
      <c r="CV62" s="227">
        <f>'[1]Housing Generation'!CV62</f>
        <v>17</v>
      </c>
      <c r="CW62" s="227">
        <f>'[1]Housing Generation'!CW62</f>
        <v>17</v>
      </c>
      <c r="CX62" s="227">
        <f>'[1]Housing Generation'!CX62</f>
        <v>17</v>
      </c>
      <c r="CY62" s="227">
        <f>'[1]Housing Generation'!CY62</f>
        <v>17</v>
      </c>
      <c r="CZ62" s="227">
        <f>'[1]Housing Generation'!CZ62</f>
        <v>17</v>
      </c>
      <c r="DA62" s="224">
        <f>'[1]Housing Generation'!DA62</f>
        <v>121</v>
      </c>
      <c r="DB62" s="229">
        <f>'[1]Housing Generation'!DB62</f>
        <v>19</v>
      </c>
      <c r="DC62" s="229">
        <f>'[1]Housing Generation'!DC62</f>
        <v>18</v>
      </c>
      <c r="DD62" s="229">
        <f>'[1]Housing Generation'!DD62</f>
        <v>18</v>
      </c>
      <c r="DE62" s="229">
        <f>'[1]Housing Generation'!DE62</f>
        <v>18</v>
      </c>
      <c r="DF62" s="229">
        <f>'[1]Housing Generation'!DF62</f>
        <v>18</v>
      </c>
      <c r="DG62" s="229">
        <f>'[1]Housing Generation'!DG62</f>
        <v>18</v>
      </c>
      <c r="DH62" s="229">
        <f>'[1]Housing Generation'!DH62</f>
        <v>18</v>
      </c>
      <c r="DI62" s="225">
        <f>'[1]Housing Generation'!DI62</f>
        <v>127</v>
      </c>
      <c r="DJ62" s="227">
        <f>'[1]Housing Generation'!DJ62</f>
        <v>19</v>
      </c>
      <c r="DK62" s="227">
        <f>'[1]Housing Generation'!DK62</f>
        <v>19</v>
      </c>
      <c r="DL62" s="227">
        <f>'[1]Housing Generation'!DL62</f>
        <v>19</v>
      </c>
      <c r="DM62" s="227">
        <f>'[1]Housing Generation'!DM62</f>
        <v>19</v>
      </c>
      <c r="DN62" s="227">
        <f>'[1]Housing Generation'!DN62</f>
        <v>19</v>
      </c>
      <c r="DO62" s="227">
        <f>'[1]Housing Generation'!DO62</f>
        <v>19</v>
      </c>
      <c r="DP62" s="227">
        <f>'[1]Housing Generation'!DP62</f>
        <v>19</v>
      </c>
      <c r="DQ62" s="224">
        <f>'[1]Housing Generation'!DQ62</f>
        <v>133</v>
      </c>
    </row>
    <row r="63" spans="1:121" x14ac:dyDescent="0.2">
      <c r="A63" s="237" t="s">
        <v>64</v>
      </c>
      <c r="B63" s="227">
        <f>'[1]Housing Generation'!B63</f>
        <v>1</v>
      </c>
      <c r="C63" s="227">
        <f>'[1]Housing Generation'!C63</f>
        <v>1</v>
      </c>
      <c r="D63" s="227">
        <f>'[1]Housing Generation'!D63</f>
        <v>1</v>
      </c>
      <c r="E63" s="227">
        <f>'[1]Housing Generation'!E63</f>
        <v>1</v>
      </c>
      <c r="F63" s="227">
        <f>'[1]Housing Generation'!F63</f>
        <v>1</v>
      </c>
      <c r="G63" s="227">
        <f>'[1]Housing Generation'!G63</f>
        <v>1</v>
      </c>
      <c r="H63" s="227">
        <f>'[1]Housing Generation'!H63</f>
        <v>1</v>
      </c>
      <c r="I63" s="224">
        <f>'[1]Housing Generation'!I63</f>
        <v>7</v>
      </c>
      <c r="J63" s="229">
        <f>'[1]Housing Generation'!J63</f>
        <v>2</v>
      </c>
      <c r="K63" s="229">
        <f>'[1]Housing Generation'!K63</f>
        <v>1</v>
      </c>
      <c r="L63" s="229">
        <f>'[1]Housing Generation'!L63</f>
        <v>1</v>
      </c>
      <c r="M63" s="229">
        <f>'[1]Housing Generation'!M63</f>
        <v>1</v>
      </c>
      <c r="N63" s="229">
        <f>'[1]Housing Generation'!N63</f>
        <v>1</v>
      </c>
      <c r="O63" s="229">
        <f>'[1]Housing Generation'!O63</f>
        <v>1</v>
      </c>
      <c r="P63" s="229">
        <f>'[1]Housing Generation'!P63</f>
        <v>1</v>
      </c>
      <c r="Q63" s="225">
        <f>'[1]Housing Generation'!Q63</f>
        <v>8</v>
      </c>
      <c r="R63" s="227">
        <f>'[1]Housing Generation'!R63</f>
        <v>2</v>
      </c>
      <c r="S63" s="227">
        <f>'[1]Housing Generation'!S63</f>
        <v>2</v>
      </c>
      <c r="T63" s="227">
        <f>'[1]Housing Generation'!T63</f>
        <v>2</v>
      </c>
      <c r="U63" s="227">
        <f>'[1]Housing Generation'!U63</f>
        <v>2</v>
      </c>
      <c r="V63" s="227">
        <f>'[1]Housing Generation'!V63</f>
        <v>1</v>
      </c>
      <c r="W63" s="227">
        <f>'[1]Housing Generation'!W63</f>
        <v>1</v>
      </c>
      <c r="X63" s="227">
        <f>'[1]Housing Generation'!X63</f>
        <v>1</v>
      </c>
      <c r="Y63" s="224">
        <f>'[1]Housing Generation'!Y63</f>
        <v>11</v>
      </c>
      <c r="Z63" s="229">
        <f>'[1]Housing Generation'!Z63</f>
        <v>2</v>
      </c>
      <c r="AA63" s="229">
        <f>'[1]Housing Generation'!AA63</f>
        <v>2</v>
      </c>
      <c r="AB63" s="229">
        <f>'[1]Housing Generation'!AB63</f>
        <v>2</v>
      </c>
      <c r="AC63" s="229">
        <f>'[1]Housing Generation'!AC63</f>
        <v>2</v>
      </c>
      <c r="AD63" s="229">
        <f>'[1]Housing Generation'!AD63</f>
        <v>1</v>
      </c>
      <c r="AE63" s="229">
        <f>'[1]Housing Generation'!AE63</f>
        <v>1</v>
      </c>
      <c r="AF63" s="229">
        <f>'[1]Housing Generation'!AF63</f>
        <v>1</v>
      </c>
      <c r="AG63" s="225">
        <f>'[1]Housing Generation'!AG63</f>
        <v>11</v>
      </c>
      <c r="AH63" s="227">
        <f>'[1]Housing Generation'!AH63</f>
        <v>2</v>
      </c>
      <c r="AI63" s="227">
        <f>'[1]Housing Generation'!AI63</f>
        <v>2</v>
      </c>
      <c r="AJ63" s="227">
        <f>'[1]Housing Generation'!AJ63</f>
        <v>2</v>
      </c>
      <c r="AK63" s="227">
        <f>'[1]Housing Generation'!AK63</f>
        <v>2</v>
      </c>
      <c r="AL63" s="227">
        <f>'[1]Housing Generation'!AL63</f>
        <v>1</v>
      </c>
      <c r="AM63" s="227">
        <f>'[1]Housing Generation'!AM63</f>
        <v>1</v>
      </c>
      <c r="AN63" s="227">
        <f>'[1]Housing Generation'!AN63</f>
        <v>1</v>
      </c>
      <c r="AO63" s="224">
        <f>'[1]Housing Generation'!AO63</f>
        <v>11</v>
      </c>
      <c r="AP63" s="229">
        <f>'[1]Housing Generation'!AP63</f>
        <v>2</v>
      </c>
      <c r="AQ63" s="229">
        <f>'[1]Housing Generation'!AQ63</f>
        <v>2</v>
      </c>
      <c r="AR63" s="229">
        <f>'[1]Housing Generation'!AR63</f>
        <v>2</v>
      </c>
      <c r="AS63" s="229">
        <f>'[1]Housing Generation'!AS63</f>
        <v>2</v>
      </c>
      <c r="AT63" s="229">
        <f>'[1]Housing Generation'!AT63</f>
        <v>1</v>
      </c>
      <c r="AU63" s="229">
        <f>'[1]Housing Generation'!AU63</f>
        <v>1</v>
      </c>
      <c r="AV63" s="229">
        <f>'[1]Housing Generation'!AV63</f>
        <v>1</v>
      </c>
      <c r="AW63" s="225">
        <f>'[1]Housing Generation'!AW63</f>
        <v>11</v>
      </c>
      <c r="AX63" s="227">
        <f>'[1]Housing Generation'!AX63</f>
        <v>2</v>
      </c>
      <c r="AY63" s="227">
        <f>'[1]Housing Generation'!AY63</f>
        <v>2</v>
      </c>
      <c r="AZ63" s="227">
        <f>'[1]Housing Generation'!AZ63</f>
        <v>2</v>
      </c>
      <c r="BA63" s="227">
        <f>'[1]Housing Generation'!BA63</f>
        <v>2</v>
      </c>
      <c r="BB63" s="227">
        <f>'[1]Housing Generation'!BB63</f>
        <v>1</v>
      </c>
      <c r="BC63" s="227">
        <f>'[1]Housing Generation'!BC63</f>
        <v>1</v>
      </c>
      <c r="BD63" s="227">
        <f>'[1]Housing Generation'!BD63</f>
        <v>1</v>
      </c>
      <c r="BE63" s="224">
        <f>'[1]Housing Generation'!BE63</f>
        <v>11</v>
      </c>
      <c r="BF63" s="229">
        <f>'[1]Housing Generation'!BF63</f>
        <v>2</v>
      </c>
      <c r="BG63" s="229">
        <f>'[1]Housing Generation'!BG63</f>
        <v>2</v>
      </c>
      <c r="BH63" s="229">
        <f>'[1]Housing Generation'!BH63</f>
        <v>2</v>
      </c>
      <c r="BI63" s="229">
        <f>'[1]Housing Generation'!BI63</f>
        <v>2</v>
      </c>
      <c r="BJ63" s="229">
        <f>'[1]Housing Generation'!BJ63</f>
        <v>1</v>
      </c>
      <c r="BK63" s="229">
        <f>'[1]Housing Generation'!BK63</f>
        <v>1</v>
      </c>
      <c r="BL63" s="229">
        <f>'[1]Housing Generation'!BL63</f>
        <v>1</v>
      </c>
      <c r="BM63" s="225">
        <f>'[1]Housing Generation'!BM63</f>
        <v>11</v>
      </c>
      <c r="BN63" s="227">
        <f>'[1]Housing Generation'!BN63</f>
        <v>2</v>
      </c>
      <c r="BO63" s="227">
        <f>'[1]Housing Generation'!BO63</f>
        <v>2</v>
      </c>
      <c r="BP63" s="227">
        <f>'[1]Housing Generation'!BP63</f>
        <v>2</v>
      </c>
      <c r="BQ63" s="227">
        <f>'[1]Housing Generation'!BQ63</f>
        <v>2</v>
      </c>
      <c r="BR63" s="227">
        <f>'[1]Housing Generation'!BR63</f>
        <v>1</v>
      </c>
      <c r="BS63" s="227">
        <f>'[1]Housing Generation'!BS63</f>
        <v>1</v>
      </c>
      <c r="BT63" s="227">
        <f>'[1]Housing Generation'!BT63</f>
        <v>1</v>
      </c>
      <c r="BU63" s="224">
        <f>'[1]Housing Generation'!BU63</f>
        <v>11</v>
      </c>
      <c r="BV63" s="229">
        <f>'[1]Housing Generation'!BV63</f>
        <v>2</v>
      </c>
      <c r="BW63" s="229">
        <f>'[1]Housing Generation'!BW63</f>
        <v>2</v>
      </c>
      <c r="BX63" s="229">
        <f>'[1]Housing Generation'!BX63</f>
        <v>2</v>
      </c>
      <c r="BY63" s="229">
        <f>'[1]Housing Generation'!BY63</f>
        <v>2</v>
      </c>
      <c r="BZ63" s="229">
        <f>'[1]Housing Generation'!BZ63</f>
        <v>1</v>
      </c>
      <c r="CA63" s="229">
        <f>'[1]Housing Generation'!CA63</f>
        <v>1</v>
      </c>
      <c r="CB63" s="229">
        <f>'[1]Housing Generation'!CB63</f>
        <v>1</v>
      </c>
      <c r="CC63" s="225">
        <f>'[1]Housing Generation'!CC63</f>
        <v>11</v>
      </c>
      <c r="CD63" s="227">
        <f>'[1]Housing Generation'!CD63</f>
        <v>2</v>
      </c>
      <c r="CE63" s="227">
        <f>'[1]Housing Generation'!CE63</f>
        <v>2</v>
      </c>
      <c r="CF63" s="227">
        <f>'[1]Housing Generation'!CF63</f>
        <v>2</v>
      </c>
      <c r="CG63" s="227">
        <f>'[1]Housing Generation'!CG63</f>
        <v>2</v>
      </c>
      <c r="CH63" s="227">
        <f>'[1]Housing Generation'!CH63</f>
        <v>1</v>
      </c>
      <c r="CI63" s="227">
        <f>'[1]Housing Generation'!CI63</f>
        <v>1</v>
      </c>
      <c r="CJ63" s="227">
        <f>'[1]Housing Generation'!CJ63</f>
        <v>1</v>
      </c>
      <c r="CK63" s="224">
        <f>'[1]Housing Generation'!CK63</f>
        <v>11</v>
      </c>
      <c r="CL63" s="229">
        <f>'[1]Housing Generation'!CL63</f>
        <v>2</v>
      </c>
      <c r="CM63" s="229">
        <f>'[1]Housing Generation'!CM63</f>
        <v>2</v>
      </c>
      <c r="CN63" s="229">
        <f>'[1]Housing Generation'!CN63</f>
        <v>2</v>
      </c>
      <c r="CO63" s="229">
        <f>'[1]Housing Generation'!CO63</f>
        <v>2</v>
      </c>
      <c r="CP63" s="229">
        <f>'[1]Housing Generation'!CP63</f>
        <v>1</v>
      </c>
      <c r="CQ63" s="229">
        <f>'[1]Housing Generation'!CQ63</f>
        <v>1</v>
      </c>
      <c r="CR63" s="229">
        <f>'[1]Housing Generation'!CR63</f>
        <v>1</v>
      </c>
      <c r="CS63" s="225">
        <f>'[1]Housing Generation'!CS63</f>
        <v>11</v>
      </c>
      <c r="CT63" s="227">
        <f>'[1]Housing Generation'!CT63</f>
        <v>2</v>
      </c>
      <c r="CU63" s="227">
        <f>'[1]Housing Generation'!CU63</f>
        <v>2</v>
      </c>
      <c r="CV63" s="227">
        <f>'[1]Housing Generation'!CV63</f>
        <v>2</v>
      </c>
      <c r="CW63" s="227">
        <f>'[1]Housing Generation'!CW63</f>
        <v>2</v>
      </c>
      <c r="CX63" s="227">
        <f>'[1]Housing Generation'!CX63</f>
        <v>1</v>
      </c>
      <c r="CY63" s="227">
        <f>'[1]Housing Generation'!CY63</f>
        <v>1</v>
      </c>
      <c r="CZ63" s="227">
        <f>'[1]Housing Generation'!CZ63</f>
        <v>1</v>
      </c>
      <c r="DA63" s="224">
        <f>'[1]Housing Generation'!DA63</f>
        <v>11</v>
      </c>
      <c r="DB63" s="229">
        <f>'[1]Housing Generation'!DB63</f>
        <v>2</v>
      </c>
      <c r="DC63" s="229">
        <f>'[1]Housing Generation'!DC63</f>
        <v>2</v>
      </c>
      <c r="DD63" s="229">
        <f>'[1]Housing Generation'!DD63</f>
        <v>2</v>
      </c>
      <c r="DE63" s="229">
        <f>'[1]Housing Generation'!DE63</f>
        <v>2</v>
      </c>
      <c r="DF63" s="229">
        <f>'[1]Housing Generation'!DF63</f>
        <v>1</v>
      </c>
      <c r="DG63" s="229">
        <f>'[1]Housing Generation'!DG63</f>
        <v>1</v>
      </c>
      <c r="DH63" s="229">
        <f>'[1]Housing Generation'!DH63</f>
        <v>1</v>
      </c>
      <c r="DI63" s="225">
        <f>'[1]Housing Generation'!DI63</f>
        <v>11</v>
      </c>
      <c r="DJ63" s="227">
        <f>'[1]Housing Generation'!DJ63</f>
        <v>2</v>
      </c>
      <c r="DK63" s="227">
        <f>'[1]Housing Generation'!DK63</f>
        <v>2</v>
      </c>
      <c r="DL63" s="227">
        <f>'[1]Housing Generation'!DL63</f>
        <v>2</v>
      </c>
      <c r="DM63" s="227">
        <f>'[1]Housing Generation'!DM63</f>
        <v>2</v>
      </c>
      <c r="DN63" s="227">
        <f>'[1]Housing Generation'!DN63</f>
        <v>1</v>
      </c>
      <c r="DO63" s="227">
        <f>'[1]Housing Generation'!DO63</f>
        <v>1</v>
      </c>
      <c r="DP63" s="227">
        <f>'[1]Housing Generation'!DP63</f>
        <v>1</v>
      </c>
      <c r="DQ63" s="224">
        <f>'[1]Housing Generation'!DQ63</f>
        <v>11</v>
      </c>
    </row>
    <row r="64" spans="1:121" x14ac:dyDescent="0.2">
      <c r="A64" s="237" t="s">
        <v>65</v>
      </c>
      <c r="B64" s="227">
        <f>'[1]Housing Generation'!B64</f>
        <v>0</v>
      </c>
      <c r="C64" s="227">
        <f>'[1]Housing Generation'!C64</f>
        <v>0</v>
      </c>
      <c r="D64" s="227">
        <f>'[1]Housing Generation'!D64</f>
        <v>0</v>
      </c>
      <c r="E64" s="227">
        <f>'[1]Housing Generation'!E64</f>
        <v>0</v>
      </c>
      <c r="F64" s="227">
        <f>'[1]Housing Generation'!F64</f>
        <v>0</v>
      </c>
      <c r="G64" s="227">
        <f>'[1]Housing Generation'!G64</f>
        <v>0</v>
      </c>
      <c r="H64" s="227">
        <f>'[1]Housing Generation'!H64</f>
        <v>0</v>
      </c>
      <c r="I64" s="224">
        <f>'[1]Housing Generation'!I64</f>
        <v>0</v>
      </c>
      <c r="J64" s="229">
        <f>'[1]Housing Generation'!J64</f>
        <v>1</v>
      </c>
      <c r="K64" s="229">
        <f>'[1]Housing Generation'!K64</f>
        <v>1</v>
      </c>
      <c r="L64" s="229">
        <f>'[1]Housing Generation'!L64</f>
        <v>1</v>
      </c>
      <c r="M64" s="229">
        <f>'[1]Housing Generation'!M64</f>
        <v>1</v>
      </c>
      <c r="N64" s="229">
        <f>'[1]Housing Generation'!N64</f>
        <v>0</v>
      </c>
      <c r="O64" s="229">
        <f>'[1]Housing Generation'!O64</f>
        <v>0</v>
      </c>
      <c r="P64" s="229">
        <f>'[1]Housing Generation'!P64</f>
        <v>0</v>
      </c>
      <c r="Q64" s="225">
        <f>'[1]Housing Generation'!Q64</f>
        <v>4</v>
      </c>
      <c r="R64" s="227">
        <f>'[1]Housing Generation'!R64</f>
        <v>1</v>
      </c>
      <c r="S64" s="227">
        <f>'[1]Housing Generation'!S64</f>
        <v>1</v>
      </c>
      <c r="T64" s="227">
        <f>'[1]Housing Generation'!T64</f>
        <v>1</v>
      </c>
      <c r="U64" s="227">
        <f>'[1]Housing Generation'!U64</f>
        <v>1</v>
      </c>
      <c r="V64" s="227">
        <f>'[1]Housing Generation'!V64</f>
        <v>1</v>
      </c>
      <c r="W64" s="227">
        <f>'[1]Housing Generation'!W64</f>
        <v>1</v>
      </c>
      <c r="X64" s="227">
        <f>'[1]Housing Generation'!X64</f>
        <v>1</v>
      </c>
      <c r="Y64" s="224">
        <f>'[1]Housing Generation'!Y64</f>
        <v>7</v>
      </c>
      <c r="Z64" s="229">
        <f>'[1]Housing Generation'!Z64</f>
        <v>2</v>
      </c>
      <c r="AA64" s="229">
        <f>'[1]Housing Generation'!AA64</f>
        <v>2</v>
      </c>
      <c r="AB64" s="229">
        <f>'[1]Housing Generation'!AB64</f>
        <v>2</v>
      </c>
      <c r="AC64" s="229">
        <f>'[1]Housing Generation'!AC64</f>
        <v>1</v>
      </c>
      <c r="AD64" s="229">
        <f>'[1]Housing Generation'!AD64</f>
        <v>1</v>
      </c>
      <c r="AE64" s="229">
        <f>'[1]Housing Generation'!AE64</f>
        <v>1</v>
      </c>
      <c r="AF64" s="229">
        <f>'[1]Housing Generation'!AF64</f>
        <v>1</v>
      </c>
      <c r="AG64" s="225">
        <f>'[1]Housing Generation'!AG64</f>
        <v>10</v>
      </c>
      <c r="AH64" s="227">
        <f>'[1]Housing Generation'!AH64</f>
        <v>2</v>
      </c>
      <c r="AI64" s="227">
        <f>'[1]Housing Generation'!AI64</f>
        <v>2</v>
      </c>
      <c r="AJ64" s="227">
        <f>'[1]Housing Generation'!AJ64</f>
        <v>2</v>
      </c>
      <c r="AK64" s="227">
        <f>'[1]Housing Generation'!AK64</f>
        <v>2</v>
      </c>
      <c r="AL64" s="227">
        <f>'[1]Housing Generation'!AL64</f>
        <v>2</v>
      </c>
      <c r="AM64" s="227">
        <f>'[1]Housing Generation'!AM64</f>
        <v>2</v>
      </c>
      <c r="AN64" s="227">
        <f>'[1]Housing Generation'!AN64</f>
        <v>1</v>
      </c>
      <c r="AO64" s="224">
        <f>'[1]Housing Generation'!AO64</f>
        <v>13</v>
      </c>
      <c r="AP64" s="229">
        <f>'[1]Housing Generation'!AP64</f>
        <v>3</v>
      </c>
      <c r="AQ64" s="229">
        <f>'[1]Housing Generation'!AQ64</f>
        <v>2</v>
      </c>
      <c r="AR64" s="229">
        <f>'[1]Housing Generation'!AR64</f>
        <v>2</v>
      </c>
      <c r="AS64" s="229">
        <f>'[1]Housing Generation'!AS64</f>
        <v>2</v>
      </c>
      <c r="AT64" s="229">
        <f>'[1]Housing Generation'!AT64</f>
        <v>2</v>
      </c>
      <c r="AU64" s="229">
        <f>'[1]Housing Generation'!AU64</f>
        <v>2</v>
      </c>
      <c r="AV64" s="229">
        <f>'[1]Housing Generation'!AV64</f>
        <v>2</v>
      </c>
      <c r="AW64" s="225">
        <f>'[1]Housing Generation'!AW64</f>
        <v>15</v>
      </c>
      <c r="AX64" s="227">
        <f>'[1]Housing Generation'!AX64</f>
        <v>3</v>
      </c>
      <c r="AY64" s="227">
        <f>'[1]Housing Generation'!AY64</f>
        <v>3</v>
      </c>
      <c r="AZ64" s="227">
        <f>'[1]Housing Generation'!AZ64</f>
        <v>2</v>
      </c>
      <c r="BA64" s="227">
        <f>'[1]Housing Generation'!BA64</f>
        <v>2</v>
      </c>
      <c r="BB64" s="227">
        <f>'[1]Housing Generation'!BB64</f>
        <v>2</v>
      </c>
      <c r="BC64" s="227">
        <f>'[1]Housing Generation'!BC64</f>
        <v>2</v>
      </c>
      <c r="BD64" s="227">
        <f>'[1]Housing Generation'!BD64</f>
        <v>2</v>
      </c>
      <c r="BE64" s="224">
        <f>'[1]Housing Generation'!BE64</f>
        <v>16</v>
      </c>
      <c r="BF64" s="229">
        <f>'[1]Housing Generation'!BF64</f>
        <v>3</v>
      </c>
      <c r="BG64" s="229">
        <f>'[1]Housing Generation'!BG64</f>
        <v>3</v>
      </c>
      <c r="BH64" s="229">
        <f>'[1]Housing Generation'!BH64</f>
        <v>3</v>
      </c>
      <c r="BI64" s="229">
        <f>'[1]Housing Generation'!BI64</f>
        <v>3</v>
      </c>
      <c r="BJ64" s="229">
        <f>'[1]Housing Generation'!BJ64</f>
        <v>2</v>
      </c>
      <c r="BK64" s="229">
        <f>'[1]Housing Generation'!BK64</f>
        <v>2</v>
      </c>
      <c r="BL64" s="229">
        <f>'[1]Housing Generation'!BL64</f>
        <v>2</v>
      </c>
      <c r="BM64" s="225">
        <f>'[1]Housing Generation'!BM64</f>
        <v>18</v>
      </c>
      <c r="BN64" s="227">
        <f>'[1]Housing Generation'!BN64</f>
        <v>3</v>
      </c>
      <c r="BO64" s="227">
        <f>'[1]Housing Generation'!BO64</f>
        <v>3</v>
      </c>
      <c r="BP64" s="227">
        <f>'[1]Housing Generation'!BP64</f>
        <v>3</v>
      </c>
      <c r="BQ64" s="227">
        <f>'[1]Housing Generation'!BQ64</f>
        <v>3</v>
      </c>
      <c r="BR64" s="227">
        <f>'[1]Housing Generation'!BR64</f>
        <v>2</v>
      </c>
      <c r="BS64" s="227">
        <f>'[1]Housing Generation'!BS64</f>
        <v>2</v>
      </c>
      <c r="BT64" s="227">
        <f>'[1]Housing Generation'!BT64</f>
        <v>2</v>
      </c>
      <c r="BU64" s="224">
        <f>'[1]Housing Generation'!BU64</f>
        <v>18</v>
      </c>
      <c r="BV64" s="229">
        <f>'[1]Housing Generation'!BV64</f>
        <v>3</v>
      </c>
      <c r="BW64" s="229">
        <f>'[1]Housing Generation'!BW64</f>
        <v>3</v>
      </c>
      <c r="BX64" s="229">
        <f>'[1]Housing Generation'!BX64</f>
        <v>3</v>
      </c>
      <c r="BY64" s="229">
        <f>'[1]Housing Generation'!BY64</f>
        <v>3</v>
      </c>
      <c r="BZ64" s="229">
        <f>'[1]Housing Generation'!BZ64</f>
        <v>2</v>
      </c>
      <c r="CA64" s="229">
        <f>'[1]Housing Generation'!CA64</f>
        <v>2</v>
      </c>
      <c r="CB64" s="229">
        <f>'[1]Housing Generation'!CB64</f>
        <v>2</v>
      </c>
      <c r="CC64" s="225">
        <f>'[1]Housing Generation'!CC64</f>
        <v>18</v>
      </c>
      <c r="CD64" s="227">
        <f>'[1]Housing Generation'!CD64</f>
        <v>3</v>
      </c>
      <c r="CE64" s="227">
        <f>'[1]Housing Generation'!CE64</f>
        <v>3</v>
      </c>
      <c r="CF64" s="227">
        <f>'[1]Housing Generation'!CF64</f>
        <v>3</v>
      </c>
      <c r="CG64" s="227">
        <f>'[1]Housing Generation'!CG64</f>
        <v>3</v>
      </c>
      <c r="CH64" s="227">
        <f>'[1]Housing Generation'!CH64</f>
        <v>2</v>
      </c>
      <c r="CI64" s="227">
        <f>'[1]Housing Generation'!CI64</f>
        <v>2</v>
      </c>
      <c r="CJ64" s="227">
        <f>'[1]Housing Generation'!CJ64</f>
        <v>2</v>
      </c>
      <c r="CK64" s="224">
        <f>'[1]Housing Generation'!CK64</f>
        <v>18</v>
      </c>
      <c r="CL64" s="229">
        <f>'[1]Housing Generation'!CL64</f>
        <v>3</v>
      </c>
      <c r="CM64" s="229">
        <f>'[1]Housing Generation'!CM64</f>
        <v>3</v>
      </c>
      <c r="CN64" s="229">
        <f>'[1]Housing Generation'!CN64</f>
        <v>3</v>
      </c>
      <c r="CO64" s="229">
        <f>'[1]Housing Generation'!CO64</f>
        <v>3</v>
      </c>
      <c r="CP64" s="229">
        <f>'[1]Housing Generation'!CP64</f>
        <v>2</v>
      </c>
      <c r="CQ64" s="229">
        <f>'[1]Housing Generation'!CQ64</f>
        <v>2</v>
      </c>
      <c r="CR64" s="229">
        <f>'[1]Housing Generation'!CR64</f>
        <v>2</v>
      </c>
      <c r="CS64" s="225">
        <f>'[1]Housing Generation'!CS64</f>
        <v>18</v>
      </c>
      <c r="CT64" s="227">
        <f>'[1]Housing Generation'!CT64</f>
        <v>3</v>
      </c>
      <c r="CU64" s="227">
        <f>'[1]Housing Generation'!CU64</f>
        <v>3</v>
      </c>
      <c r="CV64" s="227">
        <f>'[1]Housing Generation'!CV64</f>
        <v>3</v>
      </c>
      <c r="CW64" s="227">
        <f>'[1]Housing Generation'!CW64</f>
        <v>3</v>
      </c>
      <c r="CX64" s="227">
        <f>'[1]Housing Generation'!CX64</f>
        <v>2</v>
      </c>
      <c r="CY64" s="227">
        <f>'[1]Housing Generation'!CY64</f>
        <v>2</v>
      </c>
      <c r="CZ64" s="227">
        <f>'[1]Housing Generation'!CZ64</f>
        <v>2</v>
      </c>
      <c r="DA64" s="224">
        <f>'[1]Housing Generation'!DA64</f>
        <v>18</v>
      </c>
      <c r="DB64" s="229">
        <f>'[1]Housing Generation'!DB64</f>
        <v>3</v>
      </c>
      <c r="DC64" s="229">
        <f>'[1]Housing Generation'!DC64</f>
        <v>3</v>
      </c>
      <c r="DD64" s="229">
        <f>'[1]Housing Generation'!DD64</f>
        <v>3</v>
      </c>
      <c r="DE64" s="229">
        <f>'[1]Housing Generation'!DE64</f>
        <v>3</v>
      </c>
      <c r="DF64" s="229">
        <f>'[1]Housing Generation'!DF64</f>
        <v>2</v>
      </c>
      <c r="DG64" s="229">
        <f>'[1]Housing Generation'!DG64</f>
        <v>2</v>
      </c>
      <c r="DH64" s="229">
        <f>'[1]Housing Generation'!DH64</f>
        <v>2</v>
      </c>
      <c r="DI64" s="225">
        <f>'[1]Housing Generation'!DI64</f>
        <v>18</v>
      </c>
      <c r="DJ64" s="227">
        <f>'[1]Housing Generation'!DJ64</f>
        <v>3</v>
      </c>
      <c r="DK64" s="227">
        <f>'[1]Housing Generation'!DK64</f>
        <v>3</v>
      </c>
      <c r="DL64" s="227">
        <f>'[1]Housing Generation'!DL64</f>
        <v>3</v>
      </c>
      <c r="DM64" s="227">
        <f>'[1]Housing Generation'!DM64</f>
        <v>3</v>
      </c>
      <c r="DN64" s="227">
        <f>'[1]Housing Generation'!DN64</f>
        <v>2</v>
      </c>
      <c r="DO64" s="227">
        <f>'[1]Housing Generation'!DO64</f>
        <v>2</v>
      </c>
      <c r="DP64" s="227">
        <f>'[1]Housing Generation'!DP64</f>
        <v>2</v>
      </c>
      <c r="DQ64" s="224">
        <f>'[1]Housing Generation'!DQ64</f>
        <v>18</v>
      </c>
    </row>
    <row r="65" spans="1:121" x14ac:dyDescent="0.2">
      <c r="A65" s="237" t="s">
        <v>66</v>
      </c>
      <c r="B65" s="227">
        <f>'[1]Housing Generation'!B65</f>
        <v>0</v>
      </c>
      <c r="C65" s="227">
        <f>'[1]Housing Generation'!C65</f>
        <v>0</v>
      </c>
      <c r="D65" s="227">
        <f>'[1]Housing Generation'!D65</f>
        <v>0</v>
      </c>
      <c r="E65" s="227">
        <f>'[1]Housing Generation'!E65</f>
        <v>0</v>
      </c>
      <c r="F65" s="227">
        <f>'[1]Housing Generation'!F65</f>
        <v>0</v>
      </c>
      <c r="G65" s="227">
        <f>'[1]Housing Generation'!G65</f>
        <v>0</v>
      </c>
      <c r="H65" s="227">
        <f>'[1]Housing Generation'!H65</f>
        <v>0</v>
      </c>
      <c r="I65" s="224">
        <f>'[1]Housing Generation'!I65</f>
        <v>0</v>
      </c>
      <c r="J65" s="229">
        <f>'[1]Housing Generation'!J65</f>
        <v>0</v>
      </c>
      <c r="K65" s="229">
        <f>'[1]Housing Generation'!K65</f>
        <v>0</v>
      </c>
      <c r="L65" s="229">
        <f>'[1]Housing Generation'!L65</f>
        <v>0</v>
      </c>
      <c r="M65" s="229">
        <f>'[1]Housing Generation'!M65</f>
        <v>0</v>
      </c>
      <c r="N65" s="229">
        <f>'[1]Housing Generation'!N65</f>
        <v>0</v>
      </c>
      <c r="O65" s="229">
        <f>'[1]Housing Generation'!O65</f>
        <v>0</v>
      </c>
      <c r="P65" s="229">
        <f>'[1]Housing Generation'!P65</f>
        <v>0</v>
      </c>
      <c r="Q65" s="225">
        <f>'[1]Housing Generation'!Q65</f>
        <v>0</v>
      </c>
      <c r="R65" s="227">
        <f>'[1]Housing Generation'!R65</f>
        <v>0</v>
      </c>
      <c r="S65" s="227">
        <f>'[1]Housing Generation'!S65</f>
        <v>0</v>
      </c>
      <c r="T65" s="227">
        <f>'[1]Housing Generation'!T65</f>
        <v>0</v>
      </c>
      <c r="U65" s="227">
        <f>'[1]Housing Generation'!U65</f>
        <v>0</v>
      </c>
      <c r="V65" s="227">
        <f>'[1]Housing Generation'!V65</f>
        <v>0</v>
      </c>
      <c r="W65" s="227">
        <f>'[1]Housing Generation'!W65</f>
        <v>0</v>
      </c>
      <c r="X65" s="227">
        <f>'[1]Housing Generation'!X65</f>
        <v>0</v>
      </c>
      <c r="Y65" s="224">
        <f>'[1]Housing Generation'!Y65</f>
        <v>0</v>
      </c>
      <c r="Z65" s="229">
        <f>'[1]Housing Generation'!Z65</f>
        <v>1</v>
      </c>
      <c r="AA65" s="229">
        <f>'[1]Housing Generation'!AA65</f>
        <v>1</v>
      </c>
      <c r="AB65" s="229">
        <f>'[1]Housing Generation'!AB65</f>
        <v>1</v>
      </c>
      <c r="AC65" s="229">
        <f>'[1]Housing Generation'!AC65</f>
        <v>0</v>
      </c>
      <c r="AD65" s="229">
        <f>'[1]Housing Generation'!AD65</f>
        <v>0</v>
      </c>
      <c r="AE65" s="229">
        <f>'[1]Housing Generation'!AE65</f>
        <v>0</v>
      </c>
      <c r="AF65" s="229">
        <f>'[1]Housing Generation'!AF65</f>
        <v>0</v>
      </c>
      <c r="AG65" s="225">
        <f>'[1]Housing Generation'!AG65</f>
        <v>3</v>
      </c>
      <c r="AH65" s="227">
        <f>'[1]Housing Generation'!AH65</f>
        <v>1</v>
      </c>
      <c r="AI65" s="227">
        <f>'[1]Housing Generation'!AI65</f>
        <v>1</v>
      </c>
      <c r="AJ65" s="227">
        <f>'[1]Housing Generation'!AJ65</f>
        <v>1</v>
      </c>
      <c r="AK65" s="227">
        <f>'[1]Housing Generation'!AK65</f>
        <v>1</v>
      </c>
      <c r="AL65" s="227">
        <f>'[1]Housing Generation'!AL65</f>
        <v>1</v>
      </c>
      <c r="AM65" s="227">
        <f>'[1]Housing Generation'!AM65</f>
        <v>1</v>
      </c>
      <c r="AN65" s="227">
        <f>'[1]Housing Generation'!AN65</f>
        <v>1</v>
      </c>
      <c r="AO65" s="224">
        <f>'[1]Housing Generation'!AO65</f>
        <v>7</v>
      </c>
      <c r="AP65" s="229">
        <f>'[1]Housing Generation'!AP65</f>
        <v>2</v>
      </c>
      <c r="AQ65" s="229">
        <f>'[1]Housing Generation'!AQ65</f>
        <v>2</v>
      </c>
      <c r="AR65" s="229">
        <f>'[1]Housing Generation'!AR65</f>
        <v>2</v>
      </c>
      <c r="AS65" s="229">
        <f>'[1]Housing Generation'!AS65</f>
        <v>2</v>
      </c>
      <c r="AT65" s="229">
        <f>'[1]Housing Generation'!AT65</f>
        <v>1</v>
      </c>
      <c r="AU65" s="229">
        <f>'[1]Housing Generation'!AU65</f>
        <v>1</v>
      </c>
      <c r="AV65" s="229">
        <f>'[1]Housing Generation'!AV65</f>
        <v>1</v>
      </c>
      <c r="AW65" s="225">
        <f>'[1]Housing Generation'!AW65</f>
        <v>11</v>
      </c>
      <c r="AX65" s="227">
        <f>'[1]Housing Generation'!AX65</f>
        <v>3</v>
      </c>
      <c r="AY65" s="227">
        <f>'[1]Housing Generation'!AY65</f>
        <v>2</v>
      </c>
      <c r="AZ65" s="227">
        <f>'[1]Housing Generation'!AZ65</f>
        <v>2</v>
      </c>
      <c r="BA65" s="227">
        <f>'[1]Housing Generation'!BA65</f>
        <v>2</v>
      </c>
      <c r="BB65" s="227">
        <f>'[1]Housing Generation'!BB65</f>
        <v>2</v>
      </c>
      <c r="BC65" s="227">
        <f>'[1]Housing Generation'!BC65</f>
        <v>2</v>
      </c>
      <c r="BD65" s="227">
        <f>'[1]Housing Generation'!BD65</f>
        <v>2</v>
      </c>
      <c r="BE65" s="224">
        <f>'[1]Housing Generation'!BE65</f>
        <v>15</v>
      </c>
      <c r="BF65" s="229">
        <f>'[1]Housing Generation'!BF65</f>
        <v>3</v>
      </c>
      <c r="BG65" s="229">
        <f>'[1]Housing Generation'!BG65</f>
        <v>2</v>
      </c>
      <c r="BH65" s="229">
        <f>'[1]Housing Generation'!BH65</f>
        <v>2</v>
      </c>
      <c r="BI65" s="229">
        <f>'[1]Housing Generation'!BI65</f>
        <v>2</v>
      </c>
      <c r="BJ65" s="229">
        <f>'[1]Housing Generation'!BJ65</f>
        <v>2</v>
      </c>
      <c r="BK65" s="229">
        <f>'[1]Housing Generation'!BK65</f>
        <v>2</v>
      </c>
      <c r="BL65" s="229">
        <f>'[1]Housing Generation'!BL65</f>
        <v>2</v>
      </c>
      <c r="BM65" s="225">
        <f>'[1]Housing Generation'!BM65</f>
        <v>15</v>
      </c>
      <c r="BN65" s="227">
        <f>'[1]Housing Generation'!BN65</f>
        <v>3</v>
      </c>
      <c r="BO65" s="227">
        <f>'[1]Housing Generation'!BO65</f>
        <v>2</v>
      </c>
      <c r="BP65" s="227">
        <f>'[1]Housing Generation'!BP65</f>
        <v>2</v>
      </c>
      <c r="BQ65" s="227">
        <f>'[1]Housing Generation'!BQ65</f>
        <v>2</v>
      </c>
      <c r="BR65" s="227">
        <f>'[1]Housing Generation'!BR65</f>
        <v>2</v>
      </c>
      <c r="BS65" s="227">
        <f>'[1]Housing Generation'!BS65</f>
        <v>2</v>
      </c>
      <c r="BT65" s="227">
        <f>'[1]Housing Generation'!BT65</f>
        <v>2</v>
      </c>
      <c r="BU65" s="224">
        <f>'[1]Housing Generation'!BU65</f>
        <v>15</v>
      </c>
      <c r="BV65" s="229">
        <f>'[1]Housing Generation'!BV65</f>
        <v>3</v>
      </c>
      <c r="BW65" s="229">
        <f>'[1]Housing Generation'!BW65</f>
        <v>2</v>
      </c>
      <c r="BX65" s="229">
        <f>'[1]Housing Generation'!BX65</f>
        <v>2</v>
      </c>
      <c r="BY65" s="229">
        <f>'[1]Housing Generation'!BY65</f>
        <v>2</v>
      </c>
      <c r="BZ65" s="229">
        <f>'[1]Housing Generation'!BZ65</f>
        <v>2</v>
      </c>
      <c r="CA65" s="229">
        <f>'[1]Housing Generation'!CA65</f>
        <v>2</v>
      </c>
      <c r="CB65" s="229">
        <f>'[1]Housing Generation'!CB65</f>
        <v>2</v>
      </c>
      <c r="CC65" s="225">
        <f>'[1]Housing Generation'!CC65</f>
        <v>15</v>
      </c>
      <c r="CD65" s="227">
        <f>'[1]Housing Generation'!CD65</f>
        <v>3</v>
      </c>
      <c r="CE65" s="227">
        <f>'[1]Housing Generation'!CE65</f>
        <v>2</v>
      </c>
      <c r="CF65" s="227">
        <f>'[1]Housing Generation'!CF65</f>
        <v>2</v>
      </c>
      <c r="CG65" s="227">
        <f>'[1]Housing Generation'!CG65</f>
        <v>2</v>
      </c>
      <c r="CH65" s="227">
        <f>'[1]Housing Generation'!CH65</f>
        <v>2</v>
      </c>
      <c r="CI65" s="227">
        <f>'[1]Housing Generation'!CI65</f>
        <v>2</v>
      </c>
      <c r="CJ65" s="227">
        <f>'[1]Housing Generation'!CJ65</f>
        <v>2</v>
      </c>
      <c r="CK65" s="224">
        <f>'[1]Housing Generation'!CK65</f>
        <v>15</v>
      </c>
      <c r="CL65" s="229">
        <f>'[1]Housing Generation'!CL65</f>
        <v>3</v>
      </c>
      <c r="CM65" s="229">
        <f>'[1]Housing Generation'!CM65</f>
        <v>2</v>
      </c>
      <c r="CN65" s="229">
        <f>'[1]Housing Generation'!CN65</f>
        <v>2</v>
      </c>
      <c r="CO65" s="229">
        <f>'[1]Housing Generation'!CO65</f>
        <v>2</v>
      </c>
      <c r="CP65" s="229">
        <f>'[1]Housing Generation'!CP65</f>
        <v>2</v>
      </c>
      <c r="CQ65" s="229">
        <f>'[1]Housing Generation'!CQ65</f>
        <v>2</v>
      </c>
      <c r="CR65" s="229">
        <f>'[1]Housing Generation'!CR65</f>
        <v>2</v>
      </c>
      <c r="CS65" s="225">
        <f>'[1]Housing Generation'!CS65</f>
        <v>15</v>
      </c>
      <c r="CT65" s="227">
        <f>'[1]Housing Generation'!CT65</f>
        <v>3</v>
      </c>
      <c r="CU65" s="227">
        <f>'[1]Housing Generation'!CU65</f>
        <v>2</v>
      </c>
      <c r="CV65" s="227">
        <f>'[1]Housing Generation'!CV65</f>
        <v>2</v>
      </c>
      <c r="CW65" s="227">
        <f>'[1]Housing Generation'!CW65</f>
        <v>2</v>
      </c>
      <c r="CX65" s="227">
        <f>'[1]Housing Generation'!CX65</f>
        <v>2</v>
      </c>
      <c r="CY65" s="227">
        <f>'[1]Housing Generation'!CY65</f>
        <v>2</v>
      </c>
      <c r="CZ65" s="227">
        <f>'[1]Housing Generation'!CZ65</f>
        <v>2</v>
      </c>
      <c r="DA65" s="224">
        <f>'[1]Housing Generation'!DA65</f>
        <v>15</v>
      </c>
      <c r="DB65" s="229">
        <f>'[1]Housing Generation'!DB65</f>
        <v>3</v>
      </c>
      <c r="DC65" s="229">
        <f>'[1]Housing Generation'!DC65</f>
        <v>2</v>
      </c>
      <c r="DD65" s="229">
        <f>'[1]Housing Generation'!DD65</f>
        <v>2</v>
      </c>
      <c r="DE65" s="229">
        <f>'[1]Housing Generation'!DE65</f>
        <v>2</v>
      </c>
      <c r="DF65" s="229">
        <f>'[1]Housing Generation'!DF65</f>
        <v>2</v>
      </c>
      <c r="DG65" s="229">
        <f>'[1]Housing Generation'!DG65</f>
        <v>2</v>
      </c>
      <c r="DH65" s="229">
        <f>'[1]Housing Generation'!DH65</f>
        <v>2</v>
      </c>
      <c r="DI65" s="225">
        <f>'[1]Housing Generation'!DI65</f>
        <v>15</v>
      </c>
      <c r="DJ65" s="227">
        <f>'[1]Housing Generation'!DJ65</f>
        <v>3</v>
      </c>
      <c r="DK65" s="227">
        <f>'[1]Housing Generation'!DK65</f>
        <v>2</v>
      </c>
      <c r="DL65" s="227">
        <f>'[1]Housing Generation'!DL65</f>
        <v>2</v>
      </c>
      <c r="DM65" s="227">
        <f>'[1]Housing Generation'!DM65</f>
        <v>2</v>
      </c>
      <c r="DN65" s="227">
        <f>'[1]Housing Generation'!DN65</f>
        <v>2</v>
      </c>
      <c r="DO65" s="227">
        <f>'[1]Housing Generation'!DO65</f>
        <v>2</v>
      </c>
      <c r="DP65" s="227">
        <f>'[1]Housing Generation'!DP65</f>
        <v>2</v>
      </c>
      <c r="DQ65" s="224">
        <f>'[1]Housing Generation'!DQ65</f>
        <v>15</v>
      </c>
    </row>
    <row r="66" spans="1:121" x14ac:dyDescent="0.2">
      <c r="A66" s="237" t="s">
        <v>67</v>
      </c>
      <c r="B66" s="227">
        <f>'[1]Housing Generation'!B66</f>
        <v>0</v>
      </c>
      <c r="C66" s="227">
        <f>'[1]Housing Generation'!C66</f>
        <v>0</v>
      </c>
      <c r="D66" s="227">
        <f>'[1]Housing Generation'!D66</f>
        <v>0</v>
      </c>
      <c r="E66" s="227">
        <f>'[1]Housing Generation'!E66</f>
        <v>0</v>
      </c>
      <c r="F66" s="227">
        <f>'[1]Housing Generation'!F66</f>
        <v>0</v>
      </c>
      <c r="G66" s="227">
        <f>'[1]Housing Generation'!G66</f>
        <v>0</v>
      </c>
      <c r="H66" s="227">
        <f>'[1]Housing Generation'!H66</f>
        <v>0</v>
      </c>
      <c r="I66" s="224">
        <f>'[1]Housing Generation'!I66</f>
        <v>0</v>
      </c>
      <c r="J66" s="229">
        <f>'[1]Housing Generation'!J66</f>
        <v>0</v>
      </c>
      <c r="K66" s="229">
        <f>'[1]Housing Generation'!K66</f>
        <v>0</v>
      </c>
      <c r="L66" s="229">
        <f>'[1]Housing Generation'!L66</f>
        <v>0</v>
      </c>
      <c r="M66" s="229">
        <f>'[1]Housing Generation'!M66</f>
        <v>0</v>
      </c>
      <c r="N66" s="229">
        <f>'[1]Housing Generation'!N66</f>
        <v>0</v>
      </c>
      <c r="O66" s="229">
        <f>'[1]Housing Generation'!O66</f>
        <v>0</v>
      </c>
      <c r="P66" s="229">
        <f>'[1]Housing Generation'!P66</f>
        <v>0</v>
      </c>
      <c r="Q66" s="225">
        <f>'[1]Housing Generation'!Q66</f>
        <v>0</v>
      </c>
      <c r="R66" s="227">
        <f>'[1]Housing Generation'!R66</f>
        <v>0</v>
      </c>
      <c r="S66" s="227">
        <f>'[1]Housing Generation'!S66</f>
        <v>0</v>
      </c>
      <c r="T66" s="227">
        <f>'[1]Housing Generation'!T66</f>
        <v>0</v>
      </c>
      <c r="U66" s="227">
        <f>'[1]Housing Generation'!U66</f>
        <v>0</v>
      </c>
      <c r="V66" s="227">
        <f>'[1]Housing Generation'!V66</f>
        <v>0</v>
      </c>
      <c r="W66" s="227">
        <f>'[1]Housing Generation'!W66</f>
        <v>0</v>
      </c>
      <c r="X66" s="227">
        <f>'[1]Housing Generation'!X66</f>
        <v>0</v>
      </c>
      <c r="Y66" s="224">
        <f>'[1]Housing Generation'!Y66</f>
        <v>0</v>
      </c>
      <c r="Z66" s="229">
        <f>'[1]Housing Generation'!Z66</f>
        <v>0</v>
      </c>
      <c r="AA66" s="229">
        <f>'[1]Housing Generation'!AA66</f>
        <v>0</v>
      </c>
      <c r="AB66" s="229">
        <f>'[1]Housing Generation'!AB66</f>
        <v>0</v>
      </c>
      <c r="AC66" s="229">
        <f>'[1]Housing Generation'!AC66</f>
        <v>0</v>
      </c>
      <c r="AD66" s="229">
        <f>'[1]Housing Generation'!AD66</f>
        <v>0</v>
      </c>
      <c r="AE66" s="229">
        <f>'[1]Housing Generation'!AE66</f>
        <v>0</v>
      </c>
      <c r="AF66" s="229">
        <f>'[1]Housing Generation'!AF66</f>
        <v>0</v>
      </c>
      <c r="AG66" s="225">
        <f>'[1]Housing Generation'!AG66</f>
        <v>0</v>
      </c>
      <c r="AH66" s="227">
        <f>'[1]Housing Generation'!AH66</f>
        <v>0</v>
      </c>
      <c r="AI66" s="227">
        <f>'[1]Housing Generation'!AI66</f>
        <v>0</v>
      </c>
      <c r="AJ66" s="227">
        <f>'[1]Housing Generation'!AJ66</f>
        <v>0</v>
      </c>
      <c r="AK66" s="227">
        <f>'[1]Housing Generation'!AK66</f>
        <v>0</v>
      </c>
      <c r="AL66" s="227">
        <f>'[1]Housing Generation'!AL66</f>
        <v>0</v>
      </c>
      <c r="AM66" s="227">
        <f>'[1]Housing Generation'!AM66</f>
        <v>0</v>
      </c>
      <c r="AN66" s="227">
        <f>'[1]Housing Generation'!AN66</f>
        <v>0</v>
      </c>
      <c r="AO66" s="224">
        <f>'[1]Housing Generation'!AO66</f>
        <v>0</v>
      </c>
      <c r="AP66" s="229">
        <f>'[1]Housing Generation'!AP66</f>
        <v>0</v>
      </c>
      <c r="AQ66" s="229">
        <f>'[1]Housing Generation'!AQ66</f>
        <v>0</v>
      </c>
      <c r="AR66" s="229">
        <f>'[1]Housing Generation'!AR66</f>
        <v>0</v>
      </c>
      <c r="AS66" s="229">
        <f>'[1]Housing Generation'!AS66</f>
        <v>0</v>
      </c>
      <c r="AT66" s="229">
        <f>'[1]Housing Generation'!AT66</f>
        <v>0</v>
      </c>
      <c r="AU66" s="229">
        <f>'[1]Housing Generation'!AU66</f>
        <v>0</v>
      </c>
      <c r="AV66" s="229">
        <f>'[1]Housing Generation'!AV66</f>
        <v>0</v>
      </c>
      <c r="AW66" s="225">
        <f>'[1]Housing Generation'!AW66</f>
        <v>0</v>
      </c>
      <c r="AX66" s="227">
        <f>'[1]Housing Generation'!AX66</f>
        <v>1</v>
      </c>
      <c r="AY66" s="227">
        <f>'[1]Housing Generation'!AY66</f>
        <v>1</v>
      </c>
      <c r="AZ66" s="227">
        <f>'[1]Housing Generation'!AZ66</f>
        <v>1</v>
      </c>
      <c r="BA66" s="227">
        <f>'[1]Housing Generation'!BA66</f>
        <v>1</v>
      </c>
      <c r="BB66" s="227">
        <f>'[1]Housing Generation'!BB66</f>
        <v>1</v>
      </c>
      <c r="BC66" s="227">
        <f>'[1]Housing Generation'!BC66</f>
        <v>0</v>
      </c>
      <c r="BD66" s="227">
        <f>'[1]Housing Generation'!BD66</f>
        <v>0</v>
      </c>
      <c r="BE66" s="224">
        <f>'[1]Housing Generation'!BE66</f>
        <v>5</v>
      </c>
      <c r="BF66" s="229">
        <f>'[1]Housing Generation'!BF66</f>
        <v>2</v>
      </c>
      <c r="BG66" s="229">
        <f>'[1]Housing Generation'!BG66</f>
        <v>2</v>
      </c>
      <c r="BH66" s="229">
        <f>'[1]Housing Generation'!BH66</f>
        <v>2</v>
      </c>
      <c r="BI66" s="229">
        <f>'[1]Housing Generation'!BI66</f>
        <v>2</v>
      </c>
      <c r="BJ66" s="229">
        <f>'[1]Housing Generation'!BJ66</f>
        <v>2</v>
      </c>
      <c r="BK66" s="229">
        <f>'[1]Housing Generation'!BK66</f>
        <v>1</v>
      </c>
      <c r="BL66" s="229">
        <f>'[1]Housing Generation'!BL66</f>
        <v>1</v>
      </c>
      <c r="BM66" s="225">
        <f>'[1]Housing Generation'!BM66</f>
        <v>12</v>
      </c>
      <c r="BN66" s="227">
        <f>'[1]Housing Generation'!BN66</f>
        <v>2</v>
      </c>
      <c r="BO66" s="227">
        <f>'[1]Housing Generation'!BO66</f>
        <v>2</v>
      </c>
      <c r="BP66" s="227">
        <f>'[1]Housing Generation'!BP66</f>
        <v>2</v>
      </c>
      <c r="BQ66" s="227">
        <f>'[1]Housing Generation'!BQ66</f>
        <v>2</v>
      </c>
      <c r="BR66" s="227">
        <f>'[1]Housing Generation'!BR66</f>
        <v>2</v>
      </c>
      <c r="BS66" s="227">
        <f>'[1]Housing Generation'!BS66</f>
        <v>1</v>
      </c>
      <c r="BT66" s="227">
        <f>'[1]Housing Generation'!BT66</f>
        <v>1</v>
      </c>
      <c r="BU66" s="224">
        <f>'[1]Housing Generation'!BU66</f>
        <v>12</v>
      </c>
      <c r="BV66" s="229">
        <f>'[1]Housing Generation'!BV66</f>
        <v>2</v>
      </c>
      <c r="BW66" s="229">
        <f>'[1]Housing Generation'!BW66</f>
        <v>2</v>
      </c>
      <c r="BX66" s="229">
        <f>'[1]Housing Generation'!BX66</f>
        <v>2</v>
      </c>
      <c r="BY66" s="229">
        <f>'[1]Housing Generation'!BY66</f>
        <v>2</v>
      </c>
      <c r="BZ66" s="229">
        <f>'[1]Housing Generation'!BZ66</f>
        <v>2</v>
      </c>
      <c r="CA66" s="229">
        <f>'[1]Housing Generation'!CA66</f>
        <v>1</v>
      </c>
      <c r="CB66" s="229">
        <f>'[1]Housing Generation'!CB66</f>
        <v>1</v>
      </c>
      <c r="CC66" s="225">
        <f>'[1]Housing Generation'!CC66</f>
        <v>12</v>
      </c>
      <c r="CD66" s="227">
        <f>'[1]Housing Generation'!CD66</f>
        <v>2</v>
      </c>
      <c r="CE66" s="227">
        <f>'[1]Housing Generation'!CE66</f>
        <v>2</v>
      </c>
      <c r="CF66" s="227">
        <f>'[1]Housing Generation'!CF66</f>
        <v>2</v>
      </c>
      <c r="CG66" s="227">
        <f>'[1]Housing Generation'!CG66</f>
        <v>2</v>
      </c>
      <c r="CH66" s="227">
        <f>'[1]Housing Generation'!CH66</f>
        <v>2</v>
      </c>
      <c r="CI66" s="227">
        <f>'[1]Housing Generation'!CI66</f>
        <v>1</v>
      </c>
      <c r="CJ66" s="227">
        <f>'[1]Housing Generation'!CJ66</f>
        <v>1</v>
      </c>
      <c r="CK66" s="224">
        <f>'[1]Housing Generation'!CK66</f>
        <v>12</v>
      </c>
      <c r="CL66" s="229">
        <f>'[1]Housing Generation'!CL66</f>
        <v>2</v>
      </c>
      <c r="CM66" s="229">
        <f>'[1]Housing Generation'!CM66</f>
        <v>2</v>
      </c>
      <c r="CN66" s="229">
        <f>'[1]Housing Generation'!CN66</f>
        <v>2</v>
      </c>
      <c r="CO66" s="229">
        <f>'[1]Housing Generation'!CO66</f>
        <v>2</v>
      </c>
      <c r="CP66" s="229">
        <f>'[1]Housing Generation'!CP66</f>
        <v>2</v>
      </c>
      <c r="CQ66" s="229">
        <f>'[1]Housing Generation'!CQ66</f>
        <v>1</v>
      </c>
      <c r="CR66" s="229">
        <f>'[1]Housing Generation'!CR66</f>
        <v>1</v>
      </c>
      <c r="CS66" s="225">
        <f>'[1]Housing Generation'!CS66</f>
        <v>12</v>
      </c>
      <c r="CT66" s="227">
        <f>'[1]Housing Generation'!CT66</f>
        <v>2</v>
      </c>
      <c r="CU66" s="227">
        <f>'[1]Housing Generation'!CU66</f>
        <v>2</v>
      </c>
      <c r="CV66" s="227">
        <f>'[1]Housing Generation'!CV66</f>
        <v>2</v>
      </c>
      <c r="CW66" s="227">
        <f>'[1]Housing Generation'!CW66</f>
        <v>2</v>
      </c>
      <c r="CX66" s="227">
        <f>'[1]Housing Generation'!CX66</f>
        <v>2</v>
      </c>
      <c r="CY66" s="227">
        <f>'[1]Housing Generation'!CY66</f>
        <v>1</v>
      </c>
      <c r="CZ66" s="227">
        <f>'[1]Housing Generation'!CZ66</f>
        <v>1</v>
      </c>
      <c r="DA66" s="224">
        <f>'[1]Housing Generation'!DA66</f>
        <v>12</v>
      </c>
      <c r="DB66" s="229">
        <f>'[1]Housing Generation'!DB66</f>
        <v>2</v>
      </c>
      <c r="DC66" s="229">
        <f>'[1]Housing Generation'!DC66</f>
        <v>2</v>
      </c>
      <c r="DD66" s="229">
        <f>'[1]Housing Generation'!DD66</f>
        <v>2</v>
      </c>
      <c r="DE66" s="229">
        <f>'[1]Housing Generation'!DE66</f>
        <v>2</v>
      </c>
      <c r="DF66" s="229">
        <f>'[1]Housing Generation'!DF66</f>
        <v>2</v>
      </c>
      <c r="DG66" s="229">
        <f>'[1]Housing Generation'!DG66</f>
        <v>1</v>
      </c>
      <c r="DH66" s="229">
        <f>'[1]Housing Generation'!DH66</f>
        <v>1</v>
      </c>
      <c r="DI66" s="225">
        <f>'[1]Housing Generation'!DI66</f>
        <v>12</v>
      </c>
      <c r="DJ66" s="227">
        <f>'[1]Housing Generation'!DJ66</f>
        <v>2</v>
      </c>
      <c r="DK66" s="227">
        <f>'[1]Housing Generation'!DK66</f>
        <v>2</v>
      </c>
      <c r="DL66" s="227">
        <f>'[1]Housing Generation'!DL66</f>
        <v>2</v>
      </c>
      <c r="DM66" s="227">
        <f>'[1]Housing Generation'!DM66</f>
        <v>2</v>
      </c>
      <c r="DN66" s="227">
        <f>'[1]Housing Generation'!DN66</f>
        <v>2</v>
      </c>
      <c r="DO66" s="227">
        <f>'[1]Housing Generation'!DO66</f>
        <v>1</v>
      </c>
      <c r="DP66" s="227">
        <f>'[1]Housing Generation'!DP66</f>
        <v>1</v>
      </c>
      <c r="DQ66" s="224">
        <f>'[1]Housing Generation'!DQ66</f>
        <v>12</v>
      </c>
    </row>
    <row r="67" spans="1:121" x14ac:dyDescent="0.2">
      <c r="A67" s="237" t="s">
        <v>68</v>
      </c>
      <c r="B67" s="227">
        <f>'[1]Housing Generation'!B67</f>
        <v>0</v>
      </c>
      <c r="C67" s="227">
        <f>'[1]Housing Generation'!C67</f>
        <v>0</v>
      </c>
      <c r="D67" s="227">
        <f>'[1]Housing Generation'!D67</f>
        <v>0</v>
      </c>
      <c r="E67" s="227">
        <f>'[1]Housing Generation'!E67</f>
        <v>0</v>
      </c>
      <c r="F67" s="227">
        <f>'[1]Housing Generation'!F67</f>
        <v>0</v>
      </c>
      <c r="G67" s="227">
        <f>'[1]Housing Generation'!G67</f>
        <v>0</v>
      </c>
      <c r="H67" s="227">
        <f>'[1]Housing Generation'!H67</f>
        <v>0</v>
      </c>
      <c r="I67" s="224">
        <f>'[1]Housing Generation'!I67</f>
        <v>0</v>
      </c>
      <c r="J67" s="229">
        <f>'[1]Housing Generation'!J67</f>
        <v>1</v>
      </c>
      <c r="K67" s="229">
        <f>'[1]Housing Generation'!K67</f>
        <v>1</v>
      </c>
      <c r="L67" s="229">
        <f>'[1]Housing Generation'!L67</f>
        <v>1</v>
      </c>
      <c r="M67" s="229">
        <f>'[1]Housing Generation'!M67</f>
        <v>0</v>
      </c>
      <c r="N67" s="229">
        <f>'[1]Housing Generation'!N67</f>
        <v>0</v>
      </c>
      <c r="O67" s="229">
        <f>'[1]Housing Generation'!O67</f>
        <v>0</v>
      </c>
      <c r="P67" s="229">
        <f>'[1]Housing Generation'!P67</f>
        <v>0</v>
      </c>
      <c r="Q67" s="225">
        <f>'[1]Housing Generation'!Q67</f>
        <v>3</v>
      </c>
      <c r="R67" s="227">
        <f>'[1]Housing Generation'!R67</f>
        <v>1</v>
      </c>
      <c r="S67" s="227">
        <f>'[1]Housing Generation'!S67</f>
        <v>1</v>
      </c>
      <c r="T67" s="227">
        <f>'[1]Housing Generation'!T67</f>
        <v>1</v>
      </c>
      <c r="U67" s="227">
        <f>'[1]Housing Generation'!U67</f>
        <v>1</v>
      </c>
      <c r="V67" s="227">
        <f>'[1]Housing Generation'!V67</f>
        <v>1</v>
      </c>
      <c r="W67" s="227">
        <f>'[1]Housing Generation'!W67</f>
        <v>1</v>
      </c>
      <c r="X67" s="227">
        <f>'[1]Housing Generation'!X67</f>
        <v>1</v>
      </c>
      <c r="Y67" s="224">
        <f>'[1]Housing Generation'!Y67</f>
        <v>7</v>
      </c>
      <c r="Z67" s="229">
        <f>'[1]Housing Generation'!Z67</f>
        <v>1</v>
      </c>
      <c r="AA67" s="229">
        <f>'[1]Housing Generation'!AA67</f>
        <v>1</v>
      </c>
      <c r="AB67" s="229">
        <f>'[1]Housing Generation'!AB67</f>
        <v>1</v>
      </c>
      <c r="AC67" s="229">
        <f>'[1]Housing Generation'!AC67</f>
        <v>1</v>
      </c>
      <c r="AD67" s="229">
        <f>'[1]Housing Generation'!AD67</f>
        <v>1</v>
      </c>
      <c r="AE67" s="229">
        <f>'[1]Housing Generation'!AE67</f>
        <v>1</v>
      </c>
      <c r="AF67" s="229">
        <f>'[1]Housing Generation'!AF67</f>
        <v>1</v>
      </c>
      <c r="AG67" s="225">
        <f>'[1]Housing Generation'!AG67</f>
        <v>7</v>
      </c>
      <c r="AH67" s="227">
        <f>'[1]Housing Generation'!AH67</f>
        <v>1</v>
      </c>
      <c r="AI67" s="227">
        <f>'[1]Housing Generation'!AI67</f>
        <v>1</v>
      </c>
      <c r="AJ67" s="227">
        <f>'[1]Housing Generation'!AJ67</f>
        <v>1</v>
      </c>
      <c r="AK67" s="227">
        <f>'[1]Housing Generation'!AK67</f>
        <v>1</v>
      </c>
      <c r="AL67" s="227">
        <f>'[1]Housing Generation'!AL67</f>
        <v>1</v>
      </c>
      <c r="AM67" s="227">
        <f>'[1]Housing Generation'!AM67</f>
        <v>1</v>
      </c>
      <c r="AN67" s="227">
        <f>'[1]Housing Generation'!AN67</f>
        <v>1</v>
      </c>
      <c r="AO67" s="224">
        <f>'[1]Housing Generation'!AO67</f>
        <v>7</v>
      </c>
      <c r="AP67" s="229">
        <f>'[1]Housing Generation'!AP67</f>
        <v>1</v>
      </c>
      <c r="AQ67" s="229">
        <f>'[1]Housing Generation'!AQ67</f>
        <v>1</v>
      </c>
      <c r="AR67" s="229">
        <f>'[1]Housing Generation'!AR67</f>
        <v>1</v>
      </c>
      <c r="AS67" s="229">
        <f>'[1]Housing Generation'!AS67</f>
        <v>1</v>
      </c>
      <c r="AT67" s="229">
        <f>'[1]Housing Generation'!AT67</f>
        <v>1</v>
      </c>
      <c r="AU67" s="229">
        <f>'[1]Housing Generation'!AU67</f>
        <v>1</v>
      </c>
      <c r="AV67" s="229">
        <f>'[1]Housing Generation'!AV67</f>
        <v>1</v>
      </c>
      <c r="AW67" s="225">
        <f>'[1]Housing Generation'!AW67</f>
        <v>7</v>
      </c>
      <c r="AX67" s="227">
        <f>'[1]Housing Generation'!AX67</f>
        <v>1</v>
      </c>
      <c r="AY67" s="227">
        <f>'[1]Housing Generation'!AY67</f>
        <v>1</v>
      </c>
      <c r="AZ67" s="227">
        <f>'[1]Housing Generation'!AZ67</f>
        <v>1</v>
      </c>
      <c r="BA67" s="227">
        <f>'[1]Housing Generation'!BA67</f>
        <v>1</v>
      </c>
      <c r="BB67" s="227">
        <f>'[1]Housing Generation'!BB67</f>
        <v>1</v>
      </c>
      <c r="BC67" s="227">
        <f>'[1]Housing Generation'!BC67</f>
        <v>1</v>
      </c>
      <c r="BD67" s="227">
        <f>'[1]Housing Generation'!BD67</f>
        <v>1</v>
      </c>
      <c r="BE67" s="224">
        <f>'[1]Housing Generation'!BE67</f>
        <v>7</v>
      </c>
      <c r="BF67" s="229">
        <f>'[1]Housing Generation'!BF67</f>
        <v>1</v>
      </c>
      <c r="BG67" s="229">
        <f>'[1]Housing Generation'!BG67</f>
        <v>1</v>
      </c>
      <c r="BH67" s="229">
        <f>'[1]Housing Generation'!BH67</f>
        <v>1</v>
      </c>
      <c r="BI67" s="229">
        <f>'[1]Housing Generation'!BI67</f>
        <v>1</v>
      </c>
      <c r="BJ67" s="229">
        <f>'[1]Housing Generation'!BJ67</f>
        <v>1</v>
      </c>
      <c r="BK67" s="229">
        <f>'[1]Housing Generation'!BK67</f>
        <v>1</v>
      </c>
      <c r="BL67" s="229">
        <f>'[1]Housing Generation'!BL67</f>
        <v>1</v>
      </c>
      <c r="BM67" s="225">
        <f>'[1]Housing Generation'!BM67</f>
        <v>7</v>
      </c>
      <c r="BN67" s="227">
        <f>'[1]Housing Generation'!BN67</f>
        <v>1</v>
      </c>
      <c r="BO67" s="227">
        <f>'[1]Housing Generation'!BO67</f>
        <v>1</v>
      </c>
      <c r="BP67" s="227">
        <f>'[1]Housing Generation'!BP67</f>
        <v>1</v>
      </c>
      <c r="BQ67" s="227">
        <f>'[1]Housing Generation'!BQ67</f>
        <v>1</v>
      </c>
      <c r="BR67" s="227">
        <f>'[1]Housing Generation'!BR67</f>
        <v>1</v>
      </c>
      <c r="BS67" s="227">
        <f>'[1]Housing Generation'!BS67</f>
        <v>1</v>
      </c>
      <c r="BT67" s="227">
        <f>'[1]Housing Generation'!BT67</f>
        <v>1</v>
      </c>
      <c r="BU67" s="224">
        <f>'[1]Housing Generation'!BU67</f>
        <v>7</v>
      </c>
      <c r="BV67" s="229">
        <f>'[1]Housing Generation'!BV67</f>
        <v>1</v>
      </c>
      <c r="BW67" s="229">
        <f>'[1]Housing Generation'!BW67</f>
        <v>1</v>
      </c>
      <c r="BX67" s="229">
        <f>'[1]Housing Generation'!BX67</f>
        <v>1</v>
      </c>
      <c r="BY67" s="229">
        <f>'[1]Housing Generation'!BY67</f>
        <v>1</v>
      </c>
      <c r="BZ67" s="229">
        <f>'[1]Housing Generation'!BZ67</f>
        <v>1</v>
      </c>
      <c r="CA67" s="229">
        <f>'[1]Housing Generation'!CA67</f>
        <v>1</v>
      </c>
      <c r="CB67" s="229">
        <f>'[1]Housing Generation'!CB67</f>
        <v>1</v>
      </c>
      <c r="CC67" s="225">
        <f>'[1]Housing Generation'!CC67</f>
        <v>7</v>
      </c>
      <c r="CD67" s="227">
        <f>'[1]Housing Generation'!CD67</f>
        <v>1</v>
      </c>
      <c r="CE67" s="227">
        <f>'[1]Housing Generation'!CE67</f>
        <v>1</v>
      </c>
      <c r="CF67" s="227">
        <f>'[1]Housing Generation'!CF67</f>
        <v>1</v>
      </c>
      <c r="CG67" s="227">
        <f>'[1]Housing Generation'!CG67</f>
        <v>1</v>
      </c>
      <c r="CH67" s="227">
        <f>'[1]Housing Generation'!CH67</f>
        <v>1</v>
      </c>
      <c r="CI67" s="227">
        <f>'[1]Housing Generation'!CI67</f>
        <v>1</v>
      </c>
      <c r="CJ67" s="227">
        <f>'[1]Housing Generation'!CJ67</f>
        <v>1</v>
      </c>
      <c r="CK67" s="224">
        <f>'[1]Housing Generation'!CK67</f>
        <v>7</v>
      </c>
      <c r="CL67" s="229">
        <f>'[1]Housing Generation'!CL67</f>
        <v>1</v>
      </c>
      <c r="CM67" s="229">
        <f>'[1]Housing Generation'!CM67</f>
        <v>1</v>
      </c>
      <c r="CN67" s="229">
        <f>'[1]Housing Generation'!CN67</f>
        <v>1</v>
      </c>
      <c r="CO67" s="229">
        <f>'[1]Housing Generation'!CO67</f>
        <v>1</v>
      </c>
      <c r="CP67" s="229">
        <f>'[1]Housing Generation'!CP67</f>
        <v>1</v>
      </c>
      <c r="CQ67" s="229">
        <f>'[1]Housing Generation'!CQ67</f>
        <v>1</v>
      </c>
      <c r="CR67" s="229">
        <f>'[1]Housing Generation'!CR67</f>
        <v>1</v>
      </c>
      <c r="CS67" s="225">
        <f>'[1]Housing Generation'!CS67</f>
        <v>7</v>
      </c>
      <c r="CT67" s="227">
        <f>'[1]Housing Generation'!CT67</f>
        <v>1</v>
      </c>
      <c r="CU67" s="227">
        <f>'[1]Housing Generation'!CU67</f>
        <v>1</v>
      </c>
      <c r="CV67" s="227">
        <f>'[1]Housing Generation'!CV67</f>
        <v>1</v>
      </c>
      <c r="CW67" s="227">
        <f>'[1]Housing Generation'!CW67</f>
        <v>1</v>
      </c>
      <c r="CX67" s="227">
        <f>'[1]Housing Generation'!CX67</f>
        <v>1</v>
      </c>
      <c r="CY67" s="227">
        <f>'[1]Housing Generation'!CY67</f>
        <v>1</v>
      </c>
      <c r="CZ67" s="227">
        <f>'[1]Housing Generation'!CZ67</f>
        <v>1</v>
      </c>
      <c r="DA67" s="224">
        <f>'[1]Housing Generation'!DA67</f>
        <v>7</v>
      </c>
      <c r="DB67" s="229">
        <f>'[1]Housing Generation'!DB67</f>
        <v>1</v>
      </c>
      <c r="DC67" s="229">
        <f>'[1]Housing Generation'!DC67</f>
        <v>1</v>
      </c>
      <c r="DD67" s="229">
        <f>'[1]Housing Generation'!DD67</f>
        <v>1</v>
      </c>
      <c r="DE67" s="229">
        <f>'[1]Housing Generation'!DE67</f>
        <v>1</v>
      </c>
      <c r="DF67" s="229">
        <f>'[1]Housing Generation'!DF67</f>
        <v>1</v>
      </c>
      <c r="DG67" s="229">
        <f>'[1]Housing Generation'!DG67</f>
        <v>1</v>
      </c>
      <c r="DH67" s="229">
        <f>'[1]Housing Generation'!DH67</f>
        <v>1</v>
      </c>
      <c r="DI67" s="225">
        <f>'[1]Housing Generation'!DI67</f>
        <v>7</v>
      </c>
      <c r="DJ67" s="227">
        <f>'[1]Housing Generation'!DJ67</f>
        <v>1</v>
      </c>
      <c r="DK67" s="227">
        <f>'[1]Housing Generation'!DK67</f>
        <v>1</v>
      </c>
      <c r="DL67" s="227">
        <f>'[1]Housing Generation'!DL67</f>
        <v>1</v>
      </c>
      <c r="DM67" s="227">
        <f>'[1]Housing Generation'!DM67</f>
        <v>1</v>
      </c>
      <c r="DN67" s="227">
        <f>'[1]Housing Generation'!DN67</f>
        <v>1</v>
      </c>
      <c r="DO67" s="227">
        <f>'[1]Housing Generation'!DO67</f>
        <v>1</v>
      </c>
      <c r="DP67" s="227">
        <f>'[1]Housing Generation'!DP67</f>
        <v>1</v>
      </c>
      <c r="DQ67" s="224">
        <f>'[1]Housing Generation'!DQ67</f>
        <v>7</v>
      </c>
    </row>
    <row r="68" spans="1:121" x14ac:dyDescent="0.2">
      <c r="A68" s="237" t="s">
        <v>69</v>
      </c>
      <c r="B68" s="227">
        <f>'[1]Housing Generation'!B68</f>
        <v>0</v>
      </c>
      <c r="C68" s="227">
        <f>'[1]Housing Generation'!C68</f>
        <v>0</v>
      </c>
      <c r="D68" s="227">
        <f>'[1]Housing Generation'!D68</f>
        <v>0</v>
      </c>
      <c r="E68" s="227">
        <f>'[1]Housing Generation'!E68</f>
        <v>0</v>
      </c>
      <c r="F68" s="227">
        <f>'[1]Housing Generation'!F68</f>
        <v>0</v>
      </c>
      <c r="G68" s="227">
        <f>'[1]Housing Generation'!G68</f>
        <v>0</v>
      </c>
      <c r="H68" s="227">
        <f>'[1]Housing Generation'!H68</f>
        <v>0</v>
      </c>
      <c r="I68" s="224">
        <f>'[1]Housing Generation'!I68</f>
        <v>0</v>
      </c>
      <c r="J68" s="229">
        <f>'[1]Housing Generation'!J68</f>
        <v>1</v>
      </c>
      <c r="K68" s="229">
        <f>'[1]Housing Generation'!K68</f>
        <v>1</v>
      </c>
      <c r="L68" s="229">
        <f>'[1]Housing Generation'!L68</f>
        <v>1</v>
      </c>
      <c r="M68" s="229">
        <f>'[1]Housing Generation'!M68</f>
        <v>1</v>
      </c>
      <c r="N68" s="229">
        <f>'[1]Housing Generation'!N68</f>
        <v>0</v>
      </c>
      <c r="O68" s="229">
        <f>'[1]Housing Generation'!O68</f>
        <v>0</v>
      </c>
      <c r="P68" s="229">
        <f>'[1]Housing Generation'!P68</f>
        <v>0</v>
      </c>
      <c r="Q68" s="225">
        <f>'[1]Housing Generation'!Q68</f>
        <v>4</v>
      </c>
      <c r="R68" s="227">
        <f>'[1]Housing Generation'!R68</f>
        <v>2</v>
      </c>
      <c r="S68" s="227">
        <f>'[1]Housing Generation'!S68</f>
        <v>2</v>
      </c>
      <c r="T68" s="227">
        <f>'[1]Housing Generation'!T68</f>
        <v>2</v>
      </c>
      <c r="U68" s="227">
        <f>'[1]Housing Generation'!U68</f>
        <v>1</v>
      </c>
      <c r="V68" s="227">
        <f>'[1]Housing Generation'!V68</f>
        <v>1</v>
      </c>
      <c r="W68" s="227">
        <f>'[1]Housing Generation'!W68</f>
        <v>1</v>
      </c>
      <c r="X68" s="227">
        <f>'[1]Housing Generation'!X68</f>
        <v>1</v>
      </c>
      <c r="Y68" s="224">
        <f>'[1]Housing Generation'!Y68</f>
        <v>10</v>
      </c>
      <c r="Z68" s="229">
        <f>'[1]Housing Generation'!Z68</f>
        <v>3</v>
      </c>
      <c r="AA68" s="229">
        <f>'[1]Housing Generation'!AA68</f>
        <v>3</v>
      </c>
      <c r="AB68" s="229">
        <f>'[1]Housing Generation'!AB68</f>
        <v>2</v>
      </c>
      <c r="AC68" s="229">
        <f>'[1]Housing Generation'!AC68</f>
        <v>2</v>
      </c>
      <c r="AD68" s="229">
        <f>'[1]Housing Generation'!AD68</f>
        <v>2</v>
      </c>
      <c r="AE68" s="229">
        <f>'[1]Housing Generation'!AE68</f>
        <v>2</v>
      </c>
      <c r="AF68" s="229">
        <f>'[1]Housing Generation'!AF68</f>
        <v>2</v>
      </c>
      <c r="AG68" s="225">
        <f>'[1]Housing Generation'!AG68</f>
        <v>16</v>
      </c>
      <c r="AH68" s="227">
        <f>'[1]Housing Generation'!AH68</f>
        <v>3</v>
      </c>
      <c r="AI68" s="227">
        <f>'[1]Housing Generation'!AI68</f>
        <v>3</v>
      </c>
      <c r="AJ68" s="227">
        <f>'[1]Housing Generation'!AJ68</f>
        <v>3</v>
      </c>
      <c r="AK68" s="227">
        <f>'[1]Housing Generation'!AK68</f>
        <v>3</v>
      </c>
      <c r="AL68" s="227">
        <f>'[1]Housing Generation'!AL68</f>
        <v>2</v>
      </c>
      <c r="AM68" s="227">
        <f>'[1]Housing Generation'!AM68</f>
        <v>2</v>
      </c>
      <c r="AN68" s="227">
        <f>'[1]Housing Generation'!AN68</f>
        <v>2</v>
      </c>
      <c r="AO68" s="224">
        <f>'[1]Housing Generation'!AO68</f>
        <v>18</v>
      </c>
      <c r="AP68" s="229">
        <f>'[1]Housing Generation'!AP68</f>
        <v>3</v>
      </c>
      <c r="AQ68" s="229">
        <f>'[1]Housing Generation'!AQ68</f>
        <v>3</v>
      </c>
      <c r="AR68" s="229">
        <f>'[1]Housing Generation'!AR68</f>
        <v>3</v>
      </c>
      <c r="AS68" s="229">
        <f>'[1]Housing Generation'!AS68</f>
        <v>3</v>
      </c>
      <c r="AT68" s="229">
        <f>'[1]Housing Generation'!AT68</f>
        <v>2</v>
      </c>
      <c r="AU68" s="229">
        <f>'[1]Housing Generation'!AU68</f>
        <v>2</v>
      </c>
      <c r="AV68" s="229">
        <f>'[1]Housing Generation'!AV68</f>
        <v>2</v>
      </c>
      <c r="AW68" s="225">
        <f>'[1]Housing Generation'!AW68</f>
        <v>18</v>
      </c>
      <c r="AX68" s="227">
        <f>'[1]Housing Generation'!AX68</f>
        <v>3</v>
      </c>
      <c r="AY68" s="227">
        <f>'[1]Housing Generation'!AY68</f>
        <v>3</v>
      </c>
      <c r="AZ68" s="227">
        <f>'[1]Housing Generation'!AZ68</f>
        <v>3</v>
      </c>
      <c r="BA68" s="227">
        <f>'[1]Housing Generation'!BA68</f>
        <v>3</v>
      </c>
      <c r="BB68" s="227">
        <f>'[1]Housing Generation'!BB68</f>
        <v>2</v>
      </c>
      <c r="BC68" s="227">
        <f>'[1]Housing Generation'!BC68</f>
        <v>2</v>
      </c>
      <c r="BD68" s="227">
        <f>'[1]Housing Generation'!BD68</f>
        <v>2</v>
      </c>
      <c r="BE68" s="224">
        <f>'[1]Housing Generation'!BE68</f>
        <v>18</v>
      </c>
      <c r="BF68" s="229">
        <f>'[1]Housing Generation'!BF68</f>
        <v>3</v>
      </c>
      <c r="BG68" s="229">
        <f>'[1]Housing Generation'!BG68</f>
        <v>3</v>
      </c>
      <c r="BH68" s="229">
        <f>'[1]Housing Generation'!BH68</f>
        <v>3</v>
      </c>
      <c r="BI68" s="229">
        <f>'[1]Housing Generation'!BI68</f>
        <v>3</v>
      </c>
      <c r="BJ68" s="229">
        <f>'[1]Housing Generation'!BJ68</f>
        <v>2</v>
      </c>
      <c r="BK68" s="229">
        <f>'[1]Housing Generation'!BK68</f>
        <v>2</v>
      </c>
      <c r="BL68" s="229">
        <f>'[1]Housing Generation'!BL68</f>
        <v>2</v>
      </c>
      <c r="BM68" s="225">
        <f>'[1]Housing Generation'!BM68</f>
        <v>18</v>
      </c>
      <c r="BN68" s="227">
        <f>'[1]Housing Generation'!BN68</f>
        <v>3</v>
      </c>
      <c r="BO68" s="227">
        <f>'[1]Housing Generation'!BO68</f>
        <v>3</v>
      </c>
      <c r="BP68" s="227">
        <f>'[1]Housing Generation'!BP68</f>
        <v>3</v>
      </c>
      <c r="BQ68" s="227">
        <f>'[1]Housing Generation'!BQ68</f>
        <v>3</v>
      </c>
      <c r="BR68" s="227">
        <f>'[1]Housing Generation'!BR68</f>
        <v>2</v>
      </c>
      <c r="BS68" s="227">
        <f>'[1]Housing Generation'!BS68</f>
        <v>2</v>
      </c>
      <c r="BT68" s="227">
        <f>'[1]Housing Generation'!BT68</f>
        <v>2</v>
      </c>
      <c r="BU68" s="224">
        <f>'[1]Housing Generation'!BU68</f>
        <v>18</v>
      </c>
      <c r="BV68" s="229">
        <f>'[1]Housing Generation'!BV68</f>
        <v>3</v>
      </c>
      <c r="BW68" s="229">
        <f>'[1]Housing Generation'!BW68</f>
        <v>3</v>
      </c>
      <c r="BX68" s="229">
        <f>'[1]Housing Generation'!BX68</f>
        <v>3</v>
      </c>
      <c r="BY68" s="229">
        <f>'[1]Housing Generation'!BY68</f>
        <v>3</v>
      </c>
      <c r="BZ68" s="229">
        <f>'[1]Housing Generation'!BZ68</f>
        <v>2</v>
      </c>
      <c r="CA68" s="229">
        <f>'[1]Housing Generation'!CA68</f>
        <v>2</v>
      </c>
      <c r="CB68" s="229">
        <f>'[1]Housing Generation'!CB68</f>
        <v>2</v>
      </c>
      <c r="CC68" s="225">
        <f>'[1]Housing Generation'!CC68</f>
        <v>18</v>
      </c>
      <c r="CD68" s="227">
        <f>'[1]Housing Generation'!CD68</f>
        <v>3</v>
      </c>
      <c r="CE68" s="227">
        <f>'[1]Housing Generation'!CE68</f>
        <v>3</v>
      </c>
      <c r="CF68" s="227">
        <f>'[1]Housing Generation'!CF68</f>
        <v>3</v>
      </c>
      <c r="CG68" s="227">
        <f>'[1]Housing Generation'!CG68</f>
        <v>3</v>
      </c>
      <c r="CH68" s="227">
        <f>'[1]Housing Generation'!CH68</f>
        <v>2</v>
      </c>
      <c r="CI68" s="227">
        <f>'[1]Housing Generation'!CI68</f>
        <v>2</v>
      </c>
      <c r="CJ68" s="227">
        <f>'[1]Housing Generation'!CJ68</f>
        <v>2</v>
      </c>
      <c r="CK68" s="224">
        <f>'[1]Housing Generation'!CK68</f>
        <v>18</v>
      </c>
      <c r="CL68" s="229">
        <f>'[1]Housing Generation'!CL68</f>
        <v>3</v>
      </c>
      <c r="CM68" s="229">
        <f>'[1]Housing Generation'!CM68</f>
        <v>3</v>
      </c>
      <c r="CN68" s="229">
        <f>'[1]Housing Generation'!CN68</f>
        <v>3</v>
      </c>
      <c r="CO68" s="229">
        <f>'[1]Housing Generation'!CO68</f>
        <v>3</v>
      </c>
      <c r="CP68" s="229">
        <f>'[1]Housing Generation'!CP68</f>
        <v>2</v>
      </c>
      <c r="CQ68" s="229">
        <f>'[1]Housing Generation'!CQ68</f>
        <v>2</v>
      </c>
      <c r="CR68" s="229">
        <f>'[1]Housing Generation'!CR68</f>
        <v>2</v>
      </c>
      <c r="CS68" s="225">
        <f>'[1]Housing Generation'!CS68</f>
        <v>18</v>
      </c>
      <c r="CT68" s="227">
        <f>'[1]Housing Generation'!CT68</f>
        <v>3</v>
      </c>
      <c r="CU68" s="227">
        <f>'[1]Housing Generation'!CU68</f>
        <v>3</v>
      </c>
      <c r="CV68" s="227">
        <f>'[1]Housing Generation'!CV68</f>
        <v>3</v>
      </c>
      <c r="CW68" s="227">
        <f>'[1]Housing Generation'!CW68</f>
        <v>3</v>
      </c>
      <c r="CX68" s="227">
        <f>'[1]Housing Generation'!CX68</f>
        <v>2</v>
      </c>
      <c r="CY68" s="227">
        <f>'[1]Housing Generation'!CY68</f>
        <v>2</v>
      </c>
      <c r="CZ68" s="227">
        <f>'[1]Housing Generation'!CZ68</f>
        <v>2</v>
      </c>
      <c r="DA68" s="224">
        <f>'[1]Housing Generation'!DA68</f>
        <v>18</v>
      </c>
      <c r="DB68" s="229">
        <f>'[1]Housing Generation'!DB68</f>
        <v>3</v>
      </c>
      <c r="DC68" s="229">
        <f>'[1]Housing Generation'!DC68</f>
        <v>3</v>
      </c>
      <c r="DD68" s="229">
        <f>'[1]Housing Generation'!DD68</f>
        <v>3</v>
      </c>
      <c r="DE68" s="229">
        <f>'[1]Housing Generation'!DE68</f>
        <v>3</v>
      </c>
      <c r="DF68" s="229">
        <f>'[1]Housing Generation'!DF68</f>
        <v>2</v>
      </c>
      <c r="DG68" s="229">
        <f>'[1]Housing Generation'!DG68</f>
        <v>2</v>
      </c>
      <c r="DH68" s="229">
        <f>'[1]Housing Generation'!DH68</f>
        <v>2</v>
      </c>
      <c r="DI68" s="225">
        <f>'[1]Housing Generation'!DI68</f>
        <v>18</v>
      </c>
      <c r="DJ68" s="227">
        <f>'[1]Housing Generation'!DJ68</f>
        <v>3</v>
      </c>
      <c r="DK68" s="227">
        <f>'[1]Housing Generation'!DK68</f>
        <v>3</v>
      </c>
      <c r="DL68" s="227">
        <f>'[1]Housing Generation'!DL68</f>
        <v>3</v>
      </c>
      <c r="DM68" s="227">
        <f>'[1]Housing Generation'!DM68</f>
        <v>3</v>
      </c>
      <c r="DN68" s="227">
        <f>'[1]Housing Generation'!DN68</f>
        <v>2</v>
      </c>
      <c r="DO68" s="227">
        <f>'[1]Housing Generation'!DO68</f>
        <v>2</v>
      </c>
      <c r="DP68" s="227">
        <f>'[1]Housing Generation'!DP68</f>
        <v>2</v>
      </c>
      <c r="DQ68" s="224">
        <f>'[1]Housing Generation'!DQ68</f>
        <v>18</v>
      </c>
    </row>
    <row r="69" spans="1:121" x14ac:dyDescent="0.2">
      <c r="A69" s="238" t="s">
        <v>70</v>
      </c>
      <c r="B69" s="227">
        <f>'[1]Housing Generation'!B69</f>
        <v>1</v>
      </c>
      <c r="C69" s="227">
        <f>'[1]Housing Generation'!C69</f>
        <v>1</v>
      </c>
      <c r="D69" s="227">
        <f>'[1]Housing Generation'!D69</f>
        <v>1</v>
      </c>
      <c r="E69" s="227">
        <f>'[1]Housing Generation'!E69</f>
        <v>0</v>
      </c>
      <c r="F69" s="227">
        <f>'[1]Housing Generation'!F69</f>
        <v>0</v>
      </c>
      <c r="G69" s="227">
        <f>'[1]Housing Generation'!G69</f>
        <v>0</v>
      </c>
      <c r="H69" s="227">
        <f>'[1]Housing Generation'!H69</f>
        <v>0</v>
      </c>
      <c r="I69" s="224">
        <f>'[1]Housing Generation'!I69</f>
        <v>3</v>
      </c>
      <c r="J69" s="229">
        <f>'[1]Housing Generation'!J69</f>
        <v>2</v>
      </c>
      <c r="K69" s="229">
        <f>'[1]Housing Generation'!K69</f>
        <v>1</v>
      </c>
      <c r="L69" s="229">
        <f>'[1]Housing Generation'!L69</f>
        <v>1</v>
      </c>
      <c r="M69" s="229">
        <f>'[1]Housing Generation'!M69</f>
        <v>1</v>
      </c>
      <c r="N69" s="229">
        <f>'[1]Housing Generation'!N69</f>
        <v>1</v>
      </c>
      <c r="O69" s="229">
        <f>'[1]Housing Generation'!O69</f>
        <v>1</v>
      </c>
      <c r="P69" s="229">
        <f>'[1]Housing Generation'!P69</f>
        <v>1</v>
      </c>
      <c r="Q69" s="225">
        <f>'[1]Housing Generation'!Q69</f>
        <v>8</v>
      </c>
      <c r="R69" s="227">
        <f>'[1]Housing Generation'!R69</f>
        <v>2</v>
      </c>
      <c r="S69" s="227">
        <f>'[1]Housing Generation'!S69</f>
        <v>2</v>
      </c>
      <c r="T69" s="227">
        <f>'[1]Housing Generation'!T69</f>
        <v>2</v>
      </c>
      <c r="U69" s="227">
        <f>'[1]Housing Generation'!U69</f>
        <v>2</v>
      </c>
      <c r="V69" s="227">
        <f>'[1]Housing Generation'!V69</f>
        <v>2</v>
      </c>
      <c r="W69" s="227">
        <f>'[1]Housing Generation'!W69</f>
        <v>2</v>
      </c>
      <c r="X69" s="227">
        <f>'[1]Housing Generation'!X69</f>
        <v>2</v>
      </c>
      <c r="Y69" s="224">
        <f>'[1]Housing Generation'!Y69</f>
        <v>14</v>
      </c>
      <c r="Z69" s="229">
        <f>'[1]Housing Generation'!Z69</f>
        <v>3</v>
      </c>
      <c r="AA69" s="229">
        <f>'[1]Housing Generation'!AA69</f>
        <v>3</v>
      </c>
      <c r="AB69" s="229">
        <f>'[1]Housing Generation'!AB69</f>
        <v>3</v>
      </c>
      <c r="AC69" s="229">
        <f>'[1]Housing Generation'!AC69</f>
        <v>3</v>
      </c>
      <c r="AD69" s="229">
        <f>'[1]Housing Generation'!AD69</f>
        <v>3</v>
      </c>
      <c r="AE69" s="229">
        <f>'[1]Housing Generation'!AE69</f>
        <v>3</v>
      </c>
      <c r="AF69" s="229">
        <f>'[1]Housing Generation'!AF69</f>
        <v>3</v>
      </c>
      <c r="AG69" s="225">
        <f>'[1]Housing Generation'!AG69</f>
        <v>21</v>
      </c>
      <c r="AH69" s="227">
        <f>'[1]Housing Generation'!AH69</f>
        <v>4</v>
      </c>
      <c r="AI69" s="227">
        <f>'[1]Housing Generation'!AI69</f>
        <v>4</v>
      </c>
      <c r="AJ69" s="227">
        <f>'[1]Housing Generation'!AJ69</f>
        <v>4</v>
      </c>
      <c r="AK69" s="227">
        <f>'[1]Housing Generation'!AK69</f>
        <v>4</v>
      </c>
      <c r="AL69" s="227">
        <f>'[1]Housing Generation'!AL69</f>
        <v>3</v>
      </c>
      <c r="AM69" s="227">
        <f>'[1]Housing Generation'!AM69</f>
        <v>3</v>
      </c>
      <c r="AN69" s="227">
        <f>'[1]Housing Generation'!AN69</f>
        <v>3</v>
      </c>
      <c r="AO69" s="224">
        <f>'[1]Housing Generation'!AO69</f>
        <v>25</v>
      </c>
      <c r="AP69" s="229">
        <f>'[1]Housing Generation'!AP69</f>
        <v>5</v>
      </c>
      <c r="AQ69" s="229">
        <f>'[1]Housing Generation'!AQ69</f>
        <v>4</v>
      </c>
      <c r="AR69" s="229">
        <f>'[1]Housing Generation'!AR69</f>
        <v>4</v>
      </c>
      <c r="AS69" s="229">
        <f>'[1]Housing Generation'!AS69</f>
        <v>4</v>
      </c>
      <c r="AT69" s="229">
        <f>'[1]Housing Generation'!AT69</f>
        <v>4</v>
      </c>
      <c r="AU69" s="229">
        <f>'[1]Housing Generation'!AU69</f>
        <v>4</v>
      </c>
      <c r="AV69" s="229">
        <f>'[1]Housing Generation'!AV69</f>
        <v>4</v>
      </c>
      <c r="AW69" s="225">
        <f>'[1]Housing Generation'!AW69</f>
        <v>29</v>
      </c>
      <c r="AX69" s="227">
        <f>'[1]Housing Generation'!AX69</f>
        <v>5</v>
      </c>
      <c r="AY69" s="227">
        <f>'[1]Housing Generation'!AY69</f>
        <v>5</v>
      </c>
      <c r="AZ69" s="227">
        <f>'[1]Housing Generation'!AZ69</f>
        <v>5</v>
      </c>
      <c r="BA69" s="227">
        <f>'[1]Housing Generation'!BA69</f>
        <v>5</v>
      </c>
      <c r="BB69" s="227">
        <f>'[1]Housing Generation'!BB69</f>
        <v>5</v>
      </c>
      <c r="BC69" s="227">
        <f>'[1]Housing Generation'!BC69</f>
        <v>5</v>
      </c>
      <c r="BD69" s="227">
        <f>'[1]Housing Generation'!BD69</f>
        <v>5</v>
      </c>
      <c r="BE69" s="224">
        <f>'[1]Housing Generation'!BE69</f>
        <v>35</v>
      </c>
      <c r="BF69" s="229">
        <f>'[1]Housing Generation'!BF69</f>
        <v>6</v>
      </c>
      <c r="BG69" s="229">
        <f>'[1]Housing Generation'!BG69</f>
        <v>6</v>
      </c>
      <c r="BH69" s="229">
        <f>'[1]Housing Generation'!BH69</f>
        <v>6</v>
      </c>
      <c r="BI69" s="229">
        <f>'[1]Housing Generation'!BI69</f>
        <v>6</v>
      </c>
      <c r="BJ69" s="229">
        <f>'[1]Housing Generation'!BJ69</f>
        <v>6</v>
      </c>
      <c r="BK69" s="229">
        <f>'[1]Housing Generation'!BK69</f>
        <v>5</v>
      </c>
      <c r="BL69" s="229">
        <f>'[1]Housing Generation'!BL69</f>
        <v>5</v>
      </c>
      <c r="BM69" s="225">
        <f>'[1]Housing Generation'!BM69</f>
        <v>40</v>
      </c>
      <c r="BN69" s="227">
        <f>'[1]Housing Generation'!BN69</f>
        <v>7</v>
      </c>
      <c r="BO69" s="227">
        <f>'[1]Housing Generation'!BO69</f>
        <v>7</v>
      </c>
      <c r="BP69" s="227">
        <f>'[1]Housing Generation'!BP69</f>
        <v>6</v>
      </c>
      <c r="BQ69" s="227">
        <f>'[1]Housing Generation'!BQ69</f>
        <v>6</v>
      </c>
      <c r="BR69" s="227">
        <f>'[1]Housing Generation'!BR69</f>
        <v>6</v>
      </c>
      <c r="BS69" s="227">
        <f>'[1]Housing Generation'!BS69</f>
        <v>6</v>
      </c>
      <c r="BT69" s="227">
        <f>'[1]Housing Generation'!BT69</f>
        <v>6</v>
      </c>
      <c r="BU69" s="224">
        <f>'[1]Housing Generation'!BU69</f>
        <v>44</v>
      </c>
      <c r="BV69" s="229">
        <f>'[1]Housing Generation'!BV69</f>
        <v>7</v>
      </c>
      <c r="BW69" s="229">
        <f>'[1]Housing Generation'!BW69</f>
        <v>7</v>
      </c>
      <c r="BX69" s="229">
        <f>'[1]Housing Generation'!BX69</f>
        <v>7</v>
      </c>
      <c r="BY69" s="229">
        <f>'[1]Housing Generation'!BY69</f>
        <v>7</v>
      </c>
      <c r="BZ69" s="229">
        <f>'[1]Housing Generation'!BZ69</f>
        <v>7</v>
      </c>
      <c r="CA69" s="229">
        <f>'[1]Housing Generation'!CA69</f>
        <v>7</v>
      </c>
      <c r="CB69" s="229">
        <f>'[1]Housing Generation'!CB69</f>
        <v>7</v>
      </c>
      <c r="CC69" s="225">
        <f>'[1]Housing Generation'!CC69</f>
        <v>49</v>
      </c>
      <c r="CD69" s="227">
        <f>'[1]Housing Generation'!CD69</f>
        <v>8</v>
      </c>
      <c r="CE69" s="227">
        <f>'[1]Housing Generation'!CE69</f>
        <v>8</v>
      </c>
      <c r="CF69" s="227">
        <f>'[1]Housing Generation'!CF69</f>
        <v>8</v>
      </c>
      <c r="CG69" s="227">
        <f>'[1]Housing Generation'!CG69</f>
        <v>7</v>
      </c>
      <c r="CH69" s="227">
        <f>'[1]Housing Generation'!CH69</f>
        <v>7</v>
      </c>
      <c r="CI69" s="227">
        <f>'[1]Housing Generation'!CI69</f>
        <v>7</v>
      </c>
      <c r="CJ69" s="227">
        <f>'[1]Housing Generation'!CJ69</f>
        <v>7</v>
      </c>
      <c r="CK69" s="224">
        <f>'[1]Housing Generation'!CK69</f>
        <v>52</v>
      </c>
      <c r="CL69" s="229">
        <f>'[1]Housing Generation'!CL69</f>
        <v>8</v>
      </c>
      <c r="CM69" s="229">
        <f>'[1]Housing Generation'!CM69</f>
        <v>8</v>
      </c>
      <c r="CN69" s="229">
        <f>'[1]Housing Generation'!CN69</f>
        <v>8</v>
      </c>
      <c r="CO69" s="229">
        <f>'[1]Housing Generation'!CO69</f>
        <v>8</v>
      </c>
      <c r="CP69" s="229">
        <f>'[1]Housing Generation'!CP69</f>
        <v>7</v>
      </c>
      <c r="CQ69" s="229">
        <f>'[1]Housing Generation'!CQ69</f>
        <v>7</v>
      </c>
      <c r="CR69" s="229">
        <f>'[1]Housing Generation'!CR69</f>
        <v>7</v>
      </c>
      <c r="CS69" s="225">
        <f>'[1]Housing Generation'!CS69</f>
        <v>53</v>
      </c>
      <c r="CT69" s="227">
        <f>'[1]Housing Generation'!CT69</f>
        <v>8</v>
      </c>
      <c r="CU69" s="227">
        <f>'[1]Housing Generation'!CU69</f>
        <v>8</v>
      </c>
      <c r="CV69" s="227">
        <f>'[1]Housing Generation'!CV69</f>
        <v>8</v>
      </c>
      <c r="CW69" s="227">
        <f>'[1]Housing Generation'!CW69</f>
        <v>8</v>
      </c>
      <c r="CX69" s="227">
        <f>'[1]Housing Generation'!CX69</f>
        <v>8</v>
      </c>
      <c r="CY69" s="227">
        <f>'[1]Housing Generation'!CY69</f>
        <v>7</v>
      </c>
      <c r="CZ69" s="227">
        <f>'[1]Housing Generation'!CZ69</f>
        <v>7</v>
      </c>
      <c r="DA69" s="224">
        <f>'[1]Housing Generation'!DA69</f>
        <v>54</v>
      </c>
      <c r="DB69" s="229">
        <f>'[1]Housing Generation'!DB69</f>
        <v>8</v>
      </c>
      <c r="DC69" s="229">
        <f>'[1]Housing Generation'!DC69</f>
        <v>8</v>
      </c>
      <c r="DD69" s="229">
        <f>'[1]Housing Generation'!DD69</f>
        <v>8</v>
      </c>
      <c r="DE69" s="229">
        <f>'[1]Housing Generation'!DE69</f>
        <v>8</v>
      </c>
      <c r="DF69" s="229">
        <f>'[1]Housing Generation'!DF69</f>
        <v>8</v>
      </c>
      <c r="DG69" s="229">
        <f>'[1]Housing Generation'!DG69</f>
        <v>8</v>
      </c>
      <c r="DH69" s="229">
        <f>'[1]Housing Generation'!DH69</f>
        <v>7</v>
      </c>
      <c r="DI69" s="225">
        <f>'[1]Housing Generation'!DI69</f>
        <v>55</v>
      </c>
      <c r="DJ69" s="227">
        <f>'[1]Housing Generation'!DJ69</f>
        <v>8</v>
      </c>
      <c r="DK69" s="227">
        <f>'[1]Housing Generation'!DK69</f>
        <v>8</v>
      </c>
      <c r="DL69" s="227">
        <f>'[1]Housing Generation'!DL69</f>
        <v>8</v>
      </c>
      <c r="DM69" s="227">
        <f>'[1]Housing Generation'!DM69</f>
        <v>8</v>
      </c>
      <c r="DN69" s="227">
        <f>'[1]Housing Generation'!DN69</f>
        <v>8</v>
      </c>
      <c r="DO69" s="227">
        <f>'[1]Housing Generation'!DO69</f>
        <v>8</v>
      </c>
      <c r="DP69" s="227">
        <f>'[1]Housing Generation'!DP69</f>
        <v>8</v>
      </c>
      <c r="DQ69" s="224">
        <f>'[1]Housing Generation'!DQ69</f>
        <v>56</v>
      </c>
    </row>
    <row r="70" spans="1:121" x14ac:dyDescent="0.2">
      <c r="A70" s="238" t="s">
        <v>71</v>
      </c>
      <c r="B70" s="227">
        <f>'[1]Housing Generation'!B70</f>
        <v>1</v>
      </c>
      <c r="C70" s="227">
        <f>'[1]Housing Generation'!C70</f>
        <v>1</v>
      </c>
      <c r="D70" s="227">
        <f>'[1]Housing Generation'!D70</f>
        <v>1</v>
      </c>
      <c r="E70" s="227">
        <f>'[1]Housing Generation'!E70</f>
        <v>1</v>
      </c>
      <c r="F70" s="227">
        <f>'[1]Housing Generation'!F70</f>
        <v>1</v>
      </c>
      <c r="G70" s="227">
        <f>'[1]Housing Generation'!G70</f>
        <v>0</v>
      </c>
      <c r="H70" s="227">
        <f>'[1]Housing Generation'!H70</f>
        <v>0</v>
      </c>
      <c r="I70" s="224">
        <f>'[1]Housing Generation'!I70</f>
        <v>5</v>
      </c>
      <c r="J70" s="229">
        <f>'[1]Housing Generation'!J70</f>
        <v>1</v>
      </c>
      <c r="K70" s="229">
        <f>'[1]Housing Generation'!K70</f>
        <v>1</v>
      </c>
      <c r="L70" s="229">
        <f>'[1]Housing Generation'!L70</f>
        <v>1</v>
      </c>
      <c r="M70" s="229">
        <f>'[1]Housing Generation'!M70</f>
        <v>1</v>
      </c>
      <c r="N70" s="229">
        <f>'[1]Housing Generation'!N70</f>
        <v>0</v>
      </c>
      <c r="O70" s="229">
        <f>'[1]Housing Generation'!O70</f>
        <v>0</v>
      </c>
      <c r="P70" s="229">
        <f>'[1]Housing Generation'!P70</f>
        <v>0</v>
      </c>
      <c r="Q70" s="225">
        <f>'[1]Housing Generation'!Q70</f>
        <v>4</v>
      </c>
      <c r="R70" s="227">
        <f>'[1]Housing Generation'!R70</f>
        <v>1</v>
      </c>
      <c r="S70" s="227">
        <f>'[1]Housing Generation'!S70</f>
        <v>1</v>
      </c>
      <c r="T70" s="227">
        <f>'[1]Housing Generation'!T70</f>
        <v>1</v>
      </c>
      <c r="U70" s="227">
        <f>'[1]Housing Generation'!U70</f>
        <v>1</v>
      </c>
      <c r="V70" s="227">
        <f>'[1]Housing Generation'!V70</f>
        <v>1</v>
      </c>
      <c r="W70" s="227">
        <f>'[1]Housing Generation'!W70</f>
        <v>1</v>
      </c>
      <c r="X70" s="227">
        <f>'[1]Housing Generation'!X70</f>
        <v>1</v>
      </c>
      <c r="Y70" s="224">
        <f>'[1]Housing Generation'!Y70</f>
        <v>7</v>
      </c>
      <c r="Z70" s="229">
        <f>'[1]Housing Generation'!Z70</f>
        <v>2</v>
      </c>
      <c r="AA70" s="229">
        <f>'[1]Housing Generation'!AA70</f>
        <v>2</v>
      </c>
      <c r="AB70" s="229">
        <f>'[1]Housing Generation'!AB70</f>
        <v>2</v>
      </c>
      <c r="AC70" s="229">
        <f>'[1]Housing Generation'!AC70</f>
        <v>2</v>
      </c>
      <c r="AD70" s="229">
        <f>'[1]Housing Generation'!AD70</f>
        <v>1</v>
      </c>
      <c r="AE70" s="229">
        <f>'[1]Housing Generation'!AE70</f>
        <v>1</v>
      </c>
      <c r="AF70" s="229">
        <f>'[1]Housing Generation'!AF70</f>
        <v>1</v>
      </c>
      <c r="AG70" s="225">
        <f>'[1]Housing Generation'!AG70</f>
        <v>11</v>
      </c>
      <c r="AH70" s="227">
        <f>'[1]Housing Generation'!AH70</f>
        <v>3</v>
      </c>
      <c r="AI70" s="227">
        <f>'[1]Housing Generation'!AI70</f>
        <v>3</v>
      </c>
      <c r="AJ70" s="227">
        <f>'[1]Housing Generation'!AJ70</f>
        <v>2</v>
      </c>
      <c r="AK70" s="227">
        <f>'[1]Housing Generation'!AK70</f>
        <v>2</v>
      </c>
      <c r="AL70" s="227">
        <f>'[1]Housing Generation'!AL70</f>
        <v>2</v>
      </c>
      <c r="AM70" s="227">
        <f>'[1]Housing Generation'!AM70</f>
        <v>2</v>
      </c>
      <c r="AN70" s="227">
        <f>'[1]Housing Generation'!AN70</f>
        <v>2</v>
      </c>
      <c r="AO70" s="224">
        <f>'[1]Housing Generation'!AO70</f>
        <v>16</v>
      </c>
      <c r="AP70" s="229">
        <f>'[1]Housing Generation'!AP70</f>
        <v>3</v>
      </c>
      <c r="AQ70" s="229">
        <f>'[1]Housing Generation'!AQ70</f>
        <v>3</v>
      </c>
      <c r="AR70" s="229">
        <f>'[1]Housing Generation'!AR70</f>
        <v>3</v>
      </c>
      <c r="AS70" s="229">
        <f>'[1]Housing Generation'!AS70</f>
        <v>3</v>
      </c>
      <c r="AT70" s="229">
        <f>'[1]Housing Generation'!AT70</f>
        <v>3</v>
      </c>
      <c r="AU70" s="229">
        <f>'[1]Housing Generation'!AU70</f>
        <v>3</v>
      </c>
      <c r="AV70" s="229">
        <f>'[1]Housing Generation'!AV70</f>
        <v>2</v>
      </c>
      <c r="AW70" s="225">
        <f>'[1]Housing Generation'!AW70</f>
        <v>20</v>
      </c>
      <c r="AX70" s="227">
        <f>'[1]Housing Generation'!AX70</f>
        <v>4</v>
      </c>
      <c r="AY70" s="227">
        <f>'[1]Housing Generation'!AY70</f>
        <v>4</v>
      </c>
      <c r="AZ70" s="227">
        <f>'[1]Housing Generation'!AZ70</f>
        <v>4</v>
      </c>
      <c r="BA70" s="227">
        <f>'[1]Housing Generation'!BA70</f>
        <v>3</v>
      </c>
      <c r="BB70" s="227">
        <f>'[1]Housing Generation'!BB70</f>
        <v>3</v>
      </c>
      <c r="BC70" s="227">
        <f>'[1]Housing Generation'!BC70</f>
        <v>3</v>
      </c>
      <c r="BD70" s="227">
        <f>'[1]Housing Generation'!BD70</f>
        <v>3</v>
      </c>
      <c r="BE70" s="224">
        <f>'[1]Housing Generation'!BE70</f>
        <v>24</v>
      </c>
      <c r="BF70" s="229">
        <f>'[1]Housing Generation'!BF70</f>
        <v>4</v>
      </c>
      <c r="BG70" s="229">
        <f>'[1]Housing Generation'!BG70</f>
        <v>4</v>
      </c>
      <c r="BH70" s="229">
        <f>'[1]Housing Generation'!BH70</f>
        <v>4</v>
      </c>
      <c r="BI70" s="229">
        <f>'[1]Housing Generation'!BI70</f>
        <v>4</v>
      </c>
      <c r="BJ70" s="229">
        <f>'[1]Housing Generation'!BJ70</f>
        <v>4</v>
      </c>
      <c r="BK70" s="229">
        <f>'[1]Housing Generation'!BK70</f>
        <v>4</v>
      </c>
      <c r="BL70" s="229">
        <f>'[1]Housing Generation'!BL70</f>
        <v>4</v>
      </c>
      <c r="BM70" s="225">
        <f>'[1]Housing Generation'!BM70</f>
        <v>28</v>
      </c>
      <c r="BN70" s="227">
        <f>'[1]Housing Generation'!BN70</f>
        <v>5</v>
      </c>
      <c r="BO70" s="227">
        <f>'[1]Housing Generation'!BO70</f>
        <v>5</v>
      </c>
      <c r="BP70" s="227">
        <f>'[1]Housing Generation'!BP70</f>
        <v>5</v>
      </c>
      <c r="BQ70" s="227">
        <f>'[1]Housing Generation'!BQ70</f>
        <v>4</v>
      </c>
      <c r="BR70" s="227">
        <f>'[1]Housing Generation'!BR70</f>
        <v>4</v>
      </c>
      <c r="BS70" s="227">
        <f>'[1]Housing Generation'!BS70</f>
        <v>4</v>
      </c>
      <c r="BT70" s="227">
        <f>'[1]Housing Generation'!BT70</f>
        <v>4</v>
      </c>
      <c r="BU70" s="224">
        <f>'[1]Housing Generation'!BU70</f>
        <v>31</v>
      </c>
      <c r="BV70" s="229">
        <f>'[1]Housing Generation'!BV70</f>
        <v>5</v>
      </c>
      <c r="BW70" s="229">
        <f>'[1]Housing Generation'!BW70</f>
        <v>5</v>
      </c>
      <c r="BX70" s="229">
        <f>'[1]Housing Generation'!BX70</f>
        <v>5</v>
      </c>
      <c r="BY70" s="229">
        <f>'[1]Housing Generation'!BY70</f>
        <v>5</v>
      </c>
      <c r="BZ70" s="229">
        <f>'[1]Housing Generation'!BZ70</f>
        <v>5</v>
      </c>
      <c r="CA70" s="229">
        <f>'[1]Housing Generation'!CA70</f>
        <v>4</v>
      </c>
      <c r="CB70" s="229">
        <f>'[1]Housing Generation'!CB70</f>
        <v>4</v>
      </c>
      <c r="CC70" s="225">
        <f>'[1]Housing Generation'!CC70</f>
        <v>33</v>
      </c>
      <c r="CD70" s="227">
        <f>'[1]Housing Generation'!CD70</f>
        <v>5</v>
      </c>
      <c r="CE70" s="227">
        <f>'[1]Housing Generation'!CE70</f>
        <v>5</v>
      </c>
      <c r="CF70" s="227">
        <f>'[1]Housing Generation'!CF70</f>
        <v>5</v>
      </c>
      <c r="CG70" s="227">
        <f>'[1]Housing Generation'!CG70</f>
        <v>5</v>
      </c>
      <c r="CH70" s="227">
        <f>'[1]Housing Generation'!CH70</f>
        <v>5</v>
      </c>
      <c r="CI70" s="227">
        <f>'[1]Housing Generation'!CI70</f>
        <v>5</v>
      </c>
      <c r="CJ70" s="227">
        <f>'[1]Housing Generation'!CJ70</f>
        <v>4</v>
      </c>
      <c r="CK70" s="224">
        <f>'[1]Housing Generation'!CK70</f>
        <v>34</v>
      </c>
      <c r="CL70" s="229">
        <f>'[1]Housing Generation'!CL70</f>
        <v>5</v>
      </c>
      <c r="CM70" s="229">
        <f>'[1]Housing Generation'!CM70</f>
        <v>5</v>
      </c>
      <c r="CN70" s="229">
        <f>'[1]Housing Generation'!CN70</f>
        <v>5</v>
      </c>
      <c r="CO70" s="229">
        <f>'[1]Housing Generation'!CO70</f>
        <v>5</v>
      </c>
      <c r="CP70" s="229">
        <f>'[1]Housing Generation'!CP70</f>
        <v>5</v>
      </c>
      <c r="CQ70" s="229">
        <f>'[1]Housing Generation'!CQ70</f>
        <v>5</v>
      </c>
      <c r="CR70" s="229">
        <f>'[1]Housing Generation'!CR70</f>
        <v>4</v>
      </c>
      <c r="CS70" s="225">
        <f>'[1]Housing Generation'!CS70</f>
        <v>34</v>
      </c>
      <c r="CT70" s="227">
        <f>'[1]Housing Generation'!CT70</f>
        <v>5</v>
      </c>
      <c r="CU70" s="227">
        <f>'[1]Housing Generation'!CU70</f>
        <v>5</v>
      </c>
      <c r="CV70" s="227">
        <f>'[1]Housing Generation'!CV70</f>
        <v>5</v>
      </c>
      <c r="CW70" s="227">
        <f>'[1]Housing Generation'!CW70</f>
        <v>5</v>
      </c>
      <c r="CX70" s="227">
        <f>'[1]Housing Generation'!CX70</f>
        <v>5</v>
      </c>
      <c r="CY70" s="227">
        <f>'[1]Housing Generation'!CY70</f>
        <v>5</v>
      </c>
      <c r="CZ70" s="227">
        <f>'[1]Housing Generation'!CZ70</f>
        <v>4</v>
      </c>
      <c r="DA70" s="224">
        <f>'[1]Housing Generation'!DA70</f>
        <v>34</v>
      </c>
      <c r="DB70" s="229">
        <f>'[1]Housing Generation'!DB70</f>
        <v>5</v>
      </c>
      <c r="DC70" s="229">
        <f>'[1]Housing Generation'!DC70</f>
        <v>5</v>
      </c>
      <c r="DD70" s="229">
        <f>'[1]Housing Generation'!DD70</f>
        <v>5</v>
      </c>
      <c r="DE70" s="229">
        <f>'[1]Housing Generation'!DE70</f>
        <v>5</v>
      </c>
      <c r="DF70" s="229">
        <f>'[1]Housing Generation'!DF70</f>
        <v>5</v>
      </c>
      <c r="DG70" s="229">
        <f>'[1]Housing Generation'!DG70</f>
        <v>5</v>
      </c>
      <c r="DH70" s="229">
        <f>'[1]Housing Generation'!DH70</f>
        <v>4</v>
      </c>
      <c r="DI70" s="225">
        <f>'[1]Housing Generation'!DI70</f>
        <v>34</v>
      </c>
      <c r="DJ70" s="227">
        <f>'[1]Housing Generation'!DJ70</f>
        <v>5</v>
      </c>
      <c r="DK70" s="227">
        <f>'[1]Housing Generation'!DK70</f>
        <v>5</v>
      </c>
      <c r="DL70" s="227">
        <f>'[1]Housing Generation'!DL70</f>
        <v>5</v>
      </c>
      <c r="DM70" s="227">
        <f>'[1]Housing Generation'!DM70</f>
        <v>5</v>
      </c>
      <c r="DN70" s="227">
        <f>'[1]Housing Generation'!DN70</f>
        <v>5</v>
      </c>
      <c r="DO70" s="227">
        <f>'[1]Housing Generation'!DO70</f>
        <v>5</v>
      </c>
      <c r="DP70" s="227">
        <f>'[1]Housing Generation'!DP70</f>
        <v>4</v>
      </c>
      <c r="DQ70" s="224">
        <f>'[1]Housing Generation'!DQ70</f>
        <v>34</v>
      </c>
    </row>
    <row r="71" spans="1:121" x14ac:dyDescent="0.2">
      <c r="A71" s="238" t="s">
        <v>72</v>
      </c>
      <c r="B71" s="227">
        <f>'[1]Housing Generation'!B71</f>
        <v>1</v>
      </c>
      <c r="C71" s="227">
        <f>'[1]Housing Generation'!C71</f>
        <v>1</v>
      </c>
      <c r="D71" s="227">
        <f>'[1]Housing Generation'!D71</f>
        <v>1</v>
      </c>
      <c r="E71" s="227">
        <f>'[1]Housing Generation'!E71</f>
        <v>0</v>
      </c>
      <c r="F71" s="227">
        <f>'[1]Housing Generation'!F71</f>
        <v>0</v>
      </c>
      <c r="G71" s="227">
        <f>'[1]Housing Generation'!G71</f>
        <v>0</v>
      </c>
      <c r="H71" s="227">
        <f>'[1]Housing Generation'!H71</f>
        <v>0</v>
      </c>
      <c r="I71" s="224">
        <f>'[1]Housing Generation'!I71</f>
        <v>3</v>
      </c>
      <c r="J71" s="229">
        <f>'[1]Housing Generation'!J71</f>
        <v>1</v>
      </c>
      <c r="K71" s="229">
        <f>'[1]Housing Generation'!K71</f>
        <v>1</v>
      </c>
      <c r="L71" s="229">
        <f>'[1]Housing Generation'!L71</f>
        <v>1</v>
      </c>
      <c r="M71" s="229">
        <f>'[1]Housing Generation'!M71</f>
        <v>0</v>
      </c>
      <c r="N71" s="229">
        <f>'[1]Housing Generation'!N71</f>
        <v>0</v>
      </c>
      <c r="O71" s="229">
        <f>'[1]Housing Generation'!O71</f>
        <v>0</v>
      </c>
      <c r="P71" s="229">
        <f>'[1]Housing Generation'!P71</f>
        <v>0</v>
      </c>
      <c r="Q71" s="225">
        <f>'[1]Housing Generation'!Q71</f>
        <v>3</v>
      </c>
      <c r="R71" s="227">
        <f>'[1]Housing Generation'!R71</f>
        <v>1</v>
      </c>
      <c r="S71" s="227">
        <f>'[1]Housing Generation'!S71</f>
        <v>1</v>
      </c>
      <c r="T71" s="227">
        <f>'[1]Housing Generation'!T71</f>
        <v>1</v>
      </c>
      <c r="U71" s="227">
        <f>'[1]Housing Generation'!U71</f>
        <v>1</v>
      </c>
      <c r="V71" s="227">
        <f>'[1]Housing Generation'!V71</f>
        <v>0</v>
      </c>
      <c r="W71" s="227">
        <f>'[1]Housing Generation'!W71</f>
        <v>0</v>
      </c>
      <c r="X71" s="227">
        <f>'[1]Housing Generation'!X71</f>
        <v>0</v>
      </c>
      <c r="Y71" s="224">
        <f>'[1]Housing Generation'!Y71</f>
        <v>4</v>
      </c>
      <c r="Z71" s="229">
        <f>'[1]Housing Generation'!Z71</f>
        <v>1</v>
      </c>
      <c r="AA71" s="229">
        <f>'[1]Housing Generation'!AA71</f>
        <v>1</v>
      </c>
      <c r="AB71" s="229">
        <f>'[1]Housing Generation'!AB71</f>
        <v>1</v>
      </c>
      <c r="AC71" s="229">
        <f>'[1]Housing Generation'!AC71</f>
        <v>1</v>
      </c>
      <c r="AD71" s="229">
        <f>'[1]Housing Generation'!AD71</f>
        <v>1</v>
      </c>
      <c r="AE71" s="229">
        <f>'[1]Housing Generation'!AE71</f>
        <v>1</v>
      </c>
      <c r="AF71" s="229">
        <f>'[1]Housing Generation'!AF71</f>
        <v>1</v>
      </c>
      <c r="AG71" s="225">
        <f>'[1]Housing Generation'!AG71</f>
        <v>7</v>
      </c>
      <c r="AH71" s="227">
        <f>'[1]Housing Generation'!AH71</f>
        <v>2</v>
      </c>
      <c r="AI71" s="227">
        <f>'[1]Housing Generation'!AI71</f>
        <v>2</v>
      </c>
      <c r="AJ71" s="227">
        <f>'[1]Housing Generation'!AJ71</f>
        <v>2</v>
      </c>
      <c r="AK71" s="227">
        <f>'[1]Housing Generation'!AK71</f>
        <v>2</v>
      </c>
      <c r="AL71" s="227">
        <f>'[1]Housing Generation'!AL71</f>
        <v>1</v>
      </c>
      <c r="AM71" s="227">
        <f>'[1]Housing Generation'!AM71</f>
        <v>1</v>
      </c>
      <c r="AN71" s="227">
        <f>'[1]Housing Generation'!AN71</f>
        <v>1</v>
      </c>
      <c r="AO71" s="224">
        <f>'[1]Housing Generation'!AO71</f>
        <v>11</v>
      </c>
      <c r="AP71" s="229">
        <f>'[1]Housing Generation'!AP71</f>
        <v>2</v>
      </c>
      <c r="AQ71" s="229">
        <f>'[1]Housing Generation'!AQ71</f>
        <v>2</v>
      </c>
      <c r="AR71" s="229">
        <f>'[1]Housing Generation'!AR71</f>
        <v>2</v>
      </c>
      <c r="AS71" s="229">
        <f>'[1]Housing Generation'!AS71</f>
        <v>2</v>
      </c>
      <c r="AT71" s="229">
        <f>'[1]Housing Generation'!AT71</f>
        <v>2</v>
      </c>
      <c r="AU71" s="229">
        <f>'[1]Housing Generation'!AU71</f>
        <v>2</v>
      </c>
      <c r="AV71" s="229">
        <f>'[1]Housing Generation'!AV71</f>
        <v>1</v>
      </c>
      <c r="AW71" s="225">
        <f>'[1]Housing Generation'!AW71</f>
        <v>13</v>
      </c>
      <c r="AX71" s="227">
        <f>'[1]Housing Generation'!AX71</f>
        <v>3</v>
      </c>
      <c r="AY71" s="227">
        <f>'[1]Housing Generation'!AY71</f>
        <v>3</v>
      </c>
      <c r="AZ71" s="227">
        <f>'[1]Housing Generation'!AZ71</f>
        <v>3</v>
      </c>
      <c r="BA71" s="227">
        <f>'[1]Housing Generation'!BA71</f>
        <v>3</v>
      </c>
      <c r="BB71" s="227">
        <f>'[1]Housing Generation'!BB71</f>
        <v>3</v>
      </c>
      <c r="BC71" s="227">
        <f>'[1]Housing Generation'!BC71</f>
        <v>2</v>
      </c>
      <c r="BD71" s="227">
        <f>'[1]Housing Generation'!BD71</f>
        <v>2</v>
      </c>
      <c r="BE71" s="224">
        <f>'[1]Housing Generation'!BE71</f>
        <v>19</v>
      </c>
      <c r="BF71" s="229">
        <f>'[1]Housing Generation'!BF71</f>
        <v>4</v>
      </c>
      <c r="BG71" s="229">
        <f>'[1]Housing Generation'!BG71</f>
        <v>4</v>
      </c>
      <c r="BH71" s="229">
        <f>'[1]Housing Generation'!BH71</f>
        <v>4</v>
      </c>
      <c r="BI71" s="229">
        <f>'[1]Housing Generation'!BI71</f>
        <v>3</v>
      </c>
      <c r="BJ71" s="229">
        <f>'[1]Housing Generation'!BJ71</f>
        <v>3</v>
      </c>
      <c r="BK71" s="229">
        <f>'[1]Housing Generation'!BK71</f>
        <v>3</v>
      </c>
      <c r="BL71" s="229">
        <f>'[1]Housing Generation'!BL71</f>
        <v>3</v>
      </c>
      <c r="BM71" s="225">
        <f>'[1]Housing Generation'!BM71</f>
        <v>24</v>
      </c>
      <c r="BN71" s="227">
        <f>'[1]Housing Generation'!BN71</f>
        <v>5</v>
      </c>
      <c r="BO71" s="227">
        <f>'[1]Housing Generation'!BO71</f>
        <v>4</v>
      </c>
      <c r="BP71" s="227">
        <f>'[1]Housing Generation'!BP71</f>
        <v>4</v>
      </c>
      <c r="BQ71" s="227">
        <f>'[1]Housing Generation'!BQ71</f>
        <v>4</v>
      </c>
      <c r="BR71" s="227">
        <f>'[1]Housing Generation'!BR71</f>
        <v>4</v>
      </c>
      <c r="BS71" s="227">
        <f>'[1]Housing Generation'!BS71</f>
        <v>4</v>
      </c>
      <c r="BT71" s="227">
        <f>'[1]Housing Generation'!BT71</f>
        <v>4</v>
      </c>
      <c r="BU71" s="224">
        <f>'[1]Housing Generation'!BU71</f>
        <v>29</v>
      </c>
      <c r="BV71" s="229">
        <f>'[1]Housing Generation'!BV71</f>
        <v>5</v>
      </c>
      <c r="BW71" s="229">
        <f>'[1]Housing Generation'!BW71</f>
        <v>5</v>
      </c>
      <c r="BX71" s="229">
        <f>'[1]Housing Generation'!BX71</f>
        <v>5</v>
      </c>
      <c r="BY71" s="229">
        <f>'[1]Housing Generation'!BY71</f>
        <v>5</v>
      </c>
      <c r="BZ71" s="229">
        <f>'[1]Housing Generation'!BZ71</f>
        <v>5</v>
      </c>
      <c r="CA71" s="229">
        <f>'[1]Housing Generation'!CA71</f>
        <v>5</v>
      </c>
      <c r="CB71" s="229">
        <f>'[1]Housing Generation'!CB71</f>
        <v>5</v>
      </c>
      <c r="CC71" s="225">
        <f>'[1]Housing Generation'!CC71</f>
        <v>35</v>
      </c>
      <c r="CD71" s="227">
        <f>'[1]Housing Generation'!CD71</f>
        <v>6</v>
      </c>
      <c r="CE71" s="227">
        <f>'[1]Housing Generation'!CE71</f>
        <v>6</v>
      </c>
      <c r="CF71" s="227">
        <f>'[1]Housing Generation'!CF71</f>
        <v>6</v>
      </c>
      <c r="CG71" s="227">
        <f>'[1]Housing Generation'!CG71</f>
        <v>6</v>
      </c>
      <c r="CH71" s="227">
        <f>'[1]Housing Generation'!CH71</f>
        <v>6</v>
      </c>
      <c r="CI71" s="227">
        <f>'[1]Housing Generation'!CI71</f>
        <v>5</v>
      </c>
      <c r="CJ71" s="227">
        <f>'[1]Housing Generation'!CJ71</f>
        <v>5</v>
      </c>
      <c r="CK71" s="224">
        <f>'[1]Housing Generation'!CK71</f>
        <v>40</v>
      </c>
      <c r="CL71" s="229">
        <f>'[1]Housing Generation'!CL71</f>
        <v>7</v>
      </c>
      <c r="CM71" s="229">
        <f>'[1]Housing Generation'!CM71</f>
        <v>6</v>
      </c>
      <c r="CN71" s="229">
        <f>'[1]Housing Generation'!CN71</f>
        <v>6</v>
      </c>
      <c r="CO71" s="229">
        <f>'[1]Housing Generation'!CO71</f>
        <v>6</v>
      </c>
      <c r="CP71" s="229">
        <f>'[1]Housing Generation'!CP71</f>
        <v>6</v>
      </c>
      <c r="CQ71" s="229">
        <f>'[1]Housing Generation'!CQ71</f>
        <v>6</v>
      </c>
      <c r="CR71" s="229">
        <f>'[1]Housing Generation'!CR71</f>
        <v>6</v>
      </c>
      <c r="CS71" s="225">
        <f>'[1]Housing Generation'!CS71</f>
        <v>43</v>
      </c>
      <c r="CT71" s="227">
        <f>'[1]Housing Generation'!CT71</f>
        <v>7</v>
      </c>
      <c r="CU71" s="227">
        <f>'[1]Housing Generation'!CU71</f>
        <v>7</v>
      </c>
      <c r="CV71" s="227">
        <f>'[1]Housing Generation'!CV71</f>
        <v>7</v>
      </c>
      <c r="CW71" s="227">
        <f>'[1]Housing Generation'!CW71</f>
        <v>7</v>
      </c>
      <c r="CX71" s="227">
        <f>'[1]Housing Generation'!CX71</f>
        <v>7</v>
      </c>
      <c r="CY71" s="227">
        <f>'[1]Housing Generation'!CY71</f>
        <v>6</v>
      </c>
      <c r="CZ71" s="227">
        <f>'[1]Housing Generation'!CZ71</f>
        <v>6</v>
      </c>
      <c r="DA71" s="224">
        <f>'[1]Housing Generation'!DA71</f>
        <v>47</v>
      </c>
      <c r="DB71" s="229">
        <f>'[1]Housing Generation'!DB71</f>
        <v>8</v>
      </c>
      <c r="DC71" s="229">
        <f>'[1]Housing Generation'!DC71</f>
        <v>7</v>
      </c>
      <c r="DD71" s="229">
        <f>'[1]Housing Generation'!DD71</f>
        <v>7</v>
      </c>
      <c r="DE71" s="229">
        <f>'[1]Housing Generation'!DE71</f>
        <v>7</v>
      </c>
      <c r="DF71" s="229">
        <f>'[1]Housing Generation'!DF71</f>
        <v>7</v>
      </c>
      <c r="DG71" s="229">
        <f>'[1]Housing Generation'!DG71</f>
        <v>7</v>
      </c>
      <c r="DH71" s="229">
        <f>'[1]Housing Generation'!DH71</f>
        <v>7</v>
      </c>
      <c r="DI71" s="225">
        <f>'[1]Housing Generation'!DI71</f>
        <v>50</v>
      </c>
      <c r="DJ71" s="227">
        <f>'[1]Housing Generation'!DJ71</f>
        <v>8</v>
      </c>
      <c r="DK71" s="227">
        <f>'[1]Housing Generation'!DK71</f>
        <v>8</v>
      </c>
      <c r="DL71" s="227">
        <f>'[1]Housing Generation'!DL71</f>
        <v>8</v>
      </c>
      <c r="DM71" s="227">
        <f>'[1]Housing Generation'!DM71</f>
        <v>8</v>
      </c>
      <c r="DN71" s="227">
        <f>'[1]Housing Generation'!DN71</f>
        <v>8</v>
      </c>
      <c r="DO71" s="227">
        <f>'[1]Housing Generation'!DO71</f>
        <v>7</v>
      </c>
      <c r="DP71" s="227">
        <f>'[1]Housing Generation'!DP71</f>
        <v>7</v>
      </c>
      <c r="DQ71" s="224">
        <f>'[1]Housing Generation'!DQ71</f>
        <v>54</v>
      </c>
    </row>
    <row r="72" spans="1:121" x14ac:dyDescent="0.2">
      <c r="A72" s="238" t="s">
        <v>73</v>
      </c>
      <c r="B72" s="227">
        <f>'[1]Housing Generation'!B72</f>
        <v>1</v>
      </c>
      <c r="C72" s="227">
        <f>'[1]Housing Generation'!C72</f>
        <v>1</v>
      </c>
      <c r="D72" s="227">
        <f>'[1]Housing Generation'!D72</f>
        <v>1</v>
      </c>
      <c r="E72" s="227">
        <f>'[1]Housing Generation'!E72</f>
        <v>0</v>
      </c>
      <c r="F72" s="227">
        <f>'[1]Housing Generation'!F72</f>
        <v>0</v>
      </c>
      <c r="G72" s="227">
        <f>'[1]Housing Generation'!G72</f>
        <v>0</v>
      </c>
      <c r="H72" s="227">
        <f>'[1]Housing Generation'!H72</f>
        <v>0</v>
      </c>
      <c r="I72" s="224">
        <f>'[1]Housing Generation'!I72</f>
        <v>3</v>
      </c>
      <c r="J72" s="229">
        <f>'[1]Housing Generation'!J72</f>
        <v>2</v>
      </c>
      <c r="K72" s="229">
        <f>'[1]Housing Generation'!K72</f>
        <v>2</v>
      </c>
      <c r="L72" s="229">
        <f>'[1]Housing Generation'!L72</f>
        <v>1</v>
      </c>
      <c r="M72" s="229">
        <f>'[1]Housing Generation'!M72</f>
        <v>1</v>
      </c>
      <c r="N72" s="229">
        <f>'[1]Housing Generation'!N72</f>
        <v>1</v>
      </c>
      <c r="O72" s="229">
        <f>'[1]Housing Generation'!O72</f>
        <v>1</v>
      </c>
      <c r="P72" s="229">
        <f>'[1]Housing Generation'!P72</f>
        <v>1</v>
      </c>
      <c r="Q72" s="225">
        <f>'[1]Housing Generation'!Q72</f>
        <v>9</v>
      </c>
      <c r="R72" s="227">
        <f>'[1]Housing Generation'!R72</f>
        <v>3</v>
      </c>
      <c r="S72" s="227">
        <f>'[1]Housing Generation'!S72</f>
        <v>3</v>
      </c>
      <c r="T72" s="227">
        <f>'[1]Housing Generation'!T72</f>
        <v>3</v>
      </c>
      <c r="U72" s="227">
        <f>'[1]Housing Generation'!U72</f>
        <v>2</v>
      </c>
      <c r="V72" s="227">
        <f>'[1]Housing Generation'!V72</f>
        <v>2</v>
      </c>
      <c r="W72" s="227">
        <f>'[1]Housing Generation'!W72</f>
        <v>2</v>
      </c>
      <c r="X72" s="227">
        <f>'[1]Housing Generation'!X72</f>
        <v>2</v>
      </c>
      <c r="Y72" s="224">
        <f>'[1]Housing Generation'!Y72</f>
        <v>17</v>
      </c>
      <c r="Z72" s="229">
        <f>'[1]Housing Generation'!Z72</f>
        <v>4</v>
      </c>
      <c r="AA72" s="229">
        <f>'[1]Housing Generation'!AA72</f>
        <v>4</v>
      </c>
      <c r="AB72" s="229">
        <f>'[1]Housing Generation'!AB72</f>
        <v>4</v>
      </c>
      <c r="AC72" s="229">
        <f>'[1]Housing Generation'!AC72</f>
        <v>3</v>
      </c>
      <c r="AD72" s="229">
        <f>'[1]Housing Generation'!AD72</f>
        <v>3</v>
      </c>
      <c r="AE72" s="229">
        <f>'[1]Housing Generation'!AE72</f>
        <v>3</v>
      </c>
      <c r="AF72" s="229">
        <f>'[1]Housing Generation'!AF72</f>
        <v>3</v>
      </c>
      <c r="AG72" s="225">
        <f>'[1]Housing Generation'!AG72</f>
        <v>24</v>
      </c>
      <c r="AH72" s="227">
        <f>'[1]Housing Generation'!AH72</f>
        <v>4</v>
      </c>
      <c r="AI72" s="227">
        <f>'[1]Housing Generation'!AI72</f>
        <v>4</v>
      </c>
      <c r="AJ72" s="227">
        <f>'[1]Housing Generation'!AJ72</f>
        <v>4</v>
      </c>
      <c r="AK72" s="227">
        <f>'[1]Housing Generation'!AK72</f>
        <v>4</v>
      </c>
      <c r="AL72" s="227">
        <f>'[1]Housing Generation'!AL72</f>
        <v>4</v>
      </c>
      <c r="AM72" s="227">
        <f>'[1]Housing Generation'!AM72</f>
        <v>4</v>
      </c>
      <c r="AN72" s="227">
        <f>'[1]Housing Generation'!AN72</f>
        <v>4</v>
      </c>
      <c r="AO72" s="224">
        <f>'[1]Housing Generation'!AO72</f>
        <v>28</v>
      </c>
      <c r="AP72" s="229">
        <f>'[1]Housing Generation'!AP72</f>
        <v>5</v>
      </c>
      <c r="AQ72" s="229">
        <f>'[1]Housing Generation'!AQ72</f>
        <v>5</v>
      </c>
      <c r="AR72" s="229">
        <f>'[1]Housing Generation'!AR72</f>
        <v>5</v>
      </c>
      <c r="AS72" s="229">
        <f>'[1]Housing Generation'!AS72</f>
        <v>5</v>
      </c>
      <c r="AT72" s="229">
        <f>'[1]Housing Generation'!AT72</f>
        <v>5</v>
      </c>
      <c r="AU72" s="229">
        <f>'[1]Housing Generation'!AU72</f>
        <v>4</v>
      </c>
      <c r="AV72" s="229">
        <f>'[1]Housing Generation'!AV72</f>
        <v>4</v>
      </c>
      <c r="AW72" s="225">
        <f>'[1]Housing Generation'!AW72</f>
        <v>33</v>
      </c>
      <c r="AX72" s="227">
        <f>'[1]Housing Generation'!AX72</f>
        <v>6</v>
      </c>
      <c r="AY72" s="227">
        <f>'[1]Housing Generation'!AY72</f>
        <v>5</v>
      </c>
      <c r="AZ72" s="227">
        <f>'[1]Housing Generation'!AZ72</f>
        <v>5</v>
      </c>
      <c r="BA72" s="227">
        <f>'[1]Housing Generation'!BA72</f>
        <v>5</v>
      </c>
      <c r="BB72" s="227">
        <f>'[1]Housing Generation'!BB72</f>
        <v>5</v>
      </c>
      <c r="BC72" s="227">
        <f>'[1]Housing Generation'!BC72</f>
        <v>5</v>
      </c>
      <c r="BD72" s="227">
        <f>'[1]Housing Generation'!BD72</f>
        <v>5</v>
      </c>
      <c r="BE72" s="224">
        <f>'[1]Housing Generation'!BE72</f>
        <v>36</v>
      </c>
      <c r="BF72" s="229">
        <f>'[1]Housing Generation'!BF72</f>
        <v>6</v>
      </c>
      <c r="BG72" s="229">
        <f>'[1]Housing Generation'!BG72</f>
        <v>6</v>
      </c>
      <c r="BH72" s="229">
        <f>'[1]Housing Generation'!BH72</f>
        <v>6</v>
      </c>
      <c r="BI72" s="229">
        <f>'[1]Housing Generation'!BI72</f>
        <v>5</v>
      </c>
      <c r="BJ72" s="229">
        <f>'[1]Housing Generation'!BJ72</f>
        <v>5</v>
      </c>
      <c r="BK72" s="229">
        <f>'[1]Housing Generation'!BK72</f>
        <v>5</v>
      </c>
      <c r="BL72" s="229">
        <f>'[1]Housing Generation'!BL72</f>
        <v>5</v>
      </c>
      <c r="BM72" s="225">
        <f>'[1]Housing Generation'!BM72</f>
        <v>38</v>
      </c>
      <c r="BN72" s="227">
        <f>'[1]Housing Generation'!BN72</f>
        <v>6</v>
      </c>
      <c r="BO72" s="227">
        <f>'[1]Housing Generation'!BO72</f>
        <v>6</v>
      </c>
      <c r="BP72" s="227">
        <f>'[1]Housing Generation'!BP72</f>
        <v>6</v>
      </c>
      <c r="BQ72" s="227">
        <f>'[1]Housing Generation'!BQ72</f>
        <v>6</v>
      </c>
      <c r="BR72" s="227">
        <f>'[1]Housing Generation'!BR72</f>
        <v>6</v>
      </c>
      <c r="BS72" s="227">
        <f>'[1]Housing Generation'!BS72</f>
        <v>6</v>
      </c>
      <c r="BT72" s="227">
        <f>'[1]Housing Generation'!BT72</f>
        <v>5</v>
      </c>
      <c r="BU72" s="224">
        <f>'[1]Housing Generation'!BU72</f>
        <v>41</v>
      </c>
      <c r="BV72" s="229">
        <f>'[1]Housing Generation'!BV72</f>
        <v>7</v>
      </c>
      <c r="BW72" s="229">
        <f>'[1]Housing Generation'!BW72</f>
        <v>7</v>
      </c>
      <c r="BX72" s="229">
        <f>'[1]Housing Generation'!BX72</f>
        <v>6</v>
      </c>
      <c r="BY72" s="229">
        <f>'[1]Housing Generation'!BY72</f>
        <v>6</v>
      </c>
      <c r="BZ72" s="229">
        <f>'[1]Housing Generation'!BZ72</f>
        <v>6</v>
      </c>
      <c r="CA72" s="229">
        <f>'[1]Housing Generation'!CA72</f>
        <v>6</v>
      </c>
      <c r="CB72" s="229">
        <f>'[1]Housing Generation'!CB72</f>
        <v>6</v>
      </c>
      <c r="CC72" s="225">
        <f>'[1]Housing Generation'!CC72</f>
        <v>44</v>
      </c>
      <c r="CD72" s="227">
        <f>'[1]Housing Generation'!CD72</f>
        <v>7</v>
      </c>
      <c r="CE72" s="227">
        <f>'[1]Housing Generation'!CE72</f>
        <v>7</v>
      </c>
      <c r="CF72" s="227">
        <f>'[1]Housing Generation'!CF72</f>
        <v>7</v>
      </c>
      <c r="CG72" s="227">
        <f>'[1]Housing Generation'!CG72</f>
        <v>7</v>
      </c>
      <c r="CH72" s="227">
        <f>'[1]Housing Generation'!CH72</f>
        <v>6</v>
      </c>
      <c r="CI72" s="227">
        <f>'[1]Housing Generation'!CI72</f>
        <v>6</v>
      </c>
      <c r="CJ72" s="227">
        <f>'[1]Housing Generation'!CJ72</f>
        <v>6</v>
      </c>
      <c r="CK72" s="224">
        <f>'[1]Housing Generation'!CK72</f>
        <v>46</v>
      </c>
      <c r="CL72" s="229">
        <f>'[1]Housing Generation'!CL72</f>
        <v>7</v>
      </c>
      <c r="CM72" s="229">
        <f>'[1]Housing Generation'!CM72</f>
        <v>7</v>
      </c>
      <c r="CN72" s="229">
        <f>'[1]Housing Generation'!CN72</f>
        <v>7</v>
      </c>
      <c r="CO72" s="229">
        <f>'[1]Housing Generation'!CO72</f>
        <v>7</v>
      </c>
      <c r="CP72" s="229">
        <f>'[1]Housing Generation'!CP72</f>
        <v>7</v>
      </c>
      <c r="CQ72" s="229">
        <f>'[1]Housing Generation'!CQ72</f>
        <v>6</v>
      </c>
      <c r="CR72" s="229">
        <f>'[1]Housing Generation'!CR72</f>
        <v>6</v>
      </c>
      <c r="CS72" s="225">
        <f>'[1]Housing Generation'!CS72</f>
        <v>47</v>
      </c>
      <c r="CT72" s="227">
        <f>'[1]Housing Generation'!CT72</f>
        <v>7</v>
      </c>
      <c r="CU72" s="227">
        <f>'[1]Housing Generation'!CU72</f>
        <v>7</v>
      </c>
      <c r="CV72" s="227">
        <f>'[1]Housing Generation'!CV72</f>
        <v>7</v>
      </c>
      <c r="CW72" s="227">
        <f>'[1]Housing Generation'!CW72</f>
        <v>7</v>
      </c>
      <c r="CX72" s="227">
        <f>'[1]Housing Generation'!CX72</f>
        <v>7</v>
      </c>
      <c r="CY72" s="227">
        <f>'[1]Housing Generation'!CY72</f>
        <v>6</v>
      </c>
      <c r="CZ72" s="227">
        <f>'[1]Housing Generation'!CZ72</f>
        <v>6</v>
      </c>
      <c r="DA72" s="224">
        <f>'[1]Housing Generation'!DA72</f>
        <v>47</v>
      </c>
      <c r="DB72" s="229">
        <f>'[1]Housing Generation'!DB72</f>
        <v>7</v>
      </c>
      <c r="DC72" s="229">
        <f>'[1]Housing Generation'!DC72</f>
        <v>7</v>
      </c>
      <c r="DD72" s="229">
        <f>'[1]Housing Generation'!DD72</f>
        <v>7</v>
      </c>
      <c r="DE72" s="229">
        <f>'[1]Housing Generation'!DE72</f>
        <v>7</v>
      </c>
      <c r="DF72" s="229">
        <f>'[1]Housing Generation'!DF72</f>
        <v>7</v>
      </c>
      <c r="DG72" s="229">
        <f>'[1]Housing Generation'!DG72</f>
        <v>7</v>
      </c>
      <c r="DH72" s="229">
        <f>'[1]Housing Generation'!DH72</f>
        <v>6</v>
      </c>
      <c r="DI72" s="225">
        <f>'[1]Housing Generation'!DI72</f>
        <v>48</v>
      </c>
      <c r="DJ72" s="227">
        <f>'[1]Housing Generation'!DJ72</f>
        <v>7</v>
      </c>
      <c r="DK72" s="227">
        <f>'[1]Housing Generation'!DK72</f>
        <v>7</v>
      </c>
      <c r="DL72" s="227">
        <f>'[1]Housing Generation'!DL72</f>
        <v>7</v>
      </c>
      <c r="DM72" s="227">
        <f>'[1]Housing Generation'!DM72</f>
        <v>7</v>
      </c>
      <c r="DN72" s="227">
        <f>'[1]Housing Generation'!DN72</f>
        <v>7</v>
      </c>
      <c r="DO72" s="227">
        <f>'[1]Housing Generation'!DO72</f>
        <v>7</v>
      </c>
      <c r="DP72" s="227">
        <f>'[1]Housing Generation'!DP72</f>
        <v>6</v>
      </c>
      <c r="DQ72" s="224">
        <f>'[1]Housing Generation'!DQ72</f>
        <v>48</v>
      </c>
    </row>
    <row r="73" spans="1:121" x14ac:dyDescent="0.2">
      <c r="A73" s="238" t="s">
        <v>74</v>
      </c>
      <c r="B73" s="227">
        <f>'[1]Housing Generation'!B73</f>
        <v>1</v>
      </c>
      <c r="C73" s="227">
        <f>'[1]Housing Generation'!C73</f>
        <v>1</v>
      </c>
      <c r="D73" s="227">
        <f>'[1]Housing Generation'!D73</f>
        <v>1</v>
      </c>
      <c r="E73" s="227">
        <f>'[1]Housing Generation'!E73</f>
        <v>1</v>
      </c>
      <c r="F73" s="227">
        <f>'[1]Housing Generation'!F73</f>
        <v>1</v>
      </c>
      <c r="G73" s="227">
        <f>'[1]Housing Generation'!G73</f>
        <v>0</v>
      </c>
      <c r="H73" s="227">
        <f>'[1]Housing Generation'!H73</f>
        <v>0</v>
      </c>
      <c r="I73" s="224">
        <f>'[1]Housing Generation'!I73</f>
        <v>5</v>
      </c>
      <c r="J73" s="229">
        <f>'[1]Housing Generation'!J73</f>
        <v>2</v>
      </c>
      <c r="K73" s="229">
        <f>'[1]Housing Generation'!K73</f>
        <v>1</v>
      </c>
      <c r="L73" s="229">
        <f>'[1]Housing Generation'!L73</f>
        <v>1</v>
      </c>
      <c r="M73" s="229">
        <f>'[1]Housing Generation'!M73</f>
        <v>1</v>
      </c>
      <c r="N73" s="229">
        <f>'[1]Housing Generation'!N73</f>
        <v>1</v>
      </c>
      <c r="O73" s="229">
        <f>'[1]Housing Generation'!O73</f>
        <v>1</v>
      </c>
      <c r="P73" s="229">
        <f>'[1]Housing Generation'!P73</f>
        <v>1</v>
      </c>
      <c r="Q73" s="225">
        <f>'[1]Housing Generation'!Q73</f>
        <v>8</v>
      </c>
      <c r="R73" s="227">
        <f>'[1]Housing Generation'!R73</f>
        <v>3</v>
      </c>
      <c r="S73" s="227">
        <f>'[1]Housing Generation'!S73</f>
        <v>3</v>
      </c>
      <c r="T73" s="227">
        <f>'[1]Housing Generation'!T73</f>
        <v>2</v>
      </c>
      <c r="U73" s="227">
        <f>'[1]Housing Generation'!U73</f>
        <v>2</v>
      </c>
      <c r="V73" s="227">
        <f>'[1]Housing Generation'!V73</f>
        <v>2</v>
      </c>
      <c r="W73" s="227">
        <f>'[1]Housing Generation'!W73</f>
        <v>2</v>
      </c>
      <c r="X73" s="227">
        <f>'[1]Housing Generation'!X73</f>
        <v>2</v>
      </c>
      <c r="Y73" s="224">
        <f>'[1]Housing Generation'!Y73</f>
        <v>16</v>
      </c>
      <c r="Z73" s="229">
        <f>'[1]Housing Generation'!Z73</f>
        <v>4</v>
      </c>
      <c r="AA73" s="229">
        <f>'[1]Housing Generation'!AA73</f>
        <v>4</v>
      </c>
      <c r="AB73" s="229">
        <f>'[1]Housing Generation'!AB73</f>
        <v>4</v>
      </c>
      <c r="AC73" s="229">
        <f>'[1]Housing Generation'!AC73</f>
        <v>4</v>
      </c>
      <c r="AD73" s="229">
        <f>'[1]Housing Generation'!AD73</f>
        <v>4</v>
      </c>
      <c r="AE73" s="229">
        <f>'[1]Housing Generation'!AE73</f>
        <v>4</v>
      </c>
      <c r="AF73" s="229">
        <f>'[1]Housing Generation'!AF73</f>
        <v>4</v>
      </c>
      <c r="AG73" s="225">
        <f>'[1]Housing Generation'!AG73</f>
        <v>28</v>
      </c>
      <c r="AH73" s="227">
        <f>'[1]Housing Generation'!AH73</f>
        <v>6</v>
      </c>
      <c r="AI73" s="227">
        <f>'[1]Housing Generation'!AI73</f>
        <v>6</v>
      </c>
      <c r="AJ73" s="227">
        <f>'[1]Housing Generation'!AJ73</f>
        <v>6</v>
      </c>
      <c r="AK73" s="227">
        <f>'[1]Housing Generation'!AK73</f>
        <v>6</v>
      </c>
      <c r="AL73" s="227">
        <f>'[1]Housing Generation'!AL73</f>
        <v>6</v>
      </c>
      <c r="AM73" s="227">
        <f>'[1]Housing Generation'!AM73</f>
        <v>6</v>
      </c>
      <c r="AN73" s="227">
        <f>'[1]Housing Generation'!AN73</f>
        <v>6</v>
      </c>
      <c r="AO73" s="224">
        <f>'[1]Housing Generation'!AO73</f>
        <v>42</v>
      </c>
      <c r="AP73" s="229">
        <f>'[1]Housing Generation'!AP73</f>
        <v>8</v>
      </c>
      <c r="AQ73" s="229">
        <f>'[1]Housing Generation'!AQ73</f>
        <v>8</v>
      </c>
      <c r="AR73" s="229">
        <f>'[1]Housing Generation'!AR73</f>
        <v>8</v>
      </c>
      <c r="AS73" s="229">
        <f>'[1]Housing Generation'!AS73</f>
        <v>8</v>
      </c>
      <c r="AT73" s="229">
        <f>'[1]Housing Generation'!AT73</f>
        <v>7</v>
      </c>
      <c r="AU73" s="229">
        <f>'[1]Housing Generation'!AU73</f>
        <v>7</v>
      </c>
      <c r="AV73" s="229">
        <f>'[1]Housing Generation'!AV73</f>
        <v>7</v>
      </c>
      <c r="AW73" s="225">
        <f>'[1]Housing Generation'!AW73</f>
        <v>53</v>
      </c>
      <c r="AX73" s="227">
        <f>'[1]Housing Generation'!AX73</f>
        <v>9</v>
      </c>
      <c r="AY73" s="227">
        <f>'[1]Housing Generation'!AY73</f>
        <v>9</v>
      </c>
      <c r="AZ73" s="227">
        <f>'[1]Housing Generation'!AZ73</f>
        <v>9</v>
      </c>
      <c r="BA73" s="227">
        <f>'[1]Housing Generation'!BA73</f>
        <v>9</v>
      </c>
      <c r="BB73" s="227">
        <f>'[1]Housing Generation'!BB73</f>
        <v>9</v>
      </c>
      <c r="BC73" s="227">
        <f>'[1]Housing Generation'!BC73</f>
        <v>9</v>
      </c>
      <c r="BD73" s="227">
        <f>'[1]Housing Generation'!BD73</f>
        <v>9</v>
      </c>
      <c r="BE73" s="224">
        <f>'[1]Housing Generation'!BE73</f>
        <v>63</v>
      </c>
      <c r="BF73" s="229">
        <f>'[1]Housing Generation'!BF73</f>
        <v>11</v>
      </c>
      <c r="BG73" s="229">
        <f>'[1]Housing Generation'!BG73</f>
        <v>11</v>
      </c>
      <c r="BH73" s="229">
        <f>'[1]Housing Generation'!BH73</f>
        <v>11</v>
      </c>
      <c r="BI73" s="229">
        <f>'[1]Housing Generation'!BI73</f>
        <v>10</v>
      </c>
      <c r="BJ73" s="229">
        <f>'[1]Housing Generation'!BJ73</f>
        <v>10</v>
      </c>
      <c r="BK73" s="229">
        <f>'[1]Housing Generation'!BK73</f>
        <v>10</v>
      </c>
      <c r="BL73" s="229">
        <f>'[1]Housing Generation'!BL73</f>
        <v>10</v>
      </c>
      <c r="BM73" s="225">
        <f>'[1]Housing Generation'!BM73</f>
        <v>73</v>
      </c>
      <c r="BN73" s="227">
        <f>'[1]Housing Generation'!BN73</f>
        <v>12</v>
      </c>
      <c r="BO73" s="227">
        <f>'[1]Housing Generation'!BO73</f>
        <v>12</v>
      </c>
      <c r="BP73" s="227">
        <f>'[1]Housing Generation'!BP73</f>
        <v>12</v>
      </c>
      <c r="BQ73" s="227">
        <f>'[1]Housing Generation'!BQ73</f>
        <v>12</v>
      </c>
      <c r="BR73" s="227">
        <f>'[1]Housing Generation'!BR73</f>
        <v>12</v>
      </c>
      <c r="BS73" s="227">
        <f>'[1]Housing Generation'!BS73</f>
        <v>12</v>
      </c>
      <c r="BT73" s="227">
        <f>'[1]Housing Generation'!BT73</f>
        <v>11</v>
      </c>
      <c r="BU73" s="224">
        <f>'[1]Housing Generation'!BU73</f>
        <v>83</v>
      </c>
      <c r="BV73" s="229">
        <f>'[1]Housing Generation'!BV73</f>
        <v>13</v>
      </c>
      <c r="BW73" s="229">
        <f>'[1]Housing Generation'!BW73</f>
        <v>13</v>
      </c>
      <c r="BX73" s="229">
        <f>'[1]Housing Generation'!BX73</f>
        <v>13</v>
      </c>
      <c r="BY73" s="229">
        <f>'[1]Housing Generation'!BY73</f>
        <v>13</v>
      </c>
      <c r="BZ73" s="229">
        <f>'[1]Housing Generation'!BZ73</f>
        <v>13</v>
      </c>
      <c r="CA73" s="229">
        <f>'[1]Housing Generation'!CA73</f>
        <v>13</v>
      </c>
      <c r="CB73" s="229">
        <f>'[1]Housing Generation'!CB73</f>
        <v>12</v>
      </c>
      <c r="CC73" s="225">
        <f>'[1]Housing Generation'!CC73</f>
        <v>90</v>
      </c>
      <c r="CD73" s="227">
        <f>'[1]Housing Generation'!CD73</f>
        <v>13</v>
      </c>
      <c r="CE73" s="227">
        <f>'[1]Housing Generation'!CE73</f>
        <v>13</v>
      </c>
      <c r="CF73" s="227">
        <f>'[1]Housing Generation'!CF73</f>
        <v>13</v>
      </c>
      <c r="CG73" s="227">
        <f>'[1]Housing Generation'!CG73</f>
        <v>13</v>
      </c>
      <c r="CH73" s="227">
        <f>'[1]Housing Generation'!CH73</f>
        <v>13</v>
      </c>
      <c r="CI73" s="227">
        <f>'[1]Housing Generation'!CI73</f>
        <v>13</v>
      </c>
      <c r="CJ73" s="227">
        <f>'[1]Housing Generation'!CJ73</f>
        <v>13</v>
      </c>
      <c r="CK73" s="224">
        <f>'[1]Housing Generation'!CK73</f>
        <v>91</v>
      </c>
      <c r="CL73" s="229">
        <f>'[1]Housing Generation'!CL73</f>
        <v>14</v>
      </c>
      <c r="CM73" s="229">
        <f>'[1]Housing Generation'!CM73</f>
        <v>13</v>
      </c>
      <c r="CN73" s="229">
        <f>'[1]Housing Generation'!CN73</f>
        <v>13</v>
      </c>
      <c r="CO73" s="229">
        <f>'[1]Housing Generation'!CO73</f>
        <v>13</v>
      </c>
      <c r="CP73" s="229">
        <f>'[1]Housing Generation'!CP73</f>
        <v>13</v>
      </c>
      <c r="CQ73" s="229">
        <f>'[1]Housing Generation'!CQ73</f>
        <v>13</v>
      </c>
      <c r="CR73" s="229">
        <f>'[1]Housing Generation'!CR73</f>
        <v>13</v>
      </c>
      <c r="CS73" s="225">
        <f>'[1]Housing Generation'!CS73</f>
        <v>92</v>
      </c>
      <c r="CT73" s="227">
        <f>'[1]Housing Generation'!CT73</f>
        <v>14</v>
      </c>
      <c r="CU73" s="227">
        <f>'[1]Housing Generation'!CU73</f>
        <v>13</v>
      </c>
      <c r="CV73" s="227">
        <f>'[1]Housing Generation'!CV73</f>
        <v>13</v>
      </c>
      <c r="CW73" s="227">
        <f>'[1]Housing Generation'!CW73</f>
        <v>13</v>
      </c>
      <c r="CX73" s="227">
        <f>'[1]Housing Generation'!CX73</f>
        <v>13</v>
      </c>
      <c r="CY73" s="227">
        <f>'[1]Housing Generation'!CY73</f>
        <v>13</v>
      </c>
      <c r="CZ73" s="227">
        <f>'[1]Housing Generation'!CZ73</f>
        <v>13</v>
      </c>
      <c r="DA73" s="224">
        <f>'[1]Housing Generation'!DA73</f>
        <v>92</v>
      </c>
      <c r="DB73" s="229">
        <f>'[1]Housing Generation'!DB73</f>
        <v>14</v>
      </c>
      <c r="DC73" s="229">
        <f>'[1]Housing Generation'!DC73</f>
        <v>13</v>
      </c>
      <c r="DD73" s="229">
        <f>'[1]Housing Generation'!DD73</f>
        <v>13</v>
      </c>
      <c r="DE73" s="229">
        <f>'[1]Housing Generation'!DE73</f>
        <v>13</v>
      </c>
      <c r="DF73" s="229">
        <f>'[1]Housing Generation'!DF73</f>
        <v>13</v>
      </c>
      <c r="DG73" s="229">
        <f>'[1]Housing Generation'!DG73</f>
        <v>13</v>
      </c>
      <c r="DH73" s="229">
        <f>'[1]Housing Generation'!DH73</f>
        <v>13</v>
      </c>
      <c r="DI73" s="225">
        <f>'[1]Housing Generation'!DI73</f>
        <v>92</v>
      </c>
      <c r="DJ73" s="227">
        <f>'[1]Housing Generation'!DJ73</f>
        <v>14</v>
      </c>
      <c r="DK73" s="227">
        <f>'[1]Housing Generation'!DK73</f>
        <v>13</v>
      </c>
      <c r="DL73" s="227">
        <f>'[1]Housing Generation'!DL73</f>
        <v>13</v>
      </c>
      <c r="DM73" s="227">
        <f>'[1]Housing Generation'!DM73</f>
        <v>13</v>
      </c>
      <c r="DN73" s="227">
        <f>'[1]Housing Generation'!DN73</f>
        <v>13</v>
      </c>
      <c r="DO73" s="227">
        <f>'[1]Housing Generation'!DO73</f>
        <v>13</v>
      </c>
      <c r="DP73" s="227">
        <f>'[1]Housing Generation'!DP73</f>
        <v>13</v>
      </c>
      <c r="DQ73" s="224">
        <f>'[1]Housing Generation'!DQ73</f>
        <v>92</v>
      </c>
    </row>
    <row r="74" spans="1:121" x14ac:dyDescent="0.2">
      <c r="A74" s="238" t="s">
        <v>75</v>
      </c>
      <c r="B74" s="227">
        <f>'[1]Housing Generation'!B74</f>
        <v>1</v>
      </c>
      <c r="C74" s="227">
        <f>'[1]Housing Generation'!C74</f>
        <v>1</v>
      </c>
      <c r="D74" s="227">
        <f>'[1]Housing Generation'!D74</f>
        <v>1</v>
      </c>
      <c r="E74" s="227">
        <f>'[1]Housing Generation'!E74</f>
        <v>0</v>
      </c>
      <c r="F74" s="227">
        <f>'[1]Housing Generation'!F74</f>
        <v>0</v>
      </c>
      <c r="G74" s="227">
        <f>'[1]Housing Generation'!G74</f>
        <v>0</v>
      </c>
      <c r="H74" s="227">
        <f>'[1]Housing Generation'!H74</f>
        <v>0</v>
      </c>
      <c r="I74" s="224">
        <f>'[1]Housing Generation'!I74</f>
        <v>3</v>
      </c>
      <c r="J74" s="229">
        <f>'[1]Housing Generation'!J74</f>
        <v>1</v>
      </c>
      <c r="K74" s="229">
        <f>'[1]Housing Generation'!K74</f>
        <v>1</v>
      </c>
      <c r="L74" s="229">
        <f>'[1]Housing Generation'!L74</f>
        <v>1</v>
      </c>
      <c r="M74" s="229">
        <f>'[1]Housing Generation'!M74</f>
        <v>1</v>
      </c>
      <c r="N74" s="229">
        <f>'[1]Housing Generation'!N74</f>
        <v>0</v>
      </c>
      <c r="O74" s="229">
        <f>'[1]Housing Generation'!O74</f>
        <v>0</v>
      </c>
      <c r="P74" s="229">
        <f>'[1]Housing Generation'!P74</f>
        <v>0</v>
      </c>
      <c r="Q74" s="225">
        <f>'[1]Housing Generation'!Q74</f>
        <v>4</v>
      </c>
      <c r="R74" s="227">
        <f>'[1]Housing Generation'!R74</f>
        <v>1</v>
      </c>
      <c r="S74" s="227">
        <f>'[1]Housing Generation'!S74</f>
        <v>1</v>
      </c>
      <c r="T74" s="227">
        <f>'[1]Housing Generation'!T74</f>
        <v>1</v>
      </c>
      <c r="U74" s="227">
        <f>'[1]Housing Generation'!U74</f>
        <v>1</v>
      </c>
      <c r="V74" s="227">
        <f>'[1]Housing Generation'!V74</f>
        <v>1</v>
      </c>
      <c r="W74" s="227">
        <f>'[1]Housing Generation'!W74</f>
        <v>1</v>
      </c>
      <c r="X74" s="227">
        <f>'[1]Housing Generation'!X74</f>
        <v>0</v>
      </c>
      <c r="Y74" s="224">
        <f>'[1]Housing Generation'!Y74</f>
        <v>6</v>
      </c>
      <c r="Z74" s="229">
        <f>'[1]Housing Generation'!Z74</f>
        <v>2</v>
      </c>
      <c r="AA74" s="229">
        <f>'[1]Housing Generation'!AA74</f>
        <v>1</v>
      </c>
      <c r="AB74" s="229">
        <f>'[1]Housing Generation'!AB74</f>
        <v>1</v>
      </c>
      <c r="AC74" s="229">
        <f>'[1]Housing Generation'!AC74</f>
        <v>1</v>
      </c>
      <c r="AD74" s="229">
        <f>'[1]Housing Generation'!AD74</f>
        <v>1</v>
      </c>
      <c r="AE74" s="229">
        <f>'[1]Housing Generation'!AE74</f>
        <v>1</v>
      </c>
      <c r="AF74" s="229">
        <f>'[1]Housing Generation'!AF74</f>
        <v>1</v>
      </c>
      <c r="AG74" s="225">
        <f>'[1]Housing Generation'!AG74</f>
        <v>8</v>
      </c>
      <c r="AH74" s="227">
        <f>'[1]Housing Generation'!AH74</f>
        <v>2</v>
      </c>
      <c r="AI74" s="227">
        <f>'[1]Housing Generation'!AI74</f>
        <v>2</v>
      </c>
      <c r="AJ74" s="227">
        <f>'[1]Housing Generation'!AJ74</f>
        <v>2</v>
      </c>
      <c r="AK74" s="227">
        <f>'[1]Housing Generation'!AK74</f>
        <v>1</v>
      </c>
      <c r="AL74" s="227">
        <f>'[1]Housing Generation'!AL74</f>
        <v>1</v>
      </c>
      <c r="AM74" s="227">
        <f>'[1]Housing Generation'!AM74</f>
        <v>1</v>
      </c>
      <c r="AN74" s="227">
        <f>'[1]Housing Generation'!AN74</f>
        <v>1</v>
      </c>
      <c r="AO74" s="224">
        <f>'[1]Housing Generation'!AO74</f>
        <v>10</v>
      </c>
      <c r="AP74" s="229">
        <f>'[1]Housing Generation'!AP74</f>
        <v>3</v>
      </c>
      <c r="AQ74" s="229">
        <f>'[1]Housing Generation'!AQ74</f>
        <v>2</v>
      </c>
      <c r="AR74" s="229">
        <f>'[1]Housing Generation'!AR74</f>
        <v>2</v>
      </c>
      <c r="AS74" s="229">
        <f>'[1]Housing Generation'!AS74</f>
        <v>2</v>
      </c>
      <c r="AT74" s="229">
        <f>'[1]Housing Generation'!AT74</f>
        <v>2</v>
      </c>
      <c r="AU74" s="229">
        <f>'[1]Housing Generation'!AU74</f>
        <v>2</v>
      </c>
      <c r="AV74" s="229">
        <f>'[1]Housing Generation'!AV74</f>
        <v>2</v>
      </c>
      <c r="AW74" s="225">
        <f>'[1]Housing Generation'!AW74</f>
        <v>15</v>
      </c>
      <c r="AX74" s="227">
        <f>'[1]Housing Generation'!AX74</f>
        <v>3</v>
      </c>
      <c r="AY74" s="227">
        <f>'[1]Housing Generation'!AY74</f>
        <v>3</v>
      </c>
      <c r="AZ74" s="227">
        <f>'[1]Housing Generation'!AZ74</f>
        <v>3</v>
      </c>
      <c r="BA74" s="227">
        <f>'[1]Housing Generation'!BA74</f>
        <v>3</v>
      </c>
      <c r="BB74" s="227">
        <f>'[1]Housing Generation'!BB74</f>
        <v>3</v>
      </c>
      <c r="BC74" s="227">
        <f>'[1]Housing Generation'!BC74</f>
        <v>3</v>
      </c>
      <c r="BD74" s="227">
        <f>'[1]Housing Generation'!BD74</f>
        <v>3</v>
      </c>
      <c r="BE74" s="224">
        <f>'[1]Housing Generation'!BE74</f>
        <v>21</v>
      </c>
      <c r="BF74" s="229">
        <f>'[1]Housing Generation'!BF74</f>
        <v>4</v>
      </c>
      <c r="BG74" s="229">
        <f>'[1]Housing Generation'!BG74</f>
        <v>4</v>
      </c>
      <c r="BH74" s="229">
        <f>'[1]Housing Generation'!BH74</f>
        <v>4</v>
      </c>
      <c r="BI74" s="229">
        <f>'[1]Housing Generation'!BI74</f>
        <v>4</v>
      </c>
      <c r="BJ74" s="229">
        <f>'[1]Housing Generation'!BJ74</f>
        <v>4</v>
      </c>
      <c r="BK74" s="229">
        <f>'[1]Housing Generation'!BK74</f>
        <v>3</v>
      </c>
      <c r="BL74" s="229">
        <f>'[1]Housing Generation'!BL74</f>
        <v>3</v>
      </c>
      <c r="BM74" s="225">
        <f>'[1]Housing Generation'!BM74</f>
        <v>26</v>
      </c>
      <c r="BN74" s="227">
        <f>'[1]Housing Generation'!BN74</f>
        <v>5</v>
      </c>
      <c r="BO74" s="227">
        <f>'[1]Housing Generation'!BO74</f>
        <v>5</v>
      </c>
      <c r="BP74" s="227">
        <f>'[1]Housing Generation'!BP74</f>
        <v>5</v>
      </c>
      <c r="BQ74" s="227">
        <f>'[1]Housing Generation'!BQ74</f>
        <v>5</v>
      </c>
      <c r="BR74" s="227">
        <f>'[1]Housing Generation'!BR74</f>
        <v>5</v>
      </c>
      <c r="BS74" s="227">
        <f>'[1]Housing Generation'!BS74</f>
        <v>4</v>
      </c>
      <c r="BT74" s="227">
        <f>'[1]Housing Generation'!BT74</f>
        <v>4</v>
      </c>
      <c r="BU74" s="224">
        <f>'[1]Housing Generation'!BU74</f>
        <v>33</v>
      </c>
      <c r="BV74" s="229">
        <f>'[1]Housing Generation'!BV74</f>
        <v>6</v>
      </c>
      <c r="BW74" s="229">
        <f>'[1]Housing Generation'!BW74</f>
        <v>6</v>
      </c>
      <c r="BX74" s="229">
        <f>'[1]Housing Generation'!BX74</f>
        <v>6</v>
      </c>
      <c r="BY74" s="229">
        <f>'[1]Housing Generation'!BY74</f>
        <v>5</v>
      </c>
      <c r="BZ74" s="229">
        <f>'[1]Housing Generation'!BZ74</f>
        <v>5</v>
      </c>
      <c r="CA74" s="229">
        <f>'[1]Housing Generation'!CA74</f>
        <v>5</v>
      </c>
      <c r="CB74" s="229">
        <f>'[1]Housing Generation'!CB74</f>
        <v>5</v>
      </c>
      <c r="CC74" s="225">
        <f>'[1]Housing Generation'!CC74</f>
        <v>38</v>
      </c>
      <c r="CD74" s="227">
        <f>'[1]Housing Generation'!CD74</f>
        <v>7</v>
      </c>
      <c r="CE74" s="227">
        <f>'[1]Housing Generation'!CE74</f>
        <v>6</v>
      </c>
      <c r="CF74" s="227">
        <f>'[1]Housing Generation'!CF74</f>
        <v>6</v>
      </c>
      <c r="CG74" s="227">
        <f>'[1]Housing Generation'!CG74</f>
        <v>6</v>
      </c>
      <c r="CH74" s="227">
        <f>'[1]Housing Generation'!CH74</f>
        <v>6</v>
      </c>
      <c r="CI74" s="227">
        <f>'[1]Housing Generation'!CI74</f>
        <v>6</v>
      </c>
      <c r="CJ74" s="227">
        <f>'[1]Housing Generation'!CJ74</f>
        <v>6</v>
      </c>
      <c r="CK74" s="224">
        <f>'[1]Housing Generation'!CK74</f>
        <v>43</v>
      </c>
      <c r="CL74" s="229">
        <f>'[1]Housing Generation'!CL74</f>
        <v>7</v>
      </c>
      <c r="CM74" s="229">
        <f>'[1]Housing Generation'!CM74</f>
        <v>7</v>
      </c>
      <c r="CN74" s="229">
        <f>'[1]Housing Generation'!CN74</f>
        <v>7</v>
      </c>
      <c r="CO74" s="229">
        <f>'[1]Housing Generation'!CO74</f>
        <v>7</v>
      </c>
      <c r="CP74" s="229">
        <f>'[1]Housing Generation'!CP74</f>
        <v>6</v>
      </c>
      <c r="CQ74" s="229">
        <f>'[1]Housing Generation'!CQ74</f>
        <v>6</v>
      </c>
      <c r="CR74" s="229">
        <f>'[1]Housing Generation'!CR74</f>
        <v>6</v>
      </c>
      <c r="CS74" s="225">
        <f>'[1]Housing Generation'!CS74</f>
        <v>46</v>
      </c>
      <c r="CT74" s="227">
        <f>'[1]Housing Generation'!CT74</f>
        <v>8</v>
      </c>
      <c r="CU74" s="227">
        <f>'[1]Housing Generation'!CU74</f>
        <v>7</v>
      </c>
      <c r="CV74" s="227">
        <f>'[1]Housing Generation'!CV74</f>
        <v>7</v>
      </c>
      <c r="CW74" s="227">
        <f>'[1]Housing Generation'!CW74</f>
        <v>7</v>
      </c>
      <c r="CX74" s="227">
        <f>'[1]Housing Generation'!CX74</f>
        <v>7</v>
      </c>
      <c r="CY74" s="227">
        <f>'[1]Housing Generation'!CY74</f>
        <v>7</v>
      </c>
      <c r="CZ74" s="227">
        <f>'[1]Housing Generation'!CZ74</f>
        <v>7</v>
      </c>
      <c r="DA74" s="224">
        <f>'[1]Housing Generation'!DA74</f>
        <v>50</v>
      </c>
      <c r="DB74" s="229">
        <f>'[1]Housing Generation'!DB74</f>
        <v>8</v>
      </c>
      <c r="DC74" s="229">
        <f>'[1]Housing Generation'!DC74</f>
        <v>8</v>
      </c>
      <c r="DD74" s="229">
        <f>'[1]Housing Generation'!DD74</f>
        <v>8</v>
      </c>
      <c r="DE74" s="229">
        <f>'[1]Housing Generation'!DE74</f>
        <v>8</v>
      </c>
      <c r="DF74" s="229">
        <f>'[1]Housing Generation'!DF74</f>
        <v>7</v>
      </c>
      <c r="DG74" s="229">
        <f>'[1]Housing Generation'!DG74</f>
        <v>7</v>
      </c>
      <c r="DH74" s="229">
        <f>'[1]Housing Generation'!DH74</f>
        <v>7</v>
      </c>
      <c r="DI74" s="225">
        <f>'[1]Housing Generation'!DI74</f>
        <v>53</v>
      </c>
      <c r="DJ74" s="227">
        <f>'[1]Housing Generation'!DJ74</f>
        <v>9</v>
      </c>
      <c r="DK74" s="227">
        <f>'[1]Housing Generation'!DK74</f>
        <v>8</v>
      </c>
      <c r="DL74" s="227">
        <f>'[1]Housing Generation'!DL74</f>
        <v>8</v>
      </c>
      <c r="DM74" s="227">
        <f>'[1]Housing Generation'!DM74</f>
        <v>8</v>
      </c>
      <c r="DN74" s="227">
        <f>'[1]Housing Generation'!DN74</f>
        <v>8</v>
      </c>
      <c r="DO74" s="227">
        <f>'[1]Housing Generation'!DO74</f>
        <v>8</v>
      </c>
      <c r="DP74" s="227">
        <f>'[1]Housing Generation'!DP74</f>
        <v>8</v>
      </c>
      <c r="DQ74" s="224">
        <f>'[1]Housing Generation'!DQ74</f>
        <v>57</v>
      </c>
    </row>
    <row r="75" spans="1:121" x14ac:dyDescent="0.2">
      <c r="A75" s="238" t="s">
        <v>76</v>
      </c>
      <c r="B75" s="227">
        <f>'[1]Housing Generation'!B75</f>
        <v>1</v>
      </c>
      <c r="C75" s="227">
        <f>'[1]Housing Generation'!C75</f>
        <v>1</v>
      </c>
      <c r="D75" s="227">
        <f>'[1]Housing Generation'!D75</f>
        <v>1</v>
      </c>
      <c r="E75" s="227">
        <f>'[1]Housing Generation'!E75</f>
        <v>1</v>
      </c>
      <c r="F75" s="227">
        <f>'[1]Housing Generation'!F75</f>
        <v>0</v>
      </c>
      <c r="G75" s="227">
        <f>'[1]Housing Generation'!G75</f>
        <v>0</v>
      </c>
      <c r="H75" s="227">
        <f>'[1]Housing Generation'!H75</f>
        <v>0</v>
      </c>
      <c r="I75" s="224">
        <f>'[1]Housing Generation'!I75</f>
        <v>4</v>
      </c>
      <c r="J75" s="229">
        <f>'[1]Housing Generation'!J75</f>
        <v>1</v>
      </c>
      <c r="K75" s="229">
        <f>'[1]Housing Generation'!K75</f>
        <v>1</v>
      </c>
      <c r="L75" s="229">
        <f>'[1]Housing Generation'!L75</f>
        <v>1</v>
      </c>
      <c r="M75" s="229">
        <f>'[1]Housing Generation'!M75</f>
        <v>1</v>
      </c>
      <c r="N75" s="229">
        <f>'[1]Housing Generation'!N75</f>
        <v>1</v>
      </c>
      <c r="O75" s="229">
        <f>'[1]Housing Generation'!O75</f>
        <v>1</v>
      </c>
      <c r="P75" s="229">
        <f>'[1]Housing Generation'!P75</f>
        <v>0</v>
      </c>
      <c r="Q75" s="225">
        <f>'[1]Housing Generation'!Q75</f>
        <v>6</v>
      </c>
      <c r="R75" s="227">
        <f>'[1]Housing Generation'!R75</f>
        <v>2</v>
      </c>
      <c r="S75" s="227">
        <f>'[1]Housing Generation'!S75</f>
        <v>2</v>
      </c>
      <c r="T75" s="227">
        <f>'[1]Housing Generation'!T75</f>
        <v>2</v>
      </c>
      <c r="U75" s="227">
        <f>'[1]Housing Generation'!U75</f>
        <v>2</v>
      </c>
      <c r="V75" s="227">
        <f>'[1]Housing Generation'!V75</f>
        <v>2</v>
      </c>
      <c r="W75" s="227">
        <f>'[1]Housing Generation'!W75</f>
        <v>1</v>
      </c>
      <c r="X75" s="227">
        <f>'[1]Housing Generation'!X75</f>
        <v>1</v>
      </c>
      <c r="Y75" s="224">
        <f>'[1]Housing Generation'!Y75</f>
        <v>12</v>
      </c>
      <c r="Z75" s="229">
        <f>'[1]Housing Generation'!Z75</f>
        <v>2</v>
      </c>
      <c r="AA75" s="229">
        <f>'[1]Housing Generation'!AA75</f>
        <v>2</v>
      </c>
      <c r="AB75" s="229">
        <f>'[1]Housing Generation'!AB75</f>
        <v>2</v>
      </c>
      <c r="AC75" s="229">
        <f>'[1]Housing Generation'!AC75</f>
        <v>2</v>
      </c>
      <c r="AD75" s="229">
        <f>'[1]Housing Generation'!AD75</f>
        <v>2</v>
      </c>
      <c r="AE75" s="229">
        <f>'[1]Housing Generation'!AE75</f>
        <v>2</v>
      </c>
      <c r="AF75" s="229">
        <f>'[1]Housing Generation'!AF75</f>
        <v>1</v>
      </c>
      <c r="AG75" s="225">
        <f>'[1]Housing Generation'!AG75</f>
        <v>13</v>
      </c>
      <c r="AH75" s="227">
        <f>'[1]Housing Generation'!AH75</f>
        <v>2</v>
      </c>
      <c r="AI75" s="227">
        <f>'[1]Housing Generation'!AI75</f>
        <v>2</v>
      </c>
      <c r="AJ75" s="227">
        <f>'[1]Housing Generation'!AJ75</f>
        <v>2</v>
      </c>
      <c r="AK75" s="227">
        <f>'[1]Housing Generation'!AK75</f>
        <v>2</v>
      </c>
      <c r="AL75" s="227">
        <f>'[1]Housing Generation'!AL75</f>
        <v>2</v>
      </c>
      <c r="AM75" s="227">
        <f>'[1]Housing Generation'!AM75</f>
        <v>2</v>
      </c>
      <c r="AN75" s="227">
        <f>'[1]Housing Generation'!AN75</f>
        <v>1</v>
      </c>
      <c r="AO75" s="224">
        <f>'[1]Housing Generation'!AO75</f>
        <v>13</v>
      </c>
      <c r="AP75" s="229">
        <f>'[1]Housing Generation'!AP75</f>
        <v>2</v>
      </c>
      <c r="AQ75" s="229">
        <f>'[1]Housing Generation'!AQ75</f>
        <v>2</v>
      </c>
      <c r="AR75" s="229">
        <f>'[1]Housing Generation'!AR75</f>
        <v>2</v>
      </c>
      <c r="AS75" s="229">
        <f>'[1]Housing Generation'!AS75</f>
        <v>2</v>
      </c>
      <c r="AT75" s="229">
        <f>'[1]Housing Generation'!AT75</f>
        <v>2</v>
      </c>
      <c r="AU75" s="229">
        <f>'[1]Housing Generation'!AU75</f>
        <v>2</v>
      </c>
      <c r="AV75" s="229">
        <f>'[1]Housing Generation'!AV75</f>
        <v>1</v>
      </c>
      <c r="AW75" s="225">
        <f>'[1]Housing Generation'!AW75</f>
        <v>13</v>
      </c>
      <c r="AX75" s="227">
        <f>'[1]Housing Generation'!AX75</f>
        <v>2</v>
      </c>
      <c r="AY75" s="227">
        <f>'[1]Housing Generation'!AY75</f>
        <v>2</v>
      </c>
      <c r="AZ75" s="227">
        <f>'[1]Housing Generation'!AZ75</f>
        <v>2</v>
      </c>
      <c r="BA75" s="227">
        <f>'[1]Housing Generation'!BA75</f>
        <v>2</v>
      </c>
      <c r="BB75" s="227">
        <f>'[1]Housing Generation'!BB75</f>
        <v>2</v>
      </c>
      <c r="BC75" s="227">
        <f>'[1]Housing Generation'!BC75</f>
        <v>2</v>
      </c>
      <c r="BD75" s="227">
        <f>'[1]Housing Generation'!BD75</f>
        <v>2</v>
      </c>
      <c r="BE75" s="224">
        <f>'[1]Housing Generation'!BE75</f>
        <v>14</v>
      </c>
      <c r="BF75" s="229">
        <f>'[1]Housing Generation'!BF75</f>
        <v>3</v>
      </c>
      <c r="BG75" s="229">
        <f>'[1]Housing Generation'!BG75</f>
        <v>2</v>
      </c>
      <c r="BH75" s="229">
        <f>'[1]Housing Generation'!BH75</f>
        <v>2</v>
      </c>
      <c r="BI75" s="229">
        <f>'[1]Housing Generation'!BI75</f>
        <v>2</v>
      </c>
      <c r="BJ75" s="229">
        <f>'[1]Housing Generation'!BJ75</f>
        <v>2</v>
      </c>
      <c r="BK75" s="229">
        <f>'[1]Housing Generation'!BK75</f>
        <v>2</v>
      </c>
      <c r="BL75" s="229">
        <f>'[1]Housing Generation'!BL75</f>
        <v>2</v>
      </c>
      <c r="BM75" s="225">
        <f>'[1]Housing Generation'!BM75</f>
        <v>15</v>
      </c>
      <c r="BN75" s="227">
        <f>'[1]Housing Generation'!BN75</f>
        <v>3</v>
      </c>
      <c r="BO75" s="227">
        <f>'[1]Housing Generation'!BO75</f>
        <v>3</v>
      </c>
      <c r="BP75" s="227">
        <f>'[1]Housing Generation'!BP75</f>
        <v>2</v>
      </c>
      <c r="BQ75" s="227">
        <f>'[1]Housing Generation'!BQ75</f>
        <v>2</v>
      </c>
      <c r="BR75" s="227">
        <f>'[1]Housing Generation'!BR75</f>
        <v>2</v>
      </c>
      <c r="BS75" s="227">
        <f>'[1]Housing Generation'!BS75</f>
        <v>2</v>
      </c>
      <c r="BT75" s="227">
        <f>'[1]Housing Generation'!BT75</f>
        <v>2</v>
      </c>
      <c r="BU75" s="224">
        <f>'[1]Housing Generation'!BU75</f>
        <v>16</v>
      </c>
      <c r="BV75" s="229">
        <f>'[1]Housing Generation'!BV75</f>
        <v>3</v>
      </c>
      <c r="BW75" s="229">
        <f>'[1]Housing Generation'!BW75</f>
        <v>3</v>
      </c>
      <c r="BX75" s="229">
        <f>'[1]Housing Generation'!BX75</f>
        <v>3</v>
      </c>
      <c r="BY75" s="229">
        <f>'[1]Housing Generation'!BY75</f>
        <v>2</v>
      </c>
      <c r="BZ75" s="229">
        <f>'[1]Housing Generation'!BZ75</f>
        <v>2</v>
      </c>
      <c r="CA75" s="229">
        <f>'[1]Housing Generation'!CA75</f>
        <v>2</v>
      </c>
      <c r="CB75" s="229">
        <f>'[1]Housing Generation'!CB75</f>
        <v>2</v>
      </c>
      <c r="CC75" s="225">
        <f>'[1]Housing Generation'!CC75</f>
        <v>17</v>
      </c>
      <c r="CD75" s="227">
        <f>'[1]Housing Generation'!CD75</f>
        <v>3</v>
      </c>
      <c r="CE75" s="227">
        <f>'[1]Housing Generation'!CE75</f>
        <v>3</v>
      </c>
      <c r="CF75" s="227">
        <f>'[1]Housing Generation'!CF75</f>
        <v>3</v>
      </c>
      <c r="CG75" s="227">
        <f>'[1]Housing Generation'!CG75</f>
        <v>2</v>
      </c>
      <c r="CH75" s="227">
        <f>'[1]Housing Generation'!CH75</f>
        <v>2</v>
      </c>
      <c r="CI75" s="227">
        <f>'[1]Housing Generation'!CI75</f>
        <v>2</v>
      </c>
      <c r="CJ75" s="227">
        <f>'[1]Housing Generation'!CJ75</f>
        <v>2</v>
      </c>
      <c r="CK75" s="224">
        <f>'[1]Housing Generation'!CK75</f>
        <v>17</v>
      </c>
      <c r="CL75" s="229">
        <f>'[1]Housing Generation'!CL75</f>
        <v>3</v>
      </c>
      <c r="CM75" s="229">
        <f>'[1]Housing Generation'!CM75</f>
        <v>3</v>
      </c>
      <c r="CN75" s="229">
        <f>'[1]Housing Generation'!CN75</f>
        <v>3</v>
      </c>
      <c r="CO75" s="229">
        <f>'[1]Housing Generation'!CO75</f>
        <v>3</v>
      </c>
      <c r="CP75" s="229">
        <f>'[1]Housing Generation'!CP75</f>
        <v>2</v>
      </c>
      <c r="CQ75" s="229">
        <f>'[1]Housing Generation'!CQ75</f>
        <v>2</v>
      </c>
      <c r="CR75" s="229">
        <f>'[1]Housing Generation'!CR75</f>
        <v>2</v>
      </c>
      <c r="CS75" s="225">
        <f>'[1]Housing Generation'!CS75</f>
        <v>18</v>
      </c>
      <c r="CT75" s="227">
        <f>'[1]Housing Generation'!CT75</f>
        <v>3</v>
      </c>
      <c r="CU75" s="227">
        <f>'[1]Housing Generation'!CU75</f>
        <v>3</v>
      </c>
      <c r="CV75" s="227">
        <f>'[1]Housing Generation'!CV75</f>
        <v>3</v>
      </c>
      <c r="CW75" s="227">
        <f>'[1]Housing Generation'!CW75</f>
        <v>3</v>
      </c>
      <c r="CX75" s="227">
        <f>'[1]Housing Generation'!CX75</f>
        <v>2</v>
      </c>
      <c r="CY75" s="227">
        <f>'[1]Housing Generation'!CY75</f>
        <v>2</v>
      </c>
      <c r="CZ75" s="227">
        <f>'[1]Housing Generation'!CZ75</f>
        <v>2</v>
      </c>
      <c r="DA75" s="224">
        <f>'[1]Housing Generation'!DA75</f>
        <v>18</v>
      </c>
      <c r="DB75" s="229">
        <f>'[1]Housing Generation'!DB75</f>
        <v>3</v>
      </c>
      <c r="DC75" s="229">
        <f>'[1]Housing Generation'!DC75</f>
        <v>3</v>
      </c>
      <c r="DD75" s="229">
        <f>'[1]Housing Generation'!DD75</f>
        <v>3</v>
      </c>
      <c r="DE75" s="229">
        <f>'[1]Housing Generation'!DE75</f>
        <v>3</v>
      </c>
      <c r="DF75" s="229">
        <f>'[1]Housing Generation'!DF75</f>
        <v>3</v>
      </c>
      <c r="DG75" s="229">
        <f>'[1]Housing Generation'!DG75</f>
        <v>2</v>
      </c>
      <c r="DH75" s="229">
        <f>'[1]Housing Generation'!DH75</f>
        <v>2</v>
      </c>
      <c r="DI75" s="225">
        <f>'[1]Housing Generation'!DI75</f>
        <v>19</v>
      </c>
      <c r="DJ75" s="227">
        <f>'[1]Housing Generation'!DJ75</f>
        <v>3</v>
      </c>
      <c r="DK75" s="227">
        <f>'[1]Housing Generation'!DK75</f>
        <v>3</v>
      </c>
      <c r="DL75" s="227">
        <f>'[1]Housing Generation'!DL75</f>
        <v>3</v>
      </c>
      <c r="DM75" s="227">
        <f>'[1]Housing Generation'!DM75</f>
        <v>3</v>
      </c>
      <c r="DN75" s="227">
        <f>'[1]Housing Generation'!DN75</f>
        <v>3</v>
      </c>
      <c r="DO75" s="227">
        <f>'[1]Housing Generation'!DO75</f>
        <v>2</v>
      </c>
      <c r="DP75" s="227">
        <f>'[1]Housing Generation'!DP75</f>
        <v>2</v>
      </c>
      <c r="DQ75" s="224">
        <f>'[1]Housing Generation'!DQ75</f>
        <v>19</v>
      </c>
    </row>
    <row r="76" spans="1:121" x14ac:dyDescent="0.2">
      <c r="A76" s="238" t="s">
        <v>77</v>
      </c>
      <c r="B76" s="227">
        <f>'[1]Housing Generation'!B76</f>
        <v>1</v>
      </c>
      <c r="C76" s="227">
        <f>'[1]Housing Generation'!C76</f>
        <v>1</v>
      </c>
      <c r="D76" s="227">
        <f>'[1]Housing Generation'!D76</f>
        <v>1</v>
      </c>
      <c r="E76" s="227">
        <f>'[1]Housing Generation'!E76</f>
        <v>1</v>
      </c>
      <c r="F76" s="227">
        <f>'[1]Housing Generation'!F76</f>
        <v>1</v>
      </c>
      <c r="G76" s="227">
        <f>'[1]Housing Generation'!G76</f>
        <v>1</v>
      </c>
      <c r="H76" s="227">
        <f>'[1]Housing Generation'!H76</f>
        <v>0</v>
      </c>
      <c r="I76" s="224">
        <f>'[1]Housing Generation'!I76</f>
        <v>6</v>
      </c>
      <c r="J76" s="229">
        <f>'[1]Housing Generation'!J76</f>
        <v>1</v>
      </c>
      <c r="K76" s="229">
        <f>'[1]Housing Generation'!K76</f>
        <v>1</v>
      </c>
      <c r="L76" s="229">
        <f>'[1]Housing Generation'!L76</f>
        <v>1</v>
      </c>
      <c r="M76" s="229">
        <f>'[1]Housing Generation'!M76</f>
        <v>1</v>
      </c>
      <c r="N76" s="229">
        <f>'[1]Housing Generation'!N76</f>
        <v>0</v>
      </c>
      <c r="O76" s="229">
        <f>'[1]Housing Generation'!O76</f>
        <v>0</v>
      </c>
      <c r="P76" s="229">
        <f>'[1]Housing Generation'!P76</f>
        <v>0</v>
      </c>
      <c r="Q76" s="225">
        <f>'[1]Housing Generation'!Q76</f>
        <v>4</v>
      </c>
      <c r="R76" s="227">
        <f>'[1]Housing Generation'!R76</f>
        <v>1</v>
      </c>
      <c r="S76" s="227">
        <f>'[1]Housing Generation'!S76</f>
        <v>1</v>
      </c>
      <c r="T76" s="227">
        <f>'[1]Housing Generation'!T76</f>
        <v>1</v>
      </c>
      <c r="U76" s="227">
        <f>'[1]Housing Generation'!U76</f>
        <v>1</v>
      </c>
      <c r="V76" s="227">
        <f>'[1]Housing Generation'!V76</f>
        <v>0</v>
      </c>
      <c r="W76" s="227">
        <f>'[1]Housing Generation'!W76</f>
        <v>0</v>
      </c>
      <c r="X76" s="227">
        <f>'[1]Housing Generation'!X76</f>
        <v>0</v>
      </c>
      <c r="Y76" s="224">
        <f>'[1]Housing Generation'!Y76</f>
        <v>4</v>
      </c>
      <c r="Z76" s="229">
        <f>'[1]Housing Generation'!Z76</f>
        <v>1</v>
      </c>
      <c r="AA76" s="229">
        <f>'[1]Housing Generation'!AA76</f>
        <v>1</v>
      </c>
      <c r="AB76" s="229">
        <f>'[1]Housing Generation'!AB76</f>
        <v>1</v>
      </c>
      <c r="AC76" s="229">
        <f>'[1]Housing Generation'!AC76</f>
        <v>1</v>
      </c>
      <c r="AD76" s="229">
        <f>'[1]Housing Generation'!AD76</f>
        <v>1</v>
      </c>
      <c r="AE76" s="229">
        <f>'[1]Housing Generation'!AE76</f>
        <v>1</v>
      </c>
      <c r="AF76" s="229">
        <f>'[1]Housing Generation'!AF76</f>
        <v>1</v>
      </c>
      <c r="AG76" s="225">
        <f>'[1]Housing Generation'!AG76</f>
        <v>7</v>
      </c>
      <c r="AH76" s="227">
        <f>'[1]Housing Generation'!AH76</f>
        <v>2</v>
      </c>
      <c r="AI76" s="227">
        <f>'[1]Housing Generation'!AI76</f>
        <v>2</v>
      </c>
      <c r="AJ76" s="227">
        <f>'[1]Housing Generation'!AJ76</f>
        <v>2</v>
      </c>
      <c r="AK76" s="227">
        <f>'[1]Housing Generation'!AK76</f>
        <v>2</v>
      </c>
      <c r="AL76" s="227">
        <f>'[1]Housing Generation'!AL76</f>
        <v>1</v>
      </c>
      <c r="AM76" s="227">
        <f>'[1]Housing Generation'!AM76</f>
        <v>1</v>
      </c>
      <c r="AN76" s="227">
        <f>'[1]Housing Generation'!AN76</f>
        <v>1</v>
      </c>
      <c r="AO76" s="224">
        <f>'[1]Housing Generation'!AO76</f>
        <v>11</v>
      </c>
      <c r="AP76" s="229">
        <f>'[1]Housing Generation'!AP76</f>
        <v>3</v>
      </c>
      <c r="AQ76" s="229">
        <f>'[1]Housing Generation'!AQ76</f>
        <v>2</v>
      </c>
      <c r="AR76" s="229">
        <f>'[1]Housing Generation'!AR76</f>
        <v>2</v>
      </c>
      <c r="AS76" s="229">
        <f>'[1]Housing Generation'!AS76</f>
        <v>2</v>
      </c>
      <c r="AT76" s="229">
        <f>'[1]Housing Generation'!AT76</f>
        <v>2</v>
      </c>
      <c r="AU76" s="229">
        <f>'[1]Housing Generation'!AU76</f>
        <v>2</v>
      </c>
      <c r="AV76" s="229">
        <f>'[1]Housing Generation'!AV76</f>
        <v>2</v>
      </c>
      <c r="AW76" s="225">
        <f>'[1]Housing Generation'!AW76</f>
        <v>15</v>
      </c>
      <c r="AX76" s="227">
        <f>'[1]Housing Generation'!AX76</f>
        <v>3</v>
      </c>
      <c r="AY76" s="227">
        <f>'[1]Housing Generation'!AY76</f>
        <v>3</v>
      </c>
      <c r="AZ76" s="227">
        <f>'[1]Housing Generation'!AZ76</f>
        <v>3</v>
      </c>
      <c r="BA76" s="227">
        <f>'[1]Housing Generation'!BA76</f>
        <v>3</v>
      </c>
      <c r="BB76" s="227">
        <f>'[1]Housing Generation'!BB76</f>
        <v>3</v>
      </c>
      <c r="BC76" s="227">
        <f>'[1]Housing Generation'!BC76</f>
        <v>3</v>
      </c>
      <c r="BD76" s="227">
        <f>'[1]Housing Generation'!BD76</f>
        <v>2</v>
      </c>
      <c r="BE76" s="224">
        <f>'[1]Housing Generation'!BE76</f>
        <v>20</v>
      </c>
      <c r="BF76" s="229">
        <f>'[1]Housing Generation'!BF76</f>
        <v>4</v>
      </c>
      <c r="BG76" s="229">
        <f>'[1]Housing Generation'!BG76</f>
        <v>4</v>
      </c>
      <c r="BH76" s="229">
        <f>'[1]Housing Generation'!BH76</f>
        <v>4</v>
      </c>
      <c r="BI76" s="229">
        <f>'[1]Housing Generation'!BI76</f>
        <v>4</v>
      </c>
      <c r="BJ76" s="229">
        <f>'[1]Housing Generation'!BJ76</f>
        <v>4</v>
      </c>
      <c r="BK76" s="229">
        <f>'[1]Housing Generation'!BK76</f>
        <v>4</v>
      </c>
      <c r="BL76" s="229">
        <f>'[1]Housing Generation'!BL76</f>
        <v>4</v>
      </c>
      <c r="BM76" s="225">
        <f>'[1]Housing Generation'!BM76</f>
        <v>28</v>
      </c>
      <c r="BN76" s="227">
        <f>'[1]Housing Generation'!BN76</f>
        <v>5</v>
      </c>
      <c r="BO76" s="227">
        <f>'[1]Housing Generation'!BO76</f>
        <v>5</v>
      </c>
      <c r="BP76" s="227">
        <f>'[1]Housing Generation'!BP76</f>
        <v>5</v>
      </c>
      <c r="BQ76" s="227">
        <f>'[1]Housing Generation'!BQ76</f>
        <v>5</v>
      </c>
      <c r="BR76" s="227">
        <f>'[1]Housing Generation'!BR76</f>
        <v>5</v>
      </c>
      <c r="BS76" s="227">
        <f>'[1]Housing Generation'!BS76</f>
        <v>5</v>
      </c>
      <c r="BT76" s="227">
        <f>'[1]Housing Generation'!BT76</f>
        <v>5</v>
      </c>
      <c r="BU76" s="224">
        <f>'[1]Housing Generation'!BU76</f>
        <v>35</v>
      </c>
      <c r="BV76" s="229">
        <f>'[1]Housing Generation'!BV76</f>
        <v>6</v>
      </c>
      <c r="BW76" s="229">
        <f>'[1]Housing Generation'!BW76</f>
        <v>6</v>
      </c>
      <c r="BX76" s="229">
        <f>'[1]Housing Generation'!BX76</f>
        <v>6</v>
      </c>
      <c r="BY76" s="229">
        <f>'[1]Housing Generation'!BY76</f>
        <v>6</v>
      </c>
      <c r="BZ76" s="229">
        <f>'[1]Housing Generation'!BZ76</f>
        <v>6</v>
      </c>
      <c r="CA76" s="229">
        <f>'[1]Housing Generation'!CA76</f>
        <v>6</v>
      </c>
      <c r="CB76" s="229">
        <f>'[1]Housing Generation'!CB76</f>
        <v>5</v>
      </c>
      <c r="CC76" s="225">
        <f>'[1]Housing Generation'!CC76</f>
        <v>41</v>
      </c>
      <c r="CD76" s="227">
        <f>'[1]Housing Generation'!CD76</f>
        <v>7</v>
      </c>
      <c r="CE76" s="227">
        <f>'[1]Housing Generation'!CE76</f>
        <v>7</v>
      </c>
      <c r="CF76" s="227">
        <f>'[1]Housing Generation'!CF76</f>
        <v>7</v>
      </c>
      <c r="CG76" s="227">
        <f>'[1]Housing Generation'!CG76</f>
        <v>7</v>
      </c>
      <c r="CH76" s="227">
        <f>'[1]Housing Generation'!CH76</f>
        <v>7</v>
      </c>
      <c r="CI76" s="227">
        <f>'[1]Housing Generation'!CI76</f>
        <v>6</v>
      </c>
      <c r="CJ76" s="227">
        <f>'[1]Housing Generation'!CJ76</f>
        <v>6</v>
      </c>
      <c r="CK76" s="224">
        <f>'[1]Housing Generation'!CK76</f>
        <v>47</v>
      </c>
      <c r="CL76" s="229">
        <f>'[1]Housing Generation'!CL76</f>
        <v>8</v>
      </c>
      <c r="CM76" s="229">
        <f>'[1]Housing Generation'!CM76</f>
        <v>7</v>
      </c>
      <c r="CN76" s="229">
        <f>'[1]Housing Generation'!CN76</f>
        <v>7</v>
      </c>
      <c r="CO76" s="229">
        <f>'[1]Housing Generation'!CO76</f>
        <v>7</v>
      </c>
      <c r="CP76" s="229">
        <f>'[1]Housing Generation'!CP76</f>
        <v>7</v>
      </c>
      <c r="CQ76" s="229">
        <f>'[1]Housing Generation'!CQ76</f>
        <v>7</v>
      </c>
      <c r="CR76" s="229">
        <f>'[1]Housing Generation'!CR76</f>
        <v>7</v>
      </c>
      <c r="CS76" s="225">
        <f>'[1]Housing Generation'!CS76</f>
        <v>50</v>
      </c>
      <c r="CT76" s="227">
        <f>'[1]Housing Generation'!CT76</f>
        <v>8</v>
      </c>
      <c r="CU76" s="227">
        <f>'[1]Housing Generation'!CU76</f>
        <v>8</v>
      </c>
      <c r="CV76" s="227">
        <f>'[1]Housing Generation'!CV76</f>
        <v>8</v>
      </c>
      <c r="CW76" s="227">
        <f>'[1]Housing Generation'!CW76</f>
        <v>8</v>
      </c>
      <c r="CX76" s="227">
        <f>'[1]Housing Generation'!CX76</f>
        <v>7</v>
      </c>
      <c r="CY76" s="227">
        <f>'[1]Housing Generation'!CY76</f>
        <v>7</v>
      </c>
      <c r="CZ76" s="227">
        <f>'[1]Housing Generation'!CZ76</f>
        <v>7</v>
      </c>
      <c r="DA76" s="224">
        <f>'[1]Housing Generation'!DA76</f>
        <v>53</v>
      </c>
      <c r="DB76" s="229">
        <f>'[1]Housing Generation'!DB76</f>
        <v>8</v>
      </c>
      <c r="DC76" s="229">
        <f>'[1]Housing Generation'!DC76</f>
        <v>8</v>
      </c>
      <c r="DD76" s="229">
        <f>'[1]Housing Generation'!DD76</f>
        <v>8</v>
      </c>
      <c r="DE76" s="229">
        <f>'[1]Housing Generation'!DE76</f>
        <v>8</v>
      </c>
      <c r="DF76" s="229">
        <f>'[1]Housing Generation'!DF76</f>
        <v>8</v>
      </c>
      <c r="DG76" s="229">
        <f>'[1]Housing Generation'!DG76</f>
        <v>8</v>
      </c>
      <c r="DH76" s="229">
        <f>'[1]Housing Generation'!DH76</f>
        <v>8</v>
      </c>
      <c r="DI76" s="225">
        <f>'[1]Housing Generation'!DI76</f>
        <v>56</v>
      </c>
      <c r="DJ76" s="227">
        <f>'[1]Housing Generation'!DJ76</f>
        <v>9</v>
      </c>
      <c r="DK76" s="227">
        <f>'[1]Housing Generation'!DK76</f>
        <v>9</v>
      </c>
      <c r="DL76" s="227">
        <f>'[1]Housing Generation'!DL76</f>
        <v>9</v>
      </c>
      <c r="DM76" s="227">
        <f>'[1]Housing Generation'!DM76</f>
        <v>8</v>
      </c>
      <c r="DN76" s="227">
        <f>'[1]Housing Generation'!DN76</f>
        <v>8</v>
      </c>
      <c r="DO76" s="227">
        <f>'[1]Housing Generation'!DO76</f>
        <v>8</v>
      </c>
      <c r="DP76" s="227">
        <f>'[1]Housing Generation'!DP76</f>
        <v>8</v>
      </c>
      <c r="DQ76" s="224">
        <f>'[1]Housing Generation'!DQ76</f>
        <v>59</v>
      </c>
    </row>
    <row r="77" spans="1:121" x14ac:dyDescent="0.2">
      <c r="A77" s="238" t="s">
        <v>78</v>
      </c>
      <c r="B77" s="227">
        <f>'[1]Housing Generation'!B77</f>
        <v>0</v>
      </c>
      <c r="C77" s="227">
        <f>'[1]Housing Generation'!C77</f>
        <v>0</v>
      </c>
      <c r="D77" s="227">
        <f>'[1]Housing Generation'!D77</f>
        <v>0</v>
      </c>
      <c r="E77" s="227">
        <f>'[1]Housing Generation'!E77</f>
        <v>0</v>
      </c>
      <c r="F77" s="227">
        <f>'[1]Housing Generation'!F77</f>
        <v>0</v>
      </c>
      <c r="G77" s="227">
        <f>'[1]Housing Generation'!G77</f>
        <v>0</v>
      </c>
      <c r="H77" s="227">
        <f>'[1]Housing Generation'!H77</f>
        <v>0</v>
      </c>
      <c r="I77" s="224">
        <f>'[1]Housing Generation'!I77</f>
        <v>0</v>
      </c>
      <c r="J77" s="229">
        <f>'[1]Housing Generation'!J77</f>
        <v>0</v>
      </c>
      <c r="K77" s="229">
        <f>'[1]Housing Generation'!K77</f>
        <v>0</v>
      </c>
      <c r="L77" s="229">
        <f>'[1]Housing Generation'!L77</f>
        <v>0</v>
      </c>
      <c r="M77" s="229">
        <f>'[1]Housing Generation'!M77</f>
        <v>0</v>
      </c>
      <c r="N77" s="229">
        <f>'[1]Housing Generation'!N77</f>
        <v>0</v>
      </c>
      <c r="O77" s="229">
        <f>'[1]Housing Generation'!O77</f>
        <v>0</v>
      </c>
      <c r="P77" s="229">
        <f>'[1]Housing Generation'!P77</f>
        <v>0</v>
      </c>
      <c r="Q77" s="225">
        <f>'[1]Housing Generation'!Q77</f>
        <v>0</v>
      </c>
      <c r="R77" s="227">
        <f>'[1]Housing Generation'!R77</f>
        <v>0</v>
      </c>
      <c r="S77" s="227">
        <f>'[1]Housing Generation'!S77</f>
        <v>0</v>
      </c>
      <c r="T77" s="227">
        <f>'[1]Housing Generation'!T77</f>
        <v>0</v>
      </c>
      <c r="U77" s="227">
        <f>'[1]Housing Generation'!U77</f>
        <v>0</v>
      </c>
      <c r="V77" s="227">
        <f>'[1]Housing Generation'!V77</f>
        <v>0</v>
      </c>
      <c r="W77" s="227">
        <f>'[1]Housing Generation'!W77</f>
        <v>0</v>
      </c>
      <c r="X77" s="227">
        <f>'[1]Housing Generation'!X77</f>
        <v>0</v>
      </c>
      <c r="Y77" s="224">
        <f>'[1]Housing Generation'!Y77</f>
        <v>0</v>
      </c>
      <c r="Z77" s="229">
        <f>'[1]Housing Generation'!Z77</f>
        <v>0</v>
      </c>
      <c r="AA77" s="229">
        <f>'[1]Housing Generation'!AA77</f>
        <v>0</v>
      </c>
      <c r="AB77" s="229">
        <f>'[1]Housing Generation'!AB77</f>
        <v>0</v>
      </c>
      <c r="AC77" s="229">
        <f>'[1]Housing Generation'!AC77</f>
        <v>0</v>
      </c>
      <c r="AD77" s="229">
        <f>'[1]Housing Generation'!AD77</f>
        <v>0</v>
      </c>
      <c r="AE77" s="229">
        <f>'[1]Housing Generation'!AE77</f>
        <v>0</v>
      </c>
      <c r="AF77" s="229">
        <f>'[1]Housing Generation'!AF77</f>
        <v>0</v>
      </c>
      <c r="AG77" s="225">
        <f>'[1]Housing Generation'!AG77</f>
        <v>0</v>
      </c>
      <c r="AH77" s="227">
        <f>'[1]Housing Generation'!AH77</f>
        <v>0</v>
      </c>
      <c r="AI77" s="227">
        <f>'[1]Housing Generation'!AI77</f>
        <v>0</v>
      </c>
      <c r="AJ77" s="227">
        <f>'[1]Housing Generation'!AJ77</f>
        <v>0</v>
      </c>
      <c r="AK77" s="227">
        <f>'[1]Housing Generation'!AK77</f>
        <v>0</v>
      </c>
      <c r="AL77" s="227">
        <f>'[1]Housing Generation'!AL77</f>
        <v>0</v>
      </c>
      <c r="AM77" s="227">
        <f>'[1]Housing Generation'!AM77</f>
        <v>0</v>
      </c>
      <c r="AN77" s="227">
        <f>'[1]Housing Generation'!AN77</f>
        <v>0</v>
      </c>
      <c r="AO77" s="224">
        <f>'[1]Housing Generation'!AO77</f>
        <v>0</v>
      </c>
      <c r="AP77" s="229">
        <f>'[1]Housing Generation'!AP77</f>
        <v>0</v>
      </c>
      <c r="AQ77" s="229">
        <f>'[1]Housing Generation'!AQ77</f>
        <v>0</v>
      </c>
      <c r="AR77" s="229">
        <f>'[1]Housing Generation'!AR77</f>
        <v>0</v>
      </c>
      <c r="AS77" s="229">
        <f>'[1]Housing Generation'!AS77</f>
        <v>0</v>
      </c>
      <c r="AT77" s="229">
        <f>'[1]Housing Generation'!AT77</f>
        <v>0</v>
      </c>
      <c r="AU77" s="229">
        <f>'[1]Housing Generation'!AU77</f>
        <v>0</v>
      </c>
      <c r="AV77" s="229">
        <f>'[1]Housing Generation'!AV77</f>
        <v>0</v>
      </c>
      <c r="AW77" s="225">
        <f>'[1]Housing Generation'!AW77</f>
        <v>0</v>
      </c>
      <c r="AX77" s="227">
        <f>'[1]Housing Generation'!AX77</f>
        <v>1</v>
      </c>
      <c r="AY77" s="227">
        <f>'[1]Housing Generation'!AY77</f>
        <v>0</v>
      </c>
      <c r="AZ77" s="227">
        <f>'[1]Housing Generation'!AZ77</f>
        <v>0</v>
      </c>
      <c r="BA77" s="227">
        <f>'[1]Housing Generation'!BA77</f>
        <v>0</v>
      </c>
      <c r="BB77" s="227">
        <f>'[1]Housing Generation'!BB77</f>
        <v>0</v>
      </c>
      <c r="BC77" s="227">
        <f>'[1]Housing Generation'!BC77</f>
        <v>0</v>
      </c>
      <c r="BD77" s="227">
        <f>'[1]Housing Generation'!BD77</f>
        <v>0</v>
      </c>
      <c r="BE77" s="224">
        <f>'[1]Housing Generation'!BE77</f>
        <v>1</v>
      </c>
      <c r="BF77" s="229">
        <f>'[1]Housing Generation'!BF77</f>
        <v>1</v>
      </c>
      <c r="BG77" s="229">
        <f>'[1]Housing Generation'!BG77</f>
        <v>0</v>
      </c>
      <c r="BH77" s="229">
        <f>'[1]Housing Generation'!BH77</f>
        <v>0</v>
      </c>
      <c r="BI77" s="229">
        <f>'[1]Housing Generation'!BI77</f>
        <v>0</v>
      </c>
      <c r="BJ77" s="229">
        <f>'[1]Housing Generation'!BJ77</f>
        <v>0</v>
      </c>
      <c r="BK77" s="229">
        <f>'[1]Housing Generation'!BK77</f>
        <v>0</v>
      </c>
      <c r="BL77" s="229">
        <f>'[1]Housing Generation'!BL77</f>
        <v>0</v>
      </c>
      <c r="BM77" s="225">
        <f>'[1]Housing Generation'!BM77</f>
        <v>1</v>
      </c>
      <c r="BN77" s="227">
        <f>'[1]Housing Generation'!BN77</f>
        <v>1</v>
      </c>
      <c r="BO77" s="227">
        <f>'[1]Housing Generation'!BO77</f>
        <v>0</v>
      </c>
      <c r="BP77" s="227">
        <f>'[1]Housing Generation'!BP77</f>
        <v>0</v>
      </c>
      <c r="BQ77" s="227">
        <f>'[1]Housing Generation'!BQ77</f>
        <v>0</v>
      </c>
      <c r="BR77" s="227">
        <f>'[1]Housing Generation'!BR77</f>
        <v>0</v>
      </c>
      <c r="BS77" s="227">
        <f>'[1]Housing Generation'!BS77</f>
        <v>0</v>
      </c>
      <c r="BT77" s="227">
        <f>'[1]Housing Generation'!BT77</f>
        <v>0</v>
      </c>
      <c r="BU77" s="224">
        <f>'[1]Housing Generation'!BU77</f>
        <v>1</v>
      </c>
      <c r="BV77" s="229">
        <f>'[1]Housing Generation'!BV77</f>
        <v>1</v>
      </c>
      <c r="BW77" s="229">
        <f>'[1]Housing Generation'!BW77</f>
        <v>0</v>
      </c>
      <c r="BX77" s="229">
        <f>'[1]Housing Generation'!BX77</f>
        <v>0</v>
      </c>
      <c r="BY77" s="229">
        <f>'[1]Housing Generation'!BY77</f>
        <v>0</v>
      </c>
      <c r="BZ77" s="229">
        <f>'[1]Housing Generation'!BZ77</f>
        <v>0</v>
      </c>
      <c r="CA77" s="229">
        <f>'[1]Housing Generation'!CA77</f>
        <v>0</v>
      </c>
      <c r="CB77" s="229">
        <f>'[1]Housing Generation'!CB77</f>
        <v>0</v>
      </c>
      <c r="CC77" s="225">
        <f>'[1]Housing Generation'!CC77</f>
        <v>1</v>
      </c>
      <c r="CD77" s="227">
        <f>'[1]Housing Generation'!CD77</f>
        <v>1</v>
      </c>
      <c r="CE77" s="227">
        <f>'[1]Housing Generation'!CE77</f>
        <v>0</v>
      </c>
      <c r="CF77" s="227">
        <f>'[1]Housing Generation'!CF77</f>
        <v>0</v>
      </c>
      <c r="CG77" s="227">
        <f>'[1]Housing Generation'!CG77</f>
        <v>0</v>
      </c>
      <c r="CH77" s="227">
        <f>'[1]Housing Generation'!CH77</f>
        <v>0</v>
      </c>
      <c r="CI77" s="227">
        <f>'[1]Housing Generation'!CI77</f>
        <v>0</v>
      </c>
      <c r="CJ77" s="227">
        <f>'[1]Housing Generation'!CJ77</f>
        <v>0</v>
      </c>
      <c r="CK77" s="224">
        <f>'[1]Housing Generation'!CK77</f>
        <v>1</v>
      </c>
      <c r="CL77" s="229">
        <f>'[1]Housing Generation'!CL77</f>
        <v>1</v>
      </c>
      <c r="CM77" s="229">
        <f>'[1]Housing Generation'!CM77</f>
        <v>0</v>
      </c>
      <c r="CN77" s="229">
        <f>'[1]Housing Generation'!CN77</f>
        <v>0</v>
      </c>
      <c r="CO77" s="229">
        <f>'[1]Housing Generation'!CO77</f>
        <v>0</v>
      </c>
      <c r="CP77" s="229">
        <f>'[1]Housing Generation'!CP77</f>
        <v>0</v>
      </c>
      <c r="CQ77" s="229">
        <f>'[1]Housing Generation'!CQ77</f>
        <v>0</v>
      </c>
      <c r="CR77" s="229">
        <f>'[1]Housing Generation'!CR77</f>
        <v>0</v>
      </c>
      <c r="CS77" s="225">
        <f>'[1]Housing Generation'!CS77</f>
        <v>1</v>
      </c>
      <c r="CT77" s="227">
        <f>'[1]Housing Generation'!CT77</f>
        <v>1</v>
      </c>
      <c r="CU77" s="227">
        <f>'[1]Housing Generation'!CU77</f>
        <v>0</v>
      </c>
      <c r="CV77" s="227">
        <f>'[1]Housing Generation'!CV77</f>
        <v>0</v>
      </c>
      <c r="CW77" s="227">
        <f>'[1]Housing Generation'!CW77</f>
        <v>0</v>
      </c>
      <c r="CX77" s="227">
        <f>'[1]Housing Generation'!CX77</f>
        <v>0</v>
      </c>
      <c r="CY77" s="227">
        <f>'[1]Housing Generation'!CY77</f>
        <v>0</v>
      </c>
      <c r="CZ77" s="227">
        <f>'[1]Housing Generation'!CZ77</f>
        <v>0</v>
      </c>
      <c r="DA77" s="224">
        <f>'[1]Housing Generation'!DA77</f>
        <v>1</v>
      </c>
      <c r="DB77" s="229">
        <f>'[1]Housing Generation'!DB77</f>
        <v>1</v>
      </c>
      <c r="DC77" s="229">
        <f>'[1]Housing Generation'!DC77</f>
        <v>0</v>
      </c>
      <c r="DD77" s="229">
        <f>'[1]Housing Generation'!DD77</f>
        <v>0</v>
      </c>
      <c r="DE77" s="229">
        <f>'[1]Housing Generation'!DE77</f>
        <v>0</v>
      </c>
      <c r="DF77" s="229">
        <f>'[1]Housing Generation'!DF77</f>
        <v>0</v>
      </c>
      <c r="DG77" s="229">
        <f>'[1]Housing Generation'!DG77</f>
        <v>0</v>
      </c>
      <c r="DH77" s="229">
        <f>'[1]Housing Generation'!DH77</f>
        <v>0</v>
      </c>
      <c r="DI77" s="225">
        <f>'[1]Housing Generation'!DI77</f>
        <v>1</v>
      </c>
      <c r="DJ77" s="227">
        <f>'[1]Housing Generation'!DJ77</f>
        <v>1</v>
      </c>
      <c r="DK77" s="227">
        <f>'[1]Housing Generation'!DK77</f>
        <v>0</v>
      </c>
      <c r="DL77" s="227">
        <f>'[1]Housing Generation'!DL77</f>
        <v>0</v>
      </c>
      <c r="DM77" s="227">
        <f>'[1]Housing Generation'!DM77</f>
        <v>0</v>
      </c>
      <c r="DN77" s="227">
        <f>'[1]Housing Generation'!DN77</f>
        <v>0</v>
      </c>
      <c r="DO77" s="227">
        <f>'[1]Housing Generation'!DO77</f>
        <v>0</v>
      </c>
      <c r="DP77" s="227">
        <f>'[1]Housing Generation'!DP77</f>
        <v>0</v>
      </c>
      <c r="DQ77" s="224">
        <f>'[1]Housing Generation'!DQ77</f>
        <v>1</v>
      </c>
    </row>
    <row r="78" spans="1:121" x14ac:dyDescent="0.2">
      <c r="A78" s="238" t="s">
        <v>79</v>
      </c>
      <c r="B78" s="227">
        <f>'[1]Housing Generation'!B78</f>
        <v>1</v>
      </c>
      <c r="C78" s="227">
        <f>'[1]Housing Generation'!C78</f>
        <v>1</v>
      </c>
      <c r="D78" s="227">
        <f>'[1]Housing Generation'!D78</f>
        <v>0</v>
      </c>
      <c r="E78" s="227">
        <f>'[1]Housing Generation'!E78</f>
        <v>0</v>
      </c>
      <c r="F78" s="227">
        <f>'[1]Housing Generation'!F78</f>
        <v>0</v>
      </c>
      <c r="G78" s="227">
        <f>'[1]Housing Generation'!G78</f>
        <v>0</v>
      </c>
      <c r="H78" s="227">
        <f>'[1]Housing Generation'!H78</f>
        <v>0</v>
      </c>
      <c r="I78" s="224">
        <f>'[1]Housing Generation'!I78</f>
        <v>2</v>
      </c>
      <c r="J78" s="229">
        <f>'[1]Housing Generation'!J78</f>
        <v>1</v>
      </c>
      <c r="K78" s="229">
        <f>'[1]Housing Generation'!K78</f>
        <v>1</v>
      </c>
      <c r="L78" s="229">
        <f>'[1]Housing Generation'!L78</f>
        <v>1</v>
      </c>
      <c r="M78" s="229">
        <f>'[1]Housing Generation'!M78</f>
        <v>0</v>
      </c>
      <c r="N78" s="229">
        <f>'[1]Housing Generation'!N78</f>
        <v>0</v>
      </c>
      <c r="O78" s="229">
        <f>'[1]Housing Generation'!O78</f>
        <v>0</v>
      </c>
      <c r="P78" s="229">
        <f>'[1]Housing Generation'!P78</f>
        <v>0</v>
      </c>
      <c r="Q78" s="225">
        <f>'[1]Housing Generation'!Q78</f>
        <v>3</v>
      </c>
      <c r="R78" s="227">
        <f>'[1]Housing Generation'!R78</f>
        <v>1</v>
      </c>
      <c r="S78" s="227">
        <f>'[1]Housing Generation'!S78</f>
        <v>1</v>
      </c>
      <c r="T78" s="227">
        <f>'[1]Housing Generation'!T78</f>
        <v>1</v>
      </c>
      <c r="U78" s="227">
        <f>'[1]Housing Generation'!U78</f>
        <v>1</v>
      </c>
      <c r="V78" s="227">
        <f>'[1]Housing Generation'!V78</f>
        <v>1</v>
      </c>
      <c r="W78" s="227">
        <f>'[1]Housing Generation'!W78</f>
        <v>0</v>
      </c>
      <c r="X78" s="227">
        <f>'[1]Housing Generation'!X78</f>
        <v>0</v>
      </c>
      <c r="Y78" s="224">
        <f>'[1]Housing Generation'!Y78</f>
        <v>5</v>
      </c>
      <c r="Z78" s="229">
        <f>'[1]Housing Generation'!Z78</f>
        <v>2</v>
      </c>
      <c r="AA78" s="229">
        <f>'[1]Housing Generation'!AA78</f>
        <v>2</v>
      </c>
      <c r="AB78" s="229">
        <f>'[1]Housing Generation'!AB78</f>
        <v>1</v>
      </c>
      <c r="AC78" s="229">
        <f>'[1]Housing Generation'!AC78</f>
        <v>1</v>
      </c>
      <c r="AD78" s="229">
        <f>'[1]Housing Generation'!AD78</f>
        <v>1</v>
      </c>
      <c r="AE78" s="229">
        <f>'[1]Housing Generation'!AE78</f>
        <v>1</v>
      </c>
      <c r="AF78" s="229">
        <f>'[1]Housing Generation'!AF78</f>
        <v>1</v>
      </c>
      <c r="AG78" s="225">
        <f>'[1]Housing Generation'!AG78</f>
        <v>9</v>
      </c>
      <c r="AH78" s="227">
        <f>'[1]Housing Generation'!AH78</f>
        <v>2</v>
      </c>
      <c r="AI78" s="227">
        <f>'[1]Housing Generation'!AI78</f>
        <v>2</v>
      </c>
      <c r="AJ78" s="227">
        <f>'[1]Housing Generation'!AJ78</f>
        <v>2</v>
      </c>
      <c r="AK78" s="227">
        <f>'[1]Housing Generation'!AK78</f>
        <v>2</v>
      </c>
      <c r="AL78" s="227">
        <f>'[1]Housing Generation'!AL78</f>
        <v>1</v>
      </c>
      <c r="AM78" s="227">
        <f>'[1]Housing Generation'!AM78</f>
        <v>1</v>
      </c>
      <c r="AN78" s="227">
        <f>'[1]Housing Generation'!AN78</f>
        <v>1</v>
      </c>
      <c r="AO78" s="224">
        <f>'[1]Housing Generation'!AO78</f>
        <v>11</v>
      </c>
      <c r="AP78" s="229">
        <f>'[1]Housing Generation'!AP78</f>
        <v>2</v>
      </c>
      <c r="AQ78" s="229">
        <f>'[1]Housing Generation'!AQ78</f>
        <v>2</v>
      </c>
      <c r="AR78" s="229">
        <f>'[1]Housing Generation'!AR78</f>
        <v>2</v>
      </c>
      <c r="AS78" s="229">
        <f>'[1]Housing Generation'!AS78</f>
        <v>2</v>
      </c>
      <c r="AT78" s="229">
        <f>'[1]Housing Generation'!AT78</f>
        <v>2</v>
      </c>
      <c r="AU78" s="229">
        <f>'[1]Housing Generation'!AU78</f>
        <v>1</v>
      </c>
      <c r="AV78" s="229">
        <f>'[1]Housing Generation'!AV78</f>
        <v>1</v>
      </c>
      <c r="AW78" s="225">
        <f>'[1]Housing Generation'!AW78</f>
        <v>12</v>
      </c>
      <c r="AX78" s="227">
        <f>'[1]Housing Generation'!AX78</f>
        <v>2</v>
      </c>
      <c r="AY78" s="227">
        <f>'[1]Housing Generation'!AY78</f>
        <v>2</v>
      </c>
      <c r="AZ78" s="227">
        <f>'[1]Housing Generation'!AZ78</f>
        <v>2</v>
      </c>
      <c r="BA78" s="227">
        <f>'[1]Housing Generation'!BA78</f>
        <v>2</v>
      </c>
      <c r="BB78" s="227">
        <f>'[1]Housing Generation'!BB78</f>
        <v>2</v>
      </c>
      <c r="BC78" s="227">
        <f>'[1]Housing Generation'!BC78</f>
        <v>2</v>
      </c>
      <c r="BD78" s="227">
        <f>'[1]Housing Generation'!BD78</f>
        <v>2</v>
      </c>
      <c r="BE78" s="224">
        <f>'[1]Housing Generation'!BE78</f>
        <v>14</v>
      </c>
      <c r="BF78" s="229">
        <f>'[1]Housing Generation'!BF78</f>
        <v>2</v>
      </c>
      <c r="BG78" s="229">
        <f>'[1]Housing Generation'!BG78</f>
        <v>2</v>
      </c>
      <c r="BH78" s="229">
        <f>'[1]Housing Generation'!BH78</f>
        <v>2</v>
      </c>
      <c r="BI78" s="229">
        <f>'[1]Housing Generation'!BI78</f>
        <v>2</v>
      </c>
      <c r="BJ78" s="229">
        <f>'[1]Housing Generation'!BJ78</f>
        <v>2</v>
      </c>
      <c r="BK78" s="229">
        <f>'[1]Housing Generation'!BK78</f>
        <v>2</v>
      </c>
      <c r="BL78" s="229">
        <f>'[1]Housing Generation'!BL78</f>
        <v>2</v>
      </c>
      <c r="BM78" s="225">
        <f>'[1]Housing Generation'!BM78</f>
        <v>14</v>
      </c>
      <c r="BN78" s="227">
        <f>'[1]Housing Generation'!BN78</f>
        <v>3</v>
      </c>
      <c r="BO78" s="227">
        <f>'[1]Housing Generation'!BO78</f>
        <v>2</v>
      </c>
      <c r="BP78" s="227">
        <f>'[1]Housing Generation'!BP78</f>
        <v>2</v>
      </c>
      <c r="BQ78" s="227">
        <f>'[1]Housing Generation'!BQ78</f>
        <v>2</v>
      </c>
      <c r="BR78" s="227">
        <f>'[1]Housing Generation'!BR78</f>
        <v>2</v>
      </c>
      <c r="BS78" s="227">
        <f>'[1]Housing Generation'!BS78</f>
        <v>2</v>
      </c>
      <c r="BT78" s="227">
        <f>'[1]Housing Generation'!BT78</f>
        <v>2</v>
      </c>
      <c r="BU78" s="224">
        <f>'[1]Housing Generation'!BU78</f>
        <v>15</v>
      </c>
      <c r="BV78" s="229">
        <f>'[1]Housing Generation'!BV78</f>
        <v>3</v>
      </c>
      <c r="BW78" s="229">
        <f>'[1]Housing Generation'!BW78</f>
        <v>3</v>
      </c>
      <c r="BX78" s="229">
        <f>'[1]Housing Generation'!BX78</f>
        <v>2</v>
      </c>
      <c r="BY78" s="229">
        <f>'[1]Housing Generation'!BY78</f>
        <v>2</v>
      </c>
      <c r="BZ78" s="229">
        <f>'[1]Housing Generation'!BZ78</f>
        <v>2</v>
      </c>
      <c r="CA78" s="229">
        <f>'[1]Housing Generation'!CA78</f>
        <v>2</v>
      </c>
      <c r="CB78" s="229">
        <f>'[1]Housing Generation'!CB78</f>
        <v>2</v>
      </c>
      <c r="CC78" s="225">
        <f>'[1]Housing Generation'!CC78</f>
        <v>16</v>
      </c>
      <c r="CD78" s="227">
        <f>'[1]Housing Generation'!CD78</f>
        <v>3</v>
      </c>
      <c r="CE78" s="227">
        <f>'[1]Housing Generation'!CE78</f>
        <v>3</v>
      </c>
      <c r="CF78" s="227">
        <f>'[1]Housing Generation'!CF78</f>
        <v>3</v>
      </c>
      <c r="CG78" s="227">
        <f>'[1]Housing Generation'!CG78</f>
        <v>2</v>
      </c>
      <c r="CH78" s="227">
        <f>'[1]Housing Generation'!CH78</f>
        <v>2</v>
      </c>
      <c r="CI78" s="227">
        <f>'[1]Housing Generation'!CI78</f>
        <v>2</v>
      </c>
      <c r="CJ78" s="227">
        <f>'[1]Housing Generation'!CJ78</f>
        <v>2</v>
      </c>
      <c r="CK78" s="224">
        <f>'[1]Housing Generation'!CK78</f>
        <v>17</v>
      </c>
      <c r="CL78" s="229">
        <f>'[1]Housing Generation'!CL78</f>
        <v>3</v>
      </c>
      <c r="CM78" s="229">
        <f>'[1]Housing Generation'!CM78</f>
        <v>3</v>
      </c>
      <c r="CN78" s="229">
        <f>'[1]Housing Generation'!CN78</f>
        <v>3</v>
      </c>
      <c r="CO78" s="229">
        <f>'[1]Housing Generation'!CO78</f>
        <v>2</v>
      </c>
      <c r="CP78" s="229">
        <f>'[1]Housing Generation'!CP78</f>
        <v>2</v>
      </c>
      <c r="CQ78" s="229">
        <f>'[1]Housing Generation'!CQ78</f>
        <v>2</v>
      </c>
      <c r="CR78" s="229">
        <f>'[1]Housing Generation'!CR78</f>
        <v>2</v>
      </c>
      <c r="CS78" s="225">
        <f>'[1]Housing Generation'!CS78</f>
        <v>17</v>
      </c>
      <c r="CT78" s="227">
        <f>'[1]Housing Generation'!CT78</f>
        <v>3</v>
      </c>
      <c r="CU78" s="227">
        <f>'[1]Housing Generation'!CU78</f>
        <v>3</v>
      </c>
      <c r="CV78" s="227">
        <f>'[1]Housing Generation'!CV78</f>
        <v>3</v>
      </c>
      <c r="CW78" s="227">
        <f>'[1]Housing Generation'!CW78</f>
        <v>2</v>
      </c>
      <c r="CX78" s="227">
        <f>'[1]Housing Generation'!CX78</f>
        <v>2</v>
      </c>
      <c r="CY78" s="227">
        <f>'[1]Housing Generation'!CY78</f>
        <v>2</v>
      </c>
      <c r="CZ78" s="227">
        <f>'[1]Housing Generation'!CZ78</f>
        <v>2</v>
      </c>
      <c r="DA78" s="224">
        <f>'[1]Housing Generation'!DA78</f>
        <v>17</v>
      </c>
      <c r="DB78" s="229">
        <f>'[1]Housing Generation'!DB78</f>
        <v>3</v>
      </c>
      <c r="DC78" s="229">
        <f>'[1]Housing Generation'!DC78</f>
        <v>3</v>
      </c>
      <c r="DD78" s="229">
        <f>'[1]Housing Generation'!DD78</f>
        <v>3</v>
      </c>
      <c r="DE78" s="229">
        <f>'[1]Housing Generation'!DE78</f>
        <v>2</v>
      </c>
      <c r="DF78" s="229">
        <f>'[1]Housing Generation'!DF78</f>
        <v>2</v>
      </c>
      <c r="DG78" s="229">
        <f>'[1]Housing Generation'!DG78</f>
        <v>2</v>
      </c>
      <c r="DH78" s="229">
        <f>'[1]Housing Generation'!DH78</f>
        <v>2</v>
      </c>
      <c r="DI78" s="225">
        <f>'[1]Housing Generation'!DI78</f>
        <v>17</v>
      </c>
      <c r="DJ78" s="227">
        <f>'[1]Housing Generation'!DJ78</f>
        <v>3</v>
      </c>
      <c r="DK78" s="227">
        <f>'[1]Housing Generation'!DK78</f>
        <v>3</v>
      </c>
      <c r="DL78" s="227">
        <f>'[1]Housing Generation'!DL78</f>
        <v>3</v>
      </c>
      <c r="DM78" s="227">
        <f>'[1]Housing Generation'!DM78</f>
        <v>2</v>
      </c>
      <c r="DN78" s="227">
        <f>'[1]Housing Generation'!DN78</f>
        <v>2</v>
      </c>
      <c r="DO78" s="227">
        <f>'[1]Housing Generation'!DO78</f>
        <v>2</v>
      </c>
      <c r="DP78" s="227">
        <f>'[1]Housing Generation'!DP78</f>
        <v>2</v>
      </c>
      <c r="DQ78" s="224">
        <f>'[1]Housing Generation'!DQ78</f>
        <v>17</v>
      </c>
    </row>
    <row r="79" spans="1:121" x14ac:dyDescent="0.2">
      <c r="A79" s="238" t="s">
        <v>80</v>
      </c>
      <c r="B79" s="227">
        <f>'[1]Housing Generation'!B79</f>
        <v>1</v>
      </c>
      <c r="C79" s="227">
        <f>'[1]Housing Generation'!C79</f>
        <v>1</v>
      </c>
      <c r="D79" s="227">
        <f>'[1]Housing Generation'!D79</f>
        <v>0</v>
      </c>
      <c r="E79" s="227">
        <f>'[1]Housing Generation'!E79</f>
        <v>0</v>
      </c>
      <c r="F79" s="227">
        <f>'[1]Housing Generation'!F79</f>
        <v>0</v>
      </c>
      <c r="G79" s="227">
        <f>'[1]Housing Generation'!G79</f>
        <v>0</v>
      </c>
      <c r="H79" s="227">
        <f>'[1]Housing Generation'!H79</f>
        <v>0</v>
      </c>
      <c r="I79" s="224">
        <f>'[1]Housing Generation'!I79</f>
        <v>2</v>
      </c>
      <c r="J79" s="229">
        <f>'[1]Housing Generation'!J79</f>
        <v>1</v>
      </c>
      <c r="K79" s="229">
        <f>'[1]Housing Generation'!K79</f>
        <v>0</v>
      </c>
      <c r="L79" s="229">
        <f>'[1]Housing Generation'!L79</f>
        <v>0</v>
      </c>
      <c r="M79" s="229">
        <f>'[1]Housing Generation'!M79</f>
        <v>0</v>
      </c>
      <c r="N79" s="229">
        <f>'[1]Housing Generation'!N79</f>
        <v>0</v>
      </c>
      <c r="O79" s="229">
        <f>'[1]Housing Generation'!O79</f>
        <v>0</v>
      </c>
      <c r="P79" s="229">
        <f>'[1]Housing Generation'!P79</f>
        <v>0</v>
      </c>
      <c r="Q79" s="225">
        <f>'[1]Housing Generation'!Q79</f>
        <v>1</v>
      </c>
      <c r="R79" s="227">
        <f>'[1]Housing Generation'!R79</f>
        <v>1</v>
      </c>
      <c r="S79" s="227">
        <f>'[1]Housing Generation'!S79</f>
        <v>1</v>
      </c>
      <c r="T79" s="227">
        <f>'[1]Housing Generation'!T79</f>
        <v>0</v>
      </c>
      <c r="U79" s="227">
        <f>'[1]Housing Generation'!U79</f>
        <v>0</v>
      </c>
      <c r="V79" s="227">
        <f>'[1]Housing Generation'!V79</f>
        <v>0</v>
      </c>
      <c r="W79" s="227">
        <f>'[1]Housing Generation'!W79</f>
        <v>0</v>
      </c>
      <c r="X79" s="227">
        <f>'[1]Housing Generation'!X79</f>
        <v>0</v>
      </c>
      <c r="Y79" s="224">
        <f>'[1]Housing Generation'!Y79</f>
        <v>2</v>
      </c>
      <c r="Z79" s="229">
        <f>'[1]Housing Generation'!Z79</f>
        <v>1</v>
      </c>
      <c r="AA79" s="229">
        <f>'[1]Housing Generation'!AA79</f>
        <v>1</v>
      </c>
      <c r="AB79" s="229">
        <f>'[1]Housing Generation'!AB79</f>
        <v>1</v>
      </c>
      <c r="AC79" s="229">
        <f>'[1]Housing Generation'!AC79</f>
        <v>1</v>
      </c>
      <c r="AD79" s="229">
        <f>'[1]Housing Generation'!AD79</f>
        <v>1</v>
      </c>
      <c r="AE79" s="229">
        <f>'[1]Housing Generation'!AE79</f>
        <v>1</v>
      </c>
      <c r="AF79" s="229">
        <f>'[1]Housing Generation'!AF79</f>
        <v>0</v>
      </c>
      <c r="AG79" s="225">
        <f>'[1]Housing Generation'!AG79</f>
        <v>6</v>
      </c>
      <c r="AH79" s="227">
        <f>'[1]Housing Generation'!AH79</f>
        <v>2</v>
      </c>
      <c r="AI79" s="227">
        <f>'[1]Housing Generation'!AI79</f>
        <v>2</v>
      </c>
      <c r="AJ79" s="227">
        <f>'[1]Housing Generation'!AJ79</f>
        <v>1</v>
      </c>
      <c r="AK79" s="227">
        <f>'[1]Housing Generation'!AK79</f>
        <v>1</v>
      </c>
      <c r="AL79" s="227">
        <f>'[1]Housing Generation'!AL79</f>
        <v>1</v>
      </c>
      <c r="AM79" s="227">
        <f>'[1]Housing Generation'!AM79</f>
        <v>1</v>
      </c>
      <c r="AN79" s="227">
        <f>'[1]Housing Generation'!AN79</f>
        <v>1</v>
      </c>
      <c r="AO79" s="224">
        <f>'[1]Housing Generation'!AO79</f>
        <v>9</v>
      </c>
      <c r="AP79" s="229">
        <f>'[1]Housing Generation'!AP79</f>
        <v>2</v>
      </c>
      <c r="AQ79" s="229">
        <f>'[1]Housing Generation'!AQ79</f>
        <v>2</v>
      </c>
      <c r="AR79" s="229">
        <f>'[1]Housing Generation'!AR79</f>
        <v>2</v>
      </c>
      <c r="AS79" s="229">
        <f>'[1]Housing Generation'!AS79</f>
        <v>2</v>
      </c>
      <c r="AT79" s="229">
        <f>'[1]Housing Generation'!AT79</f>
        <v>2</v>
      </c>
      <c r="AU79" s="229">
        <f>'[1]Housing Generation'!AU79</f>
        <v>2</v>
      </c>
      <c r="AV79" s="229">
        <f>'[1]Housing Generation'!AV79</f>
        <v>1</v>
      </c>
      <c r="AW79" s="225">
        <f>'[1]Housing Generation'!AW79</f>
        <v>13</v>
      </c>
      <c r="AX79" s="227">
        <f>'[1]Housing Generation'!AX79</f>
        <v>3</v>
      </c>
      <c r="AY79" s="227">
        <f>'[1]Housing Generation'!AY79</f>
        <v>3</v>
      </c>
      <c r="AZ79" s="227">
        <f>'[1]Housing Generation'!AZ79</f>
        <v>3</v>
      </c>
      <c r="BA79" s="227">
        <f>'[1]Housing Generation'!BA79</f>
        <v>3</v>
      </c>
      <c r="BB79" s="227">
        <f>'[1]Housing Generation'!BB79</f>
        <v>2</v>
      </c>
      <c r="BC79" s="227">
        <f>'[1]Housing Generation'!BC79</f>
        <v>2</v>
      </c>
      <c r="BD79" s="227">
        <f>'[1]Housing Generation'!BD79</f>
        <v>2</v>
      </c>
      <c r="BE79" s="224">
        <f>'[1]Housing Generation'!BE79</f>
        <v>18</v>
      </c>
      <c r="BF79" s="229">
        <f>'[1]Housing Generation'!BF79</f>
        <v>4</v>
      </c>
      <c r="BG79" s="229">
        <f>'[1]Housing Generation'!BG79</f>
        <v>4</v>
      </c>
      <c r="BH79" s="229">
        <f>'[1]Housing Generation'!BH79</f>
        <v>3</v>
      </c>
      <c r="BI79" s="229">
        <f>'[1]Housing Generation'!BI79</f>
        <v>3</v>
      </c>
      <c r="BJ79" s="229">
        <f>'[1]Housing Generation'!BJ79</f>
        <v>3</v>
      </c>
      <c r="BK79" s="229">
        <f>'[1]Housing Generation'!BK79</f>
        <v>3</v>
      </c>
      <c r="BL79" s="229">
        <f>'[1]Housing Generation'!BL79</f>
        <v>3</v>
      </c>
      <c r="BM79" s="225">
        <f>'[1]Housing Generation'!BM79</f>
        <v>23</v>
      </c>
      <c r="BN79" s="227">
        <f>'[1]Housing Generation'!BN79</f>
        <v>4</v>
      </c>
      <c r="BO79" s="227">
        <f>'[1]Housing Generation'!BO79</f>
        <v>4</v>
      </c>
      <c r="BP79" s="227">
        <f>'[1]Housing Generation'!BP79</f>
        <v>4</v>
      </c>
      <c r="BQ79" s="227">
        <f>'[1]Housing Generation'!BQ79</f>
        <v>4</v>
      </c>
      <c r="BR79" s="227">
        <f>'[1]Housing Generation'!BR79</f>
        <v>4</v>
      </c>
      <c r="BS79" s="227">
        <f>'[1]Housing Generation'!BS79</f>
        <v>4</v>
      </c>
      <c r="BT79" s="227">
        <f>'[1]Housing Generation'!BT79</f>
        <v>4</v>
      </c>
      <c r="BU79" s="224">
        <f>'[1]Housing Generation'!BU79</f>
        <v>28</v>
      </c>
      <c r="BV79" s="229">
        <f>'[1]Housing Generation'!BV79</f>
        <v>5</v>
      </c>
      <c r="BW79" s="229">
        <f>'[1]Housing Generation'!BW79</f>
        <v>5</v>
      </c>
      <c r="BX79" s="229">
        <f>'[1]Housing Generation'!BX79</f>
        <v>5</v>
      </c>
      <c r="BY79" s="229">
        <f>'[1]Housing Generation'!BY79</f>
        <v>5</v>
      </c>
      <c r="BZ79" s="229">
        <f>'[1]Housing Generation'!BZ79</f>
        <v>5</v>
      </c>
      <c r="CA79" s="229">
        <f>'[1]Housing Generation'!CA79</f>
        <v>4</v>
      </c>
      <c r="CB79" s="229">
        <f>'[1]Housing Generation'!CB79</f>
        <v>4</v>
      </c>
      <c r="CC79" s="225">
        <f>'[1]Housing Generation'!CC79</f>
        <v>33</v>
      </c>
      <c r="CD79" s="227">
        <f>'[1]Housing Generation'!CD79</f>
        <v>6</v>
      </c>
      <c r="CE79" s="227">
        <f>'[1]Housing Generation'!CE79</f>
        <v>6</v>
      </c>
      <c r="CF79" s="227">
        <f>'[1]Housing Generation'!CF79</f>
        <v>6</v>
      </c>
      <c r="CG79" s="227">
        <f>'[1]Housing Generation'!CG79</f>
        <v>5</v>
      </c>
      <c r="CH79" s="227">
        <f>'[1]Housing Generation'!CH79</f>
        <v>5</v>
      </c>
      <c r="CI79" s="227">
        <f>'[1]Housing Generation'!CI79</f>
        <v>5</v>
      </c>
      <c r="CJ79" s="227">
        <f>'[1]Housing Generation'!CJ79</f>
        <v>5</v>
      </c>
      <c r="CK79" s="224">
        <f>'[1]Housing Generation'!CK79</f>
        <v>38</v>
      </c>
      <c r="CL79" s="229">
        <f>'[1]Housing Generation'!CL79</f>
        <v>6</v>
      </c>
      <c r="CM79" s="229">
        <f>'[1]Housing Generation'!CM79</f>
        <v>6</v>
      </c>
      <c r="CN79" s="229">
        <f>'[1]Housing Generation'!CN79</f>
        <v>6</v>
      </c>
      <c r="CO79" s="229">
        <f>'[1]Housing Generation'!CO79</f>
        <v>6</v>
      </c>
      <c r="CP79" s="229">
        <f>'[1]Housing Generation'!CP79</f>
        <v>6</v>
      </c>
      <c r="CQ79" s="229">
        <f>'[1]Housing Generation'!CQ79</f>
        <v>6</v>
      </c>
      <c r="CR79" s="229">
        <f>'[1]Housing Generation'!CR79</f>
        <v>6</v>
      </c>
      <c r="CS79" s="225">
        <f>'[1]Housing Generation'!CS79</f>
        <v>42</v>
      </c>
      <c r="CT79" s="227">
        <f>'[1]Housing Generation'!CT79</f>
        <v>7</v>
      </c>
      <c r="CU79" s="227">
        <f>'[1]Housing Generation'!CU79</f>
        <v>7</v>
      </c>
      <c r="CV79" s="227">
        <f>'[1]Housing Generation'!CV79</f>
        <v>7</v>
      </c>
      <c r="CW79" s="227">
        <f>'[1]Housing Generation'!CW79</f>
        <v>7</v>
      </c>
      <c r="CX79" s="227">
        <f>'[1]Housing Generation'!CX79</f>
        <v>6</v>
      </c>
      <c r="CY79" s="227">
        <f>'[1]Housing Generation'!CY79</f>
        <v>6</v>
      </c>
      <c r="CZ79" s="227">
        <f>'[1]Housing Generation'!CZ79</f>
        <v>6</v>
      </c>
      <c r="DA79" s="224">
        <f>'[1]Housing Generation'!DA79</f>
        <v>46</v>
      </c>
      <c r="DB79" s="229">
        <f>'[1]Housing Generation'!DB79</f>
        <v>8</v>
      </c>
      <c r="DC79" s="229">
        <f>'[1]Housing Generation'!DC79</f>
        <v>7</v>
      </c>
      <c r="DD79" s="229">
        <f>'[1]Housing Generation'!DD79</f>
        <v>7</v>
      </c>
      <c r="DE79" s="229">
        <f>'[1]Housing Generation'!DE79</f>
        <v>7</v>
      </c>
      <c r="DF79" s="229">
        <f>'[1]Housing Generation'!DF79</f>
        <v>7</v>
      </c>
      <c r="DG79" s="229">
        <f>'[1]Housing Generation'!DG79</f>
        <v>7</v>
      </c>
      <c r="DH79" s="229">
        <f>'[1]Housing Generation'!DH79</f>
        <v>7</v>
      </c>
      <c r="DI79" s="225">
        <f>'[1]Housing Generation'!DI79</f>
        <v>50</v>
      </c>
      <c r="DJ79" s="227">
        <f>'[1]Housing Generation'!DJ79</f>
        <v>8</v>
      </c>
      <c r="DK79" s="227">
        <f>'[1]Housing Generation'!DK79</f>
        <v>8</v>
      </c>
      <c r="DL79" s="227">
        <f>'[1]Housing Generation'!DL79</f>
        <v>8</v>
      </c>
      <c r="DM79" s="227">
        <f>'[1]Housing Generation'!DM79</f>
        <v>8</v>
      </c>
      <c r="DN79" s="227">
        <f>'[1]Housing Generation'!DN79</f>
        <v>8</v>
      </c>
      <c r="DO79" s="227">
        <f>'[1]Housing Generation'!DO79</f>
        <v>7</v>
      </c>
      <c r="DP79" s="227">
        <f>'[1]Housing Generation'!DP79</f>
        <v>7</v>
      </c>
      <c r="DQ79" s="224">
        <f>'[1]Housing Generation'!DQ79</f>
        <v>54</v>
      </c>
    </row>
    <row r="80" spans="1:121" x14ac:dyDescent="0.2">
      <c r="A80" s="238" t="s">
        <v>81</v>
      </c>
      <c r="B80" s="227">
        <f>'[1]Housing Generation'!B80</f>
        <v>1</v>
      </c>
      <c r="C80" s="227">
        <f>'[1]Housing Generation'!C80</f>
        <v>0</v>
      </c>
      <c r="D80" s="227">
        <f>'[1]Housing Generation'!D80</f>
        <v>0</v>
      </c>
      <c r="E80" s="227">
        <f>'[1]Housing Generation'!E80</f>
        <v>0</v>
      </c>
      <c r="F80" s="227">
        <f>'[1]Housing Generation'!F80</f>
        <v>0</v>
      </c>
      <c r="G80" s="227">
        <f>'[1]Housing Generation'!G80</f>
        <v>0</v>
      </c>
      <c r="H80" s="227">
        <f>'[1]Housing Generation'!H80</f>
        <v>0</v>
      </c>
      <c r="I80" s="224">
        <f>'[1]Housing Generation'!I80</f>
        <v>1</v>
      </c>
      <c r="J80" s="229">
        <f>'[1]Housing Generation'!J80</f>
        <v>1</v>
      </c>
      <c r="K80" s="229">
        <f>'[1]Housing Generation'!K80</f>
        <v>0</v>
      </c>
      <c r="L80" s="229">
        <f>'[1]Housing Generation'!L80</f>
        <v>0</v>
      </c>
      <c r="M80" s="229">
        <f>'[1]Housing Generation'!M80</f>
        <v>0</v>
      </c>
      <c r="N80" s="229">
        <f>'[1]Housing Generation'!N80</f>
        <v>0</v>
      </c>
      <c r="O80" s="229">
        <f>'[1]Housing Generation'!O80</f>
        <v>0</v>
      </c>
      <c r="P80" s="229">
        <f>'[1]Housing Generation'!P80</f>
        <v>0</v>
      </c>
      <c r="Q80" s="225">
        <f>'[1]Housing Generation'!Q80</f>
        <v>1</v>
      </c>
      <c r="R80" s="227">
        <f>'[1]Housing Generation'!R80</f>
        <v>1</v>
      </c>
      <c r="S80" s="227">
        <f>'[1]Housing Generation'!S80</f>
        <v>1</v>
      </c>
      <c r="T80" s="227">
        <f>'[1]Housing Generation'!T80</f>
        <v>1</v>
      </c>
      <c r="U80" s="227">
        <f>'[1]Housing Generation'!U80</f>
        <v>0</v>
      </c>
      <c r="V80" s="227">
        <f>'[1]Housing Generation'!V80</f>
        <v>0</v>
      </c>
      <c r="W80" s="227">
        <f>'[1]Housing Generation'!W80</f>
        <v>0</v>
      </c>
      <c r="X80" s="227">
        <f>'[1]Housing Generation'!X80</f>
        <v>0</v>
      </c>
      <c r="Y80" s="224">
        <f>'[1]Housing Generation'!Y80</f>
        <v>3</v>
      </c>
      <c r="Z80" s="229">
        <f>'[1]Housing Generation'!Z80</f>
        <v>1</v>
      </c>
      <c r="AA80" s="229">
        <f>'[1]Housing Generation'!AA80</f>
        <v>1</v>
      </c>
      <c r="AB80" s="229">
        <f>'[1]Housing Generation'!AB80</f>
        <v>1</v>
      </c>
      <c r="AC80" s="229">
        <f>'[1]Housing Generation'!AC80</f>
        <v>1</v>
      </c>
      <c r="AD80" s="229">
        <f>'[1]Housing Generation'!AD80</f>
        <v>0</v>
      </c>
      <c r="AE80" s="229">
        <f>'[1]Housing Generation'!AE80</f>
        <v>0</v>
      </c>
      <c r="AF80" s="229">
        <f>'[1]Housing Generation'!AF80</f>
        <v>0</v>
      </c>
      <c r="AG80" s="225">
        <f>'[1]Housing Generation'!AG80</f>
        <v>4</v>
      </c>
      <c r="AH80" s="227">
        <f>'[1]Housing Generation'!AH80</f>
        <v>1</v>
      </c>
      <c r="AI80" s="227">
        <f>'[1]Housing Generation'!AI80</f>
        <v>1</v>
      </c>
      <c r="AJ80" s="227">
        <f>'[1]Housing Generation'!AJ80</f>
        <v>1</v>
      </c>
      <c r="AK80" s="227">
        <f>'[1]Housing Generation'!AK80</f>
        <v>1</v>
      </c>
      <c r="AL80" s="227">
        <f>'[1]Housing Generation'!AL80</f>
        <v>1</v>
      </c>
      <c r="AM80" s="227">
        <f>'[1]Housing Generation'!AM80</f>
        <v>0</v>
      </c>
      <c r="AN80" s="227">
        <f>'[1]Housing Generation'!AN80</f>
        <v>0</v>
      </c>
      <c r="AO80" s="224">
        <f>'[1]Housing Generation'!AO80</f>
        <v>5</v>
      </c>
      <c r="AP80" s="229">
        <f>'[1]Housing Generation'!AP80</f>
        <v>1</v>
      </c>
      <c r="AQ80" s="229">
        <f>'[1]Housing Generation'!AQ80</f>
        <v>1</v>
      </c>
      <c r="AR80" s="229">
        <f>'[1]Housing Generation'!AR80</f>
        <v>1</v>
      </c>
      <c r="AS80" s="229">
        <f>'[1]Housing Generation'!AS80</f>
        <v>1</v>
      </c>
      <c r="AT80" s="229">
        <f>'[1]Housing Generation'!AT80</f>
        <v>1</v>
      </c>
      <c r="AU80" s="229">
        <f>'[1]Housing Generation'!AU80</f>
        <v>0</v>
      </c>
      <c r="AV80" s="229">
        <f>'[1]Housing Generation'!AV80</f>
        <v>0</v>
      </c>
      <c r="AW80" s="225">
        <f>'[1]Housing Generation'!AW80</f>
        <v>5</v>
      </c>
      <c r="AX80" s="227">
        <f>'[1]Housing Generation'!AX80</f>
        <v>1</v>
      </c>
      <c r="AY80" s="227">
        <f>'[1]Housing Generation'!AY80</f>
        <v>1</v>
      </c>
      <c r="AZ80" s="227">
        <f>'[1]Housing Generation'!AZ80</f>
        <v>1</v>
      </c>
      <c r="BA80" s="227">
        <f>'[1]Housing Generation'!BA80</f>
        <v>1</v>
      </c>
      <c r="BB80" s="227">
        <f>'[1]Housing Generation'!BB80</f>
        <v>1</v>
      </c>
      <c r="BC80" s="227">
        <f>'[1]Housing Generation'!BC80</f>
        <v>0</v>
      </c>
      <c r="BD80" s="227">
        <f>'[1]Housing Generation'!BD80</f>
        <v>0</v>
      </c>
      <c r="BE80" s="224">
        <f>'[1]Housing Generation'!BE80</f>
        <v>5</v>
      </c>
      <c r="BF80" s="229">
        <f>'[1]Housing Generation'!BF80</f>
        <v>1</v>
      </c>
      <c r="BG80" s="229">
        <f>'[1]Housing Generation'!BG80</f>
        <v>1</v>
      </c>
      <c r="BH80" s="229">
        <f>'[1]Housing Generation'!BH80</f>
        <v>1</v>
      </c>
      <c r="BI80" s="229">
        <f>'[1]Housing Generation'!BI80</f>
        <v>1</v>
      </c>
      <c r="BJ80" s="229">
        <f>'[1]Housing Generation'!BJ80</f>
        <v>1</v>
      </c>
      <c r="BK80" s="229">
        <f>'[1]Housing Generation'!BK80</f>
        <v>1</v>
      </c>
      <c r="BL80" s="229">
        <f>'[1]Housing Generation'!BL80</f>
        <v>0</v>
      </c>
      <c r="BM80" s="225">
        <f>'[1]Housing Generation'!BM80</f>
        <v>6</v>
      </c>
      <c r="BN80" s="227">
        <f>'[1]Housing Generation'!BN80</f>
        <v>1</v>
      </c>
      <c r="BO80" s="227">
        <f>'[1]Housing Generation'!BO80</f>
        <v>1</v>
      </c>
      <c r="BP80" s="227">
        <f>'[1]Housing Generation'!BP80</f>
        <v>1</v>
      </c>
      <c r="BQ80" s="227">
        <f>'[1]Housing Generation'!BQ80</f>
        <v>1</v>
      </c>
      <c r="BR80" s="227">
        <f>'[1]Housing Generation'!BR80</f>
        <v>1</v>
      </c>
      <c r="BS80" s="227">
        <f>'[1]Housing Generation'!BS80</f>
        <v>1</v>
      </c>
      <c r="BT80" s="227">
        <f>'[1]Housing Generation'!BT80</f>
        <v>0</v>
      </c>
      <c r="BU80" s="224">
        <f>'[1]Housing Generation'!BU80</f>
        <v>6</v>
      </c>
      <c r="BV80" s="229">
        <f>'[1]Housing Generation'!BV80</f>
        <v>1</v>
      </c>
      <c r="BW80" s="229">
        <f>'[1]Housing Generation'!BW80</f>
        <v>1</v>
      </c>
      <c r="BX80" s="229">
        <f>'[1]Housing Generation'!BX80</f>
        <v>1</v>
      </c>
      <c r="BY80" s="229">
        <f>'[1]Housing Generation'!BY80</f>
        <v>1</v>
      </c>
      <c r="BZ80" s="229">
        <f>'[1]Housing Generation'!BZ80</f>
        <v>1</v>
      </c>
      <c r="CA80" s="229">
        <f>'[1]Housing Generation'!CA80</f>
        <v>1</v>
      </c>
      <c r="CB80" s="229">
        <f>'[1]Housing Generation'!CB80</f>
        <v>0</v>
      </c>
      <c r="CC80" s="225">
        <f>'[1]Housing Generation'!CC80</f>
        <v>6</v>
      </c>
      <c r="CD80" s="227">
        <f>'[1]Housing Generation'!CD80</f>
        <v>1</v>
      </c>
      <c r="CE80" s="227">
        <f>'[1]Housing Generation'!CE80</f>
        <v>1</v>
      </c>
      <c r="CF80" s="227">
        <f>'[1]Housing Generation'!CF80</f>
        <v>1</v>
      </c>
      <c r="CG80" s="227">
        <f>'[1]Housing Generation'!CG80</f>
        <v>1</v>
      </c>
      <c r="CH80" s="227">
        <f>'[1]Housing Generation'!CH80</f>
        <v>1</v>
      </c>
      <c r="CI80" s="227">
        <f>'[1]Housing Generation'!CI80</f>
        <v>1</v>
      </c>
      <c r="CJ80" s="227">
        <f>'[1]Housing Generation'!CJ80</f>
        <v>0</v>
      </c>
      <c r="CK80" s="224">
        <f>'[1]Housing Generation'!CK80</f>
        <v>6</v>
      </c>
      <c r="CL80" s="229">
        <f>'[1]Housing Generation'!CL80</f>
        <v>1</v>
      </c>
      <c r="CM80" s="229">
        <f>'[1]Housing Generation'!CM80</f>
        <v>1</v>
      </c>
      <c r="CN80" s="229">
        <f>'[1]Housing Generation'!CN80</f>
        <v>1</v>
      </c>
      <c r="CO80" s="229">
        <f>'[1]Housing Generation'!CO80</f>
        <v>1</v>
      </c>
      <c r="CP80" s="229">
        <f>'[1]Housing Generation'!CP80</f>
        <v>1</v>
      </c>
      <c r="CQ80" s="229">
        <f>'[1]Housing Generation'!CQ80</f>
        <v>1</v>
      </c>
      <c r="CR80" s="229">
        <f>'[1]Housing Generation'!CR80</f>
        <v>0</v>
      </c>
      <c r="CS80" s="225">
        <f>'[1]Housing Generation'!CS80</f>
        <v>6</v>
      </c>
      <c r="CT80" s="227">
        <f>'[1]Housing Generation'!CT80</f>
        <v>1</v>
      </c>
      <c r="CU80" s="227">
        <f>'[1]Housing Generation'!CU80</f>
        <v>1</v>
      </c>
      <c r="CV80" s="227">
        <f>'[1]Housing Generation'!CV80</f>
        <v>1</v>
      </c>
      <c r="CW80" s="227">
        <f>'[1]Housing Generation'!CW80</f>
        <v>1</v>
      </c>
      <c r="CX80" s="227">
        <f>'[1]Housing Generation'!CX80</f>
        <v>1</v>
      </c>
      <c r="CY80" s="227">
        <f>'[1]Housing Generation'!CY80</f>
        <v>1</v>
      </c>
      <c r="CZ80" s="227">
        <f>'[1]Housing Generation'!CZ80</f>
        <v>0</v>
      </c>
      <c r="DA80" s="224">
        <f>'[1]Housing Generation'!DA80</f>
        <v>6</v>
      </c>
      <c r="DB80" s="229">
        <f>'[1]Housing Generation'!DB80</f>
        <v>1</v>
      </c>
      <c r="DC80" s="229">
        <f>'[1]Housing Generation'!DC80</f>
        <v>1</v>
      </c>
      <c r="DD80" s="229">
        <f>'[1]Housing Generation'!DD80</f>
        <v>1</v>
      </c>
      <c r="DE80" s="229">
        <f>'[1]Housing Generation'!DE80</f>
        <v>1</v>
      </c>
      <c r="DF80" s="229">
        <f>'[1]Housing Generation'!DF80</f>
        <v>1</v>
      </c>
      <c r="DG80" s="229">
        <f>'[1]Housing Generation'!DG80</f>
        <v>1</v>
      </c>
      <c r="DH80" s="229">
        <f>'[1]Housing Generation'!DH80</f>
        <v>0</v>
      </c>
      <c r="DI80" s="225">
        <f>'[1]Housing Generation'!DI80</f>
        <v>6</v>
      </c>
      <c r="DJ80" s="227">
        <f>'[1]Housing Generation'!DJ80</f>
        <v>1</v>
      </c>
      <c r="DK80" s="227">
        <f>'[1]Housing Generation'!DK80</f>
        <v>1</v>
      </c>
      <c r="DL80" s="227">
        <f>'[1]Housing Generation'!DL80</f>
        <v>1</v>
      </c>
      <c r="DM80" s="227">
        <f>'[1]Housing Generation'!DM80</f>
        <v>1</v>
      </c>
      <c r="DN80" s="227">
        <f>'[1]Housing Generation'!DN80</f>
        <v>1</v>
      </c>
      <c r="DO80" s="227">
        <f>'[1]Housing Generation'!DO80</f>
        <v>1</v>
      </c>
      <c r="DP80" s="227">
        <f>'[1]Housing Generation'!DP80</f>
        <v>0</v>
      </c>
      <c r="DQ80" s="224">
        <f>'[1]Housing Generation'!DQ80</f>
        <v>6</v>
      </c>
    </row>
    <row r="81" spans="1:129" x14ac:dyDescent="0.2">
      <c r="A81" s="238" t="s">
        <v>82</v>
      </c>
      <c r="B81" s="227">
        <f>'[1]Housing Generation'!B81</f>
        <v>1</v>
      </c>
      <c r="C81" s="227">
        <f>'[1]Housing Generation'!C81</f>
        <v>1</v>
      </c>
      <c r="D81" s="227">
        <f>'[1]Housing Generation'!D81</f>
        <v>0</v>
      </c>
      <c r="E81" s="227">
        <f>'[1]Housing Generation'!E81</f>
        <v>0</v>
      </c>
      <c r="F81" s="227">
        <f>'[1]Housing Generation'!F81</f>
        <v>0</v>
      </c>
      <c r="G81" s="227">
        <f>'[1]Housing Generation'!G81</f>
        <v>0</v>
      </c>
      <c r="H81" s="227">
        <f>'[1]Housing Generation'!H81</f>
        <v>0</v>
      </c>
      <c r="I81" s="224">
        <f>'[1]Housing Generation'!I81</f>
        <v>2</v>
      </c>
      <c r="J81" s="229">
        <f>'[1]Housing Generation'!J81</f>
        <v>1</v>
      </c>
      <c r="K81" s="229">
        <f>'[1]Housing Generation'!K81</f>
        <v>0</v>
      </c>
      <c r="L81" s="229">
        <f>'[1]Housing Generation'!L81</f>
        <v>0</v>
      </c>
      <c r="M81" s="229">
        <f>'[1]Housing Generation'!M81</f>
        <v>0</v>
      </c>
      <c r="N81" s="229">
        <f>'[1]Housing Generation'!N81</f>
        <v>0</v>
      </c>
      <c r="O81" s="229">
        <f>'[1]Housing Generation'!O81</f>
        <v>0</v>
      </c>
      <c r="P81" s="229">
        <f>'[1]Housing Generation'!P81</f>
        <v>0</v>
      </c>
      <c r="Q81" s="225">
        <f>'[1]Housing Generation'!Q81</f>
        <v>1</v>
      </c>
      <c r="R81" s="227">
        <f>'[1]Housing Generation'!R81</f>
        <v>1</v>
      </c>
      <c r="S81" s="227">
        <f>'[1]Housing Generation'!S81</f>
        <v>1</v>
      </c>
      <c r="T81" s="227">
        <f>'[1]Housing Generation'!T81</f>
        <v>0</v>
      </c>
      <c r="U81" s="227">
        <f>'[1]Housing Generation'!U81</f>
        <v>0</v>
      </c>
      <c r="V81" s="227">
        <f>'[1]Housing Generation'!V81</f>
        <v>0</v>
      </c>
      <c r="W81" s="227">
        <f>'[1]Housing Generation'!W81</f>
        <v>0</v>
      </c>
      <c r="X81" s="227">
        <f>'[1]Housing Generation'!X81</f>
        <v>0</v>
      </c>
      <c r="Y81" s="224">
        <f>'[1]Housing Generation'!Y81</f>
        <v>2</v>
      </c>
      <c r="Z81" s="229">
        <f>'[1]Housing Generation'!Z81</f>
        <v>1</v>
      </c>
      <c r="AA81" s="229">
        <f>'[1]Housing Generation'!AA81</f>
        <v>1</v>
      </c>
      <c r="AB81" s="229">
        <f>'[1]Housing Generation'!AB81</f>
        <v>1</v>
      </c>
      <c r="AC81" s="229">
        <f>'[1]Housing Generation'!AC81</f>
        <v>1</v>
      </c>
      <c r="AD81" s="229">
        <f>'[1]Housing Generation'!AD81</f>
        <v>0</v>
      </c>
      <c r="AE81" s="229">
        <f>'[1]Housing Generation'!AE81</f>
        <v>0</v>
      </c>
      <c r="AF81" s="229">
        <f>'[1]Housing Generation'!AF81</f>
        <v>0</v>
      </c>
      <c r="AG81" s="225">
        <f>'[1]Housing Generation'!AG81</f>
        <v>4</v>
      </c>
      <c r="AH81" s="227">
        <f>'[1]Housing Generation'!AH81</f>
        <v>1</v>
      </c>
      <c r="AI81" s="227">
        <f>'[1]Housing Generation'!AI81</f>
        <v>1</v>
      </c>
      <c r="AJ81" s="227">
        <f>'[1]Housing Generation'!AJ81</f>
        <v>1</v>
      </c>
      <c r="AK81" s="227">
        <f>'[1]Housing Generation'!AK81</f>
        <v>1</v>
      </c>
      <c r="AL81" s="227">
        <f>'[1]Housing Generation'!AL81</f>
        <v>0</v>
      </c>
      <c r="AM81" s="227">
        <f>'[1]Housing Generation'!AM81</f>
        <v>0</v>
      </c>
      <c r="AN81" s="227">
        <f>'[1]Housing Generation'!AN81</f>
        <v>0</v>
      </c>
      <c r="AO81" s="224">
        <f>'[1]Housing Generation'!AO81</f>
        <v>4</v>
      </c>
      <c r="AP81" s="229">
        <f>'[1]Housing Generation'!AP81</f>
        <v>1</v>
      </c>
      <c r="AQ81" s="229">
        <f>'[1]Housing Generation'!AQ81</f>
        <v>1</v>
      </c>
      <c r="AR81" s="229">
        <f>'[1]Housing Generation'!AR81</f>
        <v>1</v>
      </c>
      <c r="AS81" s="229">
        <f>'[1]Housing Generation'!AS81</f>
        <v>1</v>
      </c>
      <c r="AT81" s="229">
        <f>'[1]Housing Generation'!AT81</f>
        <v>0</v>
      </c>
      <c r="AU81" s="229">
        <f>'[1]Housing Generation'!AU81</f>
        <v>0</v>
      </c>
      <c r="AV81" s="229">
        <f>'[1]Housing Generation'!AV81</f>
        <v>0</v>
      </c>
      <c r="AW81" s="225">
        <f>'[1]Housing Generation'!AW81</f>
        <v>4</v>
      </c>
      <c r="AX81" s="227">
        <f>'[1]Housing Generation'!AX81</f>
        <v>2</v>
      </c>
      <c r="AY81" s="227">
        <f>'[1]Housing Generation'!AY81</f>
        <v>1</v>
      </c>
      <c r="AZ81" s="227">
        <f>'[1]Housing Generation'!AZ81</f>
        <v>1</v>
      </c>
      <c r="BA81" s="227">
        <f>'[1]Housing Generation'!BA81</f>
        <v>1</v>
      </c>
      <c r="BB81" s="227">
        <f>'[1]Housing Generation'!BB81</f>
        <v>1</v>
      </c>
      <c r="BC81" s="227">
        <f>'[1]Housing Generation'!BC81</f>
        <v>1</v>
      </c>
      <c r="BD81" s="227">
        <f>'[1]Housing Generation'!BD81</f>
        <v>1</v>
      </c>
      <c r="BE81" s="224">
        <f>'[1]Housing Generation'!BE81</f>
        <v>8</v>
      </c>
      <c r="BF81" s="229">
        <f>'[1]Housing Generation'!BF81</f>
        <v>2</v>
      </c>
      <c r="BG81" s="229">
        <f>'[1]Housing Generation'!BG81</f>
        <v>2</v>
      </c>
      <c r="BH81" s="229">
        <f>'[1]Housing Generation'!BH81</f>
        <v>2</v>
      </c>
      <c r="BI81" s="229">
        <f>'[1]Housing Generation'!BI81</f>
        <v>2</v>
      </c>
      <c r="BJ81" s="229">
        <f>'[1]Housing Generation'!BJ81</f>
        <v>1</v>
      </c>
      <c r="BK81" s="229">
        <f>'[1]Housing Generation'!BK81</f>
        <v>1</v>
      </c>
      <c r="BL81" s="229">
        <f>'[1]Housing Generation'!BL81</f>
        <v>1</v>
      </c>
      <c r="BM81" s="225">
        <f>'[1]Housing Generation'!BM81</f>
        <v>11</v>
      </c>
      <c r="BN81" s="227">
        <f>'[1]Housing Generation'!BN81</f>
        <v>2</v>
      </c>
      <c r="BO81" s="227">
        <f>'[1]Housing Generation'!BO81</f>
        <v>2</v>
      </c>
      <c r="BP81" s="227">
        <f>'[1]Housing Generation'!BP81</f>
        <v>2</v>
      </c>
      <c r="BQ81" s="227">
        <f>'[1]Housing Generation'!BQ81</f>
        <v>2</v>
      </c>
      <c r="BR81" s="227">
        <f>'[1]Housing Generation'!BR81</f>
        <v>2</v>
      </c>
      <c r="BS81" s="227">
        <f>'[1]Housing Generation'!BS81</f>
        <v>1</v>
      </c>
      <c r="BT81" s="227">
        <f>'[1]Housing Generation'!BT81</f>
        <v>1</v>
      </c>
      <c r="BU81" s="224">
        <f>'[1]Housing Generation'!BU81</f>
        <v>12</v>
      </c>
      <c r="BV81" s="229">
        <f>'[1]Housing Generation'!BV81</f>
        <v>2</v>
      </c>
      <c r="BW81" s="229">
        <f>'[1]Housing Generation'!BW81</f>
        <v>2</v>
      </c>
      <c r="BX81" s="229">
        <f>'[1]Housing Generation'!BX81</f>
        <v>2</v>
      </c>
      <c r="BY81" s="229">
        <f>'[1]Housing Generation'!BY81</f>
        <v>2</v>
      </c>
      <c r="BZ81" s="229">
        <f>'[1]Housing Generation'!BZ81</f>
        <v>2</v>
      </c>
      <c r="CA81" s="229">
        <f>'[1]Housing Generation'!CA81</f>
        <v>2</v>
      </c>
      <c r="CB81" s="229">
        <f>'[1]Housing Generation'!CB81</f>
        <v>2</v>
      </c>
      <c r="CC81" s="225">
        <f>'[1]Housing Generation'!CC81</f>
        <v>14</v>
      </c>
      <c r="CD81" s="227">
        <f>'[1]Housing Generation'!CD81</f>
        <v>3</v>
      </c>
      <c r="CE81" s="227">
        <f>'[1]Housing Generation'!CE81</f>
        <v>3</v>
      </c>
      <c r="CF81" s="227">
        <f>'[1]Housing Generation'!CF81</f>
        <v>2</v>
      </c>
      <c r="CG81" s="227">
        <f>'[1]Housing Generation'!CG81</f>
        <v>2</v>
      </c>
      <c r="CH81" s="227">
        <f>'[1]Housing Generation'!CH81</f>
        <v>2</v>
      </c>
      <c r="CI81" s="227">
        <f>'[1]Housing Generation'!CI81</f>
        <v>2</v>
      </c>
      <c r="CJ81" s="227">
        <f>'[1]Housing Generation'!CJ81</f>
        <v>2</v>
      </c>
      <c r="CK81" s="224">
        <f>'[1]Housing Generation'!CK81</f>
        <v>16</v>
      </c>
      <c r="CL81" s="229">
        <f>'[1]Housing Generation'!CL81</f>
        <v>3</v>
      </c>
      <c r="CM81" s="229">
        <f>'[1]Housing Generation'!CM81</f>
        <v>3</v>
      </c>
      <c r="CN81" s="229">
        <f>'[1]Housing Generation'!CN81</f>
        <v>2</v>
      </c>
      <c r="CO81" s="229">
        <f>'[1]Housing Generation'!CO81</f>
        <v>2</v>
      </c>
      <c r="CP81" s="229">
        <f>'[1]Housing Generation'!CP81</f>
        <v>2</v>
      </c>
      <c r="CQ81" s="229">
        <f>'[1]Housing Generation'!CQ81</f>
        <v>2</v>
      </c>
      <c r="CR81" s="229">
        <f>'[1]Housing Generation'!CR81</f>
        <v>2</v>
      </c>
      <c r="CS81" s="225">
        <f>'[1]Housing Generation'!CS81</f>
        <v>16</v>
      </c>
      <c r="CT81" s="227">
        <f>'[1]Housing Generation'!CT81</f>
        <v>3</v>
      </c>
      <c r="CU81" s="227">
        <f>'[1]Housing Generation'!CU81</f>
        <v>3</v>
      </c>
      <c r="CV81" s="227">
        <f>'[1]Housing Generation'!CV81</f>
        <v>3</v>
      </c>
      <c r="CW81" s="227">
        <f>'[1]Housing Generation'!CW81</f>
        <v>2</v>
      </c>
      <c r="CX81" s="227">
        <f>'[1]Housing Generation'!CX81</f>
        <v>2</v>
      </c>
      <c r="CY81" s="227">
        <f>'[1]Housing Generation'!CY81</f>
        <v>2</v>
      </c>
      <c r="CZ81" s="227">
        <f>'[1]Housing Generation'!CZ81</f>
        <v>2</v>
      </c>
      <c r="DA81" s="224">
        <f>'[1]Housing Generation'!DA81</f>
        <v>17</v>
      </c>
      <c r="DB81" s="229">
        <f>'[1]Housing Generation'!DB81</f>
        <v>3</v>
      </c>
      <c r="DC81" s="229">
        <f>'[1]Housing Generation'!DC81</f>
        <v>3</v>
      </c>
      <c r="DD81" s="229">
        <f>'[1]Housing Generation'!DD81</f>
        <v>3</v>
      </c>
      <c r="DE81" s="229">
        <f>'[1]Housing Generation'!DE81</f>
        <v>2</v>
      </c>
      <c r="DF81" s="229">
        <f>'[1]Housing Generation'!DF81</f>
        <v>2</v>
      </c>
      <c r="DG81" s="229">
        <f>'[1]Housing Generation'!DG81</f>
        <v>2</v>
      </c>
      <c r="DH81" s="229">
        <f>'[1]Housing Generation'!DH81</f>
        <v>2</v>
      </c>
      <c r="DI81" s="225">
        <f>'[1]Housing Generation'!DI81</f>
        <v>17</v>
      </c>
      <c r="DJ81" s="227">
        <f>'[1]Housing Generation'!DJ81</f>
        <v>3</v>
      </c>
      <c r="DK81" s="227">
        <f>'[1]Housing Generation'!DK81</f>
        <v>3</v>
      </c>
      <c r="DL81" s="227">
        <f>'[1]Housing Generation'!DL81</f>
        <v>3</v>
      </c>
      <c r="DM81" s="227">
        <f>'[1]Housing Generation'!DM81</f>
        <v>3</v>
      </c>
      <c r="DN81" s="227">
        <f>'[1]Housing Generation'!DN81</f>
        <v>2</v>
      </c>
      <c r="DO81" s="227">
        <f>'[1]Housing Generation'!DO81</f>
        <v>2</v>
      </c>
      <c r="DP81" s="227">
        <f>'[1]Housing Generation'!DP81</f>
        <v>2</v>
      </c>
      <c r="DQ81" s="224">
        <f>'[1]Housing Generation'!DQ81</f>
        <v>18</v>
      </c>
    </row>
    <row r="82" spans="1:129" x14ac:dyDescent="0.2">
      <c r="A82" s="237" t="s">
        <v>83</v>
      </c>
      <c r="B82" s="227">
        <f>'[1]Housing Generation'!B82</f>
        <v>0</v>
      </c>
      <c r="C82" s="227">
        <f>'[1]Housing Generation'!C82</f>
        <v>0</v>
      </c>
      <c r="D82" s="227">
        <f>'[1]Housing Generation'!D82</f>
        <v>0</v>
      </c>
      <c r="E82" s="227">
        <f>'[1]Housing Generation'!E82</f>
        <v>0</v>
      </c>
      <c r="F82" s="227">
        <f>'[1]Housing Generation'!F82</f>
        <v>0</v>
      </c>
      <c r="G82" s="227">
        <f>'[1]Housing Generation'!G82</f>
        <v>0</v>
      </c>
      <c r="H82" s="227">
        <f>'[1]Housing Generation'!H82</f>
        <v>0</v>
      </c>
      <c r="I82" s="224">
        <f>'[1]Housing Generation'!I82</f>
        <v>0</v>
      </c>
      <c r="J82" s="229">
        <f>'[1]Housing Generation'!J82</f>
        <v>1</v>
      </c>
      <c r="K82" s="229">
        <f>'[1]Housing Generation'!K82</f>
        <v>1</v>
      </c>
      <c r="L82" s="229">
        <f>'[1]Housing Generation'!L82</f>
        <v>1</v>
      </c>
      <c r="M82" s="229">
        <f>'[1]Housing Generation'!M82</f>
        <v>1</v>
      </c>
      <c r="N82" s="229">
        <f>'[1]Housing Generation'!N82</f>
        <v>0</v>
      </c>
      <c r="O82" s="229">
        <f>'[1]Housing Generation'!O82</f>
        <v>0</v>
      </c>
      <c r="P82" s="229">
        <f>'[1]Housing Generation'!P82</f>
        <v>0</v>
      </c>
      <c r="Q82" s="225">
        <f>'[1]Housing Generation'!Q82</f>
        <v>4</v>
      </c>
      <c r="R82" s="227">
        <f>'[1]Housing Generation'!R82</f>
        <v>2</v>
      </c>
      <c r="S82" s="227">
        <f>'[1]Housing Generation'!S82</f>
        <v>2</v>
      </c>
      <c r="T82" s="227">
        <f>'[1]Housing Generation'!T82</f>
        <v>2</v>
      </c>
      <c r="U82" s="227">
        <f>'[1]Housing Generation'!U82</f>
        <v>1</v>
      </c>
      <c r="V82" s="227">
        <f>'[1]Housing Generation'!V82</f>
        <v>1</v>
      </c>
      <c r="W82" s="227">
        <f>'[1]Housing Generation'!W82</f>
        <v>1</v>
      </c>
      <c r="X82" s="227">
        <f>'[1]Housing Generation'!X82</f>
        <v>1</v>
      </c>
      <c r="Y82" s="224">
        <f>'[1]Housing Generation'!Y82</f>
        <v>10</v>
      </c>
      <c r="Z82" s="229">
        <f>'[1]Housing Generation'!Z82</f>
        <v>3</v>
      </c>
      <c r="AA82" s="229">
        <f>'[1]Housing Generation'!AA82</f>
        <v>3</v>
      </c>
      <c r="AB82" s="229">
        <f>'[1]Housing Generation'!AB82</f>
        <v>2</v>
      </c>
      <c r="AC82" s="229">
        <f>'[1]Housing Generation'!AC82</f>
        <v>2</v>
      </c>
      <c r="AD82" s="229">
        <f>'[1]Housing Generation'!AD82</f>
        <v>2</v>
      </c>
      <c r="AE82" s="229">
        <f>'[1]Housing Generation'!AE82</f>
        <v>2</v>
      </c>
      <c r="AF82" s="229">
        <f>'[1]Housing Generation'!AF82</f>
        <v>2</v>
      </c>
      <c r="AG82" s="225">
        <f>'[1]Housing Generation'!AG82</f>
        <v>16</v>
      </c>
      <c r="AH82" s="227">
        <f>'[1]Housing Generation'!AH82</f>
        <v>3</v>
      </c>
      <c r="AI82" s="227">
        <f>'[1]Housing Generation'!AI82</f>
        <v>3</v>
      </c>
      <c r="AJ82" s="227">
        <f>'[1]Housing Generation'!AJ82</f>
        <v>3</v>
      </c>
      <c r="AK82" s="227">
        <f>'[1]Housing Generation'!AK82</f>
        <v>3</v>
      </c>
      <c r="AL82" s="227">
        <f>'[1]Housing Generation'!AL82</f>
        <v>2</v>
      </c>
      <c r="AM82" s="227">
        <f>'[1]Housing Generation'!AM82</f>
        <v>2</v>
      </c>
      <c r="AN82" s="227">
        <f>'[1]Housing Generation'!AN82</f>
        <v>2</v>
      </c>
      <c r="AO82" s="224">
        <f>'[1]Housing Generation'!AO82</f>
        <v>18</v>
      </c>
      <c r="AP82" s="229">
        <f>'[1]Housing Generation'!AP82</f>
        <v>3</v>
      </c>
      <c r="AQ82" s="229">
        <f>'[1]Housing Generation'!AQ82</f>
        <v>3</v>
      </c>
      <c r="AR82" s="229">
        <f>'[1]Housing Generation'!AR82</f>
        <v>3</v>
      </c>
      <c r="AS82" s="229">
        <f>'[1]Housing Generation'!AS82</f>
        <v>3</v>
      </c>
      <c r="AT82" s="229">
        <f>'[1]Housing Generation'!AT82</f>
        <v>2</v>
      </c>
      <c r="AU82" s="229">
        <f>'[1]Housing Generation'!AU82</f>
        <v>2</v>
      </c>
      <c r="AV82" s="229">
        <f>'[1]Housing Generation'!AV82</f>
        <v>2</v>
      </c>
      <c r="AW82" s="225">
        <f>'[1]Housing Generation'!AW82</f>
        <v>18</v>
      </c>
      <c r="AX82" s="227">
        <f>'[1]Housing Generation'!AX82</f>
        <v>3</v>
      </c>
      <c r="AY82" s="227">
        <f>'[1]Housing Generation'!AY82</f>
        <v>3</v>
      </c>
      <c r="AZ82" s="227">
        <f>'[1]Housing Generation'!AZ82</f>
        <v>3</v>
      </c>
      <c r="BA82" s="227">
        <f>'[1]Housing Generation'!BA82</f>
        <v>3</v>
      </c>
      <c r="BB82" s="227">
        <f>'[1]Housing Generation'!BB82</f>
        <v>2</v>
      </c>
      <c r="BC82" s="227">
        <f>'[1]Housing Generation'!BC82</f>
        <v>2</v>
      </c>
      <c r="BD82" s="227">
        <f>'[1]Housing Generation'!BD82</f>
        <v>2</v>
      </c>
      <c r="BE82" s="224">
        <f>'[1]Housing Generation'!BE82</f>
        <v>18</v>
      </c>
      <c r="BF82" s="229">
        <f>'[1]Housing Generation'!BF82</f>
        <v>3</v>
      </c>
      <c r="BG82" s="229">
        <f>'[1]Housing Generation'!BG82</f>
        <v>3</v>
      </c>
      <c r="BH82" s="229">
        <f>'[1]Housing Generation'!BH82</f>
        <v>3</v>
      </c>
      <c r="BI82" s="229">
        <f>'[1]Housing Generation'!BI82</f>
        <v>3</v>
      </c>
      <c r="BJ82" s="229">
        <f>'[1]Housing Generation'!BJ82</f>
        <v>2</v>
      </c>
      <c r="BK82" s="229">
        <f>'[1]Housing Generation'!BK82</f>
        <v>2</v>
      </c>
      <c r="BL82" s="229">
        <f>'[1]Housing Generation'!BL82</f>
        <v>2</v>
      </c>
      <c r="BM82" s="225">
        <f>'[1]Housing Generation'!BM82</f>
        <v>18</v>
      </c>
      <c r="BN82" s="227">
        <f>'[1]Housing Generation'!BN82</f>
        <v>3</v>
      </c>
      <c r="BO82" s="227">
        <f>'[1]Housing Generation'!BO82</f>
        <v>3</v>
      </c>
      <c r="BP82" s="227">
        <f>'[1]Housing Generation'!BP82</f>
        <v>3</v>
      </c>
      <c r="BQ82" s="227">
        <f>'[1]Housing Generation'!BQ82</f>
        <v>3</v>
      </c>
      <c r="BR82" s="227">
        <f>'[1]Housing Generation'!BR82</f>
        <v>2</v>
      </c>
      <c r="BS82" s="227">
        <f>'[1]Housing Generation'!BS82</f>
        <v>2</v>
      </c>
      <c r="BT82" s="227">
        <f>'[1]Housing Generation'!BT82</f>
        <v>2</v>
      </c>
      <c r="BU82" s="224">
        <f>'[1]Housing Generation'!BU82</f>
        <v>18</v>
      </c>
      <c r="BV82" s="229">
        <f>'[1]Housing Generation'!BV82</f>
        <v>3</v>
      </c>
      <c r="BW82" s="229">
        <f>'[1]Housing Generation'!BW82</f>
        <v>3</v>
      </c>
      <c r="BX82" s="229">
        <f>'[1]Housing Generation'!BX82</f>
        <v>3</v>
      </c>
      <c r="BY82" s="229">
        <f>'[1]Housing Generation'!BY82</f>
        <v>3</v>
      </c>
      <c r="BZ82" s="229">
        <f>'[1]Housing Generation'!BZ82</f>
        <v>2</v>
      </c>
      <c r="CA82" s="229">
        <f>'[1]Housing Generation'!CA82</f>
        <v>2</v>
      </c>
      <c r="CB82" s="229">
        <f>'[1]Housing Generation'!CB82</f>
        <v>2</v>
      </c>
      <c r="CC82" s="225">
        <f>'[1]Housing Generation'!CC82</f>
        <v>18</v>
      </c>
      <c r="CD82" s="227">
        <f>'[1]Housing Generation'!CD82</f>
        <v>3</v>
      </c>
      <c r="CE82" s="227">
        <f>'[1]Housing Generation'!CE82</f>
        <v>3</v>
      </c>
      <c r="CF82" s="227">
        <f>'[1]Housing Generation'!CF82</f>
        <v>3</v>
      </c>
      <c r="CG82" s="227">
        <f>'[1]Housing Generation'!CG82</f>
        <v>3</v>
      </c>
      <c r="CH82" s="227">
        <f>'[1]Housing Generation'!CH82</f>
        <v>2</v>
      </c>
      <c r="CI82" s="227">
        <f>'[1]Housing Generation'!CI82</f>
        <v>2</v>
      </c>
      <c r="CJ82" s="227">
        <f>'[1]Housing Generation'!CJ82</f>
        <v>2</v>
      </c>
      <c r="CK82" s="224">
        <f>'[1]Housing Generation'!CK82</f>
        <v>18</v>
      </c>
      <c r="CL82" s="229">
        <f>'[1]Housing Generation'!CL82</f>
        <v>3</v>
      </c>
      <c r="CM82" s="229">
        <f>'[1]Housing Generation'!CM82</f>
        <v>3</v>
      </c>
      <c r="CN82" s="229">
        <f>'[1]Housing Generation'!CN82</f>
        <v>3</v>
      </c>
      <c r="CO82" s="229">
        <f>'[1]Housing Generation'!CO82</f>
        <v>3</v>
      </c>
      <c r="CP82" s="229">
        <f>'[1]Housing Generation'!CP82</f>
        <v>2</v>
      </c>
      <c r="CQ82" s="229">
        <f>'[1]Housing Generation'!CQ82</f>
        <v>2</v>
      </c>
      <c r="CR82" s="229">
        <f>'[1]Housing Generation'!CR82</f>
        <v>2</v>
      </c>
      <c r="CS82" s="225">
        <f>'[1]Housing Generation'!CS82</f>
        <v>18</v>
      </c>
      <c r="CT82" s="227">
        <f>'[1]Housing Generation'!CT82</f>
        <v>3</v>
      </c>
      <c r="CU82" s="227">
        <f>'[1]Housing Generation'!CU82</f>
        <v>3</v>
      </c>
      <c r="CV82" s="227">
        <f>'[1]Housing Generation'!CV82</f>
        <v>3</v>
      </c>
      <c r="CW82" s="227">
        <f>'[1]Housing Generation'!CW82</f>
        <v>3</v>
      </c>
      <c r="CX82" s="227">
        <f>'[1]Housing Generation'!CX82</f>
        <v>2</v>
      </c>
      <c r="CY82" s="227">
        <f>'[1]Housing Generation'!CY82</f>
        <v>2</v>
      </c>
      <c r="CZ82" s="227">
        <f>'[1]Housing Generation'!CZ82</f>
        <v>2</v>
      </c>
      <c r="DA82" s="224">
        <f>'[1]Housing Generation'!DA82</f>
        <v>18</v>
      </c>
      <c r="DB82" s="229">
        <f>'[1]Housing Generation'!DB82</f>
        <v>3</v>
      </c>
      <c r="DC82" s="229">
        <f>'[1]Housing Generation'!DC82</f>
        <v>3</v>
      </c>
      <c r="DD82" s="229">
        <f>'[1]Housing Generation'!DD82</f>
        <v>3</v>
      </c>
      <c r="DE82" s="229">
        <f>'[1]Housing Generation'!DE82</f>
        <v>3</v>
      </c>
      <c r="DF82" s="229">
        <f>'[1]Housing Generation'!DF82</f>
        <v>2</v>
      </c>
      <c r="DG82" s="229">
        <f>'[1]Housing Generation'!DG82</f>
        <v>2</v>
      </c>
      <c r="DH82" s="229">
        <f>'[1]Housing Generation'!DH82</f>
        <v>2</v>
      </c>
      <c r="DI82" s="225">
        <f>'[1]Housing Generation'!DI82</f>
        <v>18</v>
      </c>
      <c r="DJ82" s="227">
        <f>'[1]Housing Generation'!DJ82</f>
        <v>3</v>
      </c>
      <c r="DK82" s="227">
        <f>'[1]Housing Generation'!DK82</f>
        <v>3</v>
      </c>
      <c r="DL82" s="227">
        <f>'[1]Housing Generation'!DL82</f>
        <v>3</v>
      </c>
      <c r="DM82" s="227">
        <f>'[1]Housing Generation'!DM82</f>
        <v>3</v>
      </c>
      <c r="DN82" s="227">
        <f>'[1]Housing Generation'!DN82</f>
        <v>2</v>
      </c>
      <c r="DO82" s="227">
        <f>'[1]Housing Generation'!DO82</f>
        <v>2</v>
      </c>
      <c r="DP82" s="227">
        <f>'[1]Housing Generation'!DP82</f>
        <v>2</v>
      </c>
      <c r="DQ82" s="224">
        <f>'[1]Housing Generation'!DQ82</f>
        <v>18</v>
      </c>
    </row>
    <row r="83" spans="1:129" x14ac:dyDescent="0.2">
      <c r="A83" s="237" t="s">
        <v>84</v>
      </c>
      <c r="B83" s="227">
        <f>'[1]Housing Generation'!B83</f>
        <v>0</v>
      </c>
      <c r="C83" s="227">
        <f>'[1]Housing Generation'!C83</f>
        <v>0</v>
      </c>
      <c r="D83" s="227">
        <f>'[1]Housing Generation'!D83</f>
        <v>0</v>
      </c>
      <c r="E83" s="227">
        <f>'[1]Housing Generation'!E83</f>
        <v>0</v>
      </c>
      <c r="F83" s="227">
        <f>'[1]Housing Generation'!F83</f>
        <v>0</v>
      </c>
      <c r="G83" s="227">
        <f>'[1]Housing Generation'!G83</f>
        <v>0</v>
      </c>
      <c r="H83" s="227">
        <f>'[1]Housing Generation'!H83</f>
        <v>0</v>
      </c>
      <c r="I83" s="224">
        <f>'[1]Housing Generation'!I83</f>
        <v>0</v>
      </c>
      <c r="J83" s="229">
        <f>'[1]Housing Generation'!J83</f>
        <v>0</v>
      </c>
      <c r="K83" s="229">
        <f>'[1]Housing Generation'!K83</f>
        <v>0</v>
      </c>
      <c r="L83" s="229">
        <f>'[1]Housing Generation'!L83</f>
        <v>0</v>
      </c>
      <c r="M83" s="229">
        <f>'[1]Housing Generation'!M83</f>
        <v>0</v>
      </c>
      <c r="N83" s="229">
        <f>'[1]Housing Generation'!N83</f>
        <v>0</v>
      </c>
      <c r="O83" s="229">
        <f>'[1]Housing Generation'!O83</f>
        <v>0</v>
      </c>
      <c r="P83" s="229">
        <f>'[1]Housing Generation'!P83</f>
        <v>0</v>
      </c>
      <c r="Q83" s="225">
        <f>'[1]Housing Generation'!Q83</f>
        <v>0</v>
      </c>
      <c r="R83" s="227">
        <f>'[1]Housing Generation'!R83</f>
        <v>0</v>
      </c>
      <c r="S83" s="227">
        <f>'[1]Housing Generation'!S83</f>
        <v>0</v>
      </c>
      <c r="T83" s="227">
        <f>'[1]Housing Generation'!T83</f>
        <v>0</v>
      </c>
      <c r="U83" s="227">
        <f>'[1]Housing Generation'!U83</f>
        <v>0</v>
      </c>
      <c r="V83" s="227">
        <f>'[1]Housing Generation'!V83</f>
        <v>0</v>
      </c>
      <c r="W83" s="227">
        <f>'[1]Housing Generation'!W83</f>
        <v>0</v>
      </c>
      <c r="X83" s="227">
        <f>'[1]Housing Generation'!X83</f>
        <v>0</v>
      </c>
      <c r="Y83" s="224">
        <f>'[1]Housing Generation'!Y83</f>
        <v>0</v>
      </c>
      <c r="Z83" s="229">
        <f>'[1]Housing Generation'!Z83</f>
        <v>1</v>
      </c>
      <c r="AA83" s="229">
        <f>'[1]Housing Generation'!AA83</f>
        <v>0</v>
      </c>
      <c r="AB83" s="229">
        <f>'[1]Housing Generation'!AB83</f>
        <v>0</v>
      </c>
      <c r="AC83" s="229">
        <f>'[1]Housing Generation'!AC83</f>
        <v>0</v>
      </c>
      <c r="AD83" s="229">
        <f>'[1]Housing Generation'!AD83</f>
        <v>0</v>
      </c>
      <c r="AE83" s="229">
        <f>'[1]Housing Generation'!AE83</f>
        <v>0</v>
      </c>
      <c r="AF83" s="229">
        <f>'[1]Housing Generation'!AF83</f>
        <v>0</v>
      </c>
      <c r="AG83" s="225">
        <f>'[1]Housing Generation'!AG83</f>
        <v>1</v>
      </c>
      <c r="AH83" s="227">
        <f>'[1]Housing Generation'!AH83</f>
        <v>1</v>
      </c>
      <c r="AI83" s="227">
        <f>'[1]Housing Generation'!AI83</f>
        <v>1</v>
      </c>
      <c r="AJ83" s="227">
        <f>'[1]Housing Generation'!AJ83</f>
        <v>1</v>
      </c>
      <c r="AK83" s="227">
        <f>'[1]Housing Generation'!AK83</f>
        <v>0</v>
      </c>
      <c r="AL83" s="227">
        <f>'[1]Housing Generation'!AL83</f>
        <v>0</v>
      </c>
      <c r="AM83" s="227">
        <f>'[1]Housing Generation'!AM83</f>
        <v>0</v>
      </c>
      <c r="AN83" s="227">
        <f>'[1]Housing Generation'!AN83</f>
        <v>0</v>
      </c>
      <c r="AO83" s="224">
        <f>'[1]Housing Generation'!AO83</f>
        <v>3</v>
      </c>
      <c r="AP83" s="229">
        <f>'[1]Housing Generation'!AP83</f>
        <v>1</v>
      </c>
      <c r="AQ83" s="229">
        <f>'[1]Housing Generation'!AQ83</f>
        <v>1</v>
      </c>
      <c r="AR83" s="229">
        <f>'[1]Housing Generation'!AR83</f>
        <v>1</v>
      </c>
      <c r="AS83" s="229">
        <f>'[1]Housing Generation'!AS83</f>
        <v>1</v>
      </c>
      <c r="AT83" s="229">
        <f>'[1]Housing Generation'!AT83</f>
        <v>1</v>
      </c>
      <c r="AU83" s="229">
        <f>'[1]Housing Generation'!AU83</f>
        <v>0</v>
      </c>
      <c r="AV83" s="229">
        <f>'[1]Housing Generation'!AV83</f>
        <v>0</v>
      </c>
      <c r="AW83" s="225">
        <f>'[1]Housing Generation'!AW83</f>
        <v>5</v>
      </c>
      <c r="AX83" s="227">
        <f>'[1]Housing Generation'!AX83</f>
        <v>1</v>
      </c>
      <c r="AY83" s="227">
        <f>'[1]Housing Generation'!AY83</f>
        <v>1</v>
      </c>
      <c r="AZ83" s="227">
        <f>'[1]Housing Generation'!AZ83</f>
        <v>1</v>
      </c>
      <c r="BA83" s="227">
        <f>'[1]Housing Generation'!BA83</f>
        <v>1</v>
      </c>
      <c r="BB83" s="227">
        <f>'[1]Housing Generation'!BB83</f>
        <v>1</v>
      </c>
      <c r="BC83" s="227">
        <f>'[1]Housing Generation'!BC83</f>
        <v>0</v>
      </c>
      <c r="BD83" s="227">
        <f>'[1]Housing Generation'!BD83</f>
        <v>0</v>
      </c>
      <c r="BE83" s="224">
        <f>'[1]Housing Generation'!BE83</f>
        <v>5</v>
      </c>
      <c r="BF83" s="229">
        <f>'[1]Housing Generation'!BF83</f>
        <v>1</v>
      </c>
      <c r="BG83" s="229">
        <f>'[1]Housing Generation'!BG83</f>
        <v>1</v>
      </c>
      <c r="BH83" s="229">
        <f>'[1]Housing Generation'!BH83</f>
        <v>1</v>
      </c>
      <c r="BI83" s="229">
        <f>'[1]Housing Generation'!BI83</f>
        <v>1</v>
      </c>
      <c r="BJ83" s="229">
        <f>'[1]Housing Generation'!BJ83</f>
        <v>1</v>
      </c>
      <c r="BK83" s="229">
        <f>'[1]Housing Generation'!BK83</f>
        <v>0</v>
      </c>
      <c r="BL83" s="229">
        <f>'[1]Housing Generation'!BL83</f>
        <v>0</v>
      </c>
      <c r="BM83" s="225">
        <f>'[1]Housing Generation'!BM83</f>
        <v>5</v>
      </c>
      <c r="BN83" s="227">
        <f>'[1]Housing Generation'!BN83</f>
        <v>1</v>
      </c>
      <c r="BO83" s="227">
        <f>'[1]Housing Generation'!BO83</f>
        <v>1</v>
      </c>
      <c r="BP83" s="227">
        <f>'[1]Housing Generation'!BP83</f>
        <v>1</v>
      </c>
      <c r="BQ83" s="227">
        <f>'[1]Housing Generation'!BQ83</f>
        <v>1</v>
      </c>
      <c r="BR83" s="227">
        <f>'[1]Housing Generation'!BR83</f>
        <v>1</v>
      </c>
      <c r="BS83" s="227">
        <f>'[1]Housing Generation'!BS83</f>
        <v>0</v>
      </c>
      <c r="BT83" s="227">
        <f>'[1]Housing Generation'!BT83</f>
        <v>0</v>
      </c>
      <c r="BU83" s="224">
        <f>'[1]Housing Generation'!BU83</f>
        <v>5</v>
      </c>
      <c r="BV83" s="229">
        <f>'[1]Housing Generation'!BV83</f>
        <v>1</v>
      </c>
      <c r="BW83" s="229">
        <f>'[1]Housing Generation'!BW83</f>
        <v>1</v>
      </c>
      <c r="BX83" s="229">
        <f>'[1]Housing Generation'!BX83</f>
        <v>1</v>
      </c>
      <c r="BY83" s="229">
        <f>'[1]Housing Generation'!BY83</f>
        <v>1</v>
      </c>
      <c r="BZ83" s="229">
        <f>'[1]Housing Generation'!BZ83</f>
        <v>1</v>
      </c>
      <c r="CA83" s="229">
        <f>'[1]Housing Generation'!CA83</f>
        <v>0</v>
      </c>
      <c r="CB83" s="229">
        <f>'[1]Housing Generation'!CB83</f>
        <v>0</v>
      </c>
      <c r="CC83" s="225">
        <f>'[1]Housing Generation'!CC83</f>
        <v>5</v>
      </c>
      <c r="CD83" s="227">
        <f>'[1]Housing Generation'!CD83</f>
        <v>1</v>
      </c>
      <c r="CE83" s="227">
        <f>'[1]Housing Generation'!CE83</f>
        <v>1</v>
      </c>
      <c r="CF83" s="227">
        <f>'[1]Housing Generation'!CF83</f>
        <v>1</v>
      </c>
      <c r="CG83" s="227">
        <f>'[1]Housing Generation'!CG83</f>
        <v>1</v>
      </c>
      <c r="CH83" s="227">
        <f>'[1]Housing Generation'!CH83</f>
        <v>1</v>
      </c>
      <c r="CI83" s="227">
        <f>'[1]Housing Generation'!CI83</f>
        <v>0</v>
      </c>
      <c r="CJ83" s="227">
        <f>'[1]Housing Generation'!CJ83</f>
        <v>0</v>
      </c>
      <c r="CK83" s="224">
        <f>'[1]Housing Generation'!CK83</f>
        <v>5</v>
      </c>
      <c r="CL83" s="229">
        <f>'[1]Housing Generation'!CL83</f>
        <v>1</v>
      </c>
      <c r="CM83" s="229">
        <f>'[1]Housing Generation'!CM83</f>
        <v>1</v>
      </c>
      <c r="CN83" s="229">
        <f>'[1]Housing Generation'!CN83</f>
        <v>1</v>
      </c>
      <c r="CO83" s="229">
        <f>'[1]Housing Generation'!CO83</f>
        <v>1</v>
      </c>
      <c r="CP83" s="229">
        <f>'[1]Housing Generation'!CP83</f>
        <v>1</v>
      </c>
      <c r="CQ83" s="229">
        <f>'[1]Housing Generation'!CQ83</f>
        <v>0</v>
      </c>
      <c r="CR83" s="229">
        <f>'[1]Housing Generation'!CR83</f>
        <v>0</v>
      </c>
      <c r="CS83" s="225">
        <f>'[1]Housing Generation'!CS83</f>
        <v>5</v>
      </c>
      <c r="CT83" s="227">
        <f>'[1]Housing Generation'!CT83</f>
        <v>1</v>
      </c>
      <c r="CU83" s="227">
        <f>'[1]Housing Generation'!CU83</f>
        <v>1</v>
      </c>
      <c r="CV83" s="227">
        <f>'[1]Housing Generation'!CV83</f>
        <v>1</v>
      </c>
      <c r="CW83" s="227">
        <f>'[1]Housing Generation'!CW83</f>
        <v>1</v>
      </c>
      <c r="CX83" s="227">
        <f>'[1]Housing Generation'!CX83</f>
        <v>1</v>
      </c>
      <c r="CY83" s="227">
        <f>'[1]Housing Generation'!CY83</f>
        <v>0</v>
      </c>
      <c r="CZ83" s="227">
        <f>'[1]Housing Generation'!CZ83</f>
        <v>0</v>
      </c>
      <c r="DA83" s="224">
        <f>'[1]Housing Generation'!DA83</f>
        <v>5</v>
      </c>
      <c r="DB83" s="229">
        <f>'[1]Housing Generation'!DB83</f>
        <v>1</v>
      </c>
      <c r="DC83" s="229">
        <f>'[1]Housing Generation'!DC83</f>
        <v>1</v>
      </c>
      <c r="DD83" s="229">
        <f>'[1]Housing Generation'!DD83</f>
        <v>1</v>
      </c>
      <c r="DE83" s="229">
        <f>'[1]Housing Generation'!DE83</f>
        <v>1</v>
      </c>
      <c r="DF83" s="229">
        <f>'[1]Housing Generation'!DF83</f>
        <v>1</v>
      </c>
      <c r="DG83" s="229">
        <f>'[1]Housing Generation'!DG83</f>
        <v>0</v>
      </c>
      <c r="DH83" s="229">
        <f>'[1]Housing Generation'!DH83</f>
        <v>0</v>
      </c>
      <c r="DI83" s="225">
        <f>'[1]Housing Generation'!DI83</f>
        <v>5</v>
      </c>
      <c r="DJ83" s="227">
        <f>'[1]Housing Generation'!DJ83</f>
        <v>1</v>
      </c>
      <c r="DK83" s="227">
        <f>'[1]Housing Generation'!DK83</f>
        <v>1</v>
      </c>
      <c r="DL83" s="227">
        <f>'[1]Housing Generation'!DL83</f>
        <v>1</v>
      </c>
      <c r="DM83" s="227">
        <f>'[1]Housing Generation'!DM83</f>
        <v>1</v>
      </c>
      <c r="DN83" s="227">
        <f>'[1]Housing Generation'!DN83</f>
        <v>1</v>
      </c>
      <c r="DO83" s="227">
        <f>'[1]Housing Generation'!DO83</f>
        <v>0</v>
      </c>
      <c r="DP83" s="227">
        <f>'[1]Housing Generation'!DP83</f>
        <v>0</v>
      </c>
      <c r="DQ83" s="224">
        <f>'[1]Housing Generation'!DQ83</f>
        <v>5</v>
      </c>
    </row>
    <row r="84" spans="1:129" x14ac:dyDescent="0.2">
      <c r="A84" s="237" t="s">
        <v>85</v>
      </c>
      <c r="B84" s="227">
        <f>'[1]Housing Generation'!B84</f>
        <v>2</v>
      </c>
      <c r="C84" s="227">
        <f>'[1]Housing Generation'!C84</f>
        <v>2</v>
      </c>
      <c r="D84" s="227">
        <f>'[1]Housing Generation'!D84</f>
        <v>2</v>
      </c>
      <c r="E84" s="227">
        <f>'[1]Housing Generation'!E84</f>
        <v>2</v>
      </c>
      <c r="F84" s="227">
        <f>'[1]Housing Generation'!F84</f>
        <v>1</v>
      </c>
      <c r="G84" s="227">
        <f>'[1]Housing Generation'!G84</f>
        <v>1</v>
      </c>
      <c r="H84" s="227">
        <f>'[1]Housing Generation'!H84</f>
        <v>1</v>
      </c>
      <c r="I84" s="224">
        <f>'[1]Housing Generation'!I84</f>
        <v>11</v>
      </c>
      <c r="J84" s="229">
        <f>'[1]Housing Generation'!J84</f>
        <v>3</v>
      </c>
      <c r="K84" s="229">
        <f>'[1]Housing Generation'!K84</f>
        <v>2</v>
      </c>
      <c r="L84" s="229">
        <f>'[1]Housing Generation'!L84</f>
        <v>2</v>
      </c>
      <c r="M84" s="229">
        <f>'[1]Housing Generation'!M84</f>
        <v>2</v>
      </c>
      <c r="N84" s="229">
        <f>'[1]Housing Generation'!N84</f>
        <v>2</v>
      </c>
      <c r="O84" s="229">
        <f>'[1]Housing Generation'!O84</f>
        <v>2</v>
      </c>
      <c r="P84" s="229">
        <f>'[1]Housing Generation'!P84</f>
        <v>2</v>
      </c>
      <c r="Q84" s="225">
        <f>'[1]Housing Generation'!Q84</f>
        <v>15</v>
      </c>
      <c r="R84" s="227">
        <f>'[1]Housing Generation'!R84</f>
        <v>3</v>
      </c>
      <c r="S84" s="227">
        <f>'[1]Housing Generation'!S84</f>
        <v>3</v>
      </c>
      <c r="T84" s="227">
        <f>'[1]Housing Generation'!T84</f>
        <v>3</v>
      </c>
      <c r="U84" s="227">
        <f>'[1]Housing Generation'!U84</f>
        <v>3</v>
      </c>
      <c r="V84" s="227">
        <f>'[1]Housing Generation'!V84</f>
        <v>3</v>
      </c>
      <c r="W84" s="227">
        <f>'[1]Housing Generation'!W84</f>
        <v>2</v>
      </c>
      <c r="X84" s="227">
        <f>'[1]Housing Generation'!X84</f>
        <v>2</v>
      </c>
      <c r="Y84" s="224">
        <f>'[1]Housing Generation'!Y84</f>
        <v>19</v>
      </c>
      <c r="Z84" s="229">
        <f>'[1]Housing Generation'!Z84</f>
        <v>3</v>
      </c>
      <c r="AA84" s="229">
        <f>'[1]Housing Generation'!AA84</f>
        <v>3</v>
      </c>
      <c r="AB84" s="229">
        <f>'[1]Housing Generation'!AB84</f>
        <v>3</v>
      </c>
      <c r="AC84" s="229">
        <f>'[1]Housing Generation'!AC84</f>
        <v>3</v>
      </c>
      <c r="AD84" s="229">
        <f>'[1]Housing Generation'!AD84</f>
        <v>3</v>
      </c>
      <c r="AE84" s="229">
        <f>'[1]Housing Generation'!AE84</f>
        <v>3</v>
      </c>
      <c r="AF84" s="229">
        <f>'[1]Housing Generation'!AF84</f>
        <v>3</v>
      </c>
      <c r="AG84" s="225">
        <f>'[1]Housing Generation'!AG84</f>
        <v>21</v>
      </c>
      <c r="AH84" s="227">
        <f>'[1]Housing Generation'!AH84</f>
        <v>4</v>
      </c>
      <c r="AI84" s="227">
        <f>'[1]Housing Generation'!AI84</f>
        <v>4</v>
      </c>
      <c r="AJ84" s="227">
        <f>'[1]Housing Generation'!AJ84</f>
        <v>4</v>
      </c>
      <c r="AK84" s="227">
        <f>'[1]Housing Generation'!AK84</f>
        <v>4</v>
      </c>
      <c r="AL84" s="227">
        <f>'[1]Housing Generation'!AL84</f>
        <v>4</v>
      </c>
      <c r="AM84" s="227">
        <f>'[1]Housing Generation'!AM84</f>
        <v>3</v>
      </c>
      <c r="AN84" s="227">
        <f>'[1]Housing Generation'!AN84</f>
        <v>3</v>
      </c>
      <c r="AO84" s="224">
        <f>'[1]Housing Generation'!AO84</f>
        <v>26</v>
      </c>
      <c r="AP84" s="229">
        <f>'[1]Housing Generation'!AP84</f>
        <v>5</v>
      </c>
      <c r="AQ84" s="229">
        <f>'[1]Housing Generation'!AQ84</f>
        <v>5</v>
      </c>
      <c r="AR84" s="229">
        <f>'[1]Housing Generation'!AR84</f>
        <v>5</v>
      </c>
      <c r="AS84" s="229">
        <f>'[1]Housing Generation'!AS84</f>
        <v>5</v>
      </c>
      <c r="AT84" s="229">
        <f>'[1]Housing Generation'!AT84</f>
        <v>5</v>
      </c>
      <c r="AU84" s="229">
        <f>'[1]Housing Generation'!AU84</f>
        <v>5</v>
      </c>
      <c r="AV84" s="229">
        <f>'[1]Housing Generation'!AV84</f>
        <v>5</v>
      </c>
      <c r="AW84" s="225">
        <f>'[1]Housing Generation'!AW84</f>
        <v>35</v>
      </c>
      <c r="AX84" s="227">
        <f>'[1]Housing Generation'!AX84</f>
        <v>7</v>
      </c>
      <c r="AY84" s="227">
        <f>'[1]Housing Generation'!AY84</f>
        <v>7</v>
      </c>
      <c r="AZ84" s="227">
        <f>'[1]Housing Generation'!AZ84</f>
        <v>7</v>
      </c>
      <c r="BA84" s="227">
        <f>'[1]Housing Generation'!BA84</f>
        <v>6</v>
      </c>
      <c r="BB84" s="227">
        <f>'[1]Housing Generation'!BB84</f>
        <v>6</v>
      </c>
      <c r="BC84" s="227">
        <f>'[1]Housing Generation'!BC84</f>
        <v>6</v>
      </c>
      <c r="BD84" s="227">
        <f>'[1]Housing Generation'!BD84</f>
        <v>6</v>
      </c>
      <c r="BE84" s="224">
        <f>'[1]Housing Generation'!BE84</f>
        <v>45</v>
      </c>
      <c r="BF84" s="229">
        <f>'[1]Housing Generation'!BF84</f>
        <v>8</v>
      </c>
      <c r="BG84" s="229">
        <f>'[1]Housing Generation'!BG84</f>
        <v>8</v>
      </c>
      <c r="BH84" s="229">
        <f>'[1]Housing Generation'!BH84</f>
        <v>8</v>
      </c>
      <c r="BI84" s="229">
        <f>'[1]Housing Generation'!BI84</f>
        <v>8</v>
      </c>
      <c r="BJ84" s="229">
        <f>'[1]Housing Generation'!BJ84</f>
        <v>8</v>
      </c>
      <c r="BK84" s="229">
        <f>'[1]Housing Generation'!BK84</f>
        <v>7</v>
      </c>
      <c r="BL84" s="229">
        <f>'[1]Housing Generation'!BL84</f>
        <v>7</v>
      </c>
      <c r="BM84" s="225">
        <f>'[1]Housing Generation'!BM84</f>
        <v>54</v>
      </c>
      <c r="BN84" s="227">
        <f>'[1]Housing Generation'!BN84</f>
        <v>9</v>
      </c>
      <c r="BO84" s="227">
        <f>'[1]Housing Generation'!BO84</f>
        <v>9</v>
      </c>
      <c r="BP84" s="227">
        <f>'[1]Housing Generation'!BP84</f>
        <v>9</v>
      </c>
      <c r="BQ84" s="227">
        <f>'[1]Housing Generation'!BQ84</f>
        <v>9</v>
      </c>
      <c r="BR84" s="227">
        <f>'[1]Housing Generation'!BR84</f>
        <v>9</v>
      </c>
      <c r="BS84" s="227">
        <f>'[1]Housing Generation'!BS84</f>
        <v>9</v>
      </c>
      <c r="BT84" s="227">
        <f>'[1]Housing Generation'!BT84</f>
        <v>9</v>
      </c>
      <c r="BU84" s="224">
        <f>'[1]Housing Generation'!BU84</f>
        <v>63</v>
      </c>
      <c r="BV84" s="229">
        <f>'[1]Housing Generation'!BV84</f>
        <v>9</v>
      </c>
      <c r="BW84" s="229">
        <f>'[1]Housing Generation'!BW84</f>
        <v>9</v>
      </c>
      <c r="BX84" s="229">
        <f>'[1]Housing Generation'!BX84</f>
        <v>9</v>
      </c>
      <c r="BY84" s="229">
        <f>'[1]Housing Generation'!BY84</f>
        <v>9</v>
      </c>
      <c r="BZ84" s="229">
        <f>'[1]Housing Generation'!BZ84</f>
        <v>9</v>
      </c>
      <c r="CA84" s="229">
        <f>'[1]Housing Generation'!CA84</f>
        <v>9</v>
      </c>
      <c r="CB84" s="229">
        <f>'[1]Housing Generation'!CB84</f>
        <v>9</v>
      </c>
      <c r="CC84" s="225">
        <f>'[1]Housing Generation'!CC84</f>
        <v>63</v>
      </c>
      <c r="CD84" s="227">
        <f>'[1]Housing Generation'!CD84</f>
        <v>9</v>
      </c>
      <c r="CE84" s="227">
        <f>'[1]Housing Generation'!CE84</f>
        <v>9</v>
      </c>
      <c r="CF84" s="227">
        <f>'[1]Housing Generation'!CF84</f>
        <v>9</v>
      </c>
      <c r="CG84" s="227">
        <f>'[1]Housing Generation'!CG84</f>
        <v>9</v>
      </c>
      <c r="CH84" s="227">
        <f>'[1]Housing Generation'!CH84</f>
        <v>9</v>
      </c>
      <c r="CI84" s="227">
        <f>'[1]Housing Generation'!CI84</f>
        <v>9</v>
      </c>
      <c r="CJ84" s="227">
        <f>'[1]Housing Generation'!CJ84</f>
        <v>9</v>
      </c>
      <c r="CK84" s="224">
        <f>'[1]Housing Generation'!CK84</f>
        <v>63</v>
      </c>
      <c r="CL84" s="229">
        <f>'[1]Housing Generation'!CL84</f>
        <v>9</v>
      </c>
      <c r="CM84" s="229">
        <f>'[1]Housing Generation'!CM84</f>
        <v>9</v>
      </c>
      <c r="CN84" s="229">
        <f>'[1]Housing Generation'!CN84</f>
        <v>9</v>
      </c>
      <c r="CO84" s="229">
        <f>'[1]Housing Generation'!CO84</f>
        <v>9</v>
      </c>
      <c r="CP84" s="229">
        <f>'[1]Housing Generation'!CP84</f>
        <v>9</v>
      </c>
      <c r="CQ84" s="229">
        <f>'[1]Housing Generation'!CQ84</f>
        <v>9</v>
      </c>
      <c r="CR84" s="229">
        <f>'[1]Housing Generation'!CR84</f>
        <v>9</v>
      </c>
      <c r="CS84" s="225">
        <f>'[1]Housing Generation'!CS84</f>
        <v>63</v>
      </c>
      <c r="CT84" s="227">
        <f>'[1]Housing Generation'!CT84</f>
        <v>9</v>
      </c>
      <c r="CU84" s="227">
        <f>'[1]Housing Generation'!CU84</f>
        <v>9</v>
      </c>
      <c r="CV84" s="227">
        <f>'[1]Housing Generation'!CV84</f>
        <v>9</v>
      </c>
      <c r="CW84" s="227">
        <f>'[1]Housing Generation'!CW84</f>
        <v>9</v>
      </c>
      <c r="CX84" s="227">
        <f>'[1]Housing Generation'!CX84</f>
        <v>9</v>
      </c>
      <c r="CY84" s="227">
        <f>'[1]Housing Generation'!CY84</f>
        <v>9</v>
      </c>
      <c r="CZ84" s="227">
        <f>'[1]Housing Generation'!CZ84</f>
        <v>9</v>
      </c>
      <c r="DA84" s="224">
        <f>'[1]Housing Generation'!DA84</f>
        <v>63</v>
      </c>
      <c r="DB84" s="229">
        <f>'[1]Housing Generation'!DB84</f>
        <v>9</v>
      </c>
      <c r="DC84" s="229">
        <f>'[1]Housing Generation'!DC84</f>
        <v>9</v>
      </c>
      <c r="DD84" s="229">
        <f>'[1]Housing Generation'!DD84</f>
        <v>9</v>
      </c>
      <c r="DE84" s="229">
        <f>'[1]Housing Generation'!DE84</f>
        <v>9</v>
      </c>
      <c r="DF84" s="229">
        <f>'[1]Housing Generation'!DF84</f>
        <v>9</v>
      </c>
      <c r="DG84" s="229">
        <f>'[1]Housing Generation'!DG84</f>
        <v>9</v>
      </c>
      <c r="DH84" s="229">
        <f>'[1]Housing Generation'!DH84</f>
        <v>9</v>
      </c>
      <c r="DI84" s="225">
        <f>'[1]Housing Generation'!DI84</f>
        <v>63</v>
      </c>
      <c r="DJ84" s="227">
        <f>'[1]Housing Generation'!DJ84</f>
        <v>9</v>
      </c>
      <c r="DK84" s="227">
        <f>'[1]Housing Generation'!DK84</f>
        <v>9</v>
      </c>
      <c r="DL84" s="227">
        <f>'[1]Housing Generation'!DL84</f>
        <v>9</v>
      </c>
      <c r="DM84" s="227">
        <f>'[1]Housing Generation'!DM84</f>
        <v>9</v>
      </c>
      <c r="DN84" s="227">
        <f>'[1]Housing Generation'!DN84</f>
        <v>9</v>
      </c>
      <c r="DO84" s="227">
        <f>'[1]Housing Generation'!DO84</f>
        <v>9</v>
      </c>
      <c r="DP84" s="227">
        <f>'[1]Housing Generation'!DP84</f>
        <v>9</v>
      </c>
      <c r="DQ84" s="224">
        <f>'[1]Housing Generation'!DQ84</f>
        <v>63</v>
      </c>
    </row>
    <row r="85" spans="1:129" x14ac:dyDescent="0.2">
      <c r="A85" s="237" t="s">
        <v>86</v>
      </c>
      <c r="B85" s="227">
        <f>'[1]Housing Generation'!B85</f>
        <v>2</v>
      </c>
      <c r="C85" s="227">
        <f>'[1]Housing Generation'!C85</f>
        <v>2</v>
      </c>
      <c r="D85" s="227">
        <f>'[1]Housing Generation'!D85</f>
        <v>1</v>
      </c>
      <c r="E85" s="227">
        <f>'[1]Housing Generation'!E85</f>
        <v>1</v>
      </c>
      <c r="F85" s="227">
        <f>'[1]Housing Generation'!F85</f>
        <v>1</v>
      </c>
      <c r="G85" s="227">
        <f>'[1]Housing Generation'!G85</f>
        <v>1</v>
      </c>
      <c r="H85" s="227">
        <f>'[1]Housing Generation'!H85</f>
        <v>1</v>
      </c>
      <c r="I85" s="224">
        <f>'[1]Housing Generation'!I85</f>
        <v>9</v>
      </c>
      <c r="J85" s="229">
        <f>'[1]Housing Generation'!J85</f>
        <v>0</v>
      </c>
      <c r="K85" s="229">
        <f>'[1]Housing Generation'!K85</f>
        <v>0</v>
      </c>
      <c r="L85" s="229">
        <f>'[1]Housing Generation'!L85</f>
        <v>0</v>
      </c>
      <c r="M85" s="229">
        <f>'[1]Housing Generation'!M85</f>
        <v>0</v>
      </c>
      <c r="N85" s="229">
        <f>'[1]Housing Generation'!N85</f>
        <v>0</v>
      </c>
      <c r="O85" s="229">
        <f>'[1]Housing Generation'!O85</f>
        <v>0</v>
      </c>
      <c r="P85" s="229">
        <f>'[1]Housing Generation'!P85</f>
        <v>0</v>
      </c>
      <c r="Q85" s="225">
        <f>'[1]Housing Generation'!Q85</f>
        <v>0</v>
      </c>
      <c r="R85" s="227">
        <f>'[1]Housing Generation'!R85</f>
        <v>1</v>
      </c>
      <c r="S85" s="227">
        <f>'[1]Housing Generation'!S85</f>
        <v>1</v>
      </c>
      <c r="T85" s="227">
        <f>'[1]Housing Generation'!T85</f>
        <v>0</v>
      </c>
      <c r="U85" s="227">
        <f>'[1]Housing Generation'!U85</f>
        <v>0</v>
      </c>
      <c r="V85" s="227">
        <f>'[1]Housing Generation'!V85</f>
        <v>0</v>
      </c>
      <c r="W85" s="227">
        <f>'[1]Housing Generation'!W85</f>
        <v>0</v>
      </c>
      <c r="X85" s="227">
        <f>'[1]Housing Generation'!X85</f>
        <v>0</v>
      </c>
      <c r="Y85" s="224">
        <f>'[1]Housing Generation'!Y85</f>
        <v>2</v>
      </c>
      <c r="Z85" s="229">
        <f>'[1]Housing Generation'!Z85</f>
        <v>1</v>
      </c>
      <c r="AA85" s="229">
        <f>'[1]Housing Generation'!AA85</f>
        <v>1</v>
      </c>
      <c r="AB85" s="229">
        <f>'[1]Housing Generation'!AB85</f>
        <v>1</v>
      </c>
      <c r="AC85" s="229">
        <f>'[1]Housing Generation'!AC85</f>
        <v>1</v>
      </c>
      <c r="AD85" s="229">
        <f>'[1]Housing Generation'!AD85</f>
        <v>0</v>
      </c>
      <c r="AE85" s="229">
        <f>'[1]Housing Generation'!AE85</f>
        <v>0</v>
      </c>
      <c r="AF85" s="229">
        <f>'[1]Housing Generation'!AF85</f>
        <v>0</v>
      </c>
      <c r="AG85" s="225">
        <f>'[1]Housing Generation'!AG85</f>
        <v>4</v>
      </c>
      <c r="AH85" s="227">
        <f>'[1]Housing Generation'!AH85</f>
        <v>1</v>
      </c>
      <c r="AI85" s="227">
        <f>'[1]Housing Generation'!AI85</f>
        <v>1</v>
      </c>
      <c r="AJ85" s="227">
        <f>'[1]Housing Generation'!AJ85</f>
        <v>1</v>
      </c>
      <c r="AK85" s="227">
        <f>'[1]Housing Generation'!AK85</f>
        <v>1</v>
      </c>
      <c r="AL85" s="227">
        <f>'[1]Housing Generation'!AL85</f>
        <v>1</v>
      </c>
      <c r="AM85" s="227">
        <f>'[1]Housing Generation'!AM85</f>
        <v>1</v>
      </c>
      <c r="AN85" s="227">
        <f>'[1]Housing Generation'!AN85</f>
        <v>1</v>
      </c>
      <c r="AO85" s="224">
        <f>'[1]Housing Generation'!AO85</f>
        <v>7</v>
      </c>
      <c r="AP85" s="229">
        <f>'[1]Housing Generation'!AP85</f>
        <v>1</v>
      </c>
      <c r="AQ85" s="229">
        <f>'[1]Housing Generation'!AQ85</f>
        <v>1</v>
      </c>
      <c r="AR85" s="229">
        <f>'[1]Housing Generation'!AR85</f>
        <v>1</v>
      </c>
      <c r="AS85" s="229">
        <f>'[1]Housing Generation'!AS85</f>
        <v>1</v>
      </c>
      <c r="AT85" s="229">
        <f>'[1]Housing Generation'!AT85</f>
        <v>1</v>
      </c>
      <c r="AU85" s="229">
        <f>'[1]Housing Generation'!AU85</f>
        <v>1</v>
      </c>
      <c r="AV85" s="229">
        <f>'[1]Housing Generation'!AV85</f>
        <v>1</v>
      </c>
      <c r="AW85" s="225">
        <f>'[1]Housing Generation'!AW85</f>
        <v>7</v>
      </c>
      <c r="AX85" s="227">
        <f>'[1]Housing Generation'!AX85</f>
        <v>2</v>
      </c>
      <c r="AY85" s="227">
        <f>'[1]Housing Generation'!AY85</f>
        <v>2</v>
      </c>
      <c r="AZ85" s="227">
        <f>'[1]Housing Generation'!AZ85</f>
        <v>1</v>
      </c>
      <c r="BA85" s="227">
        <f>'[1]Housing Generation'!BA85</f>
        <v>1</v>
      </c>
      <c r="BB85" s="227">
        <f>'[1]Housing Generation'!BB85</f>
        <v>1</v>
      </c>
      <c r="BC85" s="227">
        <f>'[1]Housing Generation'!BC85</f>
        <v>1</v>
      </c>
      <c r="BD85" s="227">
        <f>'[1]Housing Generation'!BD85</f>
        <v>1</v>
      </c>
      <c r="BE85" s="224">
        <f>'[1]Housing Generation'!BE85</f>
        <v>9</v>
      </c>
      <c r="BF85" s="229">
        <f>'[1]Housing Generation'!BF85</f>
        <v>2</v>
      </c>
      <c r="BG85" s="229">
        <f>'[1]Housing Generation'!BG85</f>
        <v>2</v>
      </c>
      <c r="BH85" s="229">
        <f>'[1]Housing Generation'!BH85</f>
        <v>1</v>
      </c>
      <c r="BI85" s="229">
        <f>'[1]Housing Generation'!BI85</f>
        <v>1</v>
      </c>
      <c r="BJ85" s="229">
        <f>'[1]Housing Generation'!BJ85</f>
        <v>1</v>
      </c>
      <c r="BK85" s="229">
        <f>'[1]Housing Generation'!BK85</f>
        <v>1</v>
      </c>
      <c r="BL85" s="229">
        <f>'[1]Housing Generation'!BL85</f>
        <v>1</v>
      </c>
      <c r="BM85" s="225">
        <f>'[1]Housing Generation'!BM85</f>
        <v>9</v>
      </c>
      <c r="BN85" s="227">
        <f>'[1]Housing Generation'!BN85</f>
        <v>2</v>
      </c>
      <c r="BO85" s="227">
        <f>'[1]Housing Generation'!BO85</f>
        <v>2</v>
      </c>
      <c r="BP85" s="227">
        <f>'[1]Housing Generation'!BP85</f>
        <v>1</v>
      </c>
      <c r="BQ85" s="227">
        <f>'[1]Housing Generation'!BQ85</f>
        <v>1</v>
      </c>
      <c r="BR85" s="227">
        <f>'[1]Housing Generation'!BR85</f>
        <v>1</v>
      </c>
      <c r="BS85" s="227">
        <f>'[1]Housing Generation'!BS85</f>
        <v>1</v>
      </c>
      <c r="BT85" s="227">
        <f>'[1]Housing Generation'!BT85</f>
        <v>1</v>
      </c>
      <c r="BU85" s="224">
        <f>'[1]Housing Generation'!BU85</f>
        <v>9</v>
      </c>
      <c r="BV85" s="229">
        <f>'[1]Housing Generation'!BV85</f>
        <v>2</v>
      </c>
      <c r="BW85" s="229">
        <f>'[1]Housing Generation'!BW85</f>
        <v>2</v>
      </c>
      <c r="BX85" s="229">
        <f>'[1]Housing Generation'!BX85</f>
        <v>1</v>
      </c>
      <c r="BY85" s="229">
        <f>'[1]Housing Generation'!BY85</f>
        <v>1</v>
      </c>
      <c r="BZ85" s="229">
        <f>'[1]Housing Generation'!BZ85</f>
        <v>1</v>
      </c>
      <c r="CA85" s="229">
        <f>'[1]Housing Generation'!CA85</f>
        <v>1</v>
      </c>
      <c r="CB85" s="229">
        <f>'[1]Housing Generation'!CB85</f>
        <v>1</v>
      </c>
      <c r="CC85" s="225">
        <f>'[1]Housing Generation'!CC85</f>
        <v>9</v>
      </c>
      <c r="CD85" s="227">
        <f>'[1]Housing Generation'!CD85</f>
        <v>2</v>
      </c>
      <c r="CE85" s="227">
        <f>'[1]Housing Generation'!CE85</f>
        <v>2</v>
      </c>
      <c r="CF85" s="227">
        <f>'[1]Housing Generation'!CF85</f>
        <v>1</v>
      </c>
      <c r="CG85" s="227">
        <f>'[1]Housing Generation'!CG85</f>
        <v>1</v>
      </c>
      <c r="CH85" s="227">
        <f>'[1]Housing Generation'!CH85</f>
        <v>1</v>
      </c>
      <c r="CI85" s="227">
        <f>'[1]Housing Generation'!CI85</f>
        <v>1</v>
      </c>
      <c r="CJ85" s="227">
        <f>'[1]Housing Generation'!CJ85</f>
        <v>1</v>
      </c>
      <c r="CK85" s="224">
        <f>'[1]Housing Generation'!CK85</f>
        <v>9</v>
      </c>
      <c r="CL85" s="229">
        <f>'[1]Housing Generation'!CL85</f>
        <v>2</v>
      </c>
      <c r="CM85" s="229">
        <f>'[1]Housing Generation'!CM85</f>
        <v>2</v>
      </c>
      <c r="CN85" s="229">
        <f>'[1]Housing Generation'!CN85</f>
        <v>1</v>
      </c>
      <c r="CO85" s="229">
        <f>'[1]Housing Generation'!CO85</f>
        <v>1</v>
      </c>
      <c r="CP85" s="229">
        <f>'[1]Housing Generation'!CP85</f>
        <v>1</v>
      </c>
      <c r="CQ85" s="229">
        <f>'[1]Housing Generation'!CQ85</f>
        <v>1</v>
      </c>
      <c r="CR85" s="229">
        <f>'[1]Housing Generation'!CR85</f>
        <v>1</v>
      </c>
      <c r="CS85" s="225">
        <f>'[1]Housing Generation'!CS85</f>
        <v>9</v>
      </c>
      <c r="CT85" s="227">
        <f>'[1]Housing Generation'!CT85</f>
        <v>2</v>
      </c>
      <c r="CU85" s="227">
        <f>'[1]Housing Generation'!CU85</f>
        <v>2</v>
      </c>
      <c r="CV85" s="227">
        <f>'[1]Housing Generation'!CV85</f>
        <v>1</v>
      </c>
      <c r="CW85" s="227">
        <f>'[1]Housing Generation'!CW85</f>
        <v>1</v>
      </c>
      <c r="CX85" s="227">
        <f>'[1]Housing Generation'!CX85</f>
        <v>1</v>
      </c>
      <c r="CY85" s="227">
        <f>'[1]Housing Generation'!CY85</f>
        <v>1</v>
      </c>
      <c r="CZ85" s="227">
        <f>'[1]Housing Generation'!CZ85</f>
        <v>1</v>
      </c>
      <c r="DA85" s="224">
        <f>'[1]Housing Generation'!DA85</f>
        <v>9</v>
      </c>
      <c r="DB85" s="229">
        <f>'[1]Housing Generation'!DB85</f>
        <v>2</v>
      </c>
      <c r="DC85" s="229">
        <f>'[1]Housing Generation'!DC85</f>
        <v>2</v>
      </c>
      <c r="DD85" s="229">
        <f>'[1]Housing Generation'!DD85</f>
        <v>1</v>
      </c>
      <c r="DE85" s="229">
        <f>'[1]Housing Generation'!DE85</f>
        <v>1</v>
      </c>
      <c r="DF85" s="229">
        <f>'[1]Housing Generation'!DF85</f>
        <v>1</v>
      </c>
      <c r="DG85" s="229">
        <f>'[1]Housing Generation'!DG85</f>
        <v>1</v>
      </c>
      <c r="DH85" s="229">
        <f>'[1]Housing Generation'!DH85</f>
        <v>1</v>
      </c>
      <c r="DI85" s="225">
        <f>'[1]Housing Generation'!DI85</f>
        <v>9</v>
      </c>
      <c r="DJ85" s="227">
        <f>'[1]Housing Generation'!DJ85</f>
        <v>2</v>
      </c>
      <c r="DK85" s="227">
        <f>'[1]Housing Generation'!DK85</f>
        <v>2</v>
      </c>
      <c r="DL85" s="227">
        <f>'[1]Housing Generation'!DL85</f>
        <v>1</v>
      </c>
      <c r="DM85" s="227">
        <f>'[1]Housing Generation'!DM85</f>
        <v>1</v>
      </c>
      <c r="DN85" s="227">
        <f>'[1]Housing Generation'!DN85</f>
        <v>1</v>
      </c>
      <c r="DO85" s="227">
        <f>'[1]Housing Generation'!DO85</f>
        <v>1</v>
      </c>
      <c r="DP85" s="227">
        <f>'[1]Housing Generation'!DP85</f>
        <v>1</v>
      </c>
      <c r="DQ85" s="224">
        <f>'[1]Housing Generation'!DQ85</f>
        <v>9</v>
      </c>
    </row>
    <row r="86" spans="1:129" x14ac:dyDescent="0.2">
      <c r="A86" s="237" t="s">
        <v>87</v>
      </c>
      <c r="B86" s="227">
        <f>'[1]Housing Generation'!B86</f>
        <v>1</v>
      </c>
      <c r="C86" s="227">
        <f>'[1]Housing Generation'!C86</f>
        <v>1</v>
      </c>
      <c r="D86" s="227">
        <f>'[1]Housing Generation'!D86</f>
        <v>0</v>
      </c>
      <c r="E86" s="227">
        <f>'[1]Housing Generation'!E86</f>
        <v>0</v>
      </c>
      <c r="F86" s="227">
        <f>'[1]Housing Generation'!F86</f>
        <v>0</v>
      </c>
      <c r="G86" s="227">
        <f>'[1]Housing Generation'!G86</f>
        <v>0</v>
      </c>
      <c r="H86" s="227">
        <f>'[1]Housing Generation'!H86</f>
        <v>0</v>
      </c>
      <c r="I86" s="224">
        <f>'[1]Housing Generation'!I86</f>
        <v>2</v>
      </c>
      <c r="J86" s="229">
        <f>'[1]Housing Generation'!J86</f>
        <v>0</v>
      </c>
      <c r="K86" s="229">
        <f>'[1]Housing Generation'!K86</f>
        <v>0</v>
      </c>
      <c r="L86" s="229">
        <f>'[1]Housing Generation'!L86</f>
        <v>0</v>
      </c>
      <c r="M86" s="229">
        <f>'[1]Housing Generation'!M86</f>
        <v>0</v>
      </c>
      <c r="N86" s="229">
        <f>'[1]Housing Generation'!N86</f>
        <v>0</v>
      </c>
      <c r="O86" s="229">
        <f>'[1]Housing Generation'!O86</f>
        <v>0</v>
      </c>
      <c r="P86" s="229">
        <f>'[1]Housing Generation'!P86</f>
        <v>0</v>
      </c>
      <c r="Q86" s="225">
        <f>'[1]Housing Generation'!Q86</f>
        <v>0</v>
      </c>
      <c r="R86" s="227">
        <f>'[1]Housing Generation'!R86</f>
        <v>0</v>
      </c>
      <c r="S86" s="227">
        <f>'[1]Housing Generation'!S86</f>
        <v>0</v>
      </c>
      <c r="T86" s="227">
        <f>'[1]Housing Generation'!T86</f>
        <v>0</v>
      </c>
      <c r="U86" s="227">
        <f>'[1]Housing Generation'!U86</f>
        <v>0</v>
      </c>
      <c r="V86" s="227">
        <f>'[1]Housing Generation'!V86</f>
        <v>0</v>
      </c>
      <c r="W86" s="227">
        <f>'[1]Housing Generation'!W86</f>
        <v>0</v>
      </c>
      <c r="X86" s="227">
        <f>'[1]Housing Generation'!X86</f>
        <v>0</v>
      </c>
      <c r="Y86" s="224">
        <f>'[1]Housing Generation'!Y86</f>
        <v>0</v>
      </c>
      <c r="Z86" s="229">
        <f>'[1]Housing Generation'!Z86</f>
        <v>0</v>
      </c>
      <c r="AA86" s="229">
        <f>'[1]Housing Generation'!AA86</f>
        <v>0</v>
      </c>
      <c r="AB86" s="229">
        <f>'[1]Housing Generation'!AB86</f>
        <v>0</v>
      </c>
      <c r="AC86" s="229">
        <f>'[1]Housing Generation'!AC86</f>
        <v>0</v>
      </c>
      <c r="AD86" s="229">
        <f>'[1]Housing Generation'!AD86</f>
        <v>0</v>
      </c>
      <c r="AE86" s="229">
        <f>'[1]Housing Generation'!AE86</f>
        <v>0</v>
      </c>
      <c r="AF86" s="229">
        <f>'[1]Housing Generation'!AF86</f>
        <v>0</v>
      </c>
      <c r="AG86" s="225">
        <f>'[1]Housing Generation'!AG86</f>
        <v>0</v>
      </c>
      <c r="AH86" s="227">
        <f>'[1]Housing Generation'!AH86</f>
        <v>0</v>
      </c>
      <c r="AI86" s="227">
        <f>'[1]Housing Generation'!AI86</f>
        <v>0</v>
      </c>
      <c r="AJ86" s="227">
        <f>'[1]Housing Generation'!AJ86</f>
        <v>0</v>
      </c>
      <c r="AK86" s="227">
        <f>'[1]Housing Generation'!AK86</f>
        <v>0</v>
      </c>
      <c r="AL86" s="227">
        <f>'[1]Housing Generation'!AL86</f>
        <v>0</v>
      </c>
      <c r="AM86" s="227">
        <f>'[1]Housing Generation'!AM86</f>
        <v>0</v>
      </c>
      <c r="AN86" s="227">
        <f>'[1]Housing Generation'!AN86</f>
        <v>0</v>
      </c>
      <c r="AO86" s="224">
        <f>'[1]Housing Generation'!AO86</f>
        <v>0</v>
      </c>
      <c r="AP86" s="229">
        <f>'[1]Housing Generation'!AP86</f>
        <v>0</v>
      </c>
      <c r="AQ86" s="229">
        <f>'[1]Housing Generation'!AQ86</f>
        <v>0</v>
      </c>
      <c r="AR86" s="229">
        <f>'[1]Housing Generation'!AR86</f>
        <v>0</v>
      </c>
      <c r="AS86" s="229">
        <f>'[1]Housing Generation'!AS86</f>
        <v>0</v>
      </c>
      <c r="AT86" s="229">
        <f>'[1]Housing Generation'!AT86</f>
        <v>0</v>
      </c>
      <c r="AU86" s="229">
        <f>'[1]Housing Generation'!AU86</f>
        <v>0</v>
      </c>
      <c r="AV86" s="229">
        <f>'[1]Housing Generation'!AV86</f>
        <v>0</v>
      </c>
      <c r="AW86" s="225">
        <f>'[1]Housing Generation'!AW86</f>
        <v>0</v>
      </c>
      <c r="AX86" s="227">
        <f>'[1]Housing Generation'!AX86</f>
        <v>0</v>
      </c>
      <c r="AY86" s="227">
        <f>'[1]Housing Generation'!AY86</f>
        <v>0</v>
      </c>
      <c r="AZ86" s="227">
        <f>'[1]Housing Generation'!AZ86</f>
        <v>0</v>
      </c>
      <c r="BA86" s="227">
        <f>'[1]Housing Generation'!BA86</f>
        <v>0</v>
      </c>
      <c r="BB86" s="227">
        <f>'[1]Housing Generation'!BB86</f>
        <v>0</v>
      </c>
      <c r="BC86" s="227">
        <f>'[1]Housing Generation'!BC86</f>
        <v>0</v>
      </c>
      <c r="BD86" s="227">
        <f>'[1]Housing Generation'!BD86</f>
        <v>0</v>
      </c>
      <c r="BE86" s="224">
        <f>'[1]Housing Generation'!BE86</f>
        <v>0</v>
      </c>
      <c r="BF86" s="229">
        <f>'[1]Housing Generation'!BF86</f>
        <v>0</v>
      </c>
      <c r="BG86" s="229">
        <f>'[1]Housing Generation'!BG86</f>
        <v>0</v>
      </c>
      <c r="BH86" s="229">
        <f>'[1]Housing Generation'!BH86</f>
        <v>0</v>
      </c>
      <c r="BI86" s="229">
        <f>'[1]Housing Generation'!BI86</f>
        <v>0</v>
      </c>
      <c r="BJ86" s="229">
        <f>'[1]Housing Generation'!BJ86</f>
        <v>0</v>
      </c>
      <c r="BK86" s="229">
        <f>'[1]Housing Generation'!BK86</f>
        <v>0</v>
      </c>
      <c r="BL86" s="229">
        <f>'[1]Housing Generation'!BL86</f>
        <v>0</v>
      </c>
      <c r="BM86" s="225">
        <f>'[1]Housing Generation'!BM86</f>
        <v>0</v>
      </c>
      <c r="BN86" s="227">
        <f>'[1]Housing Generation'!BN86</f>
        <v>0</v>
      </c>
      <c r="BO86" s="227">
        <f>'[1]Housing Generation'!BO86</f>
        <v>0</v>
      </c>
      <c r="BP86" s="227">
        <f>'[1]Housing Generation'!BP86</f>
        <v>0</v>
      </c>
      <c r="BQ86" s="227">
        <f>'[1]Housing Generation'!BQ86</f>
        <v>0</v>
      </c>
      <c r="BR86" s="227">
        <f>'[1]Housing Generation'!BR86</f>
        <v>0</v>
      </c>
      <c r="BS86" s="227">
        <f>'[1]Housing Generation'!BS86</f>
        <v>0</v>
      </c>
      <c r="BT86" s="227">
        <f>'[1]Housing Generation'!BT86</f>
        <v>0</v>
      </c>
      <c r="BU86" s="224">
        <f>'[1]Housing Generation'!BU86</f>
        <v>0</v>
      </c>
      <c r="BV86" s="229">
        <f>'[1]Housing Generation'!BV86</f>
        <v>1</v>
      </c>
      <c r="BW86" s="229">
        <f>'[1]Housing Generation'!BW86</f>
        <v>0</v>
      </c>
      <c r="BX86" s="229">
        <f>'[1]Housing Generation'!BX86</f>
        <v>0</v>
      </c>
      <c r="BY86" s="229">
        <f>'[1]Housing Generation'!BY86</f>
        <v>0</v>
      </c>
      <c r="BZ86" s="229">
        <f>'[1]Housing Generation'!BZ86</f>
        <v>0</v>
      </c>
      <c r="CA86" s="229">
        <f>'[1]Housing Generation'!CA86</f>
        <v>0</v>
      </c>
      <c r="CB86" s="229">
        <f>'[1]Housing Generation'!CB86</f>
        <v>0</v>
      </c>
      <c r="CC86" s="225">
        <f>'[1]Housing Generation'!CC86</f>
        <v>1</v>
      </c>
      <c r="CD86" s="227">
        <f>'[1]Housing Generation'!CD86</f>
        <v>1</v>
      </c>
      <c r="CE86" s="227">
        <f>'[1]Housing Generation'!CE86</f>
        <v>0</v>
      </c>
      <c r="CF86" s="227">
        <f>'[1]Housing Generation'!CF86</f>
        <v>0</v>
      </c>
      <c r="CG86" s="227">
        <f>'[1]Housing Generation'!CG86</f>
        <v>0</v>
      </c>
      <c r="CH86" s="227">
        <f>'[1]Housing Generation'!CH86</f>
        <v>0</v>
      </c>
      <c r="CI86" s="227">
        <f>'[1]Housing Generation'!CI86</f>
        <v>0</v>
      </c>
      <c r="CJ86" s="227">
        <f>'[1]Housing Generation'!CJ86</f>
        <v>0</v>
      </c>
      <c r="CK86" s="224">
        <f>'[1]Housing Generation'!CK86</f>
        <v>1</v>
      </c>
      <c r="CL86" s="229">
        <f>'[1]Housing Generation'!CL86</f>
        <v>1</v>
      </c>
      <c r="CM86" s="229">
        <f>'[1]Housing Generation'!CM86</f>
        <v>0</v>
      </c>
      <c r="CN86" s="229">
        <f>'[1]Housing Generation'!CN86</f>
        <v>0</v>
      </c>
      <c r="CO86" s="229">
        <f>'[1]Housing Generation'!CO86</f>
        <v>0</v>
      </c>
      <c r="CP86" s="229">
        <f>'[1]Housing Generation'!CP86</f>
        <v>0</v>
      </c>
      <c r="CQ86" s="229">
        <f>'[1]Housing Generation'!CQ86</f>
        <v>0</v>
      </c>
      <c r="CR86" s="229">
        <f>'[1]Housing Generation'!CR86</f>
        <v>0</v>
      </c>
      <c r="CS86" s="225">
        <f>'[1]Housing Generation'!CS86</f>
        <v>1</v>
      </c>
      <c r="CT86" s="227">
        <f>'[1]Housing Generation'!CT86</f>
        <v>1</v>
      </c>
      <c r="CU86" s="227">
        <f>'[1]Housing Generation'!CU86</f>
        <v>0</v>
      </c>
      <c r="CV86" s="227">
        <f>'[1]Housing Generation'!CV86</f>
        <v>0</v>
      </c>
      <c r="CW86" s="227">
        <f>'[1]Housing Generation'!CW86</f>
        <v>0</v>
      </c>
      <c r="CX86" s="227">
        <f>'[1]Housing Generation'!CX86</f>
        <v>0</v>
      </c>
      <c r="CY86" s="227">
        <f>'[1]Housing Generation'!CY86</f>
        <v>0</v>
      </c>
      <c r="CZ86" s="227">
        <f>'[1]Housing Generation'!CZ86</f>
        <v>0</v>
      </c>
      <c r="DA86" s="224">
        <f>'[1]Housing Generation'!DA86</f>
        <v>1</v>
      </c>
      <c r="DB86" s="229">
        <f>'[1]Housing Generation'!DB86</f>
        <v>1</v>
      </c>
      <c r="DC86" s="229">
        <f>'[1]Housing Generation'!DC86</f>
        <v>0</v>
      </c>
      <c r="DD86" s="229">
        <f>'[1]Housing Generation'!DD86</f>
        <v>0</v>
      </c>
      <c r="DE86" s="229">
        <f>'[1]Housing Generation'!DE86</f>
        <v>0</v>
      </c>
      <c r="DF86" s="229">
        <f>'[1]Housing Generation'!DF86</f>
        <v>0</v>
      </c>
      <c r="DG86" s="229">
        <f>'[1]Housing Generation'!DG86</f>
        <v>0</v>
      </c>
      <c r="DH86" s="229">
        <f>'[1]Housing Generation'!DH86</f>
        <v>0</v>
      </c>
      <c r="DI86" s="225">
        <f>'[1]Housing Generation'!DI86</f>
        <v>1</v>
      </c>
      <c r="DJ86" s="227">
        <f>'[1]Housing Generation'!DJ86</f>
        <v>1</v>
      </c>
      <c r="DK86" s="227">
        <f>'[1]Housing Generation'!DK86</f>
        <v>0</v>
      </c>
      <c r="DL86" s="227">
        <f>'[1]Housing Generation'!DL86</f>
        <v>0</v>
      </c>
      <c r="DM86" s="227">
        <f>'[1]Housing Generation'!DM86</f>
        <v>0</v>
      </c>
      <c r="DN86" s="227">
        <f>'[1]Housing Generation'!DN86</f>
        <v>0</v>
      </c>
      <c r="DO86" s="227">
        <f>'[1]Housing Generation'!DO86</f>
        <v>0</v>
      </c>
      <c r="DP86" s="227">
        <f>'[1]Housing Generation'!DP86</f>
        <v>0</v>
      </c>
      <c r="DQ86" s="224">
        <f>'[1]Housing Generation'!DQ86</f>
        <v>1</v>
      </c>
    </row>
    <row r="87" spans="1:129" x14ac:dyDescent="0.2">
      <c r="A87" s="237" t="s">
        <v>88</v>
      </c>
      <c r="B87" s="227">
        <f>'[1]Housing Generation'!B87</f>
        <v>1</v>
      </c>
      <c r="C87" s="227">
        <f>'[1]Housing Generation'!C87</f>
        <v>1</v>
      </c>
      <c r="D87" s="227">
        <f>'[1]Housing Generation'!D87</f>
        <v>1</v>
      </c>
      <c r="E87" s="227">
        <f>'[1]Housing Generation'!E87</f>
        <v>1</v>
      </c>
      <c r="F87" s="227">
        <f>'[1]Housing Generation'!F87</f>
        <v>0</v>
      </c>
      <c r="G87" s="227">
        <f>'[1]Housing Generation'!G87</f>
        <v>0</v>
      </c>
      <c r="H87" s="227">
        <f>'[1]Housing Generation'!H87</f>
        <v>0</v>
      </c>
      <c r="I87" s="224">
        <f>'[1]Housing Generation'!I87</f>
        <v>4</v>
      </c>
      <c r="J87" s="229">
        <f>'[1]Housing Generation'!J87</f>
        <v>1</v>
      </c>
      <c r="K87" s="229">
        <f>'[1]Housing Generation'!K87</f>
        <v>1</v>
      </c>
      <c r="L87" s="229">
        <f>'[1]Housing Generation'!L87</f>
        <v>0</v>
      </c>
      <c r="M87" s="229">
        <f>'[1]Housing Generation'!M87</f>
        <v>0</v>
      </c>
      <c r="N87" s="229">
        <f>'[1]Housing Generation'!N87</f>
        <v>0</v>
      </c>
      <c r="O87" s="229">
        <f>'[1]Housing Generation'!O87</f>
        <v>0</v>
      </c>
      <c r="P87" s="229">
        <f>'[1]Housing Generation'!P87</f>
        <v>0</v>
      </c>
      <c r="Q87" s="225">
        <f>'[1]Housing Generation'!Q87</f>
        <v>2</v>
      </c>
      <c r="R87" s="227">
        <f>'[1]Housing Generation'!R87</f>
        <v>1</v>
      </c>
      <c r="S87" s="227">
        <f>'[1]Housing Generation'!S87</f>
        <v>1</v>
      </c>
      <c r="T87" s="227">
        <f>'[1]Housing Generation'!T87</f>
        <v>1</v>
      </c>
      <c r="U87" s="227">
        <f>'[1]Housing Generation'!U87</f>
        <v>1</v>
      </c>
      <c r="V87" s="227">
        <f>'[1]Housing Generation'!V87</f>
        <v>1</v>
      </c>
      <c r="W87" s="227">
        <f>'[1]Housing Generation'!W87</f>
        <v>0</v>
      </c>
      <c r="X87" s="227">
        <f>'[1]Housing Generation'!X87</f>
        <v>0</v>
      </c>
      <c r="Y87" s="224">
        <f>'[1]Housing Generation'!Y87</f>
        <v>5</v>
      </c>
      <c r="Z87" s="229">
        <f>'[1]Housing Generation'!Z87</f>
        <v>3</v>
      </c>
      <c r="AA87" s="229">
        <f>'[1]Housing Generation'!AA87</f>
        <v>3</v>
      </c>
      <c r="AB87" s="229">
        <f>'[1]Housing Generation'!AB87</f>
        <v>2</v>
      </c>
      <c r="AC87" s="229">
        <f>'[1]Housing Generation'!AC87</f>
        <v>2</v>
      </c>
      <c r="AD87" s="229">
        <f>'[1]Housing Generation'!AD87</f>
        <v>2</v>
      </c>
      <c r="AE87" s="229">
        <f>'[1]Housing Generation'!AE87</f>
        <v>2</v>
      </c>
      <c r="AF87" s="229">
        <f>'[1]Housing Generation'!AF87</f>
        <v>2</v>
      </c>
      <c r="AG87" s="225">
        <f>'[1]Housing Generation'!AG87</f>
        <v>16</v>
      </c>
      <c r="AH87" s="227">
        <f>'[1]Housing Generation'!AH87</f>
        <v>4</v>
      </c>
      <c r="AI87" s="227">
        <f>'[1]Housing Generation'!AI87</f>
        <v>4</v>
      </c>
      <c r="AJ87" s="227">
        <f>'[1]Housing Generation'!AJ87</f>
        <v>4</v>
      </c>
      <c r="AK87" s="227">
        <f>'[1]Housing Generation'!AK87</f>
        <v>4</v>
      </c>
      <c r="AL87" s="227">
        <f>'[1]Housing Generation'!AL87</f>
        <v>4</v>
      </c>
      <c r="AM87" s="227">
        <f>'[1]Housing Generation'!AM87</f>
        <v>4</v>
      </c>
      <c r="AN87" s="227">
        <f>'[1]Housing Generation'!AN87</f>
        <v>4</v>
      </c>
      <c r="AO87" s="224">
        <f>'[1]Housing Generation'!AO87</f>
        <v>28</v>
      </c>
      <c r="AP87" s="229">
        <f>'[1]Housing Generation'!AP87</f>
        <v>6</v>
      </c>
      <c r="AQ87" s="229">
        <f>'[1]Housing Generation'!AQ87</f>
        <v>6</v>
      </c>
      <c r="AR87" s="229">
        <f>'[1]Housing Generation'!AR87</f>
        <v>6</v>
      </c>
      <c r="AS87" s="229">
        <f>'[1]Housing Generation'!AS87</f>
        <v>5</v>
      </c>
      <c r="AT87" s="229">
        <f>'[1]Housing Generation'!AT87</f>
        <v>5</v>
      </c>
      <c r="AU87" s="229">
        <f>'[1]Housing Generation'!AU87</f>
        <v>5</v>
      </c>
      <c r="AV87" s="229">
        <f>'[1]Housing Generation'!AV87</f>
        <v>5</v>
      </c>
      <c r="AW87" s="225">
        <f>'[1]Housing Generation'!AW87</f>
        <v>38</v>
      </c>
      <c r="AX87" s="227">
        <f>'[1]Housing Generation'!AX87</f>
        <v>8</v>
      </c>
      <c r="AY87" s="227">
        <f>'[1]Housing Generation'!AY87</f>
        <v>7</v>
      </c>
      <c r="AZ87" s="227">
        <f>'[1]Housing Generation'!AZ87</f>
        <v>7</v>
      </c>
      <c r="BA87" s="227">
        <f>'[1]Housing Generation'!BA87</f>
        <v>7</v>
      </c>
      <c r="BB87" s="227">
        <f>'[1]Housing Generation'!BB87</f>
        <v>7</v>
      </c>
      <c r="BC87" s="227">
        <f>'[1]Housing Generation'!BC87</f>
        <v>7</v>
      </c>
      <c r="BD87" s="227">
        <f>'[1]Housing Generation'!BD87</f>
        <v>7</v>
      </c>
      <c r="BE87" s="224">
        <f>'[1]Housing Generation'!BE87</f>
        <v>50</v>
      </c>
      <c r="BF87" s="229">
        <f>'[1]Housing Generation'!BF87</f>
        <v>10</v>
      </c>
      <c r="BG87" s="229">
        <f>'[1]Housing Generation'!BG87</f>
        <v>10</v>
      </c>
      <c r="BH87" s="229">
        <f>'[1]Housing Generation'!BH87</f>
        <v>10</v>
      </c>
      <c r="BI87" s="229">
        <f>'[1]Housing Generation'!BI87</f>
        <v>9</v>
      </c>
      <c r="BJ87" s="229">
        <f>'[1]Housing Generation'!BJ87</f>
        <v>9</v>
      </c>
      <c r="BK87" s="229">
        <f>'[1]Housing Generation'!BK87</f>
        <v>9</v>
      </c>
      <c r="BL87" s="229">
        <f>'[1]Housing Generation'!BL87</f>
        <v>9</v>
      </c>
      <c r="BM87" s="225">
        <f>'[1]Housing Generation'!BM87</f>
        <v>66</v>
      </c>
      <c r="BN87" s="227">
        <f>'[1]Housing Generation'!BN87</f>
        <v>12</v>
      </c>
      <c r="BO87" s="227">
        <f>'[1]Housing Generation'!BO87</f>
        <v>12</v>
      </c>
      <c r="BP87" s="227">
        <f>'[1]Housing Generation'!BP87</f>
        <v>12</v>
      </c>
      <c r="BQ87" s="227">
        <f>'[1]Housing Generation'!BQ87</f>
        <v>12</v>
      </c>
      <c r="BR87" s="227">
        <f>'[1]Housing Generation'!BR87</f>
        <v>12</v>
      </c>
      <c r="BS87" s="227">
        <f>'[1]Housing Generation'!BS87</f>
        <v>11</v>
      </c>
      <c r="BT87" s="227">
        <f>'[1]Housing Generation'!BT87</f>
        <v>11</v>
      </c>
      <c r="BU87" s="224">
        <f>'[1]Housing Generation'!BU87</f>
        <v>82</v>
      </c>
      <c r="BV87" s="229">
        <f>'[1]Housing Generation'!BV87</f>
        <v>14</v>
      </c>
      <c r="BW87" s="229">
        <f>'[1]Housing Generation'!BW87</f>
        <v>14</v>
      </c>
      <c r="BX87" s="229">
        <f>'[1]Housing Generation'!BX87</f>
        <v>14</v>
      </c>
      <c r="BY87" s="229">
        <f>'[1]Housing Generation'!BY87</f>
        <v>14</v>
      </c>
      <c r="BZ87" s="229">
        <f>'[1]Housing Generation'!BZ87</f>
        <v>14</v>
      </c>
      <c r="CA87" s="229">
        <f>'[1]Housing Generation'!CA87</f>
        <v>14</v>
      </c>
      <c r="CB87" s="229">
        <f>'[1]Housing Generation'!CB87</f>
        <v>13</v>
      </c>
      <c r="CC87" s="225">
        <f>'[1]Housing Generation'!CC87</f>
        <v>97</v>
      </c>
      <c r="CD87" s="227">
        <f>'[1]Housing Generation'!CD87</f>
        <v>16</v>
      </c>
      <c r="CE87" s="227">
        <f>'[1]Housing Generation'!CE87</f>
        <v>16</v>
      </c>
      <c r="CF87" s="227">
        <f>'[1]Housing Generation'!CF87</f>
        <v>16</v>
      </c>
      <c r="CG87" s="227">
        <f>'[1]Housing Generation'!CG87</f>
        <v>16</v>
      </c>
      <c r="CH87" s="227">
        <f>'[1]Housing Generation'!CH87</f>
        <v>16</v>
      </c>
      <c r="CI87" s="227">
        <f>'[1]Housing Generation'!CI87</f>
        <v>16</v>
      </c>
      <c r="CJ87" s="227">
        <f>'[1]Housing Generation'!CJ87</f>
        <v>16</v>
      </c>
      <c r="CK87" s="224">
        <f>'[1]Housing Generation'!CK87</f>
        <v>112</v>
      </c>
      <c r="CL87" s="229">
        <f>'[1]Housing Generation'!CL87</f>
        <v>18</v>
      </c>
      <c r="CM87" s="229">
        <f>'[1]Housing Generation'!CM87</f>
        <v>18</v>
      </c>
      <c r="CN87" s="229">
        <f>'[1]Housing Generation'!CN87</f>
        <v>18</v>
      </c>
      <c r="CO87" s="229">
        <f>'[1]Housing Generation'!CO87</f>
        <v>18</v>
      </c>
      <c r="CP87" s="229">
        <f>'[1]Housing Generation'!CP87</f>
        <v>18</v>
      </c>
      <c r="CQ87" s="229">
        <f>'[1]Housing Generation'!CQ87</f>
        <v>18</v>
      </c>
      <c r="CR87" s="229">
        <f>'[1]Housing Generation'!CR87</f>
        <v>17</v>
      </c>
      <c r="CS87" s="225">
        <f>'[1]Housing Generation'!CS87</f>
        <v>125</v>
      </c>
      <c r="CT87" s="227">
        <f>'[1]Housing Generation'!CT87</f>
        <v>20</v>
      </c>
      <c r="CU87" s="227">
        <f>'[1]Housing Generation'!CU87</f>
        <v>20</v>
      </c>
      <c r="CV87" s="227">
        <f>'[1]Housing Generation'!CV87</f>
        <v>20</v>
      </c>
      <c r="CW87" s="227">
        <f>'[1]Housing Generation'!CW87</f>
        <v>20</v>
      </c>
      <c r="CX87" s="227">
        <f>'[1]Housing Generation'!CX87</f>
        <v>20</v>
      </c>
      <c r="CY87" s="227">
        <f>'[1]Housing Generation'!CY87</f>
        <v>19</v>
      </c>
      <c r="CZ87" s="227">
        <f>'[1]Housing Generation'!CZ87</f>
        <v>19</v>
      </c>
      <c r="DA87" s="224">
        <f>'[1]Housing Generation'!DA87</f>
        <v>138</v>
      </c>
      <c r="DB87" s="229">
        <f>'[1]Housing Generation'!DB87</f>
        <v>22</v>
      </c>
      <c r="DC87" s="229">
        <f>'[1]Housing Generation'!DC87</f>
        <v>22</v>
      </c>
      <c r="DD87" s="229">
        <f>'[1]Housing Generation'!DD87</f>
        <v>22</v>
      </c>
      <c r="DE87" s="229">
        <f>'[1]Housing Generation'!DE87</f>
        <v>22</v>
      </c>
      <c r="DF87" s="229">
        <f>'[1]Housing Generation'!DF87</f>
        <v>21</v>
      </c>
      <c r="DG87" s="229">
        <f>'[1]Housing Generation'!DG87</f>
        <v>21</v>
      </c>
      <c r="DH87" s="229">
        <f>'[1]Housing Generation'!DH87</f>
        <v>21</v>
      </c>
      <c r="DI87" s="225">
        <f>'[1]Housing Generation'!DI87</f>
        <v>151</v>
      </c>
      <c r="DJ87" s="227">
        <f>'[1]Housing Generation'!DJ87</f>
        <v>24</v>
      </c>
      <c r="DK87" s="227">
        <f>'[1]Housing Generation'!DK87</f>
        <v>24</v>
      </c>
      <c r="DL87" s="227">
        <f>'[1]Housing Generation'!DL87</f>
        <v>24</v>
      </c>
      <c r="DM87" s="227">
        <f>'[1]Housing Generation'!DM87</f>
        <v>23</v>
      </c>
      <c r="DN87" s="227">
        <f>'[1]Housing Generation'!DN87</f>
        <v>23</v>
      </c>
      <c r="DO87" s="227">
        <f>'[1]Housing Generation'!DO87</f>
        <v>23</v>
      </c>
      <c r="DP87" s="227">
        <f>'[1]Housing Generation'!DP87</f>
        <v>23</v>
      </c>
      <c r="DQ87" s="224">
        <f>'[1]Housing Generation'!DQ87</f>
        <v>164</v>
      </c>
    </row>
    <row r="88" spans="1:129" x14ac:dyDescent="0.2">
      <c r="A88" s="237" t="s">
        <v>89</v>
      </c>
      <c r="B88" s="227">
        <f>'[1]Housing Generation'!B88</f>
        <v>1</v>
      </c>
      <c r="C88" s="227">
        <f>'[1]Housing Generation'!C88</f>
        <v>1</v>
      </c>
      <c r="D88" s="227">
        <f>'[1]Housing Generation'!D88</f>
        <v>1</v>
      </c>
      <c r="E88" s="227">
        <f>'[1]Housing Generation'!E88</f>
        <v>0</v>
      </c>
      <c r="F88" s="227">
        <f>'[1]Housing Generation'!F88</f>
        <v>0</v>
      </c>
      <c r="G88" s="227">
        <f>'[1]Housing Generation'!G88</f>
        <v>0</v>
      </c>
      <c r="H88" s="227">
        <f>'[1]Housing Generation'!H88</f>
        <v>0</v>
      </c>
      <c r="I88" s="224">
        <f>'[1]Housing Generation'!I88</f>
        <v>3</v>
      </c>
      <c r="J88" s="229">
        <f>'[1]Housing Generation'!J88</f>
        <v>1</v>
      </c>
      <c r="K88" s="229">
        <f>'[1]Housing Generation'!K88</f>
        <v>1</v>
      </c>
      <c r="L88" s="229">
        <f>'[1]Housing Generation'!L88</f>
        <v>1</v>
      </c>
      <c r="M88" s="229">
        <f>'[1]Housing Generation'!M88</f>
        <v>0</v>
      </c>
      <c r="N88" s="229">
        <f>'[1]Housing Generation'!N88</f>
        <v>0</v>
      </c>
      <c r="O88" s="229">
        <f>'[1]Housing Generation'!O88</f>
        <v>0</v>
      </c>
      <c r="P88" s="229">
        <f>'[1]Housing Generation'!P88</f>
        <v>0</v>
      </c>
      <c r="Q88" s="225">
        <f>'[1]Housing Generation'!Q88</f>
        <v>3</v>
      </c>
      <c r="R88" s="227">
        <f>'[1]Housing Generation'!R88</f>
        <v>2</v>
      </c>
      <c r="S88" s="227">
        <f>'[1]Housing Generation'!S88</f>
        <v>2</v>
      </c>
      <c r="T88" s="227">
        <f>'[1]Housing Generation'!T88</f>
        <v>1</v>
      </c>
      <c r="U88" s="227">
        <f>'[1]Housing Generation'!U88</f>
        <v>1</v>
      </c>
      <c r="V88" s="227">
        <f>'[1]Housing Generation'!V88</f>
        <v>1</v>
      </c>
      <c r="W88" s="227">
        <f>'[1]Housing Generation'!W88</f>
        <v>1</v>
      </c>
      <c r="X88" s="227">
        <f>'[1]Housing Generation'!X88</f>
        <v>1</v>
      </c>
      <c r="Y88" s="224">
        <f>'[1]Housing Generation'!Y88</f>
        <v>9</v>
      </c>
      <c r="Z88" s="229">
        <f>'[1]Housing Generation'!Z88</f>
        <v>2</v>
      </c>
      <c r="AA88" s="229">
        <f>'[1]Housing Generation'!AA88</f>
        <v>2</v>
      </c>
      <c r="AB88" s="229">
        <f>'[1]Housing Generation'!AB88</f>
        <v>1</v>
      </c>
      <c r="AC88" s="229">
        <f>'[1]Housing Generation'!AC88</f>
        <v>1</v>
      </c>
      <c r="AD88" s="229">
        <f>'[1]Housing Generation'!AD88</f>
        <v>1</v>
      </c>
      <c r="AE88" s="229">
        <f>'[1]Housing Generation'!AE88</f>
        <v>1</v>
      </c>
      <c r="AF88" s="229">
        <f>'[1]Housing Generation'!AF88</f>
        <v>1</v>
      </c>
      <c r="AG88" s="225">
        <f>'[1]Housing Generation'!AG88</f>
        <v>9</v>
      </c>
      <c r="AH88" s="227">
        <f>'[1]Housing Generation'!AH88</f>
        <v>2</v>
      </c>
      <c r="AI88" s="227">
        <f>'[1]Housing Generation'!AI88</f>
        <v>2</v>
      </c>
      <c r="AJ88" s="227">
        <f>'[1]Housing Generation'!AJ88</f>
        <v>1</v>
      </c>
      <c r="AK88" s="227">
        <f>'[1]Housing Generation'!AK88</f>
        <v>1</v>
      </c>
      <c r="AL88" s="227">
        <f>'[1]Housing Generation'!AL88</f>
        <v>1</v>
      </c>
      <c r="AM88" s="227">
        <f>'[1]Housing Generation'!AM88</f>
        <v>1</v>
      </c>
      <c r="AN88" s="227">
        <f>'[1]Housing Generation'!AN88</f>
        <v>1</v>
      </c>
      <c r="AO88" s="224">
        <f>'[1]Housing Generation'!AO88</f>
        <v>9</v>
      </c>
      <c r="AP88" s="229">
        <f>'[1]Housing Generation'!AP88</f>
        <v>2</v>
      </c>
      <c r="AQ88" s="229">
        <f>'[1]Housing Generation'!AQ88</f>
        <v>2</v>
      </c>
      <c r="AR88" s="229">
        <f>'[1]Housing Generation'!AR88</f>
        <v>2</v>
      </c>
      <c r="AS88" s="229">
        <f>'[1]Housing Generation'!AS88</f>
        <v>2</v>
      </c>
      <c r="AT88" s="229">
        <f>'[1]Housing Generation'!AT88</f>
        <v>2</v>
      </c>
      <c r="AU88" s="229">
        <f>'[1]Housing Generation'!AU88</f>
        <v>1</v>
      </c>
      <c r="AV88" s="229">
        <f>'[1]Housing Generation'!AV88</f>
        <v>1</v>
      </c>
      <c r="AW88" s="225">
        <f>'[1]Housing Generation'!AW88</f>
        <v>12</v>
      </c>
      <c r="AX88" s="227">
        <f>'[1]Housing Generation'!AX88</f>
        <v>3</v>
      </c>
      <c r="AY88" s="227">
        <f>'[1]Housing Generation'!AY88</f>
        <v>3</v>
      </c>
      <c r="AZ88" s="227">
        <f>'[1]Housing Generation'!AZ88</f>
        <v>3</v>
      </c>
      <c r="BA88" s="227">
        <f>'[1]Housing Generation'!BA88</f>
        <v>3</v>
      </c>
      <c r="BB88" s="227">
        <f>'[1]Housing Generation'!BB88</f>
        <v>3</v>
      </c>
      <c r="BC88" s="227">
        <f>'[1]Housing Generation'!BC88</f>
        <v>3</v>
      </c>
      <c r="BD88" s="227">
        <f>'[1]Housing Generation'!BD88</f>
        <v>2</v>
      </c>
      <c r="BE88" s="224">
        <f>'[1]Housing Generation'!BE88</f>
        <v>20</v>
      </c>
      <c r="BF88" s="229">
        <f>'[1]Housing Generation'!BF88</f>
        <v>5</v>
      </c>
      <c r="BG88" s="229">
        <f>'[1]Housing Generation'!BG88</f>
        <v>4</v>
      </c>
      <c r="BH88" s="229">
        <f>'[1]Housing Generation'!BH88</f>
        <v>4</v>
      </c>
      <c r="BI88" s="229">
        <f>'[1]Housing Generation'!BI88</f>
        <v>4</v>
      </c>
      <c r="BJ88" s="229">
        <f>'[1]Housing Generation'!BJ88</f>
        <v>4</v>
      </c>
      <c r="BK88" s="229">
        <f>'[1]Housing Generation'!BK88</f>
        <v>4</v>
      </c>
      <c r="BL88" s="229">
        <f>'[1]Housing Generation'!BL88</f>
        <v>4</v>
      </c>
      <c r="BM88" s="225">
        <f>'[1]Housing Generation'!BM88</f>
        <v>29</v>
      </c>
      <c r="BN88" s="227">
        <f>'[1]Housing Generation'!BN88</f>
        <v>6</v>
      </c>
      <c r="BO88" s="227">
        <f>'[1]Housing Generation'!BO88</f>
        <v>6</v>
      </c>
      <c r="BP88" s="227">
        <f>'[1]Housing Generation'!BP88</f>
        <v>6</v>
      </c>
      <c r="BQ88" s="227">
        <f>'[1]Housing Generation'!BQ88</f>
        <v>6</v>
      </c>
      <c r="BR88" s="227">
        <f>'[1]Housing Generation'!BR88</f>
        <v>6</v>
      </c>
      <c r="BS88" s="227">
        <f>'[1]Housing Generation'!BS88</f>
        <v>5</v>
      </c>
      <c r="BT88" s="227">
        <f>'[1]Housing Generation'!BT88</f>
        <v>5</v>
      </c>
      <c r="BU88" s="224">
        <f>'[1]Housing Generation'!BU88</f>
        <v>40</v>
      </c>
      <c r="BV88" s="229">
        <f>'[1]Housing Generation'!BV88</f>
        <v>8</v>
      </c>
      <c r="BW88" s="229">
        <f>'[1]Housing Generation'!BW88</f>
        <v>8</v>
      </c>
      <c r="BX88" s="229">
        <f>'[1]Housing Generation'!BX88</f>
        <v>7</v>
      </c>
      <c r="BY88" s="229">
        <f>'[1]Housing Generation'!BY88</f>
        <v>7</v>
      </c>
      <c r="BZ88" s="229">
        <f>'[1]Housing Generation'!BZ88</f>
        <v>7</v>
      </c>
      <c r="CA88" s="229">
        <f>'[1]Housing Generation'!CA88</f>
        <v>7</v>
      </c>
      <c r="CB88" s="229">
        <f>'[1]Housing Generation'!CB88</f>
        <v>7</v>
      </c>
      <c r="CC88" s="225">
        <f>'[1]Housing Generation'!CC88</f>
        <v>51</v>
      </c>
      <c r="CD88" s="227">
        <f>'[1]Housing Generation'!CD88</f>
        <v>9</v>
      </c>
      <c r="CE88" s="227">
        <f>'[1]Housing Generation'!CE88</f>
        <v>9</v>
      </c>
      <c r="CF88" s="227">
        <f>'[1]Housing Generation'!CF88</f>
        <v>9</v>
      </c>
      <c r="CG88" s="227">
        <f>'[1]Housing Generation'!CG88</f>
        <v>9</v>
      </c>
      <c r="CH88" s="227">
        <f>'[1]Housing Generation'!CH88</f>
        <v>9</v>
      </c>
      <c r="CI88" s="227">
        <f>'[1]Housing Generation'!CI88</f>
        <v>9</v>
      </c>
      <c r="CJ88" s="227">
        <f>'[1]Housing Generation'!CJ88</f>
        <v>8</v>
      </c>
      <c r="CK88" s="224">
        <f>'[1]Housing Generation'!CK88</f>
        <v>62</v>
      </c>
      <c r="CL88" s="229">
        <f>'[1]Housing Generation'!CL88</f>
        <v>11</v>
      </c>
      <c r="CM88" s="229">
        <f>'[1]Housing Generation'!CM88</f>
        <v>10</v>
      </c>
      <c r="CN88" s="229">
        <f>'[1]Housing Generation'!CN88</f>
        <v>10</v>
      </c>
      <c r="CO88" s="229">
        <f>'[1]Housing Generation'!CO88</f>
        <v>10</v>
      </c>
      <c r="CP88" s="229">
        <f>'[1]Housing Generation'!CP88</f>
        <v>10</v>
      </c>
      <c r="CQ88" s="229">
        <f>'[1]Housing Generation'!CQ88</f>
        <v>10</v>
      </c>
      <c r="CR88" s="229">
        <f>'[1]Housing Generation'!CR88</f>
        <v>10</v>
      </c>
      <c r="CS88" s="225">
        <f>'[1]Housing Generation'!CS88</f>
        <v>71</v>
      </c>
      <c r="CT88" s="227">
        <f>'[1]Housing Generation'!CT88</f>
        <v>12</v>
      </c>
      <c r="CU88" s="227">
        <f>'[1]Housing Generation'!CU88</f>
        <v>12</v>
      </c>
      <c r="CV88" s="227">
        <f>'[1]Housing Generation'!CV88</f>
        <v>12</v>
      </c>
      <c r="CW88" s="227">
        <f>'[1]Housing Generation'!CW88</f>
        <v>11</v>
      </c>
      <c r="CX88" s="227">
        <f>'[1]Housing Generation'!CX88</f>
        <v>11</v>
      </c>
      <c r="CY88" s="227">
        <f>'[1]Housing Generation'!CY88</f>
        <v>11</v>
      </c>
      <c r="CZ88" s="227">
        <f>'[1]Housing Generation'!CZ88</f>
        <v>11</v>
      </c>
      <c r="DA88" s="224">
        <f>'[1]Housing Generation'!DA88</f>
        <v>80</v>
      </c>
      <c r="DB88" s="229">
        <f>'[1]Housing Generation'!DB88</f>
        <v>13</v>
      </c>
      <c r="DC88" s="229">
        <f>'[1]Housing Generation'!DC88</f>
        <v>13</v>
      </c>
      <c r="DD88" s="229">
        <f>'[1]Housing Generation'!DD88</f>
        <v>13</v>
      </c>
      <c r="DE88" s="229">
        <f>'[1]Housing Generation'!DE88</f>
        <v>13</v>
      </c>
      <c r="DF88" s="229">
        <f>'[1]Housing Generation'!DF88</f>
        <v>13</v>
      </c>
      <c r="DG88" s="229">
        <f>'[1]Housing Generation'!DG88</f>
        <v>13</v>
      </c>
      <c r="DH88" s="229">
        <f>'[1]Housing Generation'!DH88</f>
        <v>12</v>
      </c>
      <c r="DI88" s="225">
        <f>'[1]Housing Generation'!DI88</f>
        <v>90</v>
      </c>
      <c r="DJ88" s="227">
        <f>'[1]Housing Generation'!DJ88</f>
        <v>15</v>
      </c>
      <c r="DK88" s="227">
        <f>'[1]Housing Generation'!DK88</f>
        <v>14</v>
      </c>
      <c r="DL88" s="227">
        <f>'[1]Housing Generation'!DL88</f>
        <v>14</v>
      </c>
      <c r="DM88" s="227">
        <f>'[1]Housing Generation'!DM88</f>
        <v>14</v>
      </c>
      <c r="DN88" s="227">
        <f>'[1]Housing Generation'!DN88</f>
        <v>14</v>
      </c>
      <c r="DO88" s="227">
        <f>'[1]Housing Generation'!DO88</f>
        <v>14</v>
      </c>
      <c r="DP88" s="227">
        <f>'[1]Housing Generation'!DP88</f>
        <v>14</v>
      </c>
      <c r="DQ88" s="224">
        <f>'[1]Housing Generation'!DQ88</f>
        <v>99</v>
      </c>
    </row>
    <row r="89" spans="1:129" x14ac:dyDescent="0.2">
      <c r="A89" s="237" t="s">
        <v>90</v>
      </c>
      <c r="B89" s="227">
        <f>'[1]Housing Generation'!B89</f>
        <v>0</v>
      </c>
      <c r="C89" s="227">
        <f>'[1]Housing Generation'!C89</f>
        <v>0</v>
      </c>
      <c r="D89" s="227">
        <f>'[1]Housing Generation'!D89</f>
        <v>0</v>
      </c>
      <c r="E89" s="227">
        <f>'[1]Housing Generation'!E89</f>
        <v>0</v>
      </c>
      <c r="F89" s="227">
        <f>'[1]Housing Generation'!F89</f>
        <v>0</v>
      </c>
      <c r="G89" s="227">
        <f>'[1]Housing Generation'!G89</f>
        <v>0</v>
      </c>
      <c r="H89" s="227">
        <f>'[1]Housing Generation'!H89</f>
        <v>0</v>
      </c>
      <c r="I89" s="224">
        <f>'[1]Housing Generation'!I89</f>
        <v>0</v>
      </c>
      <c r="J89" s="229">
        <f>'[1]Housing Generation'!J89</f>
        <v>1</v>
      </c>
      <c r="K89" s="229">
        <f>'[1]Housing Generation'!K89</f>
        <v>0</v>
      </c>
      <c r="L89" s="229">
        <f>'[1]Housing Generation'!L89</f>
        <v>0</v>
      </c>
      <c r="M89" s="229">
        <f>'[1]Housing Generation'!M89</f>
        <v>0</v>
      </c>
      <c r="N89" s="229">
        <f>'[1]Housing Generation'!N89</f>
        <v>0</v>
      </c>
      <c r="O89" s="229">
        <f>'[1]Housing Generation'!O89</f>
        <v>0</v>
      </c>
      <c r="P89" s="229">
        <f>'[1]Housing Generation'!P89</f>
        <v>0</v>
      </c>
      <c r="Q89" s="225">
        <f>'[1]Housing Generation'!Q89</f>
        <v>1</v>
      </c>
      <c r="R89" s="227">
        <f>'[1]Housing Generation'!R89</f>
        <v>1</v>
      </c>
      <c r="S89" s="227">
        <f>'[1]Housing Generation'!S89</f>
        <v>0</v>
      </c>
      <c r="T89" s="227">
        <f>'[1]Housing Generation'!T89</f>
        <v>0</v>
      </c>
      <c r="U89" s="227">
        <f>'[1]Housing Generation'!U89</f>
        <v>0</v>
      </c>
      <c r="V89" s="227">
        <f>'[1]Housing Generation'!V89</f>
        <v>0</v>
      </c>
      <c r="W89" s="227">
        <f>'[1]Housing Generation'!W89</f>
        <v>0</v>
      </c>
      <c r="X89" s="227">
        <f>'[1]Housing Generation'!X89</f>
        <v>0</v>
      </c>
      <c r="Y89" s="224">
        <f>'[1]Housing Generation'!Y89</f>
        <v>1</v>
      </c>
      <c r="Z89" s="229">
        <f>'[1]Housing Generation'!Z89</f>
        <v>1</v>
      </c>
      <c r="AA89" s="229">
        <f>'[1]Housing Generation'!AA89</f>
        <v>0</v>
      </c>
      <c r="AB89" s="229">
        <f>'[1]Housing Generation'!AB89</f>
        <v>0</v>
      </c>
      <c r="AC89" s="229">
        <f>'[1]Housing Generation'!AC89</f>
        <v>0</v>
      </c>
      <c r="AD89" s="229">
        <f>'[1]Housing Generation'!AD89</f>
        <v>0</v>
      </c>
      <c r="AE89" s="229">
        <f>'[1]Housing Generation'!AE89</f>
        <v>0</v>
      </c>
      <c r="AF89" s="229">
        <f>'[1]Housing Generation'!AF89</f>
        <v>0</v>
      </c>
      <c r="AG89" s="225">
        <f>'[1]Housing Generation'!AG89</f>
        <v>1</v>
      </c>
      <c r="AH89" s="227">
        <f>'[1]Housing Generation'!AH89</f>
        <v>1</v>
      </c>
      <c r="AI89" s="227">
        <f>'[1]Housing Generation'!AI89</f>
        <v>0</v>
      </c>
      <c r="AJ89" s="227">
        <f>'[1]Housing Generation'!AJ89</f>
        <v>0</v>
      </c>
      <c r="AK89" s="227">
        <f>'[1]Housing Generation'!AK89</f>
        <v>0</v>
      </c>
      <c r="AL89" s="227">
        <f>'[1]Housing Generation'!AL89</f>
        <v>0</v>
      </c>
      <c r="AM89" s="227">
        <f>'[1]Housing Generation'!AM89</f>
        <v>0</v>
      </c>
      <c r="AN89" s="227">
        <f>'[1]Housing Generation'!AN89</f>
        <v>0</v>
      </c>
      <c r="AO89" s="224">
        <f>'[1]Housing Generation'!AO89</f>
        <v>1</v>
      </c>
      <c r="AP89" s="229">
        <f>'[1]Housing Generation'!AP89</f>
        <v>1</v>
      </c>
      <c r="AQ89" s="229">
        <f>'[1]Housing Generation'!AQ89</f>
        <v>0</v>
      </c>
      <c r="AR89" s="229">
        <f>'[1]Housing Generation'!AR89</f>
        <v>0</v>
      </c>
      <c r="AS89" s="229">
        <f>'[1]Housing Generation'!AS89</f>
        <v>0</v>
      </c>
      <c r="AT89" s="229">
        <f>'[1]Housing Generation'!AT89</f>
        <v>0</v>
      </c>
      <c r="AU89" s="229">
        <f>'[1]Housing Generation'!AU89</f>
        <v>0</v>
      </c>
      <c r="AV89" s="229">
        <f>'[1]Housing Generation'!AV89</f>
        <v>0</v>
      </c>
      <c r="AW89" s="225">
        <f>'[1]Housing Generation'!AW89</f>
        <v>1</v>
      </c>
      <c r="AX89" s="227">
        <f>'[1]Housing Generation'!AX89</f>
        <v>1</v>
      </c>
      <c r="AY89" s="227">
        <f>'[1]Housing Generation'!AY89</f>
        <v>0</v>
      </c>
      <c r="AZ89" s="227">
        <f>'[1]Housing Generation'!AZ89</f>
        <v>0</v>
      </c>
      <c r="BA89" s="227">
        <f>'[1]Housing Generation'!BA89</f>
        <v>0</v>
      </c>
      <c r="BB89" s="227">
        <f>'[1]Housing Generation'!BB89</f>
        <v>0</v>
      </c>
      <c r="BC89" s="227">
        <f>'[1]Housing Generation'!BC89</f>
        <v>0</v>
      </c>
      <c r="BD89" s="227">
        <f>'[1]Housing Generation'!BD89</f>
        <v>0</v>
      </c>
      <c r="BE89" s="224">
        <f>'[1]Housing Generation'!BE89</f>
        <v>1</v>
      </c>
      <c r="BF89" s="229">
        <f>'[1]Housing Generation'!BF89</f>
        <v>1</v>
      </c>
      <c r="BG89" s="229">
        <f>'[1]Housing Generation'!BG89</f>
        <v>0</v>
      </c>
      <c r="BH89" s="229">
        <f>'[1]Housing Generation'!BH89</f>
        <v>0</v>
      </c>
      <c r="BI89" s="229">
        <f>'[1]Housing Generation'!BI89</f>
        <v>0</v>
      </c>
      <c r="BJ89" s="229">
        <f>'[1]Housing Generation'!BJ89</f>
        <v>0</v>
      </c>
      <c r="BK89" s="229">
        <f>'[1]Housing Generation'!BK89</f>
        <v>0</v>
      </c>
      <c r="BL89" s="229">
        <f>'[1]Housing Generation'!BL89</f>
        <v>0</v>
      </c>
      <c r="BM89" s="225">
        <f>'[1]Housing Generation'!BM89</f>
        <v>1</v>
      </c>
      <c r="BN89" s="227">
        <f>'[1]Housing Generation'!BN89</f>
        <v>1</v>
      </c>
      <c r="BO89" s="227">
        <f>'[1]Housing Generation'!BO89</f>
        <v>0</v>
      </c>
      <c r="BP89" s="227">
        <f>'[1]Housing Generation'!BP89</f>
        <v>0</v>
      </c>
      <c r="BQ89" s="227">
        <f>'[1]Housing Generation'!BQ89</f>
        <v>0</v>
      </c>
      <c r="BR89" s="227">
        <f>'[1]Housing Generation'!BR89</f>
        <v>0</v>
      </c>
      <c r="BS89" s="227">
        <f>'[1]Housing Generation'!BS89</f>
        <v>0</v>
      </c>
      <c r="BT89" s="227">
        <f>'[1]Housing Generation'!BT89</f>
        <v>0</v>
      </c>
      <c r="BU89" s="224">
        <f>'[1]Housing Generation'!BU89</f>
        <v>1</v>
      </c>
      <c r="BV89" s="229">
        <f>'[1]Housing Generation'!BV89</f>
        <v>1</v>
      </c>
      <c r="BW89" s="229">
        <f>'[1]Housing Generation'!BW89</f>
        <v>0</v>
      </c>
      <c r="BX89" s="229">
        <f>'[1]Housing Generation'!BX89</f>
        <v>0</v>
      </c>
      <c r="BY89" s="229">
        <f>'[1]Housing Generation'!BY89</f>
        <v>0</v>
      </c>
      <c r="BZ89" s="229">
        <f>'[1]Housing Generation'!BZ89</f>
        <v>0</v>
      </c>
      <c r="CA89" s="229">
        <f>'[1]Housing Generation'!CA89</f>
        <v>0</v>
      </c>
      <c r="CB89" s="229">
        <f>'[1]Housing Generation'!CB89</f>
        <v>0</v>
      </c>
      <c r="CC89" s="225">
        <f>'[1]Housing Generation'!CC89</f>
        <v>1</v>
      </c>
      <c r="CD89" s="227">
        <f>'[1]Housing Generation'!CD89</f>
        <v>1</v>
      </c>
      <c r="CE89" s="227">
        <f>'[1]Housing Generation'!CE89</f>
        <v>0</v>
      </c>
      <c r="CF89" s="227">
        <f>'[1]Housing Generation'!CF89</f>
        <v>0</v>
      </c>
      <c r="CG89" s="227">
        <f>'[1]Housing Generation'!CG89</f>
        <v>0</v>
      </c>
      <c r="CH89" s="227">
        <f>'[1]Housing Generation'!CH89</f>
        <v>0</v>
      </c>
      <c r="CI89" s="227">
        <f>'[1]Housing Generation'!CI89</f>
        <v>0</v>
      </c>
      <c r="CJ89" s="227">
        <f>'[1]Housing Generation'!CJ89</f>
        <v>0</v>
      </c>
      <c r="CK89" s="224">
        <f>'[1]Housing Generation'!CK89</f>
        <v>1</v>
      </c>
      <c r="CL89" s="229">
        <f>'[1]Housing Generation'!CL89</f>
        <v>1</v>
      </c>
      <c r="CM89" s="229">
        <f>'[1]Housing Generation'!CM89</f>
        <v>0</v>
      </c>
      <c r="CN89" s="229">
        <f>'[1]Housing Generation'!CN89</f>
        <v>0</v>
      </c>
      <c r="CO89" s="229">
        <f>'[1]Housing Generation'!CO89</f>
        <v>0</v>
      </c>
      <c r="CP89" s="229">
        <f>'[1]Housing Generation'!CP89</f>
        <v>0</v>
      </c>
      <c r="CQ89" s="229">
        <f>'[1]Housing Generation'!CQ89</f>
        <v>0</v>
      </c>
      <c r="CR89" s="229">
        <f>'[1]Housing Generation'!CR89</f>
        <v>0</v>
      </c>
      <c r="CS89" s="225">
        <f>'[1]Housing Generation'!CS89</f>
        <v>1</v>
      </c>
      <c r="CT89" s="227">
        <f>'[1]Housing Generation'!CT89</f>
        <v>1</v>
      </c>
      <c r="CU89" s="227">
        <f>'[1]Housing Generation'!CU89</f>
        <v>0</v>
      </c>
      <c r="CV89" s="227">
        <f>'[1]Housing Generation'!CV89</f>
        <v>0</v>
      </c>
      <c r="CW89" s="227">
        <f>'[1]Housing Generation'!CW89</f>
        <v>0</v>
      </c>
      <c r="CX89" s="227">
        <f>'[1]Housing Generation'!CX89</f>
        <v>0</v>
      </c>
      <c r="CY89" s="227">
        <f>'[1]Housing Generation'!CY89</f>
        <v>0</v>
      </c>
      <c r="CZ89" s="227">
        <f>'[1]Housing Generation'!CZ89</f>
        <v>0</v>
      </c>
      <c r="DA89" s="224">
        <f>'[1]Housing Generation'!DA89</f>
        <v>1</v>
      </c>
      <c r="DB89" s="229">
        <f>'[1]Housing Generation'!DB89</f>
        <v>1</v>
      </c>
      <c r="DC89" s="229">
        <f>'[1]Housing Generation'!DC89</f>
        <v>0</v>
      </c>
      <c r="DD89" s="229">
        <f>'[1]Housing Generation'!DD89</f>
        <v>0</v>
      </c>
      <c r="DE89" s="229">
        <f>'[1]Housing Generation'!DE89</f>
        <v>0</v>
      </c>
      <c r="DF89" s="229">
        <f>'[1]Housing Generation'!DF89</f>
        <v>0</v>
      </c>
      <c r="DG89" s="229">
        <f>'[1]Housing Generation'!DG89</f>
        <v>0</v>
      </c>
      <c r="DH89" s="229">
        <f>'[1]Housing Generation'!DH89</f>
        <v>0</v>
      </c>
      <c r="DI89" s="225">
        <f>'[1]Housing Generation'!DI89</f>
        <v>1</v>
      </c>
      <c r="DJ89" s="227">
        <f>'[1]Housing Generation'!DJ89</f>
        <v>1</v>
      </c>
      <c r="DK89" s="227">
        <f>'[1]Housing Generation'!DK89</f>
        <v>0</v>
      </c>
      <c r="DL89" s="227">
        <f>'[1]Housing Generation'!DL89</f>
        <v>0</v>
      </c>
      <c r="DM89" s="227">
        <f>'[1]Housing Generation'!DM89</f>
        <v>0</v>
      </c>
      <c r="DN89" s="227">
        <f>'[1]Housing Generation'!DN89</f>
        <v>0</v>
      </c>
      <c r="DO89" s="227">
        <f>'[1]Housing Generation'!DO89</f>
        <v>0</v>
      </c>
      <c r="DP89" s="227">
        <f>'[1]Housing Generation'!DP89</f>
        <v>0</v>
      </c>
      <c r="DQ89" s="224">
        <f>'[1]Housing Generation'!DQ89</f>
        <v>1</v>
      </c>
    </row>
    <row r="90" spans="1:129" x14ac:dyDescent="0.2">
      <c r="A90" s="239" t="s">
        <v>91</v>
      </c>
      <c r="B90" s="227">
        <f>'[1]Housing Generation'!B90</f>
        <v>0</v>
      </c>
      <c r="C90" s="227">
        <f>'[1]Housing Generation'!C90</f>
        <v>0</v>
      </c>
      <c r="D90" s="227">
        <f>'[1]Housing Generation'!D90</f>
        <v>0</v>
      </c>
      <c r="E90" s="227">
        <f>'[1]Housing Generation'!E90</f>
        <v>0</v>
      </c>
      <c r="F90" s="227">
        <f>'[1]Housing Generation'!F90</f>
        <v>0</v>
      </c>
      <c r="G90" s="227">
        <f>'[1]Housing Generation'!G90</f>
        <v>0</v>
      </c>
      <c r="H90" s="227">
        <f>'[1]Housing Generation'!H90</f>
        <v>0</v>
      </c>
      <c r="I90" s="224">
        <f>'[1]Housing Generation'!I90</f>
        <v>0</v>
      </c>
      <c r="J90" s="229">
        <f>'[1]Housing Generation'!J90</f>
        <v>0</v>
      </c>
      <c r="K90" s="229">
        <f>'[1]Housing Generation'!K90</f>
        <v>0</v>
      </c>
      <c r="L90" s="229">
        <f>'[1]Housing Generation'!L90</f>
        <v>0</v>
      </c>
      <c r="M90" s="229">
        <f>'[1]Housing Generation'!M90</f>
        <v>0</v>
      </c>
      <c r="N90" s="229">
        <f>'[1]Housing Generation'!N90</f>
        <v>0</v>
      </c>
      <c r="O90" s="229">
        <f>'[1]Housing Generation'!O90</f>
        <v>0</v>
      </c>
      <c r="P90" s="229">
        <f>'[1]Housing Generation'!P90</f>
        <v>0</v>
      </c>
      <c r="Q90" s="225">
        <f>'[1]Housing Generation'!Q90</f>
        <v>0</v>
      </c>
      <c r="R90" s="227">
        <f>'[1]Housing Generation'!R90</f>
        <v>0</v>
      </c>
      <c r="S90" s="227">
        <f>'[1]Housing Generation'!S90</f>
        <v>0</v>
      </c>
      <c r="T90" s="227">
        <f>'[1]Housing Generation'!T90</f>
        <v>0</v>
      </c>
      <c r="U90" s="227">
        <f>'[1]Housing Generation'!U90</f>
        <v>0</v>
      </c>
      <c r="V90" s="227">
        <f>'[1]Housing Generation'!V90</f>
        <v>0</v>
      </c>
      <c r="W90" s="227">
        <f>'[1]Housing Generation'!W90</f>
        <v>0</v>
      </c>
      <c r="X90" s="227">
        <f>'[1]Housing Generation'!X90</f>
        <v>0</v>
      </c>
      <c r="Y90" s="224">
        <f>'[1]Housing Generation'!Y90</f>
        <v>0</v>
      </c>
      <c r="Z90" s="229">
        <f>'[1]Housing Generation'!Z90</f>
        <v>0</v>
      </c>
      <c r="AA90" s="229">
        <f>'[1]Housing Generation'!AA90</f>
        <v>0</v>
      </c>
      <c r="AB90" s="229">
        <f>'[1]Housing Generation'!AB90</f>
        <v>0</v>
      </c>
      <c r="AC90" s="229">
        <f>'[1]Housing Generation'!AC90</f>
        <v>0</v>
      </c>
      <c r="AD90" s="229">
        <f>'[1]Housing Generation'!AD90</f>
        <v>0</v>
      </c>
      <c r="AE90" s="229">
        <f>'[1]Housing Generation'!AE90</f>
        <v>0</v>
      </c>
      <c r="AF90" s="229">
        <f>'[1]Housing Generation'!AF90</f>
        <v>0</v>
      </c>
      <c r="AG90" s="225">
        <f>'[1]Housing Generation'!AG90</f>
        <v>0</v>
      </c>
      <c r="AH90" s="227">
        <f>'[1]Housing Generation'!AH90</f>
        <v>0</v>
      </c>
      <c r="AI90" s="227">
        <f>'[1]Housing Generation'!AI90</f>
        <v>0</v>
      </c>
      <c r="AJ90" s="227">
        <f>'[1]Housing Generation'!AJ90</f>
        <v>0</v>
      </c>
      <c r="AK90" s="227">
        <f>'[1]Housing Generation'!AK90</f>
        <v>0</v>
      </c>
      <c r="AL90" s="227">
        <f>'[1]Housing Generation'!AL90</f>
        <v>0</v>
      </c>
      <c r="AM90" s="227">
        <f>'[1]Housing Generation'!AM90</f>
        <v>0</v>
      </c>
      <c r="AN90" s="227">
        <f>'[1]Housing Generation'!AN90</f>
        <v>0</v>
      </c>
      <c r="AO90" s="224">
        <f>'[1]Housing Generation'!AO90</f>
        <v>0</v>
      </c>
      <c r="AP90" s="229">
        <f>'[1]Housing Generation'!AP90</f>
        <v>0</v>
      </c>
      <c r="AQ90" s="229">
        <f>'[1]Housing Generation'!AQ90</f>
        <v>0</v>
      </c>
      <c r="AR90" s="229">
        <f>'[1]Housing Generation'!AR90</f>
        <v>0</v>
      </c>
      <c r="AS90" s="229">
        <f>'[1]Housing Generation'!AS90</f>
        <v>0</v>
      </c>
      <c r="AT90" s="229">
        <f>'[1]Housing Generation'!AT90</f>
        <v>0</v>
      </c>
      <c r="AU90" s="229">
        <f>'[1]Housing Generation'!AU90</f>
        <v>0</v>
      </c>
      <c r="AV90" s="229">
        <f>'[1]Housing Generation'!AV90</f>
        <v>0</v>
      </c>
      <c r="AW90" s="225">
        <f>'[1]Housing Generation'!AW90</f>
        <v>0</v>
      </c>
      <c r="AX90" s="227">
        <f>'[1]Housing Generation'!AX90</f>
        <v>0</v>
      </c>
      <c r="AY90" s="227">
        <f>'[1]Housing Generation'!AY90</f>
        <v>0</v>
      </c>
      <c r="AZ90" s="227">
        <f>'[1]Housing Generation'!AZ90</f>
        <v>0</v>
      </c>
      <c r="BA90" s="227">
        <f>'[1]Housing Generation'!BA90</f>
        <v>0</v>
      </c>
      <c r="BB90" s="227">
        <f>'[1]Housing Generation'!BB90</f>
        <v>0</v>
      </c>
      <c r="BC90" s="227">
        <f>'[1]Housing Generation'!BC90</f>
        <v>0</v>
      </c>
      <c r="BD90" s="227">
        <f>'[1]Housing Generation'!BD90</f>
        <v>0</v>
      </c>
      <c r="BE90" s="224">
        <f>'[1]Housing Generation'!BE90</f>
        <v>0</v>
      </c>
      <c r="BF90" s="229">
        <f>'[1]Housing Generation'!BF90</f>
        <v>0</v>
      </c>
      <c r="BG90" s="229">
        <f>'[1]Housing Generation'!BG90</f>
        <v>0</v>
      </c>
      <c r="BH90" s="229">
        <f>'[1]Housing Generation'!BH90</f>
        <v>0</v>
      </c>
      <c r="BI90" s="229">
        <f>'[1]Housing Generation'!BI90</f>
        <v>0</v>
      </c>
      <c r="BJ90" s="229">
        <f>'[1]Housing Generation'!BJ90</f>
        <v>0</v>
      </c>
      <c r="BK90" s="229">
        <f>'[1]Housing Generation'!BK90</f>
        <v>0</v>
      </c>
      <c r="BL90" s="229">
        <f>'[1]Housing Generation'!BL90</f>
        <v>0</v>
      </c>
      <c r="BM90" s="225">
        <f>'[1]Housing Generation'!BM90</f>
        <v>0</v>
      </c>
      <c r="BN90" s="227">
        <f>'[1]Housing Generation'!BN90</f>
        <v>0</v>
      </c>
      <c r="BO90" s="227">
        <f>'[1]Housing Generation'!BO90</f>
        <v>0</v>
      </c>
      <c r="BP90" s="227">
        <f>'[1]Housing Generation'!BP90</f>
        <v>0</v>
      </c>
      <c r="BQ90" s="227">
        <f>'[1]Housing Generation'!BQ90</f>
        <v>0</v>
      </c>
      <c r="BR90" s="227">
        <f>'[1]Housing Generation'!BR90</f>
        <v>0</v>
      </c>
      <c r="BS90" s="227">
        <f>'[1]Housing Generation'!BS90</f>
        <v>0</v>
      </c>
      <c r="BT90" s="227">
        <f>'[1]Housing Generation'!BT90</f>
        <v>0</v>
      </c>
      <c r="BU90" s="224">
        <f>'[1]Housing Generation'!BU90</f>
        <v>0</v>
      </c>
      <c r="BV90" s="229">
        <f>'[1]Housing Generation'!BV90</f>
        <v>0</v>
      </c>
      <c r="BW90" s="229">
        <f>'[1]Housing Generation'!BW90</f>
        <v>0</v>
      </c>
      <c r="BX90" s="229">
        <f>'[1]Housing Generation'!BX90</f>
        <v>0</v>
      </c>
      <c r="BY90" s="229">
        <f>'[1]Housing Generation'!BY90</f>
        <v>0</v>
      </c>
      <c r="BZ90" s="229">
        <f>'[1]Housing Generation'!BZ90</f>
        <v>0</v>
      </c>
      <c r="CA90" s="229">
        <f>'[1]Housing Generation'!CA90</f>
        <v>0</v>
      </c>
      <c r="CB90" s="229">
        <f>'[1]Housing Generation'!CB90</f>
        <v>0</v>
      </c>
      <c r="CC90" s="225">
        <f>'[1]Housing Generation'!CC90</f>
        <v>0</v>
      </c>
      <c r="CD90" s="227">
        <f>'[1]Housing Generation'!CD90</f>
        <v>0</v>
      </c>
      <c r="CE90" s="227">
        <f>'[1]Housing Generation'!CE90</f>
        <v>0</v>
      </c>
      <c r="CF90" s="227">
        <f>'[1]Housing Generation'!CF90</f>
        <v>0</v>
      </c>
      <c r="CG90" s="227">
        <f>'[1]Housing Generation'!CG90</f>
        <v>0</v>
      </c>
      <c r="CH90" s="227">
        <f>'[1]Housing Generation'!CH90</f>
        <v>0</v>
      </c>
      <c r="CI90" s="227">
        <f>'[1]Housing Generation'!CI90</f>
        <v>0</v>
      </c>
      <c r="CJ90" s="227">
        <f>'[1]Housing Generation'!CJ90</f>
        <v>0</v>
      </c>
      <c r="CK90" s="224">
        <f>'[1]Housing Generation'!CK90</f>
        <v>0</v>
      </c>
      <c r="CL90" s="229">
        <f>'[1]Housing Generation'!CL90</f>
        <v>0</v>
      </c>
      <c r="CM90" s="229">
        <f>'[1]Housing Generation'!CM90</f>
        <v>0</v>
      </c>
      <c r="CN90" s="229">
        <f>'[1]Housing Generation'!CN90</f>
        <v>0</v>
      </c>
      <c r="CO90" s="229">
        <f>'[1]Housing Generation'!CO90</f>
        <v>0</v>
      </c>
      <c r="CP90" s="229">
        <f>'[1]Housing Generation'!CP90</f>
        <v>0</v>
      </c>
      <c r="CQ90" s="229">
        <f>'[1]Housing Generation'!CQ90</f>
        <v>0</v>
      </c>
      <c r="CR90" s="229">
        <f>'[1]Housing Generation'!CR90</f>
        <v>0</v>
      </c>
      <c r="CS90" s="225">
        <f>'[1]Housing Generation'!CS90</f>
        <v>0</v>
      </c>
      <c r="CT90" s="227">
        <f>'[1]Housing Generation'!CT90</f>
        <v>0</v>
      </c>
      <c r="CU90" s="227">
        <f>'[1]Housing Generation'!CU90</f>
        <v>0</v>
      </c>
      <c r="CV90" s="227">
        <f>'[1]Housing Generation'!CV90</f>
        <v>0</v>
      </c>
      <c r="CW90" s="227">
        <f>'[1]Housing Generation'!CW90</f>
        <v>0</v>
      </c>
      <c r="CX90" s="227">
        <f>'[1]Housing Generation'!CX90</f>
        <v>0</v>
      </c>
      <c r="CY90" s="227">
        <f>'[1]Housing Generation'!CY90</f>
        <v>0</v>
      </c>
      <c r="CZ90" s="227">
        <f>'[1]Housing Generation'!CZ90</f>
        <v>0</v>
      </c>
      <c r="DA90" s="224">
        <f>'[1]Housing Generation'!DA90</f>
        <v>0</v>
      </c>
      <c r="DB90" s="229">
        <f>'[1]Housing Generation'!DB90</f>
        <v>0</v>
      </c>
      <c r="DC90" s="229">
        <f>'[1]Housing Generation'!DC90</f>
        <v>0</v>
      </c>
      <c r="DD90" s="229">
        <f>'[1]Housing Generation'!DD90</f>
        <v>0</v>
      </c>
      <c r="DE90" s="229">
        <f>'[1]Housing Generation'!DE90</f>
        <v>0</v>
      </c>
      <c r="DF90" s="229">
        <f>'[1]Housing Generation'!DF90</f>
        <v>0</v>
      </c>
      <c r="DG90" s="229">
        <f>'[1]Housing Generation'!DG90</f>
        <v>0</v>
      </c>
      <c r="DH90" s="229">
        <f>'[1]Housing Generation'!DH90</f>
        <v>0</v>
      </c>
      <c r="DI90" s="225">
        <f>'[1]Housing Generation'!DI90</f>
        <v>0</v>
      </c>
      <c r="DJ90" s="227">
        <f>'[1]Housing Generation'!DJ90</f>
        <v>0</v>
      </c>
      <c r="DK90" s="227">
        <f>'[1]Housing Generation'!DK90</f>
        <v>0</v>
      </c>
      <c r="DL90" s="227">
        <f>'[1]Housing Generation'!DL90</f>
        <v>0</v>
      </c>
      <c r="DM90" s="227">
        <f>'[1]Housing Generation'!DM90</f>
        <v>0</v>
      </c>
      <c r="DN90" s="227">
        <f>'[1]Housing Generation'!DN90</f>
        <v>0</v>
      </c>
      <c r="DO90" s="227">
        <f>'[1]Housing Generation'!DO90</f>
        <v>0</v>
      </c>
      <c r="DP90" s="227">
        <f>'[1]Housing Generation'!DP90</f>
        <v>0</v>
      </c>
      <c r="DQ90" s="224">
        <f>'[1]Housing Generation'!DQ90</f>
        <v>0</v>
      </c>
    </row>
    <row r="91" spans="1:129" x14ac:dyDescent="0.2">
      <c r="A91" s="225" t="s">
        <v>138</v>
      </c>
      <c r="B91" s="224">
        <f>SUM(B3:B90)</f>
        <v>67</v>
      </c>
      <c r="C91" s="224">
        <f t="shared" ref="C91:BN91" si="0">SUM(C3:C90)</f>
        <v>63</v>
      </c>
      <c r="D91" s="224">
        <f t="shared" si="0"/>
        <v>51</v>
      </c>
      <c r="E91" s="224">
        <f t="shared" si="0"/>
        <v>43</v>
      </c>
      <c r="F91" s="224">
        <f t="shared" si="0"/>
        <v>34</v>
      </c>
      <c r="G91" s="224">
        <f t="shared" si="0"/>
        <v>30</v>
      </c>
      <c r="H91" s="224">
        <f t="shared" si="0"/>
        <v>26</v>
      </c>
      <c r="I91" s="224">
        <f t="shared" si="0"/>
        <v>314</v>
      </c>
      <c r="J91" s="224">
        <f t="shared" si="0"/>
        <v>86</v>
      </c>
      <c r="K91" s="224">
        <f t="shared" si="0"/>
        <v>71</v>
      </c>
      <c r="L91" s="224">
        <f t="shared" si="0"/>
        <v>62</v>
      </c>
      <c r="M91" s="224">
        <f t="shared" si="0"/>
        <v>55</v>
      </c>
      <c r="N91" s="224">
        <f t="shared" si="0"/>
        <v>46</v>
      </c>
      <c r="O91" s="224">
        <f t="shared" si="0"/>
        <v>42</v>
      </c>
      <c r="P91" s="224">
        <f t="shared" si="0"/>
        <v>39</v>
      </c>
      <c r="Q91" s="224">
        <f t="shared" si="0"/>
        <v>401</v>
      </c>
      <c r="R91" s="224">
        <f t="shared" si="0"/>
        <v>132</v>
      </c>
      <c r="S91" s="224">
        <f t="shared" si="0"/>
        <v>125</v>
      </c>
      <c r="T91" s="224">
        <f t="shared" si="0"/>
        <v>115</v>
      </c>
      <c r="U91" s="224">
        <f t="shared" si="0"/>
        <v>104</v>
      </c>
      <c r="V91" s="224">
        <f t="shared" si="0"/>
        <v>98</v>
      </c>
      <c r="W91" s="224">
        <f t="shared" si="0"/>
        <v>89</v>
      </c>
      <c r="X91" s="224">
        <f t="shared" si="0"/>
        <v>81</v>
      </c>
      <c r="Y91" s="224">
        <f t="shared" si="0"/>
        <v>744</v>
      </c>
      <c r="Z91" s="224">
        <f t="shared" si="0"/>
        <v>191</v>
      </c>
      <c r="AA91" s="224">
        <f t="shared" si="0"/>
        <v>185</v>
      </c>
      <c r="AB91" s="224">
        <f t="shared" si="0"/>
        <v>172</v>
      </c>
      <c r="AC91" s="224">
        <f t="shared" si="0"/>
        <v>162</v>
      </c>
      <c r="AD91" s="224">
        <f t="shared" si="0"/>
        <v>153</v>
      </c>
      <c r="AE91" s="224">
        <f t="shared" si="0"/>
        <v>150</v>
      </c>
      <c r="AF91" s="224">
        <f t="shared" si="0"/>
        <v>143</v>
      </c>
      <c r="AG91" s="224">
        <f t="shared" si="0"/>
        <v>1156</v>
      </c>
      <c r="AH91" s="224">
        <f t="shared" si="0"/>
        <v>255</v>
      </c>
      <c r="AI91" s="224">
        <f t="shared" si="0"/>
        <v>246</v>
      </c>
      <c r="AJ91" s="224">
        <f t="shared" si="0"/>
        <v>236</v>
      </c>
      <c r="AK91" s="224">
        <f t="shared" si="0"/>
        <v>227</v>
      </c>
      <c r="AL91" s="224">
        <f t="shared" si="0"/>
        <v>217</v>
      </c>
      <c r="AM91" s="224">
        <f t="shared" si="0"/>
        <v>210</v>
      </c>
      <c r="AN91" s="224">
        <f t="shared" si="0"/>
        <v>202</v>
      </c>
      <c r="AO91" s="224">
        <f t="shared" si="0"/>
        <v>1593</v>
      </c>
      <c r="AP91" s="224">
        <f t="shared" si="0"/>
        <v>315</v>
      </c>
      <c r="AQ91" s="224">
        <f t="shared" si="0"/>
        <v>303</v>
      </c>
      <c r="AR91" s="224">
        <f t="shared" si="0"/>
        <v>298</v>
      </c>
      <c r="AS91" s="224">
        <f t="shared" si="0"/>
        <v>288</v>
      </c>
      <c r="AT91" s="224">
        <f t="shared" si="0"/>
        <v>275</v>
      </c>
      <c r="AU91" s="224">
        <f t="shared" si="0"/>
        <v>267</v>
      </c>
      <c r="AV91" s="224">
        <f t="shared" si="0"/>
        <v>259</v>
      </c>
      <c r="AW91" s="224">
        <f t="shared" si="0"/>
        <v>2005</v>
      </c>
      <c r="AX91" s="224">
        <f t="shared" si="0"/>
        <v>390</v>
      </c>
      <c r="AY91" s="224">
        <f t="shared" si="0"/>
        <v>375</v>
      </c>
      <c r="AZ91" s="224">
        <f t="shared" si="0"/>
        <v>366</v>
      </c>
      <c r="BA91" s="224">
        <f t="shared" si="0"/>
        <v>359</v>
      </c>
      <c r="BB91" s="224">
        <f t="shared" si="0"/>
        <v>346</v>
      </c>
      <c r="BC91" s="224">
        <f t="shared" si="0"/>
        <v>338</v>
      </c>
      <c r="BD91" s="224">
        <f t="shared" si="0"/>
        <v>333</v>
      </c>
      <c r="BE91" s="224">
        <f t="shared" si="0"/>
        <v>2507</v>
      </c>
      <c r="BF91" s="224">
        <f t="shared" si="0"/>
        <v>461</v>
      </c>
      <c r="BG91" s="224">
        <f t="shared" si="0"/>
        <v>445</v>
      </c>
      <c r="BH91" s="224">
        <f t="shared" si="0"/>
        <v>435</v>
      </c>
      <c r="BI91" s="224">
        <f t="shared" si="0"/>
        <v>426</v>
      </c>
      <c r="BJ91" s="224">
        <f t="shared" si="0"/>
        <v>415</v>
      </c>
      <c r="BK91" s="224">
        <f t="shared" si="0"/>
        <v>406</v>
      </c>
      <c r="BL91" s="224">
        <f t="shared" si="0"/>
        <v>401</v>
      </c>
      <c r="BM91" s="224">
        <f t="shared" si="0"/>
        <v>2989</v>
      </c>
      <c r="BN91" s="224">
        <f t="shared" si="0"/>
        <v>521</v>
      </c>
      <c r="BO91" s="224">
        <f t="shared" ref="BO91:DQ91" si="1">SUM(BO3:BO90)</f>
        <v>509</v>
      </c>
      <c r="BP91" s="224">
        <f t="shared" si="1"/>
        <v>497</v>
      </c>
      <c r="BQ91" s="224">
        <f t="shared" si="1"/>
        <v>494</v>
      </c>
      <c r="BR91" s="224">
        <f t="shared" si="1"/>
        <v>486</v>
      </c>
      <c r="BS91" s="224">
        <f t="shared" si="1"/>
        <v>476</v>
      </c>
      <c r="BT91" s="224">
        <f t="shared" si="1"/>
        <v>464</v>
      </c>
      <c r="BU91" s="224">
        <f t="shared" si="1"/>
        <v>3447</v>
      </c>
      <c r="BV91" s="224">
        <f t="shared" si="1"/>
        <v>582</v>
      </c>
      <c r="BW91" s="224">
        <f t="shared" si="1"/>
        <v>571</v>
      </c>
      <c r="BX91" s="224">
        <f t="shared" si="1"/>
        <v>557</v>
      </c>
      <c r="BY91" s="224">
        <f t="shared" si="1"/>
        <v>549</v>
      </c>
      <c r="BZ91" s="224">
        <f t="shared" si="1"/>
        <v>541</v>
      </c>
      <c r="CA91" s="224">
        <f t="shared" si="1"/>
        <v>533</v>
      </c>
      <c r="CB91" s="224">
        <f t="shared" si="1"/>
        <v>523</v>
      </c>
      <c r="CC91" s="224">
        <f t="shared" si="1"/>
        <v>3856</v>
      </c>
      <c r="CD91" s="224">
        <f t="shared" si="1"/>
        <v>630</v>
      </c>
      <c r="CE91" s="224">
        <f t="shared" si="1"/>
        <v>616</v>
      </c>
      <c r="CF91" s="224">
        <f t="shared" si="1"/>
        <v>609</v>
      </c>
      <c r="CG91" s="224">
        <f t="shared" si="1"/>
        <v>599</v>
      </c>
      <c r="CH91" s="224">
        <f t="shared" si="1"/>
        <v>589</v>
      </c>
      <c r="CI91" s="224">
        <f t="shared" si="1"/>
        <v>579</v>
      </c>
      <c r="CJ91" s="224">
        <f t="shared" si="1"/>
        <v>570</v>
      </c>
      <c r="CK91" s="224">
        <f t="shared" si="1"/>
        <v>4192</v>
      </c>
      <c r="CL91" s="224">
        <f t="shared" si="1"/>
        <v>654</v>
      </c>
      <c r="CM91" s="224">
        <f t="shared" si="1"/>
        <v>638</v>
      </c>
      <c r="CN91" s="224">
        <f t="shared" si="1"/>
        <v>630</v>
      </c>
      <c r="CO91" s="224">
        <f t="shared" si="1"/>
        <v>624</v>
      </c>
      <c r="CP91" s="224">
        <f t="shared" si="1"/>
        <v>613</v>
      </c>
      <c r="CQ91" s="224">
        <f t="shared" si="1"/>
        <v>607</v>
      </c>
      <c r="CR91" s="224">
        <f t="shared" si="1"/>
        <v>593</v>
      </c>
      <c r="CS91" s="224">
        <f t="shared" si="1"/>
        <v>4359</v>
      </c>
      <c r="CT91" s="224">
        <f t="shared" si="1"/>
        <v>678</v>
      </c>
      <c r="CU91" s="224">
        <f t="shared" si="1"/>
        <v>663</v>
      </c>
      <c r="CV91" s="224">
        <f t="shared" si="1"/>
        <v>655</v>
      </c>
      <c r="CW91" s="224">
        <f t="shared" si="1"/>
        <v>647</v>
      </c>
      <c r="CX91" s="224">
        <f t="shared" si="1"/>
        <v>636</v>
      </c>
      <c r="CY91" s="224">
        <f t="shared" si="1"/>
        <v>627</v>
      </c>
      <c r="CZ91" s="224">
        <f t="shared" si="1"/>
        <v>617</v>
      </c>
      <c r="DA91" s="224">
        <f t="shared" si="1"/>
        <v>4523</v>
      </c>
      <c r="DB91" s="224">
        <f t="shared" si="1"/>
        <v>702</v>
      </c>
      <c r="DC91" s="224">
        <f t="shared" si="1"/>
        <v>686</v>
      </c>
      <c r="DD91" s="224">
        <f t="shared" si="1"/>
        <v>679</v>
      </c>
      <c r="DE91" s="224">
        <f t="shared" si="1"/>
        <v>674</v>
      </c>
      <c r="DF91" s="224">
        <f t="shared" si="1"/>
        <v>658</v>
      </c>
      <c r="DG91" s="224">
        <f t="shared" si="1"/>
        <v>653</v>
      </c>
      <c r="DH91" s="224">
        <f t="shared" si="1"/>
        <v>642</v>
      </c>
      <c r="DI91" s="224">
        <f t="shared" si="1"/>
        <v>4694</v>
      </c>
      <c r="DJ91" s="224">
        <f t="shared" si="1"/>
        <v>725</v>
      </c>
      <c r="DK91" s="224">
        <f t="shared" si="1"/>
        <v>709</v>
      </c>
      <c r="DL91" s="224">
        <f t="shared" si="1"/>
        <v>702</v>
      </c>
      <c r="DM91" s="224">
        <f t="shared" si="1"/>
        <v>695</v>
      </c>
      <c r="DN91" s="224">
        <f t="shared" si="1"/>
        <v>687</v>
      </c>
      <c r="DO91" s="224">
        <f t="shared" si="1"/>
        <v>679</v>
      </c>
      <c r="DP91" s="224">
        <f t="shared" si="1"/>
        <v>667</v>
      </c>
      <c r="DQ91" s="224">
        <f t="shared" si="1"/>
        <v>4864</v>
      </c>
    </row>
    <row r="92" spans="1:129" x14ac:dyDescent="0.2">
      <c r="J92" s="222"/>
      <c r="Q92" s="221"/>
    </row>
    <row r="93" spans="1:129" x14ac:dyDescent="0.2">
      <c r="J93" s="222"/>
      <c r="Q93" s="221"/>
    </row>
    <row r="94" spans="1:129" x14ac:dyDescent="0.2">
      <c r="A94" s="223" t="str">
        <f>A1</f>
        <v>Housing Development - August 2018</v>
      </c>
      <c r="B94" s="426">
        <f>B1</f>
        <v>2018</v>
      </c>
      <c r="C94" s="426"/>
      <c r="D94" s="426"/>
      <c r="E94" s="426"/>
      <c r="F94" s="426"/>
      <c r="G94" s="426"/>
      <c r="H94" s="426"/>
      <c r="I94" s="426"/>
      <c r="J94" s="427">
        <f>J1</f>
        <v>2019</v>
      </c>
      <c r="K94" s="427"/>
      <c r="L94" s="427"/>
      <c r="M94" s="427"/>
      <c r="N94" s="427"/>
      <c r="O94" s="427"/>
      <c r="P94" s="427"/>
      <c r="Q94" s="427"/>
      <c r="R94" s="426">
        <f>R1</f>
        <v>2020</v>
      </c>
      <c r="S94" s="426"/>
      <c r="T94" s="426"/>
      <c r="U94" s="426"/>
      <c r="V94" s="426"/>
      <c r="W94" s="426"/>
      <c r="X94" s="426"/>
      <c r="Y94" s="426"/>
      <c r="Z94" s="427">
        <f>Z1</f>
        <v>2021</v>
      </c>
      <c r="AA94" s="427"/>
      <c r="AB94" s="427"/>
      <c r="AC94" s="427"/>
      <c r="AD94" s="427"/>
      <c r="AE94" s="427"/>
      <c r="AF94" s="427"/>
      <c r="AG94" s="427"/>
      <c r="AH94" s="426">
        <f>AH1</f>
        <v>2022</v>
      </c>
      <c r="AI94" s="426"/>
      <c r="AJ94" s="426"/>
      <c r="AK94" s="426"/>
      <c r="AL94" s="426"/>
      <c r="AM94" s="426"/>
      <c r="AN94" s="426"/>
      <c r="AO94" s="426"/>
      <c r="AP94" s="427">
        <f>AP1</f>
        <v>2023</v>
      </c>
      <c r="AQ94" s="427"/>
      <c r="AR94" s="427"/>
      <c r="AS94" s="427"/>
      <c r="AT94" s="427"/>
      <c r="AU94" s="427"/>
      <c r="AV94" s="427"/>
      <c r="AW94" s="427"/>
      <c r="AX94" s="426">
        <f>AX1</f>
        <v>2024</v>
      </c>
      <c r="AY94" s="426"/>
      <c r="AZ94" s="426"/>
      <c r="BA94" s="426"/>
      <c r="BB94" s="426"/>
      <c r="BC94" s="426"/>
      <c r="BD94" s="426"/>
      <c r="BE94" s="426"/>
      <c r="BF94" s="427">
        <f>BF1</f>
        <v>2025</v>
      </c>
      <c r="BG94" s="427"/>
      <c r="BH94" s="427"/>
      <c r="BI94" s="427"/>
      <c r="BJ94" s="427"/>
      <c r="BK94" s="427"/>
      <c r="BL94" s="427"/>
      <c r="BM94" s="427"/>
      <c r="BN94" s="426">
        <f>BN1</f>
        <v>2026</v>
      </c>
      <c r="BO94" s="426"/>
      <c r="BP94" s="426"/>
      <c r="BQ94" s="426"/>
      <c r="BR94" s="426"/>
      <c r="BS94" s="426"/>
      <c r="BT94" s="426"/>
      <c r="BU94" s="426"/>
      <c r="BV94" s="427">
        <f>BV1</f>
        <v>2027</v>
      </c>
      <c r="BW94" s="427"/>
      <c r="BX94" s="427"/>
      <c r="BY94" s="427"/>
      <c r="BZ94" s="427"/>
      <c r="CA94" s="427"/>
      <c r="CB94" s="427"/>
      <c r="CC94" s="427"/>
      <c r="CD94" s="426">
        <f>CD1</f>
        <v>2028</v>
      </c>
      <c r="CE94" s="426"/>
      <c r="CF94" s="426"/>
      <c r="CG94" s="426"/>
      <c r="CH94" s="426"/>
      <c r="CI94" s="426"/>
      <c r="CJ94" s="426"/>
      <c r="CK94" s="426"/>
      <c r="CL94" s="427">
        <f>CL1</f>
        <v>2029</v>
      </c>
      <c r="CM94" s="427"/>
      <c r="CN94" s="427"/>
      <c r="CO94" s="427"/>
      <c r="CP94" s="427"/>
      <c r="CQ94" s="427"/>
      <c r="CR94" s="427"/>
      <c r="CS94" s="427"/>
      <c r="CT94" s="426">
        <f>CT1</f>
        <v>2030</v>
      </c>
      <c r="CU94" s="426"/>
      <c r="CV94" s="426"/>
      <c r="CW94" s="426"/>
      <c r="CX94" s="426"/>
      <c r="CY94" s="426"/>
      <c r="CZ94" s="426"/>
      <c r="DA94" s="426"/>
      <c r="DB94" s="427">
        <f>DB1</f>
        <v>2031</v>
      </c>
      <c r="DC94" s="427"/>
      <c r="DD94" s="427"/>
      <c r="DE94" s="427"/>
      <c r="DF94" s="427"/>
      <c r="DG94" s="427"/>
      <c r="DH94" s="427"/>
      <c r="DI94" s="427"/>
      <c r="DJ94" s="426">
        <f>DJ1</f>
        <v>2032</v>
      </c>
      <c r="DK94" s="426"/>
      <c r="DL94" s="426"/>
      <c r="DM94" s="426"/>
      <c r="DN94" s="426"/>
      <c r="DO94" s="426"/>
      <c r="DP94" s="426"/>
      <c r="DQ94" s="426"/>
    </row>
    <row r="95" spans="1:129" x14ac:dyDescent="0.2">
      <c r="A95" s="225" t="s">
        <v>2</v>
      </c>
      <c r="B95" s="224" t="s">
        <v>1</v>
      </c>
      <c r="C95" s="224" t="s">
        <v>115</v>
      </c>
      <c r="D95" s="224" t="s">
        <v>116</v>
      </c>
      <c r="E95" s="224" t="s">
        <v>117</v>
      </c>
      <c r="F95" s="224" t="s">
        <v>118</v>
      </c>
      <c r="G95" s="224" t="s">
        <v>119</v>
      </c>
      <c r="H95" s="224" t="s">
        <v>120</v>
      </c>
      <c r="I95" s="224" t="s">
        <v>138</v>
      </c>
      <c r="J95" s="225" t="s">
        <v>1</v>
      </c>
      <c r="K95" s="225" t="s">
        <v>115</v>
      </c>
      <c r="L95" s="225" t="s">
        <v>116</v>
      </c>
      <c r="M95" s="225" t="s">
        <v>117</v>
      </c>
      <c r="N95" s="225" t="s">
        <v>118</v>
      </c>
      <c r="O95" s="225" t="s">
        <v>119</v>
      </c>
      <c r="P95" s="225" t="s">
        <v>120</v>
      </c>
      <c r="Q95" s="225" t="s">
        <v>138</v>
      </c>
      <c r="R95" s="224" t="s">
        <v>1</v>
      </c>
      <c r="S95" s="224" t="s">
        <v>115</v>
      </c>
      <c r="T95" s="224" t="s">
        <v>116</v>
      </c>
      <c r="U95" s="224" t="s">
        <v>117</v>
      </c>
      <c r="V95" s="224" t="s">
        <v>118</v>
      </c>
      <c r="W95" s="224" t="s">
        <v>119</v>
      </c>
      <c r="X95" s="224" t="s">
        <v>120</v>
      </c>
      <c r="Y95" s="224" t="s">
        <v>138</v>
      </c>
      <c r="Z95" s="225" t="s">
        <v>1</v>
      </c>
      <c r="AA95" s="225" t="s">
        <v>115</v>
      </c>
      <c r="AB95" s="225" t="s">
        <v>116</v>
      </c>
      <c r="AC95" s="225" t="s">
        <v>117</v>
      </c>
      <c r="AD95" s="225" t="s">
        <v>118</v>
      </c>
      <c r="AE95" s="225" t="s">
        <v>119</v>
      </c>
      <c r="AF95" s="225" t="s">
        <v>120</v>
      </c>
      <c r="AG95" s="225" t="s">
        <v>138</v>
      </c>
      <c r="AH95" s="224" t="s">
        <v>1</v>
      </c>
      <c r="AI95" s="224" t="s">
        <v>115</v>
      </c>
      <c r="AJ95" s="224" t="s">
        <v>116</v>
      </c>
      <c r="AK95" s="224" t="s">
        <v>117</v>
      </c>
      <c r="AL95" s="224" t="s">
        <v>118</v>
      </c>
      <c r="AM95" s="224" t="s">
        <v>119</v>
      </c>
      <c r="AN95" s="224" t="s">
        <v>120</v>
      </c>
      <c r="AO95" s="224" t="s">
        <v>138</v>
      </c>
      <c r="AP95" s="225" t="s">
        <v>1</v>
      </c>
      <c r="AQ95" s="225" t="s">
        <v>115</v>
      </c>
      <c r="AR95" s="225" t="s">
        <v>116</v>
      </c>
      <c r="AS95" s="225" t="s">
        <v>117</v>
      </c>
      <c r="AT95" s="225" t="s">
        <v>118</v>
      </c>
      <c r="AU95" s="225" t="s">
        <v>119</v>
      </c>
      <c r="AV95" s="225" t="s">
        <v>120</v>
      </c>
      <c r="AW95" s="225" t="s">
        <v>138</v>
      </c>
      <c r="AX95" s="224" t="s">
        <v>1</v>
      </c>
      <c r="AY95" s="224" t="s">
        <v>115</v>
      </c>
      <c r="AZ95" s="224" t="s">
        <v>116</v>
      </c>
      <c r="BA95" s="224" t="s">
        <v>117</v>
      </c>
      <c r="BB95" s="224" t="s">
        <v>118</v>
      </c>
      <c r="BC95" s="224" t="s">
        <v>119</v>
      </c>
      <c r="BD95" s="224" t="s">
        <v>120</v>
      </c>
      <c r="BE95" s="224" t="s">
        <v>138</v>
      </c>
      <c r="BF95" s="225" t="s">
        <v>1</v>
      </c>
      <c r="BG95" s="225" t="s">
        <v>115</v>
      </c>
      <c r="BH95" s="225" t="s">
        <v>116</v>
      </c>
      <c r="BI95" s="225" t="s">
        <v>117</v>
      </c>
      <c r="BJ95" s="225" t="s">
        <v>118</v>
      </c>
      <c r="BK95" s="225" t="s">
        <v>119</v>
      </c>
      <c r="BL95" s="225" t="s">
        <v>120</v>
      </c>
      <c r="BM95" s="225" t="s">
        <v>138</v>
      </c>
      <c r="BN95" s="224" t="s">
        <v>1</v>
      </c>
      <c r="BO95" s="224" t="s">
        <v>115</v>
      </c>
      <c r="BP95" s="224" t="s">
        <v>116</v>
      </c>
      <c r="BQ95" s="224" t="s">
        <v>117</v>
      </c>
      <c r="BR95" s="224" t="s">
        <v>118</v>
      </c>
      <c r="BS95" s="224" t="s">
        <v>119</v>
      </c>
      <c r="BT95" s="224" t="s">
        <v>120</v>
      </c>
      <c r="BU95" s="224" t="s">
        <v>138</v>
      </c>
      <c r="BV95" s="225" t="s">
        <v>1</v>
      </c>
      <c r="BW95" s="225" t="s">
        <v>115</v>
      </c>
      <c r="BX95" s="225" t="s">
        <v>116</v>
      </c>
      <c r="BY95" s="225" t="s">
        <v>117</v>
      </c>
      <c r="BZ95" s="225" t="s">
        <v>118</v>
      </c>
      <c r="CA95" s="225" t="s">
        <v>119</v>
      </c>
      <c r="CB95" s="225" t="s">
        <v>120</v>
      </c>
      <c r="CC95" s="225" t="s">
        <v>138</v>
      </c>
      <c r="CD95" s="224" t="s">
        <v>1</v>
      </c>
      <c r="CE95" s="224" t="s">
        <v>115</v>
      </c>
      <c r="CF95" s="224" t="s">
        <v>116</v>
      </c>
      <c r="CG95" s="224" t="s">
        <v>117</v>
      </c>
      <c r="CH95" s="224" t="s">
        <v>118</v>
      </c>
      <c r="CI95" s="224" t="s">
        <v>119</v>
      </c>
      <c r="CJ95" s="224" t="s">
        <v>120</v>
      </c>
      <c r="CK95" s="224" t="s">
        <v>138</v>
      </c>
      <c r="CL95" s="225" t="s">
        <v>1</v>
      </c>
      <c r="CM95" s="225" t="s">
        <v>115</v>
      </c>
      <c r="CN95" s="225" t="s">
        <v>116</v>
      </c>
      <c r="CO95" s="225" t="s">
        <v>117</v>
      </c>
      <c r="CP95" s="225" t="s">
        <v>118</v>
      </c>
      <c r="CQ95" s="225" t="s">
        <v>119</v>
      </c>
      <c r="CR95" s="225" t="s">
        <v>120</v>
      </c>
      <c r="CS95" s="225" t="s">
        <v>138</v>
      </c>
      <c r="CT95" s="224" t="s">
        <v>1</v>
      </c>
      <c r="CU95" s="224" t="s">
        <v>115</v>
      </c>
      <c r="CV95" s="224" t="s">
        <v>116</v>
      </c>
      <c r="CW95" s="224" t="s">
        <v>117</v>
      </c>
      <c r="CX95" s="224" t="s">
        <v>118</v>
      </c>
      <c r="CY95" s="224" t="s">
        <v>119</v>
      </c>
      <c r="CZ95" s="224" t="s">
        <v>120</v>
      </c>
      <c r="DA95" s="224" t="s">
        <v>138</v>
      </c>
      <c r="DB95" s="225" t="s">
        <v>1</v>
      </c>
      <c r="DC95" s="225" t="s">
        <v>115</v>
      </c>
      <c r="DD95" s="225" t="s">
        <v>116</v>
      </c>
      <c r="DE95" s="225" t="s">
        <v>117</v>
      </c>
      <c r="DF95" s="225" t="s">
        <v>118</v>
      </c>
      <c r="DG95" s="225" t="s">
        <v>119</v>
      </c>
      <c r="DH95" s="225" t="s">
        <v>120</v>
      </c>
      <c r="DI95" s="225" t="s">
        <v>138</v>
      </c>
      <c r="DJ95" s="224" t="s">
        <v>1</v>
      </c>
      <c r="DK95" s="224" t="s">
        <v>115</v>
      </c>
      <c r="DL95" s="224" t="s">
        <v>116</v>
      </c>
      <c r="DM95" s="224" t="s">
        <v>117</v>
      </c>
      <c r="DN95" s="224" t="s">
        <v>118</v>
      </c>
      <c r="DO95" s="224" t="s">
        <v>119</v>
      </c>
      <c r="DP95" s="224" t="s">
        <v>120</v>
      </c>
      <c r="DQ95" s="224" t="s">
        <v>138</v>
      </c>
    </row>
    <row r="96" spans="1:129" x14ac:dyDescent="0.2">
      <c r="A96" s="231" t="s">
        <v>97</v>
      </c>
      <c r="B96" s="245">
        <f>B28+B63</f>
        <v>1</v>
      </c>
      <c r="C96" s="245">
        <f t="shared" ref="C96:BN96" si="2">C28+C63</f>
        <v>1</v>
      </c>
      <c r="D96" s="245">
        <f t="shared" si="2"/>
        <v>1</v>
      </c>
      <c r="E96" s="245">
        <f t="shared" si="2"/>
        <v>1</v>
      </c>
      <c r="F96" s="245">
        <f t="shared" si="2"/>
        <v>1</v>
      </c>
      <c r="G96" s="245">
        <f t="shared" si="2"/>
        <v>1</v>
      </c>
      <c r="H96" s="245">
        <f t="shared" si="2"/>
        <v>1</v>
      </c>
      <c r="I96" s="224">
        <f t="shared" si="2"/>
        <v>7</v>
      </c>
      <c r="J96" s="229">
        <f t="shared" si="2"/>
        <v>4</v>
      </c>
      <c r="K96" s="229">
        <f t="shared" si="2"/>
        <v>2</v>
      </c>
      <c r="L96" s="229">
        <f t="shared" si="2"/>
        <v>2</v>
      </c>
      <c r="M96" s="229">
        <f t="shared" si="2"/>
        <v>2</v>
      </c>
      <c r="N96" s="229">
        <f t="shared" si="2"/>
        <v>2</v>
      </c>
      <c r="O96" s="229">
        <f t="shared" si="2"/>
        <v>2</v>
      </c>
      <c r="P96" s="229">
        <f t="shared" si="2"/>
        <v>2</v>
      </c>
      <c r="Q96" s="225">
        <f t="shared" si="2"/>
        <v>16</v>
      </c>
      <c r="R96" s="245">
        <f t="shared" si="2"/>
        <v>5</v>
      </c>
      <c r="S96" s="245">
        <f t="shared" si="2"/>
        <v>5</v>
      </c>
      <c r="T96" s="245">
        <f t="shared" si="2"/>
        <v>4</v>
      </c>
      <c r="U96" s="245">
        <f t="shared" si="2"/>
        <v>4</v>
      </c>
      <c r="V96" s="245">
        <f t="shared" si="2"/>
        <v>3</v>
      </c>
      <c r="W96" s="245">
        <f t="shared" si="2"/>
        <v>3</v>
      </c>
      <c r="X96" s="245">
        <f t="shared" si="2"/>
        <v>3</v>
      </c>
      <c r="Y96" s="224">
        <f t="shared" si="2"/>
        <v>27</v>
      </c>
      <c r="Z96" s="229">
        <f t="shared" si="2"/>
        <v>6</v>
      </c>
      <c r="AA96" s="229">
        <f t="shared" si="2"/>
        <v>6</v>
      </c>
      <c r="AB96" s="229">
        <f t="shared" si="2"/>
        <v>6</v>
      </c>
      <c r="AC96" s="229">
        <f t="shared" si="2"/>
        <v>5</v>
      </c>
      <c r="AD96" s="229">
        <f t="shared" si="2"/>
        <v>4</v>
      </c>
      <c r="AE96" s="229">
        <f t="shared" si="2"/>
        <v>4</v>
      </c>
      <c r="AF96" s="229">
        <f t="shared" si="2"/>
        <v>4</v>
      </c>
      <c r="AG96" s="225">
        <f t="shared" si="2"/>
        <v>35</v>
      </c>
      <c r="AH96" s="245">
        <f t="shared" si="2"/>
        <v>7</v>
      </c>
      <c r="AI96" s="245">
        <f t="shared" si="2"/>
        <v>7</v>
      </c>
      <c r="AJ96" s="245">
        <f t="shared" si="2"/>
        <v>7</v>
      </c>
      <c r="AK96" s="245">
        <f t="shared" si="2"/>
        <v>7</v>
      </c>
      <c r="AL96" s="245">
        <f t="shared" si="2"/>
        <v>6</v>
      </c>
      <c r="AM96" s="245">
        <f t="shared" si="2"/>
        <v>5</v>
      </c>
      <c r="AN96" s="245">
        <f t="shared" si="2"/>
        <v>5</v>
      </c>
      <c r="AO96" s="224">
        <f t="shared" si="2"/>
        <v>44</v>
      </c>
      <c r="AP96" s="229">
        <f t="shared" si="2"/>
        <v>7</v>
      </c>
      <c r="AQ96" s="229">
        <f t="shared" si="2"/>
        <v>7</v>
      </c>
      <c r="AR96" s="229">
        <f t="shared" si="2"/>
        <v>7</v>
      </c>
      <c r="AS96" s="229">
        <f t="shared" si="2"/>
        <v>7</v>
      </c>
      <c r="AT96" s="229">
        <f t="shared" si="2"/>
        <v>6</v>
      </c>
      <c r="AU96" s="229">
        <f t="shared" si="2"/>
        <v>5</v>
      </c>
      <c r="AV96" s="229">
        <f t="shared" si="2"/>
        <v>5</v>
      </c>
      <c r="AW96" s="225">
        <f t="shared" si="2"/>
        <v>44</v>
      </c>
      <c r="AX96" s="245">
        <f t="shared" si="2"/>
        <v>7</v>
      </c>
      <c r="AY96" s="245">
        <f t="shared" si="2"/>
        <v>7</v>
      </c>
      <c r="AZ96" s="245">
        <f t="shared" si="2"/>
        <v>7</v>
      </c>
      <c r="BA96" s="245">
        <f t="shared" si="2"/>
        <v>7</v>
      </c>
      <c r="BB96" s="245">
        <f t="shared" si="2"/>
        <v>6</v>
      </c>
      <c r="BC96" s="245">
        <f t="shared" si="2"/>
        <v>5</v>
      </c>
      <c r="BD96" s="245">
        <f t="shared" si="2"/>
        <v>5</v>
      </c>
      <c r="BE96" s="224">
        <f t="shared" si="2"/>
        <v>44</v>
      </c>
      <c r="BF96" s="229">
        <f t="shared" si="2"/>
        <v>7</v>
      </c>
      <c r="BG96" s="229">
        <f t="shared" si="2"/>
        <v>7</v>
      </c>
      <c r="BH96" s="229">
        <f t="shared" si="2"/>
        <v>7</v>
      </c>
      <c r="BI96" s="229">
        <f t="shared" si="2"/>
        <v>7</v>
      </c>
      <c r="BJ96" s="229">
        <f t="shared" si="2"/>
        <v>6</v>
      </c>
      <c r="BK96" s="229">
        <f t="shared" si="2"/>
        <v>5</v>
      </c>
      <c r="BL96" s="229">
        <f t="shared" si="2"/>
        <v>5</v>
      </c>
      <c r="BM96" s="225">
        <f t="shared" si="2"/>
        <v>44</v>
      </c>
      <c r="BN96" s="245">
        <f t="shared" si="2"/>
        <v>7</v>
      </c>
      <c r="BO96" s="245">
        <f t="shared" ref="BO96:DQ96" si="3">BO28+BO63</f>
        <v>7</v>
      </c>
      <c r="BP96" s="245">
        <f t="shared" si="3"/>
        <v>7</v>
      </c>
      <c r="BQ96" s="245">
        <f t="shared" si="3"/>
        <v>7</v>
      </c>
      <c r="BR96" s="245">
        <f t="shared" si="3"/>
        <v>6</v>
      </c>
      <c r="BS96" s="245">
        <f t="shared" si="3"/>
        <v>5</v>
      </c>
      <c r="BT96" s="245">
        <f t="shared" si="3"/>
        <v>5</v>
      </c>
      <c r="BU96" s="224">
        <f t="shared" si="3"/>
        <v>44</v>
      </c>
      <c r="BV96" s="229">
        <f t="shared" si="3"/>
        <v>7</v>
      </c>
      <c r="BW96" s="229">
        <f t="shared" si="3"/>
        <v>7</v>
      </c>
      <c r="BX96" s="229">
        <f t="shared" si="3"/>
        <v>7</v>
      </c>
      <c r="BY96" s="229">
        <f t="shared" si="3"/>
        <v>7</v>
      </c>
      <c r="BZ96" s="229">
        <f t="shared" si="3"/>
        <v>6</v>
      </c>
      <c r="CA96" s="229">
        <f t="shared" si="3"/>
        <v>5</v>
      </c>
      <c r="CB96" s="229">
        <f t="shared" si="3"/>
        <v>5</v>
      </c>
      <c r="CC96" s="225">
        <f t="shared" si="3"/>
        <v>44</v>
      </c>
      <c r="CD96" s="245">
        <f t="shared" si="3"/>
        <v>7</v>
      </c>
      <c r="CE96" s="245">
        <f t="shared" si="3"/>
        <v>7</v>
      </c>
      <c r="CF96" s="245">
        <f t="shared" si="3"/>
        <v>7</v>
      </c>
      <c r="CG96" s="245">
        <f t="shared" si="3"/>
        <v>7</v>
      </c>
      <c r="CH96" s="245">
        <f t="shared" si="3"/>
        <v>6</v>
      </c>
      <c r="CI96" s="245">
        <f t="shared" si="3"/>
        <v>5</v>
      </c>
      <c r="CJ96" s="245">
        <f t="shared" si="3"/>
        <v>5</v>
      </c>
      <c r="CK96" s="224">
        <f t="shared" si="3"/>
        <v>44</v>
      </c>
      <c r="CL96" s="229">
        <f t="shared" si="3"/>
        <v>7</v>
      </c>
      <c r="CM96" s="229">
        <f t="shared" si="3"/>
        <v>7</v>
      </c>
      <c r="CN96" s="229">
        <f t="shared" si="3"/>
        <v>7</v>
      </c>
      <c r="CO96" s="229">
        <f t="shared" si="3"/>
        <v>7</v>
      </c>
      <c r="CP96" s="229">
        <f t="shared" si="3"/>
        <v>6</v>
      </c>
      <c r="CQ96" s="229">
        <f t="shared" si="3"/>
        <v>5</v>
      </c>
      <c r="CR96" s="229">
        <f t="shared" si="3"/>
        <v>5</v>
      </c>
      <c r="CS96" s="225">
        <f t="shared" si="3"/>
        <v>44</v>
      </c>
      <c r="CT96" s="245">
        <f t="shared" si="3"/>
        <v>7</v>
      </c>
      <c r="CU96" s="245">
        <f t="shared" si="3"/>
        <v>7</v>
      </c>
      <c r="CV96" s="245">
        <f t="shared" si="3"/>
        <v>7</v>
      </c>
      <c r="CW96" s="245">
        <f t="shared" si="3"/>
        <v>7</v>
      </c>
      <c r="CX96" s="245">
        <f t="shared" si="3"/>
        <v>6</v>
      </c>
      <c r="CY96" s="245">
        <f t="shared" si="3"/>
        <v>5</v>
      </c>
      <c r="CZ96" s="245">
        <f t="shared" si="3"/>
        <v>5</v>
      </c>
      <c r="DA96" s="224">
        <f t="shared" si="3"/>
        <v>44</v>
      </c>
      <c r="DB96" s="229">
        <f t="shared" si="3"/>
        <v>7</v>
      </c>
      <c r="DC96" s="229">
        <f t="shared" si="3"/>
        <v>7</v>
      </c>
      <c r="DD96" s="229">
        <f t="shared" si="3"/>
        <v>7</v>
      </c>
      <c r="DE96" s="229">
        <f t="shared" si="3"/>
        <v>7</v>
      </c>
      <c r="DF96" s="229">
        <f t="shared" si="3"/>
        <v>6</v>
      </c>
      <c r="DG96" s="229">
        <f t="shared" si="3"/>
        <v>5</v>
      </c>
      <c r="DH96" s="229">
        <f t="shared" si="3"/>
        <v>5</v>
      </c>
      <c r="DI96" s="225">
        <f t="shared" si="3"/>
        <v>44</v>
      </c>
      <c r="DJ96" s="245">
        <f t="shared" si="3"/>
        <v>7</v>
      </c>
      <c r="DK96" s="245">
        <f t="shared" si="3"/>
        <v>7</v>
      </c>
      <c r="DL96" s="245">
        <f t="shared" si="3"/>
        <v>7</v>
      </c>
      <c r="DM96" s="245">
        <f t="shared" si="3"/>
        <v>7</v>
      </c>
      <c r="DN96" s="245">
        <f t="shared" si="3"/>
        <v>6</v>
      </c>
      <c r="DO96" s="245">
        <f t="shared" si="3"/>
        <v>5</v>
      </c>
      <c r="DP96" s="245">
        <f t="shared" si="3"/>
        <v>5</v>
      </c>
      <c r="DQ96" s="224">
        <f t="shared" si="3"/>
        <v>44</v>
      </c>
      <c r="DR96" s="246"/>
      <c r="DS96" s="247"/>
      <c r="DT96" s="247"/>
      <c r="DU96" s="247"/>
      <c r="DV96" s="247"/>
      <c r="DW96" s="247"/>
      <c r="DX96" s="247"/>
      <c r="DY96" s="248"/>
    </row>
    <row r="97" spans="1:129" x14ac:dyDescent="0.2">
      <c r="A97" s="231" t="s">
        <v>92</v>
      </c>
      <c r="B97" s="245">
        <f>B68+B10+B11</f>
        <v>2</v>
      </c>
      <c r="C97" s="245">
        <f t="shared" ref="C97:BN97" si="4">C68+C10+C11</f>
        <v>2</v>
      </c>
      <c r="D97" s="245">
        <f t="shared" si="4"/>
        <v>2</v>
      </c>
      <c r="E97" s="245">
        <f t="shared" si="4"/>
        <v>2</v>
      </c>
      <c r="F97" s="245">
        <f t="shared" si="4"/>
        <v>0</v>
      </c>
      <c r="G97" s="245">
        <f t="shared" si="4"/>
        <v>0</v>
      </c>
      <c r="H97" s="245">
        <f t="shared" si="4"/>
        <v>0</v>
      </c>
      <c r="I97" s="224">
        <f t="shared" si="4"/>
        <v>8</v>
      </c>
      <c r="J97" s="229">
        <f t="shared" si="4"/>
        <v>1</v>
      </c>
      <c r="K97" s="229">
        <f t="shared" si="4"/>
        <v>1</v>
      </c>
      <c r="L97" s="229">
        <f t="shared" si="4"/>
        <v>1</v>
      </c>
      <c r="M97" s="229">
        <f t="shared" si="4"/>
        <v>1</v>
      </c>
      <c r="N97" s="229">
        <f t="shared" si="4"/>
        <v>0</v>
      </c>
      <c r="O97" s="229">
        <f t="shared" si="4"/>
        <v>0</v>
      </c>
      <c r="P97" s="229">
        <f t="shared" si="4"/>
        <v>0</v>
      </c>
      <c r="Q97" s="225">
        <f t="shared" si="4"/>
        <v>4</v>
      </c>
      <c r="R97" s="245">
        <f t="shared" si="4"/>
        <v>2</v>
      </c>
      <c r="S97" s="245">
        <f t="shared" si="4"/>
        <v>2</v>
      </c>
      <c r="T97" s="245">
        <f t="shared" si="4"/>
        <v>2</v>
      </c>
      <c r="U97" s="245">
        <f t="shared" si="4"/>
        <v>1</v>
      </c>
      <c r="V97" s="245">
        <f t="shared" si="4"/>
        <v>1</v>
      </c>
      <c r="W97" s="245">
        <f t="shared" si="4"/>
        <v>1</v>
      </c>
      <c r="X97" s="245">
        <f t="shared" si="4"/>
        <v>1</v>
      </c>
      <c r="Y97" s="224">
        <f t="shared" si="4"/>
        <v>10</v>
      </c>
      <c r="Z97" s="229">
        <f t="shared" si="4"/>
        <v>3</v>
      </c>
      <c r="AA97" s="229">
        <f t="shared" si="4"/>
        <v>3</v>
      </c>
      <c r="AB97" s="229">
        <f t="shared" si="4"/>
        <v>2</v>
      </c>
      <c r="AC97" s="229">
        <f t="shared" si="4"/>
        <v>2</v>
      </c>
      <c r="AD97" s="229">
        <f t="shared" si="4"/>
        <v>2</v>
      </c>
      <c r="AE97" s="229">
        <f t="shared" si="4"/>
        <v>2</v>
      </c>
      <c r="AF97" s="229">
        <f t="shared" si="4"/>
        <v>2</v>
      </c>
      <c r="AG97" s="225">
        <f t="shared" si="4"/>
        <v>16</v>
      </c>
      <c r="AH97" s="245">
        <f t="shared" si="4"/>
        <v>3</v>
      </c>
      <c r="AI97" s="245">
        <f t="shared" si="4"/>
        <v>3</v>
      </c>
      <c r="AJ97" s="245">
        <f t="shared" si="4"/>
        <v>3</v>
      </c>
      <c r="AK97" s="245">
        <f t="shared" si="4"/>
        <v>3</v>
      </c>
      <c r="AL97" s="245">
        <f t="shared" si="4"/>
        <v>2</v>
      </c>
      <c r="AM97" s="245">
        <f t="shared" si="4"/>
        <v>2</v>
      </c>
      <c r="AN97" s="245">
        <f t="shared" si="4"/>
        <v>2</v>
      </c>
      <c r="AO97" s="224">
        <f t="shared" si="4"/>
        <v>18</v>
      </c>
      <c r="AP97" s="229">
        <f t="shared" si="4"/>
        <v>3</v>
      </c>
      <c r="AQ97" s="229">
        <f t="shared" si="4"/>
        <v>3</v>
      </c>
      <c r="AR97" s="229">
        <f t="shared" si="4"/>
        <v>3</v>
      </c>
      <c r="AS97" s="229">
        <f t="shared" si="4"/>
        <v>3</v>
      </c>
      <c r="AT97" s="229">
        <f t="shared" si="4"/>
        <v>2</v>
      </c>
      <c r="AU97" s="229">
        <f t="shared" si="4"/>
        <v>2</v>
      </c>
      <c r="AV97" s="229">
        <f t="shared" si="4"/>
        <v>2</v>
      </c>
      <c r="AW97" s="225">
        <f t="shared" si="4"/>
        <v>18</v>
      </c>
      <c r="AX97" s="245">
        <f t="shared" si="4"/>
        <v>4</v>
      </c>
      <c r="AY97" s="245">
        <f t="shared" si="4"/>
        <v>4</v>
      </c>
      <c r="AZ97" s="245">
        <f t="shared" si="4"/>
        <v>4</v>
      </c>
      <c r="BA97" s="245">
        <f t="shared" si="4"/>
        <v>4</v>
      </c>
      <c r="BB97" s="245">
        <f t="shared" si="4"/>
        <v>3</v>
      </c>
      <c r="BC97" s="245">
        <f t="shared" si="4"/>
        <v>3</v>
      </c>
      <c r="BD97" s="245">
        <f t="shared" si="4"/>
        <v>3</v>
      </c>
      <c r="BE97" s="224">
        <f t="shared" si="4"/>
        <v>25</v>
      </c>
      <c r="BF97" s="229">
        <f t="shared" si="4"/>
        <v>4</v>
      </c>
      <c r="BG97" s="229">
        <f t="shared" si="4"/>
        <v>4</v>
      </c>
      <c r="BH97" s="229">
        <f t="shared" si="4"/>
        <v>4</v>
      </c>
      <c r="BI97" s="229">
        <f t="shared" si="4"/>
        <v>4</v>
      </c>
      <c r="BJ97" s="229">
        <f t="shared" si="4"/>
        <v>3</v>
      </c>
      <c r="BK97" s="229">
        <f t="shared" si="4"/>
        <v>3</v>
      </c>
      <c r="BL97" s="229">
        <f t="shared" si="4"/>
        <v>3</v>
      </c>
      <c r="BM97" s="225">
        <f t="shared" si="4"/>
        <v>25</v>
      </c>
      <c r="BN97" s="245">
        <f t="shared" si="4"/>
        <v>4</v>
      </c>
      <c r="BO97" s="245">
        <f t="shared" ref="BO97:DQ97" si="5">BO68+BO10+BO11</f>
        <v>4</v>
      </c>
      <c r="BP97" s="245">
        <f t="shared" si="5"/>
        <v>4</v>
      </c>
      <c r="BQ97" s="245">
        <f t="shared" si="5"/>
        <v>4</v>
      </c>
      <c r="BR97" s="245">
        <f t="shared" si="5"/>
        <v>3</v>
      </c>
      <c r="BS97" s="245">
        <f t="shared" si="5"/>
        <v>3</v>
      </c>
      <c r="BT97" s="245">
        <f t="shared" si="5"/>
        <v>3</v>
      </c>
      <c r="BU97" s="224">
        <f t="shared" si="5"/>
        <v>25</v>
      </c>
      <c r="BV97" s="229">
        <f t="shared" si="5"/>
        <v>4</v>
      </c>
      <c r="BW97" s="229">
        <f t="shared" si="5"/>
        <v>4</v>
      </c>
      <c r="BX97" s="229">
        <f t="shared" si="5"/>
        <v>4</v>
      </c>
      <c r="BY97" s="229">
        <f t="shared" si="5"/>
        <v>4</v>
      </c>
      <c r="BZ97" s="229">
        <f t="shared" si="5"/>
        <v>3</v>
      </c>
      <c r="CA97" s="229">
        <f t="shared" si="5"/>
        <v>3</v>
      </c>
      <c r="CB97" s="229">
        <f t="shared" si="5"/>
        <v>3</v>
      </c>
      <c r="CC97" s="225">
        <f t="shared" si="5"/>
        <v>25</v>
      </c>
      <c r="CD97" s="245">
        <f t="shared" si="5"/>
        <v>4</v>
      </c>
      <c r="CE97" s="245">
        <f t="shared" si="5"/>
        <v>4</v>
      </c>
      <c r="CF97" s="245">
        <f t="shared" si="5"/>
        <v>4</v>
      </c>
      <c r="CG97" s="245">
        <f t="shared" si="5"/>
        <v>4</v>
      </c>
      <c r="CH97" s="245">
        <f t="shared" si="5"/>
        <v>3</v>
      </c>
      <c r="CI97" s="245">
        <f t="shared" si="5"/>
        <v>3</v>
      </c>
      <c r="CJ97" s="245">
        <f t="shared" si="5"/>
        <v>3</v>
      </c>
      <c r="CK97" s="224">
        <f t="shared" si="5"/>
        <v>25</v>
      </c>
      <c r="CL97" s="229">
        <f t="shared" si="5"/>
        <v>4</v>
      </c>
      <c r="CM97" s="229">
        <f t="shared" si="5"/>
        <v>4</v>
      </c>
      <c r="CN97" s="229">
        <f t="shared" si="5"/>
        <v>4</v>
      </c>
      <c r="CO97" s="229">
        <f t="shared" si="5"/>
        <v>4</v>
      </c>
      <c r="CP97" s="229">
        <f t="shared" si="5"/>
        <v>3</v>
      </c>
      <c r="CQ97" s="229">
        <f t="shared" si="5"/>
        <v>3</v>
      </c>
      <c r="CR97" s="229">
        <f t="shared" si="5"/>
        <v>3</v>
      </c>
      <c r="CS97" s="225">
        <f t="shared" si="5"/>
        <v>25</v>
      </c>
      <c r="CT97" s="245">
        <f t="shared" si="5"/>
        <v>4</v>
      </c>
      <c r="CU97" s="245">
        <f t="shared" si="5"/>
        <v>4</v>
      </c>
      <c r="CV97" s="245">
        <f t="shared" si="5"/>
        <v>4</v>
      </c>
      <c r="CW97" s="245">
        <f t="shared" si="5"/>
        <v>4</v>
      </c>
      <c r="CX97" s="245">
        <f t="shared" si="5"/>
        <v>3</v>
      </c>
      <c r="CY97" s="245">
        <f t="shared" si="5"/>
        <v>3</v>
      </c>
      <c r="CZ97" s="245">
        <f t="shared" si="5"/>
        <v>3</v>
      </c>
      <c r="DA97" s="224">
        <f t="shared" si="5"/>
        <v>25</v>
      </c>
      <c r="DB97" s="229">
        <f t="shared" si="5"/>
        <v>4</v>
      </c>
      <c r="DC97" s="229">
        <f t="shared" si="5"/>
        <v>4</v>
      </c>
      <c r="DD97" s="229">
        <f t="shared" si="5"/>
        <v>4</v>
      </c>
      <c r="DE97" s="229">
        <f t="shared" si="5"/>
        <v>4</v>
      </c>
      <c r="DF97" s="229">
        <f t="shared" si="5"/>
        <v>3</v>
      </c>
      <c r="DG97" s="229">
        <f t="shared" si="5"/>
        <v>3</v>
      </c>
      <c r="DH97" s="229">
        <f t="shared" si="5"/>
        <v>3</v>
      </c>
      <c r="DI97" s="225">
        <f t="shared" si="5"/>
        <v>25</v>
      </c>
      <c r="DJ97" s="245">
        <f t="shared" si="5"/>
        <v>4</v>
      </c>
      <c r="DK97" s="245">
        <f t="shared" si="5"/>
        <v>4</v>
      </c>
      <c r="DL97" s="245">
        <f t="shared" si="5"/>
        <v>4</v>
      </c>
      <c r="DM97" s="245">
        <f t="shared" si="5"/>
        <v>4</v>
      </c>
      <c r="DN97" s="245">
        <f t="shared" si="5"/>
        <v>3</v>
      </c>
      <c r="DO97" s="245">
        <f t="shared" si="5"/>
        <v>3</v>
      </c>
      <c r="DP97" s="245">
        <f t="shared" si="5"/>
        <v>3</v>
      </c>
      <c r="DQ97" s="224">
        <f t="shared" si="5"/>
        <v>25</v>
      </c>
      <c r="DR97" s="246"/>
      <c r="DS97" s="247"/>
      <c r="DT97" s="247"/>
      <c r="DU97" s="247"/>
      <c r="DV97" s="247"/>
      <c r="DW97" s="247"/>
      <c r="DX97" s="247"/>
      <c r="DY97" s="248"/>
    </row>
    <row r="98" spans="1:129" x14ac:dyDescent="0.2">
      <c r="A98" s="231" t="s">
        <v>93</v>
      </c>
      <c r="B98" s="245">
        <f>B83+B32+B39+B33</f>
        <v>2</v>
      </c>
      <c r="C98" s="245">
        <f t="shared" ref="C98:BN98" si="6">C83+C32+C39+C33</f>
        <v>1</v>
      </c>
      <c r="D98" s="245">
        <f t="shared" si="6"/>
        <v>1</v>
      </c>
      <c r="E98" s="245">
        <f t="shared" si="6"/>
        <v>0</v>
      </c>
      <c r="F98" s="245">
        <f t="shared" si="6"/>
        <v>0</v>
      </c>
      <c r="G98" s="245">
        <f t="shared" si="6"/>
        <v>0</v>
      </c>
      <c r="H98" s="245">
        <f t="shared" si="6"/>
        <v>0</v>
      </c>
      <c r="I98" s="224">
        <f t="shared" si="6"/>
        <v>4</v>
      </c>
      <c r="J98" s="229">
        <f t="shared" si="6"/>
        <v>0</v>
      </c>
      <c r="K98" s="229">
        <f t="shared" si="6"/>
        <v>0</v>
      </c>
      <c r="L98" s="229">
        <f t="shared" si="6"/>
        <v>0</v>
      </c>
      <c r="M98" s="229">
        <f t="shared" si="6"/>
        <v>0</v>
      </c>
      <c r="N98" s="229">
        <f t="shared" si="6"/>
        <v>0</v>
      </c>
      <c r="O98" s="229">
        <f t="shared" si="6"/>
        <v>0</v>
      </c>
      <c r="P98" s="229">
        <f t="shared" si="6"/>
        <v>0</v>
      </c>
      <c r="Q98" s="225">
        <f t="shared" si="6"/>
        <v>0</v>
      </c>
      <c r="R98" s="245">
        <f t="shared" si="6"/>
        <v>3</v>
      </c>
      <c r="S98" s="245">
        <f t="shared" si="6"/>
        <v>3</v>
      </c>
      <c r="T98" s="245">
        <f t="shared" si="6"/>
        <v>3</v>
      </c>
      <c r="U98" s="245">
        <f t="shared" si="6"/>
        <v>2</v>
      </c>
      <c r="V98" s="245">
        <f t="shared" si="6"/>
        <v>2</v>
      </c>
      <c r="W98" s="245">
        <f t="shared" si="6"/>
        <v>2</v>
      </c>
      <c r="X98" s="245">
        <f t="shared" si="6"/>
        <v>2</v>
      </c>
      <c r="Y98" s="224">
        <f t="shared" si="6"/>
        <v>17</v>
      </c>
      <c r="Z98" s="229">
        <f t="shared" si="6"/>
        <v>7</v>
      </c>
      <c r="AA98" s="229">
        <f t="shared" si="6"/>
        <v>6</v>
      </c>
      <c r="AB98" s="229">
        <f t="shared" si="6"/>
        <v>6</v>
      </c>
      <c r="AC98" s="229">
        <f t="shared" si="6"/>
        <v>6</v>
      </c>
      <c r="AD98" s="229">
        <f t="shared" si="6"/>
        <v>6</v>
      </c>
      <c r="AE98" s="229">
        <f t="shared" si="6"/>
        <v>5</v>
      </c>
      <c r="AF98" s="229">
        <f t="shared" si="6"/>
        <v>4</v>
      </c>
      <c r="AG98" s="225">
        <f t="shared" si="6"/>
        <v>40</v>
      </c>
      <c r="AH98" s="245">
        <f t="shared" si="6"/>
        <v>9</v>
      </c>
      <c r="AI98" s="245">
        <f t="shared" si="6"/>
        <v>9</v>
      </c>
      <c r="AJ98" s="245">
        <f t="shared" si="6"/>
        <v>9</v>
      </c>
      <c r="AK98" s="245">
        <f t="shared" si="6"/>
        <v>8</v>
      </c>
      <c r="AL98" s="245">
        <f t="shared" si="6"/>
        <v>8</v>
      </c>
      <c r="AM98" s="245">
        <f t="shared" si="6"/>
        <v>7</v>
      </c>
      <c r="AN98" s="245">
        <f t="shared" si="6"/>
        <v>7</v>
      </c>
      <c r="AO98" s="224">
        <f t="shared" si="6"/>
        <v>57</v>
      </c>
      <c r="AP98" s="229">
        <f t="shared" si="6"/>
        <v>10</v>
      </c>
      <c r="AQ98" s="229">
        <f t="shared" si="6"/>
        <v>9</v>
      </c>
      <c r="AR98" s="229">
        <f t="shared" si="6"/>
        <v>9</v>
      </c>
      <c r="AS98" s="229">
        <f t="shared" si="6"/>
        <v>9</v>
      </c>
      <c r="AT98" s="229">
        <f t="shared" si="6"/>
        <v>9</v>
      </c>
      <c r="AU98" s="229">
        <f t="shared" si="6"/>
        <v>8</v>
      </c>
      <c r="AV98" s="229">
        <f t="shared" si="6"/>
        <v>8</v>
      </c>
      <c r="AW98" s="225">
        <f t="shared" si="6"/>
        <v>62</v>
      </c>
      <c r="AX98" s="245">
        <f t="shared" si="6"/>
        <v>13</v>
      </c>
      <c r="AY98" s="245">
        <f t="shared" si="6"/>
        <v>12</v>
      </c>
      <c r="AZ98" s="245">
        <f t="shared" si="6"/>
        <v>12</v>
      </c>
      <c r="BA98" s="245">
        <f t="shared" si="6"/>
        <v>12</v>
      </c>
      <c r="BB98" s="245">
        <f t="shared" si="6"/>
        <v>12</v>
      </c>
      <c r="BC98" s="245">
        <f t="shared" si="6"/>
        <v>11</v>
      </c>
      <c r="BD98" s="245">
        <f t="shared" si="6"/>
        <v>11</v>
      </c>
      <c r="BE98" s="224">
        <f t="shared" si="6"/>
        <v>83</v>
      </c>
      <c r="BF98" s="229">
        <f t="shared" si="6"/>
        <v>18</v>
      </c>
      <c r="BG98" s="229">
        <f t="shared" si="6"/>
        <v>17</v>
      </c>
      <c r="BH98" s="229">
        <f t="shared" si="6"/>
        <v>17</v>
      </c>
      <c r="BI98" s="229">
        <f t="shared" si="6"/>
        <v>16</v>
      </c>
      <c r="BJ98" s="229">
        <f t="shared" si="6"/>
        <v>16</v>
      </c>
      <c r="BK98" s="229">
        <f t="shared" si="6"/>
        <v>15</v>
      </c>
      <c r="BL98" s="229">
        <f t="shared" si="6"/>
        <v>15</v>
      </c>
      <c r="BM98" s="225">
        <f t="shared" si="6"/>
        <v>114</v>
      </c>
      <c r="BN98" s="245">
        <f t="shared" si="6"/>
        <v>21</v>
      </c>
      <c r="BO98" s="245">
        <f t="shared" ref="BO98:DQ98" si="7">BO83+BO32+BO39+BO33</f>
        <v>21</v>
      </c>
      <c r="BP98" s="245">
        <f t="shared" si="7"/>
        <v>21</v>
      </c>
      <c r="BQ98" s="245">
        <f t="shared" si="7"/>
        <v>21</v>
      </c>
      <c r="BR98" s="245">
        <f t="shared" si="7"/>
        <v>21</v>
      </c>
      <c r="BS98" s="245">
        <f t="shared" si="7"/>
        <v>20</v>
      </c>
      <c r="BT98" s="245">
        <f t="shared" si="7"/>
        <v>18</v>
      </c>
      <c r="BU98" s="224">
        <f t="shared" si="7"/>
        <v>143</v>
      </c>
      <c r="BV98" s="229">
        <f t="shared" si="7"/>
        <v>25</v>
      </c>
      <c r="BW98" s="229">
        <f t="shared" si="7"/>
        <v>25</v>
      </c>
      <c r="BX98" s="229">
        <f t="shared" si="7"/>
        <v>25</v>
      </c>
      <c r="BY98" s="229">
        <f t="shared" si="7"/>
        <v>25</v>
      </c>
      <c r="BZ98" s="229">
        <f t="shared" si="7"/>
        <v>25</v>
      </c>
      <c r="CA98" s="229">
        <f t="shared" si="7"/>
        <v>23</v>
      </c>
      <c r="CB98" s="229">
        <f t="shared" si="7"/>
        <v>22</v>
      </c>
      <c r="CC98" s="225">
        <f t="shared" si="7"/>
        <v>170</v>
      </c>
      <c r="CD98" s="245">
        <f t="shared" si="7"/>
        <v>31</v>
      </c>
      <c r="CE98" s="245">
        <f t="shared" si="7"/>
        <v>31</v>
      </c>
      <c r="CF98" s="245">
        <f t="shared" si="7"/>
        <v>31</v>
      </c>
      <c r="CG98" s="245">
        <f t="shared" si="7"/>
        <v>31</v>
      </c>
      <c r="CH98" s="245">
        <f t="shared" si="7"/>
        <v>31</v>
      </c>
      <c r="CI98" s="245">
        <f t="shared" si="7"/>
        <v>29</v>
      </c>
      <c r="CJ98" s="245">
        <f t="shared" si="7"/>
        <v>28</v>
      </c>
      <c r="CK98" s="224">
        <f t="shared" si="7"/>
        <v>212</v>
      </c>
      <c r="CL98" s="229">
        <f t="shared" si="7"/>
        <v>33</v>
      </c>
      <c r="CM98" s="229">
        <f t="shared" si="7"/>
        <v>33</v>
      </c>
      <c r="CN98" s="229">
        <f t="shared" si="7"/>
        <v>33</v>
      </c>
      <c r="CO98" s="229">
        <f t="shared" si="7"/>
        <v>33</v>
      </c>
      <c r="CP98" s="229">
        <f t="shared" si="7"/>
        <v>33</v>
      </c>
      <c r="CQ98" s="229">
        <f t="shared" si="7"/>
        <v>31</v>
      </c>
      <c r="CR98" s="229">
        <f t="shared" si="7"/>
        <v>30</v>
      </c>
      <c r="CS98" s="225">
        <f t="shared" si="7"/>
        <v>226</v>
      </c>
      <c r="CT98" s="245">
        <f t="shared" si="7"/>
        <v>35</v>
      </c>
      <c r="CU98" s="245">
        <f t="shared" si="7"/>
        <v>35</v>
      </c>
      <c r="CV98" s="245">
        <f t="shared" si="7"/>
        <v>35</v>
      </c>
      <c r="CW98" s="245">
        <f t="shared" si="7"/>
        <v>35</v>
      </c>
      <c r="CX98" s="245">
        <f t="shared" si="7"/>
        <v>35</v>
      </c>
      <c r="CY98" s="245">
        <f t="shared" si="7"/>
        <v>33</v>
      </c>
      <c r="CZ98" s="245">
        <f t="shared" si="7"/>
        <v>32</v>
      </c>
      <c r="DA98" s="224">
        <f t="shared" si="7"/>
        <v>240</v>
      </c>
      <c r="DB98" s="229">
        <f t="shared" si="7"/>
        <v>37</v>
      </c>
      <c r="DC98" s="229">
        <f t="shared" si="7"/>
        <v>37</v>
      </c>
      <c r="DD98" s="229">
        <f t="shared" si="7"/>
        <v>37</v>
      </c>
      <c r="DE98" s="229">
        <f t="shared" si="7"/>
        <v>37</v>
      </c>
      <c r="DF98" s="229">
        <f t="shared" si="7"/>
        <v>37</v>
      </c>
      <c r="DG98" s="229">
        <f t="shared" si="7"/>
        <v>35</v>
      </c>
      <c r="DH98" s="229">
        <f t="shared" si="7"/>
        <v>34</v>
      </c>
      <c r="DI98" s="225">
        <f t="shared" si="7"/>
        <v>254</v>
      </c>
      <c r="DJ98" s="245">
        <f t="shared" si="7"/>
        <v>39</v>
      </c>
      <c r="DK98" s="245">
        <f t="shared" si="7"/>
        <v>39</v>
      </c>
      <c r="DL98" s="245">
        <f t="shared" si="7"/>
        <v>39</v>
      </c>
      <c r="DM98" s="245">
        <f t="shared" si="7"/>
        <v>39</v>
      </c>
      <c r="DN98" s="245">
        <f t="shared" si="7"/>
        <v>39</v>
      </c>
      <c r="DO98" s="245">
        <f t="shared" si="7"/>
        <v>37</v>
      </c>
      <c r="DP98" s="245">
        <f t="shared" si="7"/>
        <v>36</v>
      </c>
      <c r="DQ98" s="224">
        <f t="shared" si="7"/>
        <v>268</v>
      </c>
      <c r="DR98" s="246"/>
      <c r="DS98" s="247"/>
      <c r="DT98" s="247"/>
      <c r="DU98" s="247"/>
      <c r="DV98" s="247"/>
      <c r="DW98" s="247"/>
      <c r="DX98" s="247"/>
      <c r="DY98" s="248"/>
    </row>
    <row r="99" spans="1:129" x14ac:dyDescent="0.2">
      <c r="A99" s="231" t="s">
        <v>98</v>
      </c>
      <c r="B99" s="245">
        <f>B54+B55+B14</f>
        <v>8</v>
      </c>
      <c r="C99" s="245">
        <f t="shared" ref="C99:BN99" si="8">C54+C55+C14</f>
        <v>8</v>
      </c>
      <c r="D99" s="245">
        <f t="shared" si="8"/>
        <v>8</v>
      </c>
      <c r="E99" s="245">
        <f t="shared" si="8"/>
        <v>7</v>
      </c>
      <c r="F99" s="245">
        <f t="shared" si="8"/>
        <v>7</v>
      </c>
      <c r="G99" s="245">
        <f t="shared" si="8"/>
        <v>7</v>
      </c>
      <c r="H99" s="245">
        <f t="shared" si="8"/>
        <v>7</v>
      </c>
      <c r="I99" s="224">
        <f t="shared" si="8"/>
        <v>52</v>
      </c>
      <c r="J99" s="229">
        <f t="shared" si="8"/>
        <v>16</v>
      </c>
      <c r="K99" s="229">
        <f t="shared" si="8"/>
        <v>14</v>
      </c>
      <c r="L99" s="229">
        <f t="shared" si="8"/>
        <v>14</v>
      </c>
      <c r="M99" s="229">
        <f t="shared" si="8"/>
        <v>14</v>
      </c>
      <c r="N99" s="229">
        <f t="shared" si="8"/>
        <v>14</v>
      </c>
      <c r="O99" s="229">
        <f t="shared" si="8"/>
        <v>13</v>
      </c>
      <c r="P99" s="229">
        <f t="shared" si="8"/>
        <v>13</v>
      </c>
      <c r="Q99" s="225">
        <f t="shared" si="8"/>
        <v>98</v>
      </c>
      <c r="R99" s="245">
        <f t="shared" si="8"/>
        <v>27</v>
      </c>
      <c r="S99" s="245">
        <f t="shared" si="8"/>
        <v>26</v>
      </c>
      <c r="T99" s="245">
        <f t="shared" si="8"/>
        <v>26</v>
      </c>
      <c r="U99" s="245">
        <f t="shared" si="8"/>
        <v>25</v>
      </c>
      <c r="V99" s="245">
        <f t="shared" si="8"/>
        <v>25</v>
      </c>
      <c r="W99" s="245">
        <f t="shared" si="8"/>
        <v>25</v>
      </c>
      <c r="X99" s="245">
        <f t="shared" si="8"/>
        <v>24</v>
      </c>
      <c r="Y99" s="224">
        <f t="shared" si="8"/>
        <v>178</v>
      </c>
      <c r="Z99" s="229">
        <f t="shared" si="8"/>
        <v>36</v>
      </c>
      <c r="AA99" s="229">
        <f t="shared" si="8"/>
        <v>36</v>
      </c>
      <c r="AB99" s="229">
        <f t="shared" si="8"/>
        <v>34</v>
      </c>
      <c r="AC99" s="229">
        <f t="shared" si="8"/>
        <v>34</v>
      </c>
      <c r="AD99" s="229">
        <f t="shared" si="8"/>
        <v>33</v>
      </c>
      <c r="AE99" s="229">
        <f t="shared" si="8"/>
        <v>33</v>
      </c>
      <c r="AF99" s="229">
        <f t="shared" si="8"/>
        <v>33</v>
      </c>
      <c r="AG99" s="225">
        <f t="shared" si="8"/>
        <v>239</v>
      </c>
      <c r="AH99" s="245">
        <f t="shared" si="8"/>
        <v>43</v>
      </c>
      <c r="AI99" s="245">
        <f t="shared" si="8"/>
        <v>42</v>
      </c>
      <c r="AJ99" s="245">
        <f t="shared" si="8"/>
        <v>42</v>
      </c>
      <c r="AK99" s="245">
        <f t="shared" si="8"/>
        <v>42</v>
      </c>
      <c r="AL99" s="245">
        <f t="shared" si="8"/>
        <v>42</v>
      </c>
      <c r="AM99" s="245">
        <f t="shared" si="8"/>
        <v>41</v>
      </c>
      <c r="AN99" s="245">
        <f t="shared" si="8"/>
        <v>40</v>
      </c>
      <c r="AO99" s="224">
        <f t="shared" si="8"/>
        <v>292</v>
      </c>
      <c r="AP99" s="229">
        <f t="shared" si="8"/>
        <v>53</v>
      </c>
      <c r="AQ99" s="229">
        <f t="shared" si="8"/>
        <v>52</v>
      </c>
      <c r="AR99" s="229">
        <f t="shared" si="8"/>
        <v>52</v>
      </c>
      <c r="AS99" s="229">
        <f t="shared" si="8"/>
        <v>52</v>
      </c>
      <c r="AT99" s="229">
        <f t="shared" si="8"/>
        <v>51</v>
      </c>
      <c r="AU99" s="229">
        <f t="shared" si="8"/>
        <v>51</v>
      </c>
      <c r="AV99" s="229">
        <f t="shared" si="8"/>
        <v>51</v>
      </c>
      <c r="AW99" s="225">
        <f t="shared" si="8"/>
        <v>362</v>
      </c>
      <c r="AX99" s="245">
        <f t="shared" si="8"/>
        <v>61</v>
      </c>
      <c r="AY99" s="245">
        <f t="shared" si="8"/>
        <v>60</v>
      </c>
      <c r="AZ99" s="245">
        <f t="shared" si="8"/>
        <v>60</v>
      </c>
      <c r="BA99" s="245">
        <f t="shared" si="8"/>
        <v>59</v>
      </c>
      <c r="BB99" s="245">
        <f t="shared" si="8"/>
        <v>58</v>
      </c>
      <c r="BC99" s="245">
        <f t="shared" si="8"/>
        <v>58</v>
      </c>
      <c r="BD99" s="245">
        <f t="shared" si="8"/>
        <v>58</v>
      </c>
      <c r="BE99" s="224">
        <f t="shared" si="8"/>
        <v>414</v>
      </c>
      <c r="BF99" s="229">
        <f t="shared" si="8"/>
        <v>68</v>
      </c>
      <c r="BG99" s="229">
        <f t="shared" si="8"/>
        <v>66</v>
      </c>
      <c r="BH99" s="229">
        <f t="shared" si="8"/>
        <v>66</v>
      </c>
      <c r="BI99" s="229">
        <f t="shared" si="8"/>
        <v>66</v>
      </c>
      <c r="BJ99" s="229">
        <f t="shared" si="8"/>
        <v>65</v>
      </c>
      <c r="BK99" s="229">
        <f t="shared" si="8"/>
        <v>65</v>
      </c>
      <c r="BL99" s="229">
        <f t="shared" si="8"/>
        <v>65</v>
      </c>
      <c r="BM99" s="225">
        <f t="shared" si="8"/>
        <v>461</v>
      </c>
      <c r="BN99" s="245">
        <f t="shared" si="8"/>
        <v>76</v>
      </c>
      <c r="BO99" s="245">
        <f t="shared" ref="BO99:DQ99" si="9">BO54+BO55+BO14</f>
        <v>75</v>
      </c>
      <c r="BP99" s="245">
        <f t="shared" si="9"/>
        <v>74</v>
      </c>
      <c r="BQ99" s="245">
        <f t="shared" si="9"/>
        <v>74</v>
      </c>
      <c r="BR99" s="245">
        <f t="shared" si="9"/>
        <v>74</v>
      </c>
      <c r="BS99" s="245">
        <f t="shared" si="9"/>
        <v>73</v>
      </c>
      <c r="BT99" s="245">
        <f t="shared" si="9"/>
        <v>73</v>
      </c>
      <c r="BU99" s="224">
        <f t="shared" si="9"/>
        <v>519</v>
      </c>
      <c r="BV99" s="229">
        <f t="shared" si="9"/>
        <v>84</v>
      </c>
      <c r="BW99" s="229">
        <f t="shared" si="9"/>
        <v>83</v>
      </c>
      <c r="BX99" s="229">
        <f t="shared" si="9"/>
        <v>82</v>
      </c>
      <c r="BY99" s="229">
        <f t="shared" si="9"/>
        <v>82</v>
      </c>
      <c r="BZ99" s="229">
        <f t="shared" si="9"/>
        <v>82</v>
      </c>
      <c r="CA99" s="229">
        <f t="shared" si="9"/>
        <v>82</v>
      </c>
      <c r="CB99" s="229">
        <f t="shared" si="9"/>
        <v>82</v>
      </c>
      <c r="CC99" s="225">
        <f t="shared" si="9"/>
        <v>577</v>
      </c>
      <c r="CD99" s="245">
        <f t="shared" si="9"/>
        <v>93</v>
      </c>
      <c r="CE99" s="245">
        <f t="shared" si="9"/>
        <v>91</v>
      </c>
      <c r="CF99" s="245">
        <f t="shared" si="9"/>
        <v>91</v>
      </c>
      <c r="CG99" s="245">
        <f t="shared" si="9"/>
        <v>91</v>
      </c>
      <c r="CH99" s="245">
        <f t="shared" si="9"/>
        <v>91</v>
      </c>
      <c r="CI99" s="245">
        <f t="shared" si="9"/>
        <v>90</v>
      </c>
      <c r="CJ99" s="245">
        <f t="shared" si="9"/>
        <v>90</v>
      </c>
      <c r="CK99" s="224">
        <f t="shared" si="9"/>
        <v>637</v>
      </c>
      <c r="CL99" s="229">
        <f t="shared" si="9"/>
        <v>96</v>
      </c>
      <c r="CM99" s="229">
        <f t="shared" si="9"/>
        <v>95</v>
      </c>
      <c r="CN99" s="229">
        <f t="shared" si="9"/>
        <v>95</v>
      </c>
      <c r="CO99" s="229">
        <f t="shared" si="9"/>
        <v>95</v>
      </c>
      <c r="CP99" s="229">
        <f t="shared" si="9"/>
        <v>95</v>
      </c>
      <c r="CQ99" s="229">
        <f t="shared" si="9"/>
        <v>95</v>
      </c>
      <c r="CR99" s="229">
        <f t="shared" si="9"/>
        <v>93</v>
      </c>
      <c r="CS99" s="225">
        <f t="shared" si="9"/>
        <v>664</v>
      </c>
      <c r="CT99" s="245">
        <f t="shared" si="9"/>
        <v>100</v>
      </c>
      <c r="CU99" s="245">
        <f t="shared" si="9"/>
        <v>99</v>
      </c>
      <c r="CV99" s="245">
        <f t="shared" si="9"/>
        <v>99</v>
      </c>
      <c r="CW99" s="245">
        <f t="shared" si="9"/>
        <v>99</v>
      </c>
      <c r="CX99" s="245">
        <f t="shared" si="9"/>
        <v>98</v>
      </c>
      <c r="CY99" s="245">
        <f t="shared" si="9"/>
        <v>98</v>
      </c>
      <c r="CZ99" s="245">
        <f t="shared" si="9"/>
        <v>98</v>
      </c>
      <c r="DA99" s="224">
        <f t="shared" si="9"/>
        <v>691</v>
      </c>
      <c r="DB99" s="229">
        <f t="shared" si="9"/>
        <v>105</v>
      </c>
      <c r="DC99" s="229">
        <f t="shared" si="9"/>
        <v>103</v>
      </c>
      <c r="DD99" s="229">
        <f t="shared" si="9"/>
        <v>102</v>
      </c>
      <c r="DE99" s="229">
        <f t="shared" si="9"/>
        <v>102</v>
      </c>
      <c r="DF99" s="229">
        <f t="shared" si="9"/>
        <v>102</v>
      </c>
      <c r="DG99" s="229">
        <f t="shared" si="9"/>
        <v>102</v>
      </c>
      <c r="DH99" s="229">
        <f t="shared" si="9"/>
        <v>102</v>
      </c>
      <c r="DI99" s="225">
        <f t="shared" si="9"/>
        <v>718</v>
      </c>
      <c r="DJ99" s="245">
        <f t="shared" si="9"/>
        <v>108</v>
      </c>
      <c r="DK99" s="245">
        <f t="shared" si="9"/>
        <v>107</v>
      </c>
      <c r="DL99" s="245">
        <f t="shared" si="9"/>
        <v>106</v>
      </c>
      <c r="DM99" s="245">
        <f t="shared" si="9"/>
        <v>106</v>
      </c>
      <c r="DN99" s="245">
        <f t="shared" si="9"/>
        <v>106</v>
      </c>
      <c r="DO99" s="245">
        <f t="shared" si="9"/>
        <v>106</v>
      </c>
      <c r="DP99" s="245">
        <f t="shared" si="9"/>
        <v>106</v>
      </c>
      <c r="DQ99" s="224">
        <f t="shared" si="9"/>
        <v>745</v>
      </c>
      <c r="DR99" s="246"/>
      <c r="DS99" s="247"/>
      <c r="DT99" s="247"/>
      <c r="DU99" s="247"/>
      <c r="DV99" s="247"/>
      <c r="DW99" s="247"/>
      <c r="DX99" s="247"/>
      <c r="DY99" s="248"/>
    </row>
    <row r="100" spans="1:129" x14ac:dyDescent="0.2">
      <c r="A100" s="231" t="s">
        <v>94</v>
      </c>
      <c r="B100" s="245">
        <f>B42+B64+B18+B30+B35</f>
        <v>0</v>
      </c>
      <c r="C100" s="245">
        <f t="shared" ref="C100:BN100" si="10">C42+C64+C18+C30+C35</f>
        <v>0</v>
      </c>
      <c r="D100" s="245">
        <f t="shared" si="10"/>
        <v>0</v>
      </c>
      <c r="E100" s="245">
        <f t="shared" si="10"/>
        <v>0</v>
      </c>
      <c r="F100" s="245">
        <f t="shared" si="10"/>
        <v>0</v>
      </c>
      <c r="G100" s="245">
        <f t="shared" si="10"/>
        <v>0</v>
      </c>
      <c r="H100" s="245">
        <f t="shared" si="10"/>
        <v>0</v>
      </c>
      <c r="I100" s="224">
        <f t="shared" si="10"/>
        <v>0</v>
      </c>
      <c r="J100" s="229">
        <f t="shared" si="10"/>
        <v>2</v>
      </c>
      <c r="K100" s="229">
        <f t="shared" si="10"/>
        <v>1</v>
      </c>
      <c r="L100" s="229">
        <f t="shared" si="10"/>
        <v>1</v>
      </c>
      <c r="M100" s="229">
        <f t="shared" si="10"/>
        <v>1</v>
      </c>
      <c r="N100" s="229">
        <f t="shared" si="10"/>
        <v>0</v>
      </c>
      <c r="O100" s="229">
        <f t="shared" si="10"/>
        <v>0</v>
      </c>
      <c r="P100" s="229">
        <f t="shared" si="10"/>
        <v>0</v>
      </c>
      <c r="Q100" s="225">
        <f t="shared" si="10"/>
        <v>5</v>
      </c>
      <c r="R100" s="245">
        <f t="shared" si="10"/>
        <v>3</v>
      </c>
      <c r="S100" s="245">
        <f t="shared" si="10"/>
        <v>2</v>
      </c>
      <c r="T100" s="245">
        <f t="shared" si="10"/>
        <v>2</v>
      </c>
      <c r="U100" s="245">
        <f t="shared" si="10"/>
        <v>2</v>
      </c>
      <c r="V100" s="245">
        <f t="shared" si="10"/>
        <v>2</v>
      </c>
      <c r="W100" s="245">
        <f t="shared" si="10"/>
        <v>1</v>
      </c>
      <c r="X100" s="245">
        <f t="shared" si="10"/>
        <v>1</v>
      </c>
      <c r="Y100" s="224">
        <f t="shared" si="10"/>
        <v>13</v>
      </c>
      <c r="Z100" s="229">
        <f t="shared" si="10"/>
        <v>8</v>
      </c>
      <c r="AA100" s="229">
        <f t="shared" si="10"/>
        <v>8</v>
      </c>
      <c r="AB100" s="229">
        <f t="shared" si="10"/>
        <v>8</v>
      </c>
      <c r="AC100" s="229">
        <f t="shared" si="10"/>
        <v>6</v>
      </c>
      <c r="AD100" s="229">
        <f t="shared" si="10"/>
        <v>6</v>
      </c>
      <c r="AE100" s="229">
        <f t="shared" si="10"/>
        <v>6</v>
      </c>
      <c r="AF100" s="229">
        <f t="shared" si="10"/>
        <v>6</v>
      </c>
      <c r="AG100" s="225">
        <f t="shared" si="10"/>
        <v>48</v>
      </c>
      <c r="AH100" s="245">
        <f t="shared" si="10"/>
        <v>17</v>
      </c>
      <c r="AI100" s="245">
        <f t="shared" si="10"/>
        <v>17</v>
      </c>
      <c r="AJ100" s="245">
        <f t="shared" si="10"/>
        <v>16</v>
      </c>
      <c r="AK100" s="245">
        <f t="shared" si="10"/>
        <v>16</v>
      </c>
      <c r="AL100" s="245">
        <f t="shared" si="10"/>
        <v>16</v>
      </c>
      <c r="AM100" s="245">
        <f t="shared" si="10"/>
        <v>16</v>
      </c>
      <c r="AN100" s="245">
        <f t="shared" si="10"/>
        <v>15</v>
      </c>
      <c r="AO100" s="224">
        <f t="shared" si="10"/>
        <v>113</v>
      </c>
      <c r="AP100" s="229">
        <f t="shared" si="10"/>
        <v>30</v>
      </c>
      <c r="AQ100" s="229">
        <f t="shared" si="10"/>
        <v>29</v>
      </c>
      <c r="AR100" s="229">
        <f t="shared" si="10"/>
        <v>28</v>
      </c>
      <c r="AS100" s="229">
        <f t="shared" si="10"/>
        <v>27</v>
      </c>
      <c r="AT100" s="229">
        <f t="shared" si="10"/>
        <v>27</v>
      </c>
      <c r="AU100" s="229">
        <f t="shared" si="10"/>
        <v>27</v>
      </c>
      <c r="AV100" s="229">
        <f t="shared" si="10"/>
        <v>27</v>
      </c>
      <c r="AW100" s="225">
        <f t="shared" si="10"/>
        <v>195</v>
      </c>
      <c r="AX100" s="245">
        <f t="shared" si="10"/>
        <v>39</v>
      </c>
      <c r="AY100" s="245">
        <f t="shared" si="10"/>
        <v>39</v>
      </c>
      <c r="AZ100" s="245">
        <f t="shared" si="10"/>
        <v>37</v>
      </c>
      <c r="BA100" s="245">
        <f t="shared" si="10"/>
        <v>36</v>
      </c>
      <c r="BB100" s="245">
        <f t="shared" si="10"/>
        <v>36</v>
      </c>
      <c r="BC100" s="245">
        <f t="shared" si="10"/>
        <v>36</v>
      </c>
      <c r="BD100" s="245">
        <f t="shared" si="10"/>
        <v>36</v>
      </c>
      <c r="BE100" s="224">
        <f t="shared" si="10"/>
        <v>259</v>
      </c>
      <c r="BF100" s="229">
        <f t="shared" si="10"/>
        <v>46</v>
      </c>
      <c r="BG100" s="229">
        <f t="shared" si="10"/>
        <v>45</v>
      </c>
      <c r="BH100" s="229">
        <f t="shared" si="10"/>
        <v>44</v>
      </c>
      <c r="BI100" s="229">
        <f t="shared" si="10"/>
        <v>44</v>
      </c>
      <c r="BJ100" s="229">
        <f t="shared" si="10"/>
        <v>43</v>
      </c>
      <c r="BK100" s="229">
        <f t="shared" si="10"/>
        <v>43</v>
      </c>
      <c r="BL100" s="229">
        <f t="shared" si="10"/>
        <v>43</v>
      </c>
      <c r="BM100" s="225">
        <f t="shared" si="10"/>
        <v>308</v>
      </c>
      <c r="BN100" s="245">
        <f t="shared" si="10"/>
        <v>52</v>
      </c>
      <c r="BO100" s="245">
        <f t="shared" ref="BO100:DQ100" si="11">BO42+BO64+BO18+BO30+BO35</f>
        <v>52</v>
      </c>
      <c r="BP100" s="245">
        <f t="shared" si="11"/>
        <v>50</v>
      </c>
      <c r="BQ100" s="245">
        <f t="shared" si="11"/>
        <v>50</v>
      </c>
      <c r="BR100" s="245">
        <f t="shared" si="11"/>
        <v>49</v>
      </c>
      <c r="BS100" s="245">
        <f t="shared" si="11"/>
        <v>49</v>
      </c>
      <c r="BT100" s="245">
        <f t="shared" si="11"/>
        <v>49</v>
      </c>
      <c r="BU100" s="224">
        <f t="shared" si="11"/>
        <v>351</v>
      </c>
      <c r="BV100" s="229">
        <f t="shared" si="11"/>
        <v>57</v>
      </c>
      <c r="BW100" s="229">
        <f t="shared" si="11"/>
        <v>57</v>
      </c>
      <c r="BX100" s="229">
        <f t="shared" si="11"/>
        <v>56</v>
      </c>
      <c r="BY100" s="229">
        <f t="shared" si="11"/>
        <v>56</v>
      </c>
      <c r="BZ100" s="229">
        <f t="shared" si="11"/>
        <v>55</v>
      </c>
      <c r="CA100" s="229">
        <f t="shared" si="11"/>
        <v>55</v>
      </c>
      <c r="CB100" s="229">
        <f t="shared" si="11"/>
        <v>55</v>
      </c>
      <c r="CC100" s="225">
        <f t="shared" si="11"/>
        <v>391</v>
      </c>
      <c r="CD100" s="245">
        <f t="shared" si="11"/>
        <v>63</v>
      </c>
      <c r="CE100" s="245">
        <f t="shared" si="11"/>
        <v>63</v>
      </c>
      <c r="CF100" s="245">
        <f t="shared" si="11"/>
        <v>62</v>
      </c>
      <c r="CG100" s="245">
        <f t="shared" si="11"/>
        <v>62</v>
      </c>
      <c r="CH100" s="245">
        <f t="shared" si="11"/>
        <v>61</v>
      </c>
      <c r="CI100" s="245">
        <f t="shared" si="11"/>
        <v>60</v>
      </c>
      <c r="CJ100" s="245">
        <f t="shared" si="11"/>
        <v>60</v>
      </c>
      <c r="CK100" s="224">
        <f t="shared" si="11"/>
        <v>431</v>
      </c>
      <c r="CL100" s="229">
        <f t="shared" si="11"/>
        <v>67</v>
      </c>
      <c r="CM100" s="229">
        <f t="shared" si="11"/>
        <v>67</v>
      </c>
      <c r="CN100" s="229">
        <f t="shared" si="11"/>
        <v>67</v>
      </c>
      <c r="CO100" s="229">
        <f t="shared" si="11"/>
        <v>67</v>
      </c>
      <c r="CP100" s="229">
        <f t="shared" si="11"/>
        <v>65</v>
      </c>
      <c r="CQ100" s="229">
        <f t="shared" si="11"/>
        <v>64</v>
      </c>
      <c r="CR100" s="229">
        <f t="shared" si="11"/>
        <v>64</v>
      </c>
      <c r="CS100" s="225">
        <f t="shared" si="11"/>
        <v>461</v>
      </c>
      <c r="CT100" s="245">
        <f t="shared" si="11"/>
        <v>72</v>
      </c>
      <c r="CU100" s="245">
        <f t="shared" si="11"/>
        <v>72</v>
      </c>
      <c r="CV100" s="245">
        <f t="shared" si="11"/>
        <v>72</v>
      </c>
      <c r="CW100" s="245">
        <f t="shared" si="11"/>
        <v>71</v>
      </c>
      <c r="CX100" s="245">
        <f t="shared" si="11"/>
        <v>70</v>
      </c>
      <c r="CY100" s="245">
        <f t="shared" si="11"/>
        <v>70</v>
      </c>
      <c r="CZ100" s="245">
        <f t="shared" si="11"/>
        <v>69</v>
      </c>
      <c r="DA100" s="224">
        <f t="shared" si="11"/>
        <v>496</v>
      </c>
      <c r="DB100" s="229">
        <f t="shared" si="11"/>
        <v>77</v>
      </c>
      <c r="DC100" s="229">
        <f t="shared" si="11"/>
        <v>77</v>
      </c>
      <c r="DD100" s="229">
        <f t="shared" si="11"/>
        <v>76</v>
      </c>
      <c r="DE100" s="229">
        <f t="shared" si="11"/>
        <v>76</v>
      </c>
      <c r="DF100" s="229">
        <f t="shared" si="11"/>
        <v>75</v>
      </c>
      <c r="DG100" s="229">
        <f t="shared" si="11"/>
        <v>75</v>
      </c>
      <c r="DH100" s="229">
        <f t="shared" si="11"/>
        <v>75</v>
      </c>
      <c r="DI100" s="225">
        <f t="shared" si="11"/>
        <v>531</v>
      </c>
      <c r="DJ100" s="245">
        <f t="shared" si="11"/>
        <v>83</v>
      </c>
      <c r="DK100" s="245">
        <f t="shared" si="11"/>
        <v>81</v>
      </c>
      <c r="DL100" s="245">
        <f t="shared" si="11"/>
        <v>81</v>
      </c>
      <c r="DM100" s="245">
        <f t="shared" si="11"/>
        <v>81</v>
      </c>
      <c r="DN100" s="245">
        <f t="shared" si="11"/>
        <v>80</v>
      </c>
      <c r="DO100" s="245">
        <f t="shared" si="11"/>
        <v>80</v>
      </c>
      <c r="DP100" s="245">
        <f t="shared" si="11"/>
        <v>80</v>
      </c>
      <c r="DQ100" s="224">
        <f t="shared" si="11"/>
        <v>566</v>
      </c>
      <c r="DR100" s="246"/>
      <c r="DS100" s="247"/>
      <c r="DT100" s="247"/>
      <c r="DU100" s="247"/>
      <c r="DV100" s="247"/>
      <c r="DW100" s="247"/>
      <c r="DX100" s="247"/>
      <c r="DY100" s="248"/>
    </row>
    <row r="101" spans="1:129" x14ac:dyDescent="0.2">
      <c r="A101" s="231" t="s">
        <v>95</v>
      </c>
      <c r="B101" s="245">
        <f>B22+B34+B59</f>
        <v>3</v>
      </c>
      <c r="C101" s="245">
        <f t="shared" ref="C101:BN101" si="12">C22+C34+C59</f>
        <v>3</v>
      </c>
      <c r="D101" s="245">
        <f t="shared" si="12"/>
        <v>3</v>
      </c>
      <c r="E101" s="245">
        <f t="shared" si="12"/>
        <v>3</v>
      </c>
      <c r="F101" s="245">
        <f t="shared" si="12"/>
        <v>2</v>
      </c>
      <c r="G101" s="245">
        <f t="shared" si="12"/>
        <v>1</v>
      </c>
      <c r="H101" s="245">
        <f t="shared" si="12"/>
        <v>1</v>
      </c>
      <c r="I101" s="224">
        <f t="shared" si="12"/>
        <v>16</v>
      </c>
      <c r="J101" s="229">
        <f t="shared" si="12"/>
        <v>4</v>
      </c>
      <c r="K101" s="229">
        <f t="shared" si="12"/>
        <v>4</v>
      </c>
      <c r="L101" s="229">
        <f t="shared" si="12"/>
        <v>3</v>
      </c>
      <c r="M101" s="229">
        <f t="shared" si="12"/>
        <v>3</v>
      </c>
      <c r="N101" s="229">
        <f t="shared" si="12"/>
        <v>3</v>
      </c>
      <c r="O101" s="229">
        <f t="shared" si="12"/>
        <v>2</v>
      </c>
      <c r="P101" s="229">
        <f t="shared" si="12"/>
        <v>2</v>
      </c>
      <c r="Q101" s="225">
        <f t="shared" si="12"/>
        <v>21</v>
      </c>
      <c r="R101" s="245">
        <f t="shared" si="12"/>
        <v>4</v>
      </c>
      <c r="S101" s="245">
        <f t="shared" si="12"/>
        <v>4</v>
      </c>
      <c r="T101" s="245">
        <f t="shared" si="12"/>
        <v>3</v>
      </c>
      <c r="U101" s="245">
        <f t="shared" si="12"/>
        <v>3</v>
      </c>
      <c r="V101" s="245">
        <f t="shared" si="12"/>
        <v>3</v>
      </c>
      <c r="W101" s="245">
        <f t="shared" si="12"/>
        <v>2</v>
      </c>
      <c r="X101" s="245">
        <f t="shared" si="12"/>
        <v>2</v>
      </c>
      <c r="Y101" s="224">
        <f t="shared" si="12"/>
        <v>21</v>
      </c>
      <c r="Z101" s="229">
        <f t="shared" si="12"/>
        <v>5</v>
      </c>
      <c r="AA101" s="229">
        <f t="shared" si="12"/>
        <v>5</v>
      </c>
      <c r="AB101" s="229">
        <f t="shared" si="12"/>
        <v>5</v>
      </c>
      <c r="AC101" s="229">
        <f t="shared" si="12"/>
        <v>4</v>
      </c>
      <c r="AD101" s="229">
        <f t="shared" si="12"/>
        <v>4</v>
      </c>
      <c r="AE101" s="229">
        <f t="shared" si="12"/>
        <v>4</v>
      </c>
      <c r="AF101" s="229">
        <f t="shared" si="12"/>
        <v>4</v>
      </c>
      <c r="AG101" s="225">
        <f t="shared" si="12"/>
        <v>31</v>
      </c>
      <c r="AH101" s="245">
        <f t="shared" si="12"/>
        <v>8</v>
      </c>
      <c r="AI101" s="245">
        <f t="shared" si="12"/>
        <v>8</v>
      </c>
      <c r="AJ101" s="245">
        <f t="shared" si="12"/>
        <v>7</v>
      </c>
      <c r="AK101" s="245">
        <f t="shared" si="12"/>
        <v>7</v>
      </c>
      <c r="AL101" s="245">
        <f t="shared" si="12"/>
        <v>7</v>
      </c>
      <c r="AM101" s="245">
        <f t="shared" si="12"/>
        <v>6</v>
      </c>
      <c r="AN101" s="245">
        <f t="shared" si="12"/>
        <v>6</v>
      </c>
      <c r="AO101" s="224">
        <f t="shared" si="12"/>
        <v>49</v>
      </c>
      <c r="AP101" s="229">
        <f t="shared" si="12"/>
        <v>10</v>
      </c>
      <c r="AQ101" s="229">
        <f t="shared" si="12"/>
        <v>10</v>
      </c>
      <c r="AR101" s="229">
        <f t="shared" si="12"/>
        <v>10</v>
      </c>
      <c r="AS101" s="229">
        <f t="shared" si="12"/>
        <v>9</v>
      </c>
      <c r="AT101" s="229">
        <f t="shared" si="12"/>
        <v>9</v>
      </c>
      <c r="AU101" s="229">
        <f t="shared" si="12"/>
        <v>8</v>
      </c>
      <c r="AV101" s="229">
        <f t="shared" si="12"/>
        <v>8</v>
      </c>
      <c r="AW101" s="225">
        <f t="shared" si="12"/>
        <v>64</v>
      </c>
      <c r="AX101" s="245">
        <f t="shared" si="12"/>
        <v>14</v>
      </c>
      <c r="AY101" s="245">
        <f t="shared" si="12"/>
        <v>14</v>
      </c>
      <c r="AZ101" s="245">
        <f t="shared" si="12"/>
        <v>14</v>
      </c>
      <c r="BA101" s="245">
        <f t="shared" si="12"/>
        <v>14</v>
      </c>
      <c r="BB101" s="245">
        <f t="shared" si="12"/>
        <v>14</v>
      </c>
      <c r="BC101" s="245">
        <f t="shared" si="12"/>
        <v>12</v>
      </c>
      <c r="BD101" s="245">
        <f t="shared" si="12"/>
        <v>12</v>
      </c>
      <c r="BE101" s="224">
        <f t="shared" si="12"/>
        <v>94</v>
      </c>
      <c r="BF101" s="229">
        <f t="shared" si="12"/>
        <v>19</v>
      </c>
      <c r="BG101" s="229">
        <f t="shared" si="12"/>
        <v>18</v>
      </c>
      <c r="BH101" s="229">
        <f t="shared" si="12"/>
        <v>18</v>
      </c>
      <c r="BI101" s="229">
        <f t="shared" si="12"/>
        <v>18</v>
      </c>
      <c r="BJ101" s="229">
        <f t="shared" si="12"/>
        <v>18</v>
      </c>
      <c r="BK101" s="229">
        <f t="shared" si="12"/>
        <v>17</v>
      </c>
      <c r="BL101" s="229">
        <f t="shared" si="12"/>
        <v>17</v>
      </c>
      <c r="BM101" s="225">
        <f t="shared" si="12"/>
        <v>125</v>
      </c>
      <c r="BN101" s="245">
        <f t="shared" si="12"/>
        <v>23</v>
      </c>
      <c r="BO101" s="245">
        <f t="shared" ref="BO101:DQ101" si="13">BO22+BO34+BO59</f>
        <v>22</v>
      </c>
      <c r="BP101" s="245">
        <f t="shared" si="13"/>
        <v>22</v>
      </c>
      <c r="BQ101" s="245">
        <f t="shared" si="13"/>
        <v>22</v>
      </c>
      <c r="BR101" s="245">
        <f t="shared" si="13"/>
        <v>22</v>
      </c>
      <c r="BS101" s="245">
        <f t="shared" si="13"/>
        <v>21</v>
      </c>
      <c r="BT101" s="245">
        <f t="shared" si="13"/>
        <v>21</v>
      </c>
      <c r="BU101" s="224">
        <f t="shared" si="13"/>
        <v>153</v>
      </c>
      <c r="BV101" s="229">
        <f t="shared" si="13"/>
        <v>28</v>
      </c>
      <c r="BW101" s="229">
        <f t="shared" si="13"/>
        <v>27</v>
      </c>
      <c r="BX101" s="229">
        <f t="shared" si="13"/>
        <v>26</v>
      </c>
      <c r="BY101" s="229">
        <f t="shared" si="13"/>
        <v>26</v>
      </c>
      <c r="BZ101" s="229">
        <f t="shared" si="13"/>
        <v>25</v>
      </c>
      <c r="CA101" s="229">
        <f t="shared" si="13"/>
        <v>25</v>
      </c>
      <c r="CB101" s="229">
        <f t="shared" si="13"/>
        <v>25</v>
      </c>
      <c r="CC101" s="225">
        <f t="shared" si="13"/>
        <v>182</v>
      </c>
      <c r="CD101" s="245">
        <f t="shared" si="13"/>
        <v>31</v>
      </c>
      <c r="CE101" s="245">
        <f t="shared" si="13"/>
        <v>30</v>
      </c>
      <c r="CF101" s="245">
        <f t="shared" si="13"/>
        <v>30</v>
      </c>
      <c r="CG101" s="245">
        <f t="shared" si="13"/>
        <v>30</v>
      </c>
      <c r="CH101" s="245">
        <f t="shared" si="13"/>
        <v>28</v>
      </c>
      <c r="CI101" s="245">
        <f t="shared" si="13"/>
        <v>28</v>
      </c>
      <c r="CJ101" s="245">
        <f t="shared" si="13"/>
        <v>28</v>
      </c>
      <c r="CK101" s="224">
        <f t="shared" si="13"/>
        <v>205</v>
      </c>
      <c r="CL101" s="229">
        <f t="shared" si="13"/>
        <v>32</v>
      </c>
      <c r="CM101" s="229">
        <f t="shared" si="13"/>
        <v>32</v>
      </c>
      <c r="CN101" s="229">
        <f t="shared" si="13"/>
        <v>31</v>
      </c>
      <c r="CO101" s="229">
        <f t="shared" si="13"/>
        <v>31</v>
      </c>
      <c r="CP101" s="229">
        <f t="shared" si="13"/>
        <v>29</v>
      </c>
      <c r="CQ101" s="229">
        <f t="shared" si="13"/>
        <v>29</v>
      </c>
      <c r="CR101" s="229">
        <f t="shared" si="13"/>
        <v>29</v>
      </c>
      <c r="CS101" s="225">
        <f t="shared" si="13"/>
        <v>213</v>
      </c>
      <c r="CT101" s="245">
        <f t="shared" si="13"/>
        <v>33</v>
      </c>
      <c r="CU101" s="245">
        <f t="shared" si="13"/>
        <v>33</v>
      </c>
      <c r="CV101" s="245">
        <f t="shared" si="13"/>
        <v>33</v>
      </c>
      <c r="CW101" s="245">
        <f t="shared" si="13"/>
        <v>32</v>
      </c>
      <c r="CX101" s="245">
        <f t="shared" si="13"/>
        <v>30</v>
      </c>
      <c r="CY101" s="245">
        <f t="shared" si="13"/>
        <v>30</v>
      </c>
      <c r="CZ101" s="245">
        <f t="shared" si="13"/>
        <v>30</v>
      </c>
      <c r="DA101" s="224">
        <f t="shared" si="13"/>
        <v>221</v>
      </c>
      <c r="DB101" s="229">
        <f t="shared" si="13"/>
        <v>34</v>
      </c>
      <c r="DC101" s="229">
        <f t="shared" si="13"/>
        <v>34</v>
      </c>
      <c r="DD101" s="229">
        <f t="shared" si="13"/>
        <v>34</v>
      </c>
      <c r="DE101" s="229">
        <f t="shared" si="13"/>
        <v>34</v>
      </c>
      <c r="DF101" s="229">
        <f t="shared" si="13"/>
        <v>31</v>
      </c>
      <c r="DG101" s="229">
        <f t="shared" si="13"/>
        <v>31</v>
      </c>
      <c r="DH101" s="229">
        <f t="shared" si="13"/>
        <v>31</v>
      </c>
      <c r="DI101" s="225">
        <f t="shared" si="13"/>
        <v>229</v>
      </c>
      <c r="DJ101" s="245">
        <f t="shared" si="13"/>
        <v>35</v>
      </c>
      <c r="DK101" s="245">
        <f t="shared" si="13"/>
        <v>35</v>
      </c>
      <c r="DL101" s="245">
        <f t="shared" si="13"/>
        <v>35</v>
      </c>
      <c r="DM101" s="245">
        <f t="shared" si="13"/>
        <v>35</v>
      </c>
      <c r="DN101" s="245">
        <f t="shared" si="13"/>
        <v>33</v>
      </c>
      <c r="DO101" s="245">
        <f t="shared" si="13"/>
        <v>32</v>
      </c>
      <c r="DP101" s="245">
        <f t="shared" si="13"/>
        <v>32</v>
      </c>
      <c r="DQ101" s="224">
        <f t="shared" si="13"/>
        <v>237</v>
      </c>
      <c r="DR101" s="246"/>
      <c r="DS101" s="247"/>
      <c r="DT101" s="247"/>
      <c r="DU101" s="247"/>
      <c r="DV101" s="247"/>
      <c r="DW101" s="247"/>
      <c r="DX101" s="247"/>
      <c r="DY101" s="248"/>
    </row>
    <row r="102" spans="1:129" x14ac:dyDescent="0.2">
      <c r="A102" s="231" t="s">
        <v>99</v>
      </c>
      <c r="B102" s="245">
        <f>'Pri Housing Generation'!B24+'Pri Housing Generation'!B45+'Pri Housing Generation'!B53</f>
        <v>3</v>
      </c>
      <c r="C102" s="245">
        <f>'Pri Housing Generation'!C24+'Pri Housing Generation'!C45+'Pri Housing Generation'!C53</f>
        <v>2</v>
      </c>
      <c r="D102" s="245">
        <f>'Pri Housing Generation'!D24+'Pri Housing Generation'!D45+'Pri Housing Generation'!D53</f>
        <v>2</v>
      </c>
      <c r="E102" s="245">
        <f>'Pri Housing Generation'!E24+'Pri Housing Generation'!E45+'Pri Housing Generation'!E53</f>
        <v>2</v>
      </c>
      <c r="F102" s="245">
        <f>'Pri Housing Generation'!F24+'Pri Housing Generation'!F45+'Pri Housing Generation'!F53</f>
        <v>2</v>
      </c>
      <c r="G102" s="245">
        <f>'Pri Housing Generation'!G24+'Pri Housing Generation'!G45+'Pri Housing Generation'!G53</f>
        <v>1</v>
      </c>
      <c r="H102" s="245">
        <f>'Pri Housing Generation'!H24+'Pri Housing Generation'!H45+'Pri Housing Generation'!H53</f>
        <v>1</v>
      </c>
      <c r="I102" s="224">
        <f>'Pri Housing Generation'!I24+'Pri Housing Generation'!I45+'Pri Housing Generation'!I53</f>
        <v>13</v>
      </c>
      <c r="J102" s="229">
        <f>'Pri Housing Generation'!J24+'Pri Housing Generation'!J45+'Pri Housing Generation'!J53</f>
        <v>3</v>
      </c>
      <c r="K102" s="229">
        <f>'Pri Housing Generation'!K24+'Pri Housing Generation'!K45+'Pri Housing Generation'!K53</f>
        <v>3</v>
      </c>
      <c r="L102" s="229">
        <f>'Pri Housing Generation'!L24+'Pri Housing Generation'!L45+'Pri Housing Generation'!L53</f>
        <v>2</v>
      </c>
      <c r="M102" s="229">
        <f>'Pri Housing Generation'!M24+'Pri Housing Generation'!M45+'Pri Housing Generation'!M53</f>
        <v>2</v>
      </c>
      <c r="N102" s="229">
        <f>'Pri Housing Generation'!N24+'Pri Housing Generation'!N45+'Pri Housing Generation'!N53</f>
        <v>2</v>
      </c>
      <c r="O102" s="229">
        <f>'Pri Housing Generation'!O24+'Pri Housing Generation'!O45+'Pri Housing Generation'!O53</f>
        <v>2</v>
      </c>
      <c r="P102" s="229">
        <f>'Pri Housing Generation'!P24+'Pri Housing Generation'!P45+'Pri Housing Generation'!P53</f>
        <v>2</v>
      </c>
      <c r="Q102" s="225">
        <f>'Pri Housing Generation'!Q24+'Pri Housing Generation'!Q45+'Pri Housing Generation'!Q53</f>
        <v>16</v>
      </c>
      <c r="R102" s="245">
        <f>'Pri Housing Generation'!R24+'Pri Housing Generation'!R45+'Pri Housing Generation'!R53</f>
        <v>4</v>
      </c>
      <c r="S102" s="245">
        <f>'Pri Housing Generation'!S24+'Pri Housing Generation'!S45+'Pri Housing Generation'!S53</f>
        <v>4</v>
      </c>
      <c r="T102" s="245">
        <f>'Pri Housing Generation'!T24+'Pri Housing Generation'!T45+'Pri Housing Generation'!T53</f>
        <v>4</v>
      </c>
      <c r="U102" s="245">
        <f>'Pri Housing Generation'!U24+'Pri Housing Generation'!U45+'Pri Housing Generation'!U53</f>
        <v>4</v>
      </c>
      <c r="V102" s="245">
        <f>'Pri Housing Generation'!V24+'Pri Housing Generation'!V45+'Pri Housing Generation'!V53</f>
        <v>4</v>
      </c>
      <c r="W102" s="245">
        <f>'Pri Housing Generation'!W24+'Pri Housing Generation'!W45+'Pri Housing Generation'!W53</f>
        <v>4</v>
      </c>
      <c r="X102" s="245">
        <f>'Pri Housing Generation'!X24+'Pri Housing Generation'!X45+'Pri Housing Generation'!X53</f>
        <v>3</v>
      </c>
      <c r="Y102" s="224">
        <f>'Pri Housing Generation'!Y24+'Pri Housing Generation'!Y45+'Pri Housing Generation'!Y53</f>
        <v>27</v>
      </c>
      <c r="Z102" s="229">
        <f>'Pri Housing Generation'!Z24+'Pri Housing Generation'!Z45+'Pri Housing Generation'!Z53</f>
        <v>6</v>
      </c>
      <c r="AA102" s="229">
        <f>'Pri Housing Generation'!AA24+'Pri Housing Generation'!AA45+'Pri Housing Generation'!AA53</f>
        <v>6</v>
      </c>
      <c r="AB102" s="229">
        <f>'Pri Housing Generation'!AB24+'Pri Housing Generation'!AB45+'Pri Housing Generation'!AB53</f>
        <v>5</v>
      </c>
      <c r="AC102" s="229">
        <f>'Pri Housing Generation'!AC24+'Pri Housing Generation'!AC45+'Pri Housing Generation'!AC53</f>
        <v>5</v>
      </c>
      <c r="AD102" s="229">
        <f>'Pri Housing Generation'!AD24+'Pri Housing Generation'!AD45+'Pri Housing Generation'!AD53</f>
        <v>5</v>
      </c>
      <c r="AE102" s="229">
        <f>'Pri Housing Generation'!AE24+'Pri Housing Generation'!AE45+'Pri Housing Generation'!AE53</f>
        <v>5</v>
      </c>
      <c r="AF102" s="229">
        <f>'Pri Housing Generation'!AF24+'Pri Housing Generation'!AF45+'Pri Housing Generation'!AF53</f>
        <v>5</v>
      </c>
      <c r="AG102" s="225">
        <f>'Pri Housing Generation'!AG24+'Pri Housing Generation'!AG45+'Pri Housing Generation'!AG53</f>
        <v>37</v>
      </c>
      <c r="AH102" s="245">
        <f>'Pri Housing Generation'!AH24+'Pri Housing Generation'!AH45+'Pri Housing Generation'!AH53</f>
        <v>8</v>
      </c>
      <c r="AI102" s="245">
        <f>'Pri Housing Generation'!AI24+'Pri Housing Generation'!AI45+'Pri Housing Generation'!AI53</f>
        <v>7</v>
      </c>
      <c r="AJ102" s="245">
        <f>'Pri Housing Generation'!AJ24+'Pri Housing Generation'!AJ45+'Pri Housing Generation'!AJ53</f>
        <v>7</v>
      </c>
      <c r="AK102" s="245">
        <f>'Pri Housing Generation'!AK24+'Pri Housing Generation'!AK45+'Pri Housing Generation'!AK53</f>
        <v>7</v>
      </c>
      <c r="AL102" s="245">
        <f>'Pri Housing Generation'!AL24+'Pri Housing Generation'!AL45+'Pri Housing Generation'!AL53</f>
        <v>7</v>
      </c>
      <c r="AM102" s="245">
        <f>'Pri Housing Generation'!AM24+'Pri Housing Generation'!AM45+'Pri Housing Generation'!AM53</f>
        <v>6</v>
      </c>
      <c r="AN102" s="245">
        <f>'Pri Housing Generation'!AN24+'Pri Housing Generation'!AN45+'Pri Housing Generation'!AN53</f>
        <v>6</v>
      </c>
      <c r="AO102" s="224">
        <f>'Pri Housing Generation'!AO24+'Pri Housing Generation'!AO45+'Pri Housing Generation'!AO53</f>
        <v>48</v>
      </c>
      <c r="AP102" s="229">
        <f>'Pri Housing Generation'!AP24+'Pri Housing Generation'!AP45+'Pri Housing Generation'!AP53</f>
        <v>10</v>
      </c>
      <c r="AQ102" s="229">
        <f>'Pri Housing Generation'!AQ24+'Pri Housing Generation'!AQ45+'Pri Housing Generation'!AQ53</f>
        <v>10</v>
      </c>
      <c r="AR102" s="229">
        <f>'Pri Housing Generation'!AR24+'Pri Housing Generation'!AR45+'Pri Housing Generation'!AR53</f>
        <v>9</v>
      </c>
      <c r="AS102" s="229">
        <f>'Pri Housing Generation'!AS24+'Pri Housing Generation'!AS45+'Pri Housing Generation'!AS53</f>
        <v>9</v>
      </c>
      <c r="AT102" s="229">
        <f>'Pri Housing Generation'!AT24+'Pri Housing Generation'!AT45+'Pri Housing Generation'!AT53</f>
        <v>9</v>
      </c>
      <c r="AU102" s="229">
        <f>'Pri Housing Generation'!AU24+'Pri Housing Generation'!AU45+'Pri Housing Generation'!AU53</f>
        <v>9</v>
      </c>
      <c r="AV102" s="229">
        <f>'Pri Housing Generation'!AV24+'Pri Housing Generation'!AV45+'Pri Housing Generation'!AV53</f>
        <v>9</v>
      </c>
      <c r="AW102" s="225">
        <f>'Pri Housing Generation'!AW24+'Pri Housing Generation'!AW45+'Pri Housing Generation'!AW53</f>
        <v>65</v>
      </c>
      <c r="AX102" s="245">
        <f>'Pri Housing Generation'!AX24+'Pri Housing Generation'!AX45+'Pri Housing Generation'!AX53</f>
        <v>11</v>
      </c>
      <c r="AY102" s="245">
        <f>'Pri Housing Generation'!AY24+'Pri Housing Generation'!AY45+'Pri Housing Generation'!AY53</f>
        <v>11</v>
      </c>
      <c r="AZ102" s="245">
        <f>'Pri Housing Generation'!AZ24+'Pri Housing Generation'!AZ45+'Pri Housing Generation'!AZ53</f>
        <v>11</v>
      </c>
      <c r="BA102" s="245">
        <f>'Pri Housing Generation'!BA24+'Pri Housing Generation'!BA45+'Pri Housing Generation'!BA53</f>
        <v>11</v>
      </c>
      <c r="BB102" s="245">
        <f>'Pri Housing Generation'!BB24+'Pri Housing Generation'!BB45+'Pri Housing Generation'!BB53</f>
        <v>11</v>
      </c>
      <c r="BC102" s="245">
        <f>'Pri Housing Generation'!BC24+'Pri Housing Generation'!BC45+'Pri Housing Generation'!BC53</f>
        <v>11</v>
      </c>
      <c r="BD102" s="245">
        <f>'Pri Housing Generation'!BD24+'Pri Housing Generation'!BD45+'Pri Housing Generation'!BD53</f>
        <v>10</v>
      </c>
      <c r="BE102" s="224">
        <f>'Pri Housing Generation'!BE24+'Pri Housing Generation'!BE45+'Pri Housing Generation'!BE53</f>
        <v>76</v>
      </c>
      <c r="BF102" s="229">
        <f>'Pri Housing Generation'!BF24+'Pri Housing Generation'!BF45+'Pri Housing Generation'!BF53</f>
        <v>13</v>
      </c>
      <c r="BG102" s="229">
        <f>'Pri Housing Generation'!BG24+'Pri Housing Generation'!BG45+'Pri Housing Generation'!BG53</f>
        <v>13</v>
      </c>
      <c r="BH102" s="229">
        <f>'Pri Housing Generation'!BH24+'Pri Housing Generation'!BH45+'Pri Housing Generation'!BH53</f>
        <v>13</v>
      </c>
      <c r="BI102" s="229">
        <f>'Pri Housing Generation'!BI24+'Pri Housing Generation'!BI45+'Pri Housing Generation'!BI53</f>
        <v>12</v>
      </c>
      <c r="BJ102" s="229">
        <f>'Pri Housing Generation'!BJ24+'Pri Housing Generation'!BJ45+'Pri Housing Generation'!BJ53</f>
        <v>12</v>
      </c>
      <c r="BK102" s="229">
        <f>'Pri Housing Generation'!BK24+'Pri Housing Generation'!BK45+'Pri Housing Generation'!BK53</f>
        <v>12</v>
      </c>
      <c r="BL102" s="229">
        <f>'Pri Housing Generation'!BL24+'Pri Housing Generation'!BL45+'Pri Housing Generation'!BL53</f>
        <v>12</v>
      </c>
      <c r="BM102" s="225">
        <f>'Pri Housing Generation'!BM24+'Pri Housing Generation'!BM45+'Pri Housing Generation'!BM53</f>
        <v>87</v>
      </c>
      <c r="BN102" s="245">
        <f>'Pri Housing Generation'!BN24+'Pri Housing Generation'!BN45+'Pri Housing Generation'!BN53</f>
        <v>13</v>
      </c>
      <c r="BO102" s="245">
        <f>'Pri Housing Generation'!BO24+'Pri Housing Generation'!BO45+'Pri Housing Generation'!BO53</f>
        <v>13</v>
      </c>
      <c r="BP102" s="245">
        <f>'Pri Housing Generation'!BP24+'Pri Housing Generation'!BP45+'Pri Housing Generation'!BP53</f>
        <v>13</v>
      </c>
      <c r="BQ102" s="245">
        <f>'Pri Housing Generation'!BQ24+'Pri Housing Generation'!BQ45+'Pri Housing Generation'!BQ53</f>
        <v>13</v>
      </c>
      <c r="BR102" s="245">
        <f>'Pri Housing Generation'!BR24+'Pri Housing Generation'!BR45+'Pri Housing Generation'!BR53</f>
        <v>13</v>
      </c>
      <c r="BS102" s="245">
        <f>'Pri Housing Generation'!BS24+'Pri Housing Generation'!BS45+'Pri Housing Generation'!BS53</f>
        <v>13</v>
      </c>
      <c r="BT102" s="245">
        <f>'Pri Housing Generation'!BT24+'Pri Housing Generation'!BT45+'Pri Housing Generation'!BT53</f>
        <v>12</v>
      </c>
      <c r="BU102" s="224">
        <f>'Pri Housing Generation'!BU24+'Pri Housing Generation'!BU45+'Pri Housing Generation'!BU53</f>
        <v>90</v>
      </c>
      <c r="BV102" s="229">
        <f>'Pri Housing Generation'!BV24+'Pri Housing Generation'!BV45+'Pri Housing Generation'!BV53</f>
        <v>13</v>
      </c>
      <c r="BW102" s="229">
        <f>'Pri Housing Generation'!BW24+'Pri Housing Generation'!BW45+'Pri Housing Generation'!BW53</f>
        <v>13</v>
      </c>
      <c r="BX102" s="229">
        <f>'Pri Housing Generation'!BX24+'Pri Housing Generation'!BX45+'Pri Housing Generation'!BX53</f>
        <v>13</v>
      </c>
      <c r="BY102" s="229">
        <f>'Pri Housing Generation'!BY24+'Pri Housing Generation'!BY45+'Pri Housing Generation'!BY53</f>
        <v>13</v>
      </c>
      <c r="BZ102" s="229">
        <f>'Pri Housing Generation'!BZ24+'Pri Housing Generation'!BZ45+'Pri Housing Generation'!BZ53</f>
        <v>13</v>
      </c>
      <c r="CA102" s="229">
        <f>'Pri Housing Generation'!CA24+'Pri Housing Generation'!CA45+'Pri Housing Generation'!CA53</f>
        <v>13</v>
      </c>
      <c r="CB102" s="229">
        <f>'Pri Housing Generation'!CB24+'Pri Housing Generation'!CB45+'Pri Housing Generation'!CB53</f>
        <v>12</v>
      </c>
      <c r="CC102" s="225">
        <f>'Pri Housing Generation'!CC24+'Pri Housing Generation'!CC45+'Pri Housing Generation'!CC53</f>
        <v>90</v>
      </c>
      <c r="CD102" s="245">
        <f>'Pri Housing Generation'!CD24+'Pri Housing Generation'!CD45+'Pri Housing Generation'!CD53</f>
        <v>13</v>
      </c>
      <c r="CE102" s="245">
        <f>'Pri Housing Generation'!CE24+'Pri Housing Generation'!CE45+'Pri Housing Generation'!CE53</f>
        <v>13</v>
      </c>
      <c r="CF102" s="245">
        <f>'Pri Housing Generation'!CF24+'Pri Housing Generation'!CF45+'Pri Housing Generation'!CF53</f>
        <v>13</v>
      </c>
      <c r="CG102" s="245">
        <f>'Pri Housing Generation'!CG24+'Pri Housing Generation'!CG45+'Pri Housing Generation'!CG53</f>
        <v>13</v>
      </c>
      <c r="CH102" s="245">
        <f>'Pri Housing Generation'!CH24+'Pri Housing Generation'!CH45+'Pri Housing Generation'!CH53</f>
        <v>13</v>
      </c>
      <c r="CI102" s="245">
        <f>'Pri Housing Generation'!CI24+'Pri Housing Generation'!CI45+'Pri Housing Generation'!CI53</f>
        <v>13</v>
      </c>
      <c r="CJ102" s="245">
        <f>'Pri Housing Generation'!CJ24+'Pri Housing Generation'!CJ45+'Pri Housing Generation'!CJ53</f>
        <v>12</v>
      </c>
      <c r="CK102" s="224">
        <f>'Pri Housing Generation'!CK24+'Pri Housing Generation'!CK45+'Pri Housing Generation'!CK53</f>
        <v>90</v>
      </c>
      <c r="CL102" s="229">
        <f>'Pri Housing Generation'!CL24+'Pri Housing Generation'!CL45+'Pri Housing Generation'!CL53</f>
        <v>13</v>
      </c>
      <c r="CM102" s="229">
        <f>'Pri Housing Generation'!CM24+'Pri Housing Generation'!CM45+'Pri Housing Generation'!CM53</f>
        <v>13</v>
      </c>
      <c r="CN102" s="229">
        <f>'Pri Housing Generation'!CN24+'Pri Housing Generation'!CN45+'Pri Housing Generation'!CN53</f>
        <v>13</v>
      </c>
      <c r="CO102" s="229">
        <f>'Pri Housing Generation'!CO24+'Pri Housing Generation'!CO45+'Pri Housing Generation'!CO53</f>
        <v>13</v>
      </c>
      <c r="CP102" s="229">
        <f>'Pri Housing Generation'!CP24+'Pri Housing Generation'!CP45+'Pri Housing Generation'!CP53</f>
        <v>13</v>
      </c>
      <c r="CQ102" s="229">
        <f>'Pri Housing Generation'!CQ24+'Pri Housing Generation'!CQ45+'Pri Housing Generation'!CQ53</f>
        <v>13</v>
      </c>
      <c r="CR102" s="229">
        <f>'Pri Housing Generation'!CR24+'Pri Housing Generation'!CR45+'Pri Housing Generation'!CR53</f>
        <v>12</v>
      </c>
      <c r="CS102" s="225">
        <f>'Pri Housing Generation'!CS24+'Pri Housing Generation'!CS45+'Pri Housing Generation'!CS53</f>
        <v>90</v>
      </c>
      <c r="CT102" s="245">
        <f>'Pri Housing Generation'!CT24+'Pri Housing Generation'!CT45+'Pri Housing Generation'!CT53</f>
        <v>13</v>
      </c>
      <c r="CU102" s="245">
        <f>'Pri Housing Generation'!CU24+'Pri Housing Generation'!CU45+'Pri Housing Generation'!CU53</f>
        <v>13</v>
      </c>
      <c r="CV102" s="245">
        <f>'Pri Housing Generation'!CV24+'Pri Housing Generation'!CV45+'Pri Housing Generation'!CV53</f>
        <v>13</v>
      </c>
      <c r="CW102" s="245">
        <f>'Pri Housing Generation'!CW24+'Pri Housing Generation'!CW45+'Pri Housing Generation'!CW53</f>
        <v>13</v>
      </c>
      <c r="CX102" s="245">
        <f>'Pri Housing Generation'!CX24+'Pri Housing Generation'!CX45+'Pri Housing Generation'!CX53</f>
        <v>13</v>
      </c>
      <c r="CY102" s="245">
        <f>'Pri Housing Generation'!CY24+'Pri Housing Generation'!CY45+'Pri Housing Generation'!CY53</f>
        <v>13</v>
      </c>
      <c r="CZ102" s="245">
        <f>'Pri Housing Generation'!CZ24+'Pri Housing Generation'!CZ45+'Pri Housing Generation'!CZ53</f>
        <v>12</v>
      </c>
      <c r="DA102" s="224">
        <f>'Pri Housing Generation'!DA24+'Pri Housing Generation'!DA45+'Pri Housing Generation'!DA53</f>
        <v>90</v>
      </c>
      <c r="DB102" s="229">
        <f>'Pri Housing Generation'!DB24+'Pri Housing Generation'!DB45+'Pri Housing Generation'!DB53</f>
        <v>13</v>
      </c>
      <c r="DC102" s="229">
        <f>'Pri Housing Generation'!DC24+'Pri Housing Generation'!DC45+'Pri Housing Generation'!DC53</f>
        <v>13</v>
      </c>
      <c r="DD102" s="229">
        <f>'Pri Housing Generation'!DD24+'Pri Housing Generation'!DD45+'Pri Housing Generation'!DD53</f>
        <v>13</v>
      </c>
      <c r="DE102" s="229">
        <f>'Pri Housing Generation'!DE24+'Pri Housing Generation'!DE45+'Pri Housing Generation'!DE53</f>
        <v>13</v>
      </c>
      <c r="DF102" s="229">
        <f>'Pri Housing Generation'!DF24+'Pri Housing Generation'!DF45+'Pri Housing Generation'!DF53</f>
        <v>13</v>
      </c>
      <c r="DG102" s="229">
        <f>'Pri Housing Generation'!DG24+'Pri Housing Generation'!DG45+'Pri Housing Generation'!DG53</f>
        <v>13</v>
      </c>
      <c r="DH102" s="229">
        <f>'Pri Housing Generation'!DH24+'Pri Housing Generation'!DH45+'Pri Housing Generation'!DH53</f>
        <v>12</v>
      </c>
      <c r="DI102" s="225">
        <f>'Pri Housing Generation'!DI24+'Pri Housing Generation'!DI45+'Pri Housing Generation'!DI53</f>
        <v>90</v>
      </c>
      <c r="DJ102" s="245">
        <f>'Pri Housing Generation'!DJ24+'Pri Housing Generation'!DJ45+'Pri Housing Generation'!DJ53</f>
        <v>13</v>
      </c>
      <c r="DK102" s="245">
        <f>'Pri Housing Generation'!DK24+'Pri Housing Generation'!DK45+'Pri Housing Generation'!DK53</f>
        <v>13</v>
      </c>
      <c r="DL102" s="245">
        <f>'Pri Housing Generation'!DL24+'Pri Housing Generation'!DL45+'Pri Housing Generation'!DL53</f>
        <v>13</v>
      </c>
      <c r="DM102" s="245">
        <f>'Pri Housing Generation'!DM24+'Pri Housing Generation'!DM45+'Pri Housing Generation'!DM53</f>
        <v>13</v>
      </c>
      <c r="DN102" s="245">
        <f>'Pri Housing Generation'!DN24+'Pri Housing Generation'!DN45+'Pri Housing Generation'!DN53</f>
        <v>13</v>
      </c>
      <c r="DO102" s="245">
        <f>'Pri Housing Generation'!DO24+'Pri Housing Generation'!DO45+'Pri Housing Generation'!DO53</f>
        <v>13</v>
      </c>
      <c r="DP102" s="245">
        <f>'Pri Housing Generation'!DP24+'Pri Housing Generation'!DP45+'Pri Housing Generation'!DP53</f>
        <v>12</v>
      </c>
      <c r="DQ102" s="224">
        <f>'Pri Housing Generation'!DQ24+'Pri Housing Generation'!DQ45+'Pri Housing Generation'!DQ53</f>
        <v>90</v>
      </c>
      <c r="DR102" s="246"/>
      <c r="DS102" s="247"/>
      <c r="DT102" s="247"/>
      <c r="DU102" s="247"/>
      <c r="DV102" s="247"/>
      <c r="DW102" s="247"/>
      <c r="DX102" s="247"/>
      <c r="DY102" s="248"/>
    </row>
    <row r="103" spans="1:129" x14ac:dyDescent="0.2">
      <c r="A103" s="231" t="s">
        <v>96</v>
      </c>
      <c r="B103" s="245">
        <f>'Pri Housing Generation'!B3+'Pri Housing Generation'!B8+'Pri Housing Generation'!B48</f>
        <v>5</v>
      </c>
      <c r="C103" s="245">
        <f>'Pri Housing Generation'!C3+'Pri Housing Generation'!C8+'Pri Housing Generation'!C48</f>
        <v>5</v>
      </c>
      <c r="D103" s="245">
        <f>'Pri Housing Generation'!D3+'Pri Housing Generation'!D8+'Pri Housing Generation'!D48</f>
        <v>4</v>
      </c>
      <c r="E103" s="245">
        <f>'Pri Housing Generation'!E3+'Pri Housing Generation'!E8+'Pri Housing Generation'!E48</f>
        <v>4</v>
      </c>
      <c r="F103" s="245">
        <f>'Pri Housing Generation'!F3+'Pri Housing Generation'!F8+'Pri Housing Generation'!F48</f>
        <v>4</v>
      </c>
      <c r="G103" s="245">
        <f>'Pri Housing Generation'!G3+'Pri Housing Generation'!G8+'Pri Housing Generation'!G48</f>
        <v>4</v>
      </c>
      <c r="H103" s="245">
        <f>'Pri Housing Generation'!H3+'Pri Housing Generation'!H8+'Pri Housing Generation'!H48</f>
        <v>2</v>
      </c>
      <c r="I103" s="224">
        <f>'Pri Housing Generation'!I3+'Pri Housing Generation'!I8+'Pri Housing Generation'!I48</f>
        <v>28</v>
      </c>
      <c r="J103" s="229">
        <f>'Pri Housing Generation'!J3+'Pri Housing Generation'!J8+'Pri Housing Generation'!J48</f>
        <v>5</v>
      </c>
      <c r="K103" s="229">
        <f>'Pri Housing Generation'!K3+'Pri Housing Generation'!K8+'Pri Housing Generation'!K48</f>
        <v>5</v>
      </c>
      <c r="L103" s="229">
        <f>'Pri Housing Generation'!L3+'Pri Housing Generation'!L8+'Pri Housing Generation'!L48</f>
        <v>4</v>
      </c>
      <c r="M103" s="229">
        <f>'Pri Housing Generation'!M3+'Pri Housing Generation'!M8+'Pri Housing Generation'!M48</f>
        <v>3</v>
      </c>
      <c r="N103" s="229">
        <f>'Pri Housing Generation'!N3+'Pri Housing Generation'!N8+'Pri Housing Generation'!N48</f>
        <v>3</v>
      </c>
      <c r="O103" s="229">
        <f>'Pri Housing Generation'!O3+'Pri Housing Generation'!O8+'Pri Housing Generation'!O48</f>
        <v>3</v>
      </c>
      <c r="P103" s="229">
        <f>'Pri Housing Generation'!P3+'Pri Housing Generation'!P8+'Pri Housing Generation'!P48</f>
        <v>2</v>
      </c>
      <c r="Q103" s="225">
        <f>'Pri Housing Generation'!Q3+'Pri Housing Generation'!Q8+'Pri Housing Generation'!Q48</f>
        <v>25</v>
      </c>
      <c r="R103" s="245">
        <f>'Pri Housing Generation'!R3+'Pri Housing Generation'!R8+'Pri Housing Generation'!R48</f>
        <v>7</v>
      </c>
      <c r="S103" s="245">
        <f>'Pri Housing Generation'!S3+'Pri Housing Generation'!S8+'Pri Housing Generation'!S48</f>
        <v>7</v>
      </c>
      <c r="T103" s="245">
        <f>'Pri Housing Generation'!T3+'Pri Housing Generation'!T8+'Pri Housing Generation'!T48</f>
        <v>7</v>
      </c>
      <c r="U103" s="245">
        <f>'Pri Housing Generation'!U3+'Pri Housing Generation'!U8+'Pri Housing Generation'!U48</f>
        <v>6</v>
      </c>
      <c r="V103" s="245">
        <f>'Pri Housing Generation'!V3+'Pri Housing Generation'!V8+'Pri Housing Generation'!V48</f>
        <v>6</v>
      </c>
      <c r="W103" s="245">
        <f>'Pri Housing Generation'!W3+'Pri Housing Generation'!W8+'Pri Housing Generation'!W48</f>
        <v>5</v>
      </c>
      <c r="X103" s="245">
        <f>'Pri Housing Generation'!X3+'Pri Housing Generation'!X8+'Pri Housing Generation'!X48</f>
        <v>4</v>
      </c>
      <c r="Y103" s="224">
        <f>'Pri Housing Generation'!Y3+'Pri Housing Generation'!Y8+'Pri Housing Generation'!Y48</f>
        <v>42</v>
      </c>
      <c r="Z103" s="229">
        <f>'Pri Housing Generation'!Z3+'Pri Housing Generation'!Z8+'Pri Housing Generation'!Z48</f>
        <v>10</v>
      </c>
      <c r="AA103" s="229">
        <f>'Pri Housing Generation'!AA3+'Pri Housing Generation'!AA8+'Pri Housing Generation'!AA48</f>
        <v>10</v>
      </c>
      <c r="AB103" s="229">
        <f>'Pri Housing Generation'!AB3+'Pri Housing Generation'!AB8+'Pri Housing Generation'!AB48</f>
        <v>10</v>
      </c>
      <c r="AC103" s="229">
        <f>'Pri Housing Generation'!AC3+'Pri Housing Generation'!AC8+'Pri Housing Generation'!AC48</f>
        <v>9</v>
      </c>
      <c r="AD103" s="229">
        <f>'Pri Housing Generation'!AD3+'Pri Housing Generation'!AD8+'Pri Housing Generation'!AD48</f>
        <v>9</v>
      </c>
      <c r="AE103" s="229">
        <f>'Pri Housing Generation'!AE3+'Pri Housing Generation'!AE8+'Pri Housing Generation'!AE48</f>
        <v>9</v>
      </c>
      <c r="AF103" s="229">
        <f>'Pri Housing Generation'!AF3+'Pri Housing Generation'!AF8+'Pri Housing Generation'!AF48</f>
        <v>9</v>
      </c>
      <c r="AG103" s="225">
        <f>'Pri Housing Generation'!AG3+'Pri Housing Generation'!AG8+'Pri Housing Generation'!AG48</f>
        <v>66</v>
      </c>
      <c r="AH103" s="245">
        <f>'Pri Housing Generation'!AH3+'Pri Housing Generation'!AH8+'Pri Housing Generation'!AH48</f>
        <v>14</v>
      </c>
      <c r="AI103" s="245">
        <f>'Pri Housing Generation'!AI3+'Pri Housing Generation'!AI8+'Pri Housing Generation'!AI48</f>
        <v>12</v>
      </c>
      <c r="AJ103" s="245">
        <f>'Pri Housing Generation'!AJ3+'Pri Housing Generation'!AJ8+'Pri Housing Generation'!AJ48</f>
        <v>12</v>
      </c>
      <c r="AK103" s="245">
        <f>'Pri Housing Generation'!AK3+'Pri Housing Generation'!AK8+'Pri Housing Generation'!AK48</f>
        <v>11</v>
      </c>
      <c r="AL103" s="245">
        <f>'Pri Housing Generation'!AL3+'Pri Housing Generation'!AL8+'Pri Housing Generation'!AL48</f>
        <v>11</v>
      </c>
      <c r="AM103" s="245">
        <f>'Pri Housing Generation'!AM3+'Pri Housing Generation'!AM8+'Pri Housing Generation'!AM48</f>
        <v>11</v>
      </c>
      <c r="AN103" s="245">
        <f>'Pri Housing Generation'!AN3+'Pri Housing Generation'!AN8+'Pri Housing Generation'!AN48</f>
        <v>11</v>
      </c>
      <c r="AO103" s="224">
        <f>'Pri Housing Generation'!AO3+'Pri Housing Generation'!AO8+'Pri Housing Generation'!AO48</f>
        <v>82</v>
      </c>
      <c r="AP103" s="229">
        <f>'Pri Housing Generation'!AP3+'Pri Housing Generation'!AP8+'Pri Housing Generation'!AP48</f>
        <v>15</v>
      </c>
      <c r="AQ103" s="229">
        <f>'Pri Housing Generation'!AQ3+'Pri Housing Generation'!AQ8+'Pri Housing Generation'!AQ48</f>
        <v>13</v>
      </c>
      <c r="AR103" s="229">
        <f>'Pri Housing Generation'!AR3+'Pri Housing Generation'!AR8+'Pri Housing Generation'!AR48</f>
        <v>13</v>
      </c>
      <c r="AS103" s="229">
        <f>'Pri Housing Generation'!AS3+'Pri Housing Generation'!AS8+'Pri Housing Generation'!AS48</f>
        <v>12</v>
      </c>
      <c r="AT103" s="229">
        <f>'Pri Housing Generation'!AT3+'Pri Housing Generation'!AT8+'Pri Housing Generation'!AT48</f>
        <v>12</v>
      </c>
      <c r="AU103" s="229">
        <f>'Pri Housing Generation'!AU3+'Pri Housing Generation'!AU8+'Pri Housing Generation'!AU48</f>
        <v>12</v>
      </c>
      <c r="AV103" s="229">
        <f>'Pri Housing Generation'!AV3+'Pri Housing Generation'!AV8+'Pri Housing Generation'!AV48</f>
        <v>12</v>
      </c>
      <c r="AW103" s="225">
        <f>'Pri Housing Generation'!AW3+'Pri Housing Generation'!AW8+'Pri Housing Generation'!AW48</f>
        <v>89</v>
      </c>
      <c r="AX103" s="245">
        <f>'Pri Housing Generation'!AX3+'Pri Housing Generation'!AX8+'Pri Housing Generation'!AX48</f>
        <v>16</v>
      </c>
      <c r="AY103" s="245">
        <f>'Pri Housing Generation'!AY3+'Pri Housing Generation'!AY8+'Pri Housing Generation'!AY48</f>
        <v>14</v>
      </c>
      <c r="AZ103" s="245">
        <f>'Pri Housing Generation'!AZ3+'Pri Housing Generation'!AZ8+'Pri Housing Generation'!AZ48</f>
        <v>14</v>
      </c>
      <c r="BA103" s="245">
        <f>'Pri Housing Generation'!BA3+'Pri Housing Generation'!BA8+'Pri Housing Generation'!BA48</f>
        <v>14</v>
      </c>
      <c r="BB103" s="245">
        <f>'Pri Housing Generation'!BB3+'Pri Housing Generation'!BB8+'Pri Housing Generation'!BB48</f>
        <v>13</v>
      </c>
      <c r="BC103" s="245">
        <f>'Pri Housing Generation'!BC3+'Pri Housing Generation'!BC8+'Pri Housing Generation'!BC48</f>
        <v>13</v>
      </c>
      <c r="BD103" s="245">
        <f>'Pri Housing Generation'!BD3+'Pri Housing Generation'!BD8+'Pri Housing Generation'!BD48</f>
        <v>13</v>
      </c>
      <c r="BE103" s="224">
        <f>'Pri Housing Generation'!BE3+'Pri Housing Generation'!BE8+'Pri Housing Generation'!BE48</f>
        <v>97</v>
      </c>
      <c r="BF103" s="229">
        <f>'Pri Housing Generation'!BF3+'Pri Housing Generation'!BF8+'Pri Housing Generation'!BF48</f>
        <v>16</v>
      </c>
      <c r="BG103" s="229">
        <f>'Pri Housing Generation'!BG3+'Pri Housing Generation'!BG8+'Pri Housing Generation'!BG48</f>
        <v>15</v>
      </c>
      <c r="BH103" s="229">
        <f>'Pri Housing Generation'!BH3+'Pri Housing Generation'!BH8+'Pri Housing Generation'!BH48</f>
        <v>15</v>
      </c>
      <c r="BI103" s="229">
        <f>'Pri Housing Generation'!BI3+'Pri Housing Generation'!BI8+'Pri Housing Generation'!BI48</f>
        <v>15</v>
      </c>
      <c r="BJ103" s="229">
        <f>'Pri Housing Generation'!BJ3+'Pri Housing Generation'!BJ8+'Pri Housing Generation'!BJ48</f>
        <v>15</v>
      </c>
      <c r="BK103" s="229">
        <f>'Pri Housing Generation'!BK3+'Pri Housing Generation'!BK8+'Pri Housing Generation'!BK48</f>
        <v>14</v>
      </c>
      <c r="BL103" s="229">
        <f>'Pri Housing Generation'!BL3+'Pri Housing Generation'!BL8+'Pri Housing Generation'!BL48</f>
        <v>13</v>
      </c>
      <c r="BM103" s="225">
        <f>'Pri Housing Generation'!BM3+'Pri Housing Generation'!BM8+'Pri Housing Generation'!BM48</f>
        <v>103</v>
      </c>
      <c r="BN103" s="245">
        <f>'Pri Housing Generation'!BN3+'Pri Housing Generation'!BN8+'Pri Housing Generation'!BN48</f>
        <v>16</v>
      </c>
      <c r="BO103" s="245">
        <f>'Pri Housing Generation'!BO3+'Pri Housing Generation'!BO8+'Pri Housing Generation'!BO48</f>
        <v>15</v>
      </c>
      <c r="BP103" s="245">
        <f>'Pri Housing Generation'!BP3+'Pri Housing Generation'!BP8+'Pri Housing Generation'!BP48</f>
        <v>15</v>
      </c>
      <c r="BQ103" s="245">
        <f>'Pri Housing Generation'!BQ3+'Pri Housing Generation'!BQ8+'Pri Housing Generation'!BQ48</f>
        <v>15</v>
      </c>
      <c r="BR103" s="245">
        <f>'Pri Housing Generation'!BR3+'Pri Housing Generation'!BR8+'Pri Housing Generation'!BR48</f>
        <v>15</v>
      </c>
      <c r="BS103" s="245">
        <f>'Pri Housing Generation'!BS3+'Pri Housing Generation'!BS8+'Pri Housing Generation'!BS48</f>
        <v>15</v>
      </c>
      <c r="BT103" s="245">
        <f>'Pri Housing Generation'!BT3+'Pri Housing Generation'!BT8+'Pri Housing Generation'!BT48</f>
        <v>14</v>
      </c>
      <c r="BU103" s="224">
        <f>'Pri Housing Generation'!BU3+'Pri Housing Generation'!BU8+'Pri Housing Generation'!BU48</f>
        <v>105</v>
      </c>
      <c r="BV103" s="229">
        <f>'Pri Housing Generation'!BV3+'Pri Housing Generation'!BV8+'Pri Housing Generation'!BV48</f>
        <v>17</v>
      </c>
      <c r="BW103" s="229">
        <f>'Pri Housing Generation'!BW3+'Pri Housing Generation'!BW8+'Pri Housing Generation'!BW48</f>
        <v>16</v>
      </c>
      <c r="BX103" s="229">
        <f>'Pri Housing Generation'!BX3+'Pri Housing Generation'!BX8+'Pri Housing Generation'!BX48</f>
        <v>15</v>
      </c>
      <c r="BY103" s="229">
        <f>'Pri Housing Generation'!BY3+'Pri Housing Generation'!BY8+'Pri Housing Generation'!BY48</f>
        <v>15</v>
      </c>
      <c r="BZ103" s="229">
        <f>'Pri Housing Generation'!BZ3+'Pri Housing Generation'!BZ8+'Pri Housing Generation'!BZ48</f>
        <v>15</v>
      </c>
      <c r="CA103" s="229">
        <f>'Pri Housing Generation'!CA3+'Pri Housing Generation'!CA8+'Pri Housing Generation'!CA48</f>
        <v>15</v>
      </c>
      <c r="CB103" s="229">
        <f>'Pri Housing Generation'!CB3+'Pri Housing Generation'!CB8+'Pri Housing Generation'!CB48</f>
        <v>14</v>
      </c>
      <c r="CC103" s="225">
        <f>'Pri Housing Generation'!CC3+'Pri Housing Generation'!CC8+'Pri Housing Generation'!CC48</f>
        <v>107</v>
      </c>
      <c r="CD103" s="245">
        <f>'Pri Housing Generation'!CD3+'Pri Housing Generation'!CD8+'Pri Housing Generation'!CD48</f>
        <v>17</v>
      </c>
      <c r="CE103" s="245">
        <f>'Pri Housing Generation'!CE3+'Pri Housing Generation'!CE8+'Pri Housing Generation'!CE48</f>
        <v>16</v>
      </c>
      <c r="CF103" s="245">
        <f>'Pri Housing Generation'!CF3+'Pri Housing Generation'!CF8+'Pri Housing Generation'!CF48</f>
        <v>15</v>
      </c>
      <c r="CG103" s="245">
        <f>'Pri Housing Generation'!CG3+'Pri Housing Generation'!CG8+'Pri Housing Generation'!CG48</f>
        <v>15</v>
      </c>
      <c r="CH103" s="245">
        <f>'Pri Housing Generation'!CH3+'Pri Housing Generation'!CH8+'Pri Housing Generation'!CH48</f>
        <v>15</v>
      </c>
      <c r="CI103" s="245">
        <f>'Pri Housing Generation'!CI3+'Pri Housing Generation'!CI8+'Pri Housing Generation'!CI48</f>
        <v>15</v>
      </c>
      <c r="CJ103" s="245">
        <f>'Pri Housing Generation'!CJ3+'Pri Housing Generation'!CJ8+'Pri Housing Generation'!CJ48</f>
        <v>14</v>
      </c>
      <c r="CK103" s="224">
        <f>'Pri Housing Generation'!CK3+'Pri Housing Generation'!CK8+'Pri Housing Generation'!CK48</f>
        <v>107</v>
      </c>
      <c r="CL103" s="229">
        <f>'Pri Housing Generation'!CL3+'Pri Housing Generation'!CL8+'Pri Housing Generation'!CL48</f>
        <v>17</v>
      </c>
      <c r="CM103" s="229">
        <f>'Pri Housing Generation'!CM3+'Pri Housing Generation'!CM8+'Pri Housing Generation'!CM48</f>
        <v>16</v>
      </c>
      <c r="CN103" s="229">
        <f>'Pri Housing Generation'!CN3+'Pri Housing Generation'!CN8+'Pri Housing Generation'!CN48</f>
        <v>15</v>
      </c>
      <c r="CO103" s="229">
        <f>'Pri Housing Generation'!CO3+'Pri Housing Generation'!CO8+'Pri Housing Generation'!CO48</f>
        <v>15</v>
      </c>
      <c r="CP103" s="229">
        <f>'Pri Housing Generation'!CP3+'Pri Housing Generation'!CP8+'Pri Housing Generation'!CP48</f>
        <v>15</v>
      </c>
      <c r="CQ103" s="229">
        <f>'Pri Housing Generation'!CQ3+'Pri Housing Generation'!CQ8+'Pri Housing Generation'!CQ48</f>
        <v>15</v>
      </c>
      <c r="CR103" s="229">
        <f>'Pri Housing Generation'!CR3+'Pri Housing Generation'!CR8+'Pri Housing Generation'!CR48</f>
        <v>14</v>
      </c>
      <c r="CS103" s="225">
        <f>'Pri Housing Generation'!CS3+'Pri Housing Generation'!CS8+'Pri Housing Generation'!CS48</f>
        <v>107</v>
      </c>
      <c r="CT103" s="245">
        <f>'Pri Housing Generation'!CT3+'Pri Housing Generation'!CT8+'Pri Housing Generation'!CT48</f>
        <v>17</v>
      </c>
      <c r="CU103" s="245">
        <f>'Pri Housing Generation'!CU3+'Pri Housing Generation'!CU8+'Pri Housing Generation'!CU48</f>
        <v>16</v>
      </c>
      <c r="CV103" s="245">
        <f>'Pri Housing Generation'!CV3+'Pri Housing Generation'!CV8+'Pri Housing Generation'!CV48</f>
        <v>15</v>
      </c>
      <c r="CW103" s="245">
        <f>'Pri Housing Generation'!CW3+'Pri Housing Generation'!CW8+'Pri Housing Generation'!CW48</f>
        <v>15</v>
      </c>
      <c r="CX103" s="245">
        <f>'Pri Housing Generation'!CX3+'Pri Housing Generation'!CX8+'Pri Housing Generation'!CX48</f>
        <v>15</v>
      </c>
      <c r="CY103" s="245">
        <f>'Pri Housing Generation'!CY3+'Pri Housing Generation'!CY8+'Pri Housing Generation'!CY48</f>
        <v>15</v>
      </c>
      <c r="CZ103" s="245">
        <f>'Pri Housing Generation'!CZ3+'Pri Housing Generation'!CZ8+'Pri Housing Generation'!CZ48</f>
        <v>14</v>
      </c>
      <c r="DA103" s="224">
        <f>'Pri Housing Generation'!DA3+'Pri Housing Generation'!DA8+'Pri Housing Generation'!DA48</f>
        <v>107</v>
      </c>
      <c r="DB103" s="229">
        <f>'Pri Housing Generation'!DB3+'Pri Housing Generation'!DB8+'Pri Housing Generation'!DB48</f>
        <v>17</v>
      </c>
      <c r="DC103" s="229">
        <f>'Pri Housing Generation'!DC3+'Pri Housing Generation'!DC8+'Pri Housing Generation'!DC48</f>
        <v>16</v>
      </c>
      <c r="DD103" s="229">
        <f>'Pri Housing Generation'!DD3+'Pri Housing Generation'!DD8+'Pri Housing Generation'!DD48</f>
        <v>15</v>
      </c>
      <c r="DE103" s="229">
        <f>'Pri Housing Generation'!DE3+'Pri Housing Generation'!DE8+'Pri Housing Generation'!DE48</f>
        <v>15</v>
      </c>
      <c r="DF103" s="229">
        <f>'Pri Housing Generation'!DF3+'Pri Housing Generation'!DF8+'Pri Housing Generation'!DF48</f>
        <v>15</v>
      </c>
      <c r="DG103" s="229">
        <f>'Pri Housing Generation'!DG3+'Pri Housing Generation'!DG8+'Pri Housing Generation'!DG48</f>
        <v>15</v>
      </c>
      <c r="DH103" s="229">
        <f>'Pri Housing Generation'!DH3+'Pri Housing Generation'!DH8+'Pri Housing Generation'!DH48</f>
        <v>14</v>
      </c>
      <c r="DI103" s="225">
        <f>'Pri Housing Generation'!DI3+'Pri Housing Generation'!DI8+'Pri Housing Generation'!DI48</f>
        <v>107</v>
      </c>
      <c r="DJ103" s="245">
        <f>'Pri Housing Generation'!DJ3+'Pri Housing Generation'!DJ8+'Pri Housing Generation'!DJ48</f>
        <v>17</v>
      </c>
      <c r="DK103" s="245">
        <f>'Pri Housing Generation'!DK3+'Pri Housing Generation'!DK8+'Pri Housing Generation'!DK48</f>
        <v>16</v>
      </c>
      <c r="DL103" s="245">
        <f>'Pri Housing Generation'!DL3+'Pri Housing Generation'!DL8+'Pri Housing Generation'!DL48</f>
        <v>15</v>
      </c>
      <c r="DM103" s="245">
        <f>'Pri Housing Generation'!DM3+'Pri Housing Generation'!DM8+'Pri Housing Generation'!DM48</f>
        <v>15</v>
      </c>
      <c r="DN103" s="245">
        <f>'Pri Housing Generation'!DN3+'Pri Housing Generation'!DN8+'Pri Housing Generation'!DN48</f>
        <v>15</v>
      </c>
      <c r="DO103" s="245">
        <f>'Pri Housing Generation'!DO3+'Pri Housing Generation'!DO8+'Pri Housing Generation'!DO48</f>
        <v>15</v>
      </c>
      <c r="DP103" s="245">
        <f>'Pri Housing Generation'!DP3+'Pri Housing Generation'!DP8+'Pri Housing Generation'!DP48</f>
        <v>14</v>
      </c>
      <c r="DQ103" s="224">
        <f>'Pri Housing Generation'!DQ3+'Pri Housing Generation'!DQ8+'Pri Housing Generation'!DQ48</f>
        <v>107</v>
      </c>
      <c r="DR103" s="246"/>
      <c r="DS103" s="247"/>
      <c r="DT103" s="247"/>
      <c r="DU103" s="247"/>
      <c r="DV103" s="247"/>
      <c r="DW103" s="247"/>
      <c r="DX103" s="247"/>
      <c r="DY103" s="248"/>
    </row>
    <row r="104" spans="1:129" x14ac:dyDescent="0.2">
      <c r="A104" s="231" t="s">
        <v>314</v>
      </c>
      <c r="B104" s="245">
        <f>B6+B17+B50+B56+B58</f>
        <v>2</v>
      </c>
      <c r="C104" s="245">
        <f t="shared" ref="C104:BN104" si="14">C6+C17+C50+C56+C58</f>
        <v>2</v>
      </c>
      <c r="D104" s="245">
        <f t="shared" si="14"/>
        <v>0</v>
      </c>
      <c r="E104" s="245">
        <f t="shared" si="14"/>
        <v>0</v>
      </c>
      <c r="F104" s="245">
        <f t="shared" si="14"/>
        <v>0</v>
      </c>
      <c r="G104" s="245">
        <f t="shared" si="14"/>
        <v>0</v>
      </c>
      <c r="H104" s="245">
        <f t="shared" si="14"/>
        <v>0</v>
      </c>
      <c r="I104" s="224">
        <f t="shared" si="14"/>
        <v>4</v>
      </c>
      <c r="J104" s="229">
        <f t="shared" si="14"/>
        <v>1</v>
      </c>
      <c r="K104" s="229">
        <f t="shared" si="14"/>
        <v>1</v>
      </c>
      <c r="L104" s="229">
        <f t="shared" si="14"/>
        <v>0</v>
      </c>
      <c r="M104" s="229">
        <f t="shared" si="14"/>
        <v>0</v>
      </c>
      <c r="N104" s="229">
        <f t="shared" si="14"/>
        <v>0</v>
      </c>
      <c r="O104" s="229">
        <f t="shared" si="14"/>
        <v>0</v>
      </c>
      <c r="P104" s="229">
        <f t="shared" si="14"/>
        <v>0</v>
      </c>
      <c r="Q104" s="225">
        <f t="shared" si="14"/>
        <v>2</v>
      </c>
      <c r="R104" s="245">
        <f t="shared" si="14"/>
        <v>2</v>
      </c>
      <c r="S104" s="245">
        <f t="shared" si="14"/>
        <v>2</v>
      </c>
      <c r="T104" s="245">
        <f t="shared" si="14"/>
        <v>0</v>
      </c>
      <c r="U104" s="245">
        <f t="shared" si="14"/>
        <v>0</v>
      </c>
      <c r="V104" s="245">
        <f t="shared" si="14"/>
        <v>0</v>
      </c>
      <c r="W104" s="245">
        <f t="shared" si="14"/>
        <v>0</v>
      </c>
      <c r="X104" s="245">
        <f t="shared" si="14"/>
        <v>0</v>
      </c>
      <c r="Y104" s="224">
        <f t="shared" si="14"/>
        <v>4</v>
      </c>
      <c r="Z104" s="229">
        <f t="shared" si="14"/>
        <v>2</v>
      </c>
      <c r="AA104" s="229">
        <f t="shared" si="14"/>
        <v>2</v>
      </c>
      <c r="AB104" s="229">
        <f t="shared" si="14"/>
        <v>0</v>
      </c>
      <c r="AC104" s="229">
        <f t="shared" si="14"/>
        <v>0</v>
      </c>
      <c r="AD104" s="229">
        <f t="shared" si="14"/>
        <v>0</v>
      </c>
      <c r="AE104" s="229">
        <f t="shared" si="14"/>
        <v>0</v>
      </c>
      <c r="AF104" s="229">
        <f t="shared" si="14"/>
        <v>0</v>
      </c>
      <c r="AG104" s="225">
        <f t="shared" si="14"/>
        <v>4</v>
      </c>
      <c r="AH104" s="245">
        <f t="shared" si="14"/>
        <v>2</v>
      </c>
      <c r="AI104" s="245">
        <f t="shared" si="14"/>
        <v>2</v>
      </c>
      <c r="AJ104" s="245">
        <f t="shared" si="14"/>
        <v>0</v>
      </c>
      <c r="AK104" s="245">
        <f t="shared" si="14"/>
        <v>0</v>
      </c>
      <c r="AL104" s="245">
        <f t="shared" si="14"/>
        <v>0</v>
      </c>
      <c r="AM104" s="245">
        <f t="shared" si="14"/>
        <v>0</v>
      </c>
      <c r="AN104" s="245">
        <f t="shared" si="14"/>
        <v>0</v>
      </c>
      <c r="AO104" s="224">
        <f t="shared" si="14"/>
        <v>4</v>
      </c>
      <c r="AP104" s="229">
        <f t="shared" si="14"/>
        <v>2</v>
      </c>
      <c r="AQ104" s="229">
        <f t="shared" si="14"/>
        <v>2</v>
      </c>
      <c r="AR104" s="229">
        <f t="shared" si="14"/>
        <v>0</v>
      </c>
      <c r="AS104" s="229">
        <f t="shared" si="14"/>
        <v>0</v>
      </c>
      <c r="AT104" s="229">
        <f t="shared" si="14"/>
        <v>0</v>
      </c>
      <c r="AU104" s="229">
        <f t="shared" si="14"/>
        <v>0</v>
      </c>
      <c r="AV104" s="229">
        <f t="shared" si="14"/>
        <v>0</v>
      </c>
      <c r="AW104" s="225">
        <f t="shared" si="14"/>
        <v>4</v>
      </c>
      <c r="AX104" s="245">
        <f t="shared" si="14"/>
        <v>3</v>
      </c>
      <c r="AY104" s="245">
        <f t="shared" si="14"/>
        <v>3</v>
      </c>
      <c r="AZ104" s="245">
        <f t="shared" si="14"/>
        <v>1</v>
      </c>
      <c r="BA104" s="245">
        <f t="shared" si="14"/>
        <v>0</v>
      </c>
      <c r="BB104" s="245">
        <f t="shared" si="14"/>
        <v>0</v>
      </c>
      <c r="BC104" s="245">
        <f t="shared" si="14"/>
        <v>0</v>
      </c>
      <c r="BD104" s="245">
        <f t="shared" si="14"/>
        <v>0</v>
      </c>
      <c r="BE104" s="224">
        <f t="shared" si="14"/>
        <v>7</v>
      </c>
      <c r="BF104" s="229">
        <f t="shared" si="14"/>
        <v>3</v>
      </c>
      <c r="BG104" s="229">
        <f t="shared" si="14"/>
        <v>3</v>
      </c>
      <c r="BH104" s="229">
        <f t="shared" si="14"/>
        <v>1</v>
      </c>
      <c r="BI104" s="229">
        <f t="shared" si="14"/>
        <v>1</v>
      </c>
      <c r="BJ104" s="229">
        <f t="shared" si="14"/>
        <v>1</v>
      </c>
      <c r="BK104" s="229">
        <f t="shared" si="14"/>
        <v>1</v>
      </c>
      <c r="BL104" s="229">
        <f t="shared" si="14"/>
        <v>0</v>
      </c>
      <c r="BM104" s="225">
        <f t="shared" si="14"/>
        <v>10</v>
      </c>
      <c r="BN104" s="245">
        <f t="shared" si="14"/>
        <v>3</v>
      </c>
      <c r="BO104" s="245">
        <f t="shared" ref="BO104:DQ104" si="15">BO6+BO17+BO50+BO56+BO58</f>
        <v>3</v>
      </c>
      <c r="BP104" s="245">
        <f t="shared" si="15"/>
        <v>1</v>
      </c>
      <c r="BQ104" s="245">
        <f t="shared" si="15"/>
        <v>1</v>
      </c>
      <c r="BR104" s="245">
        <f t="shared" si="15"/>
        <v>1</v>
      </c>
      <c r="BS104" s="245">
        <f t="shared" si="15"/>
        <v>1</v>
      </c>
      <c r="BT104" s="245">
        <f t="shared" si="15"/>
        <v>0</v>
      </c>
      <c r="BU104" s="224">
        <f t="shared" si="15"/>
        <v>10</v>
      </c>
      <c r="BV104" s="229">
        <f t="shared" si="15"/>
        <v>3</v>
      </c>
      <c r="BW104" s="229">
        <f t="shared" si="15"/>
        <v>3</v>
      </c>
      <c r="BX104" s="229">
        <f t="shared" si="15"/>
        <v>2</v>
      </c>
      <c r="BY104" s="229">
        <f t="shared" si="15"/>
        <v>1</v>
      </c>
      <c r="BZ104" s="229">
        <f t="shared" si="15"/>
        <v>1</v>
      </c>
      <c r="CA104" s="229">
        <f t="shared" si="15"/>
        <v>1</v>
      </c>
      <c r="CB104" s="229">
        <f t="shared" si="15"/>
        <v>0</v>
      </c>
      <c r="CC104" s="225">
        <f t="shared" si="15"/>
        <v>11</v>
      </c>
      <c r="CD104" s="245">
        <f t="shared" si="15"/>
        <v>3</v>
      </c>
      <c r="CE104" s="245">
        <f t="shared" si="15"/>
        <v>3</v>
      </c>
      <c r="CF104" s="245">
        <f t="shared" si="15"/>
        <v>2</v>
      </c>
      <c r="CG104" s="245">
        <f t="shared" si="15"/>
        <v>1</v>
      </c>
      <c r="CH104" s="245">
        <f t="shared" si="15"/>
        <v>1</v>
      </c>
      <c r="CI104" s="245">
        <f t="shared" si="15"/>
        <v>1</v>
      </c>
      <c r="CJ104" s="245">
        <f t="shared" si="15"/>
        <v>0</v>
      </c>
      <c r="CK104" s="224">
        <f t="shared" si="15"/>
        <v>11</v>
      </c>
      <c r="CL104" s="229">
        <f t="shared" si="15"/>
        <v>3</v>
      </c>
      <c r="CM104" s="229">
        <f t="shared" si="15"/>
        <v>3</v>
      </c>
      <c r="CN104" s="229">
        <f t="shared" si="15"/>
        <v>2</v>
      </c>
      <c r="CO104" s="229">
        <f t="shared" si="15"/>
        <v>1</v>
      </c>
      <c r="CP104" s="229">
        <f t="shared" si="15"/>
        <v>1</v>
      </c>
      <c r="CQ104" s="229">
        <f t="shared" si="15"/>
        <v>1</v>
      </c>
      <c r="CR104" s="229">
        <f t="shared" si="15"/>
        <v>0</v>
      </c>
      <c r="CS104" s="225">
        <f t="shared" si="15"/>
        <v>11</v>
      </c>
      <c r="CT104" s="245">
        <f t="shared" si="15"/>
        <v>3</v>
      </c>
      <c r="CU104" s="245">
        <f t="shared" si="15"/>
        <v>3</v>
      </c>
      <c r="CV104" s="245">
        <f t="shared" si="15"/>
        <v>2</v>
      </c>
      <c r="CW104" s="245">
        <f t="shared" si="15"/>
        <v>1</v>
      </c>
      <c r="CX104" s="245">
        <f t="shared" si="15"/>
        <v>1</v>
      </c>
      <c r="CY104" s="245">
        <f t="shared" si="15"/>
        <v>1</v>
      </c>
      <c r="CZ104" s="245">
        <f t="shared" si="15"/>
        <v>0</v>
      </c>
      <c r="DA104" s="224">
        <f t="shared" si="15"/>
        <v>11</v>
      </c>
      <c r="DB104" s="229">
        <f t="shared" si="15"/>
        <v>3</v>
      </c>
      <c r="DC104" s="229">
        <f t="shared" si="15"/>
        <v>3</v>
      </c>
      <c r="DD104" s="229">
        <f t="shared" si="15"/>
        <v>2</v>
      </c>
      <c r="DE104" s="229">
        <f t="shared" si="15"/>
        <v>1</v>
      </c>
      <c r="DF104" s="229">
        <f t="shared" si="15"/>
        <v>1</v>
      </c>
      <c r="DG104" s="229">
        <f t="shared" si="15"/>
        <v>1</v>
      </c>
      <c r="DH104" s="229">
        <f t="shared" si="15"/>
        <v>0</v>
      </c>
      <c r="DI104" s="225">
        <f t="shared" si="15"/>
        <v>11</v>
      </c>
      <c r="DJ104" s="245">
        <f t="shared" si="15"/>
        <v>3</v>
      </c>
      <c r="DK104" s="245">
        <f t="shared" si="15"/>
        <v>3</v>
      </c>
      <c r="DL104" s="245">
        <f t="shared" si="15"/>
        <v>2</v>
      </c>
      <c r="DM104" s="245">
        <f t="shared" si="15"/>
        <v>1</v>
      </c>
      <c r="DN104" s="245">
        <f t="shared" si="15"/>
        <v>1</v>
      </c>
      <c r="DO104" s="245">
        <f t="shared" si="15"/>
        <v>1</v>
      </c>
      <c r="DP104" s="245">
        <f t="shared" si="15"/>
        <v>0</v>
      </c>
      <c r="DQ104" s="224">
        <f t="shared" si="15"/>
        <v>11</v>
      </c>
      <c r="DR104" s="246"/>
      <c r="DS104" s="247"/>
      <c r="DT104" s="247"/>
      <c r="DU104" s="247"/>
      <c r="DV104" s="247"/>
      <c r="DW104" s="247"/>
      <c r="DX104" s="247"/>
      <c r="DY104" s="248"/>
    </row>
    <row r="105" spans="1:129" x14ac:dyDescent="0.2">
      <c r="A105" s="231" t="s">
        <v>100</v>
      </c>
      <c r="B105" s="245">
        <f>B7+B13+B40</f>
        <v>5</v>
      </c>
      <c r="C105" s="245">
        <f t="shared" ref="C105:BN105" si="16">C7+C13+C40</f>
        <v>5</v>
      </c>
      <c r="D105" s="245">
        <f t="shared" si="16"/>
        <v>3</v>
      </c>
      <c r="E105" s="245">
        <f t="shared" si="16"/>
        <v>3</v>
      </c>
      <c r="F105" s="245">
        <f t="shared" si="16"/>
        <v>3</v>
      </c>
      <c r="G105" s="245">
        <f t="shared" si="16"/>
        <v>3</v>
      </c>
      <c r="H105" s="245">
        <f t="shared" si="16"/>
        <v>3</v>
      </c>
      <c r="I105" s="224">
        <f t="shared" si="16"/>
        <v>25</v>
      </c>
      <c r="J105" s="229">
        <f t="shared" si="16"/>
        <v>5</v>
      </c>
      <c r="K105" s="229">
        <f t="shared" si="16"/>
        <v>5</v>
      </c>
      <c r="L105" s="229">
        <f t="shared" si="16"/>
        <v>5</v>
      </c>
      <c r="M105" s="229">
        <f t="shared" si="16"/>
        <v>4</v>
      </c>
      <c r="N105" s="229">
        <f t="shared" si="16"/>
        <v>4</v>
      </c>
      <c r="O105" s="229">
        <f t="shared" si="16"/>
        <v>4</v>
      </c>
      <c r="P105" s="229">
        <f t="shared" si="16"/>
        <v>3</v>
      </c>
      <c r="Q105" s="225">
        <f t="shared" si="16"/>
        <v>30</v>
      </c>
      <c r="R105" s="245">
        <f t="shared" si="16"/>
        <v>8</v>
      </c>
      <c r="S105" s="245">
        <f t="shared" si="16"/>
        <v>8</v>
      </c>
      <c r="T105" s="245">
        <f t="shared" si="16"/>
        <v>8</v>
      </c>
      <c r="U105" s="245">
        <f t="shared" si="16"/>
        <v>8</v>
      </c>
      <c r="V105" s="245">
        <f t="shared" si="16"/>
        <v>8</v>
      </c>
      <c r="W105" s="245">
        <f t="shared" si="16"/>
        <v>8</v>
      </c>
      <c r="X105" s="245">
        <f t="shared" si="16"/>
        <v>6</v>
      </c>
      <c r="Y105" s="224">
        <f t="shared" si="16"/>
        <v>54</v>
      </c>
      <c r="Z105" s="229">
        <f t="shared" si="16"/>
        <v>8</v>
      </c>
      <c r="AA105" s="229">
        <f t="shared" si="16"/>
        <v>8</v>
      </c>
      <c r="AB105" s="229">
        <f t="shared" si="16"/>
        <v>8</v>
      </c>
      <c r="AC105" s="229">
        <f t="shared" si="16"/>
        <v>8</v>
      </c>
      <c r="AD105" s="229">
        <f t="shared" si="16"/>
        <v>8</v>
      </c>
      <c r="AE105" s="229">
        <f t="shared" si="16"/>
        <v>8</v>
      </c>
      <c r="AF105" s="229">
        <f t="shared" si="16"/>
        <v>6</v>
      </c>
      <c r="AG105" s="225">
        <f t="shared" si="16"/>
        <v>54</v>
      </c>
      <c r="AH105" s="245">
        <f t="shared" si="16"/>
        <v>8</v>
      </c>
      <c r="AI105" s="245">
        <f t="shared" si="16"/>
        <v>8</v>
      </c>
      <c r="AJ105" s="245">
        <f t="shared" si="16"/>
        <v>8</v>
      </c>
      <c r="AK105" s="245">
        <f t="shared" si="16"/>
        <v>8</v>
      </c>
      <c r="AL105" s="245">
        <f t="shared" si="16"/>
        <v>8</v>
      </c>
      <c r="AM105" s="245">
        <f t="shared" si="16"/>
        <v>8</v>
      </c>
      <c r="AN105" s="245">
        <f t="shared" si="16"/>
        <v>6</v>
      </c>
      <c r="AO105" s="224">
        <f t="shared" si="16"/>
        <v>54</v>
      </c>
      <c r="AP105" s="229">
        <f t="shared" si="16"/>
        <v>8</v>
      </c>
      <c r="AQ105" s="229">
        <f t="shared" si="16"/>
        <v>8</v>
      </c>
      <c r="AR105" s="229">
        <f t="shared" si="16"/>
        <v>8</v>
      </c>
      <c r="AS105" s="229">
        <f t="shared" si="16"/>
        <v>8</v>
      </c>
      <c r="AT105" s="229">
        <f t="shared" si="16"/>
        <v>8</v>
      </c>
      <c r="AU105" s="229">
        <f t="shared" si="16"/>
        <v>8</v>
      </c>
      <c r="AV105" s="229">
        <f t="shared" si="16"/>
        <v>6</v>
      </c>
      <c r="AW105" s="225">
        <f t="shared" si="16"/>
        <v>54</v>
      </c>
      <c r="AX105" s="245">
        <f t="shared" si="16"/>
        <v>9</v>
      </c>
      <c r="AY105" s="245">
        <f t="shared" si="16"/>
        <v>9</v>
      </c>
      <c r="AZ105" s="245">
        <f t="shared" si="16"/>
        <v>9</v>
      </c>
      <c r="BA105" s="245">
        <f t="shared" si="16"/>
        <v>9</v>
      </c>
      <c r="BB105" s="245">
        <f t="shared" si="16"/>
        <v>8</v>
      </c>
      <c r="BC105" s="245">
        <f t="shared" si="16"/>
        <v>8</v>
      </c>
      <c r="BD105" s="245">
        <f t="shared" si="16"/>
        <v>7</v>
      </c>
      <c r="BE105" s="224">
        <f t="shared" si="16"/>
        <v>59</v>
      </c>
      <c r="BF105" s="229">
        <f t="shared" si="16"/>
        <v>10</v>
      </c>
      <c r="BG105" s="229">
        <f t="shared" si="16"/>
        <v>10</v>
      </c>
      <c r="BH105" s="229">
        <f t="shared" si="16"/>
        <v>9</v>
      </c>
      <c r="BI105" s="229">
        <f t="shared" si="16"/>
        <v>9</v>
      </c>
      <c r="BJ105" s="229">
        <f t="shared" si="16"/>
        <v>9</v>
      </c>
      <c r="BK105" s="229">
        <f t="shared" si="16"/>
        <v>9</v>
      </c>
      <c r="BL105" s="229">
        <f t="shared" si="16"/>
        <v>8</v>
      </c>
      <c r="BM105" s="225">
        <f t="shared" si="16"/>
        <v>64</v>
      </c>
      <c r="BN105" s="245">
        <f t="shared" si="16"/>
        <v>10</v>
      </c>
      <c r="BO105" s="245">
        <f t="shared" ref="BO105:DQ105" si="17">BO7+BO13+BO40</f>
        <v>10</v>
      </c>
      <c r="BP105" s="245">
        <f t="shared" si="17"/>
        <v>10</v>
      </c>
      <c r="BQ105" s="245">
        <f t="shared" si="17"/>
        <v>10</v>
      </c>
      <c r="BR105" s="245">
        <f t="shared" si="17"/>
        <v>10</v>
      </c>
      <c r="BS105" s="245">
        <f t="shared" si="17"/>
        <v>10</v>
      </c>
      <c r="BT105" s="245">
        <f t="shared" si="17"/>
        <v>9</v>
      </c>
      <c r="BU105" s="224">
        <f t="shared" si="17"/>
        <v>69</v>
      </c>
      <c r="BV105" s="229">
        <f t="shared" si="17"/>
        <v>11</v>
      </c>
      <c r="BW105" s="229">
        <f t="shared" si="17"/>
        <v>11</v>
      </c>
      <c r="BX105" s="229">
        <f t="shared" si="17"/>
        <v>11</v>
      </c>
      <c r="BY105" s="229">
        <f t="shared" si="17"/>
        <v>11</v>
      </c>
      <c r="BZ105" s="229">
        <f t="shared" si="17"/>
        <v>11</v>
      </c>
      <c r="CA105" s="229">
        <f t="shared" si="17"/>
        <v>10</v>
      </c>
      <c r="CB105" s="229">
        <f t="shared" si="17"/>
        <v>9</v>
      </c>
      <c r="CC105" s="225">
        <f t="shared" si="17"/>
        <v>74</v>
      </c>
      <c r="CD105" s="245">
        <f t="shared" si="17"/>
        <v>12</v>
      </c>
      <c r="CE105" s="245">
        <f t="shared" si="17"/>
        <v>12</v>
      </c>
      <c r="CF105" s="245">
        <f t="shared" si="17"/>
        <v>12</v>
      </c>
      <c r="CG105" s="245">
        <f t="shared" si="17"/>
        <v>11</v>
      </c>
      <c r="CH105" s="245">
        <f t="shared" si="17"/>
        <v>11</v>
      </c>
      <c r="CI105" s="245">
        <f t="shared" si="17"/>
        <v>11</v>
      </c>
      <c r="CJ105" s="245">
        <f t="shared" si="17"/>
        <v>10</v>
      </c>
      <c r="CK105" s="224">
        <f t="shared" si="17"/>
        <v>79</v>
      </c>
      <c r="CL105" s="229">
        <f t="shared" si="17"/>
        <v>12</v>
      </c>
      <c r="CM105" s="229">
        <f t="shared" si="17"/>
        <v>12</v>
      </c>
      <c r="CN105" s="229">
        <f t="shared" si="17"/>
        <v>12</v>
      </c>
      <c r="CO105" s="229">
        <f t="shared" si="17"/>
        <v>12</v>
      </c>
      <c r="CP105" s="229">
        <f t="shared" si="17"/>
        <v>12</v>
      </c>
      <c r="CQ105" s="229">
        <f t="shared" si="17"/>
        <v>12</v>
      </c>
      <c r="CR105" s="229">
        <f t="shared" si="17"/>
        <v>10</v>
      </c>
      <c r="CS105" s="225">
        <f t="shared" si="17"/>
        <v>82</v>
      </c>
      <c r="CT105" s="245">
        <f t="shared" si="17"/>
        <v>13</v>
      </c>
      <c r="CU105" s="245">
        <f t="shared" si="17"/>
        <v>12</v>
      </c>
      <c r="CV105" s="245">
        <f t="shared" si="17"/>
        <v>12</v>
      </c>
      <c r="CW105" s="245">
        <f t="shared" si="17"/>
        <v>12</v>
      </c>
      <c r="CX105" s="245">
        <f t="shared" si="17"/>
        <v>12</v>
      </c>
      <c r="CY105" s="245">
        <f t="shared" si="17"/>
        <v>12</v>
      </c>
      <c r="CZ105" s="245">
        <f t="shared" si="17"/>
        <v>11</v>
      </c>
      <c r="DA105" s="224">
        <f t="shared" si="17"/>
        <v>84</v>
      </c>
      <c r="DB105" s="229">
        <f t="shared" si="17"/>
        <v>13</v>
      </c>
      <c r="DC105" s="229">
        <f t="shared" si="17"/>
        <v>13</v>
      </c>
      <c r="DD105" s="229">
        <f t="shared" si="17"/>
        <v>13</v>
      </c>
      <c r="DE105" s="229">
        <f t="shared" si="17"/>
        <v>13</v>
      </c>
      <c r="DF105" s="229">
        <f t="shared" si="17"/>
        <v>12</v>
      </c>
      <c r="DG105" s="229">
        <f t="shared" si="17"/>
        <v>12</v>
      </c>
      <c r="DH105" s="229">
        <f t="shared" si="17"/>
        <v>11</v>
      </c>
      <c r="DI105" s="225">
        <f t="shared" si="17"/>
        <v>87</v>
      </c>
      <c r="DJ105" s="245">
        <f t="shared" si="17"/>
        <v>13</v>
      </c>
      <c r="DK105" s="245">
        <f t="shared" si="17"/>
        <v>13</v>
      </c>
      <c r="DL105" s="245">
        <f t="shared" si="17"/>
        <v>13</v>
      </c>
      <c r="DM105" s="245">
        <f t="shared" si="17"/>
        <v>13</v>
      </c>
      <c r="DN105" s="245">
        <f t="shared" si="17"/>
        <v>13</v>
      </c>
      <c r="DO105" s="245">
        <f t="shared" si="17"/>
        <v>13</v>
      </c>
      <c r="DP105" s="245">
        <f t="shared" si="17"/>
        <v>11</v>
      </c>
      <c r="DQ105" s="224">
        <f t="shared" si="17"/>
        <v>89</v>
      </c>
      <c r="DR105" s="246"/>
      <c r="DS105" s="247"/>
      <c r="DT105" s="247"/>
      <c r="DU105" s="247"/>
      <c r="DV105" s="247"/>
      <c r="DW105" s="247"/>
      <c r="DX105" s="247"/>
      <c r="DY105" s="248"/>
    </row>
    <row r="106" spans="1:129" x14ac:dyDescent="0.2">
      <c r="A106" s="231" t="s">
        <v>101</v>
      </c>
      <c r="B106" s="245">
        <f>B38</f>
        <v>2</v>
      </c>
      <c r="C106" s="245">
        <f t="shared" ref="C106:BN106" si="18">C38</f>
        <v>2</v>
      </c>
      <c r="D106" s="245">
        <f t="shared" si="18"/>
        <v>2</v>
      </c>
      <c r="E106" s="245">
        <f t="shared" si="18"/>
        <v>2</v>
      </c>
      <c r="F106" s="245">
        <f t="shared" si="18"/>
        <v>2</v>
      </c>
      <c r="G106" s="245">
        <f t="shared" si="18"/>
        <v>2</v>
      </c>
      <c r="H106" s="245">
        <f t="shared" si="18"/>
        <v>1</v>
      </c>
      <c r="I106" s="224">
        <f t="shared" si="18"/>
        <v>13</v>
      </c>
      <c r="J106" s="229">
        <f t="shared" si="18"/>
        <v>5</v>
      </c>
      <c r="K106" s="229">
        <f t="shared" si="18"/>
        <v>5</v>
      </c>
      <c r="L106" s="229">
        <f t="shared" si="18"/>
        <v>5</v>
      </c>
      <c r="M106" s="229">
        <f t="shared" si="18"/>
        <v>5</v>
      </c>
      <c r="N106" s="229">
        <f t="shared" si="18"/>
        <v>5</v>
      </c>
      <c r="O106" s="229">
        <f t="shared" si="18"/>
        <v>4</v>
      </c>
      <c r="P106" s="229">
        <f t="shared" si="18"/>
        <v>4</v>
      </c>
      <c r="Q106" s="225">
        <f t="shared" si="18"/>
        <v>33</v>
      </c>
      <c r="R106" s="245">
        <f t="shared" si="18"/>
        <v>7</v>
      </c>
      <c r="S106" s="245">
        <f t="shared" si="18"/>
        <v>7</v>
      </c>
      <c r="T106" s="245">
        <f t="shared" si="18"/>
        <v>6</v>
      </c>
      <c r="U106" s="245">
        <f t="shared" si="18"/>
        <v>6</v>
      </c>
      <c r="V106" s="245">
        <f t="shared" si="18"/>
        <v>6</v>
      </c>
      <c r="W106" s="245">
        <f t="shared" si="18"/>
        <v>6</v>
      </c>
      <c r="X106" s="245">
        <f t="shared" si="18"/>
        <v>6</v>
      </c>
      <c r="Y106" s="224">
        <f t="shared" si="18"/>
        <v>44</v>
      </c>
      <c r="Z106" s="229">
        <f t="shared" si="18"/>
        <v>8</v>
      </c>
      <c r="AA106" s="229">
        <f t="shared" si="18"/>
        <v>8</v>
      </c>
      <c r="AB106" s="229">
        <f t="shared" si="18"/>
        <v>8</v>
      </c>
      <c r="AC106" s="229">
        <f t="shared" si="18"/>
        <v>8</v>
      </c>
      <c r="AD106" s="229">
        <f t="shared" si="18"/>
        <v>8</v>
      </c>
      <c r="AE106" s="229">
        <f t="shared" si="18"/>
        <v>8</v>
      </c>
      <c r="AF106" s="229">
        <f t="shared" si="18"/>
        <v>7</v>
      </c>
      <c r="AG106" s="225">
        <f t="shared" si="18"/>
        <v>55</v>
      </c>
      <c r="AH106" s="245">
        <f t="shared" si="18"/>
        <v>10</v>
      </c>
      <c r="AI106" s="245">
        <f t="shared" si="18"/>
        <v>10</v>
      </c>
      <c r="AJ106" s="245">
        <f t="shared" si="18"/>
        <v>10</v>
      </c>
      <c r="AK106" s="245">
        <f t="shared" si="18"/>
        <v>9</v>
      </c>
      <c r="AL106" s="245">
        <f t="shared" si="18"/>
        <v>9</v>
      </c>
      <c r="AM106" s="245">
        <f t="shared" si="18"/>
        <v>9</v>
      </c>
      <c r="AN106" s="245">
        <f t="shared" si="18"/>
        <v>9</v>
      </c>
      <c r="AO106" s="224">
        <f t="shared" si="18"/>
        <v>66</v>
      </c>
      <c r="AP106" s="229">
        <f t="shared" si="18"/>
        <v>11</v>
      </c>
      <c r="AQ106" s="229">
        <f t="shared" si="18"/>
        <v>11</v>
      </c>
      <c r="AR106" s="229">
        <f t="shared" si="18"/>
        <v>11</v>
      </c>
      <c r="AS106" s="229">
        <f t="shared" si="18"/>
        <v>11</v>
      </c>
      <c r="AT106" s="229">
        <f t="shared" si="18"/>
        <v>11</v>
      </c>
      <c r="AU106" s="229">
        <f t="shared" si="18"/>
        <v>11</v>
      </c>
      <c r="AV106" s="229">
        <f t="shared" si="18"/>
        <v>11</v>
      </c>
      <c r="AW106" s="225">
        <f t="shared" si="18"/>
        <v>77</v>
      </c>
      <c r="AX106" s="245">
        <f t="shared" si="18"/>
        <v>15</v>
      </c>
      <c r="AY106" s="245">
        <f t="shared" si="18"/>
        <v>15</v>
      </c>
      <c r="AZ106" s="245">
        <f t="shared" si="18"/>
        <v>15</v>
      </c>
      <c r="BA106" s="245">
        <f t="shared" si="18"/>
        <v>15</v>
      </c>
      <c r="BB106" s="245">
        <f t="shared" si="18"/>
        <v>15</v>
      </c>
      <c r="BC106" s="245">
        <f t="shared" si="18"/>
        <v>15</v>
      </c>
      <c r="BD106" s="245">
        <f t="shared" si="18"/>
        <v>15</v>
      </c>
      <c r="BE106" s="224">
        <f t="shared" si="18"/>
        <v>105</v>
      </c>
      <c r="BF106" s="229">
        <f t="shared" si="18"/>
        <v>20</v>
      </c>
      <c r="BG106" s="229">
        <f t="shared" si="18"/>
        <v>19</v>
      </c>
      <c r="BH106" s="229">
        <f t="shared" si="18"/>
        <v>19</v>
      </c>
      <c r="BI106" s="229">
        <f t="shared" si="18"/>
        <v>19</v>
      </c>
      <c r="BJ106" s="229">
        <f t="shared" si="18"/>
        <v>19</v>
      </c>
      <c r="BK106" s="229">
        <f t="shared" si="18"/>
        <v>19</v>
      </c>
      <c r="BL106" s="229">
        <f t="shared" si="18"/>
        <v>19</v>
      </c>
      <c r="BM106" s="225">
        <f t="shared" si="18"/>
        <v>134</v>
      </c>
      <c r="BN106" s="245">
        <f t="shared" si="18"/>
        <v>24</v>
      </c>
      <c r="BO106" s="245">
        <f t="shared" ref="BO106:DQ106" si="19">BO38</f>
        <v>24</v>
      </c>
      <c r="BP106" s="245">
        <f t="shared" si="19"/>
        <v>23</v>
      </c>
      <c r="BQ106" s="245">
        <f t="shared" si="19"/>
        <v>23</v>
      </c>
      <c r="BR106" s="245">
        <f t="shared" si="19"/>
        <v>23</v>
      </c>
      <c r="BS106" s="245">
        <f t="shared" si="19"/>
        <v>23</v>
      </c>
      <c r="BT106" s="245">
        <f t="shared" si="19"/>
        <v>23</v>
      </c>
      <c r="BU106" s="224">
        <f t="shared" si="19"/>
        <v>163</v>
      </c>
      <c r="BV106" s="229">
        <f t="shared" si="19"/>
        <v>28</v>
      </c>
      <c r="BW106" s="229">
        <f t="shared" si="19"/>
        <v>28</v>
      </c>
      <c r="BX106" s="229">
        <f t="shared" si="19"/>
        <v>28</v>
      </c>
      <c r="BY106" s="229">
        <f t="shared" si="19"/>
        <v>27</v>
      </c>
      <c r="BZ106" s="229">
        <f t="shared" si="19"/>
        <v>27</v>
      </c>
      <c r="CA106" s="229">
        <f t="shared" si="19"/>
        <v>27</v>
      </c>
      <c r="CB106" s="229">
        <f t="shared" si="19"/>
        <v>27</v>
      </c>
      <c r="CC106" s="225">
        <f t="shared" si="19"/>
        <v>192</v>
      </c>
      <c r="CD106" s="245">
        <f t="shared" si="19"/>
        <v>30</v>
      </c>
      <c r="CE106" s="245">
        <f t="shared" si="19"/>
        <v>30</v>
      </c>
      <c r="CF106" s="245">
        <f t="shared" si="19"/>
        <v>30</v>
      </c>
      <c r="CG106" s="245">
        <f t="shared" si="19"/>
        <v>30</v>
      </c>
      <c r="CH106" s="245">
        <f t="shared" si="19"/>
        <v>30</v>
      </c>
      <c r="CI106" s="245">
        <f t="shared" si="19"/>
        <v>30</v>
      </c>
      <c r="CJ106" s="245">
        <f t="shared" si="19"/>
        <v>30</v>
      </c>
      <c r="CK106" s="224">
        <f t="shared" si="19"/>
        <v>210</v>
      </c>
      <c r="CL106" s="229">
        <f t="shared" si="19"/>
        <v>31</v>
      </c>
      <c r="CM106" s="229">
        <f t="shared" si="19"/>
        <v>31</v>
      </c>
      <c r="CN106" s="229">
        <f t="shared" si="19"/>
        <v>31</v>
      </c>
      <c r="CO106" s="229">
        <f t="shared" si="19"/>
        <v>31</v>
      </c>
      <c r="CP106" s="229">
        <f t="shared" si="19"/>
        <v>31</v>
      </c>
      <c r="CQ106" s="229">
        <f t="shared" si="19"/>
        <v>31</v>
      </c>
      <c r="CR106" s="229">
        <f t="shared" si="19"/>
        <v>30</v>
      </c>
      <c r="CS106" s="225">
        <f t="shared" si="19"/>
        <v>216</v>
      </c>
      <c r="CT106" s="245">
        <f t="shared" si="19"/>
        <v>32</v>
      </c>
      <c r="CU106" s="245">
        <f t="shared" si="19"/>
        <v>32</v>
      </c>
      <c r="CV106" s="245">
        <f t="shared" si="19"/>
        <v>32</v>
      </c>
      <c r="CW106" s="245">
        <f t="shared" si="19"/>
        <v>32</v>
      </c>
      <c r="CX106" s="245">
        <f t="shared" si="19"/>
        <v>32</v>
      </c>
      <c r="CY106" s="245">
        <f t="shared" si="19"/>
        <v>31</v>
      </c>
      <c r="CZ106" s="245">
        <f t="shared" si="19"/>
        <v>31</v>
      </c>
      <c r="DA106" s="224">
        <f t="shared" si="19"/>
        <v>222</v>
      </c>
      <c r="DB106" s="229">
        <f t="shared" si="19"/>
        <v>33</v>
      </c>
      <c r="DC106" s="229">
        <f t="shared" si="19"/>
        <v>33</v>
      </c>
      <c r="DD106" s="229">
        <f t="shared" si="19"/>
        <v>33</v>
      </c>
      <c r="DE106" s="229">
        <f t="shared" si="19"/>
        <v>33</v>
      </c>
      <c r="DF106" s="229">
        <f t="shared" si="19"/>
        <v>32</v>
      </c>
      <c r="DG106" s="229">
        <f t="shared" si="19"/>
        <v>32</v>
      </c>
      <c r="DH106" s="229">
        <f t="shared" si="19"/>
        <v>32</v>
      </c>
      <c r="DI106" s="225">
        <f t="shared" si="19"/>
        <v>228</v>
      </c>
      <c r="DJ106" s="245">
        <f t="shared" si="19"/>
        <v>34</v>
      </c>
      <c r="DK106" s="245">
        <f t="shared" si="19"/>
        <v>34</v>
      </c>
      <c r="DL106" s="245">
        <f t="shared" si="19"/>
        <v>34</v>
      </c>
      <c r="DM106" s="245">
        <f t="shared" si="19"/>
        <v>33</v>
      </c>
      <c r="DN106" s="245">
        <f t="shared" si="19"/>
        <v>33</v>
      </c>
      <c r="DO106" s="245">
        <f t="shared" si="19"/>
        <v>33</v>
      </c>
      <c r="DP106" s="245">
        <f t="shared" si="19"/>
        <v>33</v>
      </c>
      <c r="DQ106" s="224">
        <f t="shared" si="19"/>
        <v>234</v>
      </c>
      <c r="DR106" s="246"/>
      <c r="DS106" s="247"/>
      <c r="DT106" s="247"/>
      <c r="DU106" s="247"/>
      <c r="DV106" s="247"/>
      <c r="DW106" s="247"/>
      <c r="DX106" s="247"/>
      <c r="DY106" s="248"/>
    </row>
    <row r="107" spans="1:129" x14ac:dyDescent="0.2">
      <c r="A107" s="231" t="s">
        <v>102</v>
      </c>
      <c r="B107" s="245">
        <f>B69+B72+B73+B74+B80+B79</f>
        <v>6</v>
      </c>
      <c r="C107" s="245">
        <f t="shared" ref="C107:BN107" si="20">C69+C72+C73+C74+C80+C79</f>
        <v>5</v>
      </c>
      <c r="D107" s="245">
        <f t="shared" si="20"/>
        <v>4</v>
      </c>
      <c r="E107" s="245">
        <f t="shared" si="20"/>
        <v>1</v>
      </c>
      <c r="F107" s="245">
        <f t="shared" si="20"/>
        <v>1</v>
      </c>
      <c r="G107" s="245">
        <f t="shared" si="20"/>
        <v>0</v>
      </c>
      <c r="H107" s="245">
        <f t="shared" si="20"/>
        <v>0</v>
      </c>
      <c r="I107" s="224">
        <f t="shared" si="20"/>
        <v>17</v>
      </c>
      <c r="J107" s="229">
        <f t="shared" si="20"/>
        <v>9</v>
      </c>
      <c r="K107" s="229">
        <f t="shared" si="20"/>
        <v>5</v>
      </c>
      <c r="L107" s="229">
        <f t="shared" si="20"/>
        <v>4</v>
      </c>
      <c r="M107" s="229">
        <f t="shared" si="20"/>
        <v>4</v>
      </c>
      <c r="N107" s="229">
        <f t="shared" si="20"/>
        <v>3</v>
      </c>
      <c r="O107" s="229">
        <f t="shared" si="20"/>
        <v>3</v>
      </c>
      <c r="P107" s="229">
        <f t="shared" si="20"/>
        <v>3</v>
      </c>
      <c r="Q107" s="225">
        <f t="shared" si="20"/>
        <v>31</v>
      </c>
      <c r="R107" s="245">
        <f t="shared" si="20"/>
        <v>11</v>
      </c>
      <c r="S107" s="245">
        <f t="shared" si="20"/>
        <v>11</v>
      </c>
      <c r="T107" s="245">
        <f t="shared" si="20"/>
        <v>9</v>
      </c>
      <c r="U107" s="245">
        <f t="shared" si="20"/>
        <v>7</v>
      </c>
      <c r="V107" s="245">
        <f t="shared" si="20"/>
        <v>7</v>
      </c>
      <c r="W107" s="245">
        <f t="shared" si="20"/>
        <v>7</v>
      </c>
      <c r="X107" s="245">
        <f t="shared" si="20"/>
        <v>6</v>
      </c>
      <c r="Y107" s="224">
        <f t="shared" si="20"/>
        <v>58</v>
      </c>
      <c r="Z107" s="229">
        <f t="shared" si="20"/>
        <v>15</v>
      </c>
      <c r="AA107" s="229">
        <f t="shared" si="20"/>
        <v>14</v>
      </c>
      <c r="AB107" s="229">
        <f t="shared" si="20"/>
        <v>14</v>
      </c>
      <c r="AC107" s="229">
        <f t="shared" si="20"/>
        <v>13</v>
      </c>
      <c r="AD107" s="229">
        <f t="shared" si="20"/>
        <v>12</v>
      </c>
      <c r="AE107" s="229">
        <f t="shared" si="20"/>
        <v>12</v>
      </c>
      <c r="AF107" s="229">
        <f t="shared" si="20"/>
        <v>11</v>
      </c>
      <c r="AG107" s="225">
        <f t="shared" si="20"/>
        <v>91</v>
      </c>
      <c r="AH107" s="245">
        <f t="shared" si="20"/>
        <v>19</v>
      </c>
      <c r="AI107" s="245">
        <f t="shared" si="20"/>
        <v>19</v>
      </c>
      <c r="AJ107" s="245">
        <f t="shared" si="20"/>
        <v>18</v>
      </c>
      <c r="AK107" s="245">
        <f t="shared" si="20"/>
        <v>17</v>
      </c>
      <c r="AL107" s="245">
        <f t="shared" si="20"/>
        <v>16</v>
      </c>
      <c r="AM107" s="245">
        <f t="shared" si="20"/>
        <v>15</v>
      </c>
      <c r="AN107" s="245">
        <f t="shared" si="20"/>
        <v>15</v>
      </c>
      <c r="AO107" s="224">
        <f t="shared" si="20"/>
        <v>119</v>
      </c>
      <c r="AP107" s="229">
        <f t="shared" si="20"/>
        <v>24</v>
      </c>
      <c r="AQ107" s="229">
        <f t="shared" si="20"/>
        <v>22</v>
      </c>
      <c r="AR107" s="229">
        <f t="shared" si="20"/>
        <v>22</v>
      </c>
      <c r="AS107" s="229">
        <f t="shared" si="20"/>
        <v>22</v>
      </c>
      <c r="AT107" s="229">
        <f t="shared" si="20"/>
        <v>21</v>
      </c>
      <c r="AU107" s="229">
        <f t="shared" si="20"/>
        <v>19</v>
      </c>
      <c r="AV107" s="229">
        <f t="shared" si="20"/>
        <v>18</v>
      </c>
      <c r="AW107" s="225">
        <f t="shared" si="20"/>
        <v>148</v>
      </c>
      <c r="AX107" s="245">
        <f t="shared" si="20"/>
        <v>27</v>
      </c>
      <c r="AY107" s="245">
        <f t="shared" si="20"/>
        <v>26</v>
      </c>
      <c r="AZ107" s="245">
        <f t="shared" si="20"/>
        <v>26</v>
      </c>
      <c r="BA107" s="245">
        <f t="shared" si="20"/>
        <v>26</v>
      </c>
      <c r="BB107" s="245">
        <f t="shared" si="20"/>
        <v>25</v>
      </c>
      <c r="BC107" s="245">
        <f t="shared" si="20"/>
        <v>24</v>
      </c>
      <c r="BD107" s="245">
        <f t="shared" si="20"/>
        <v>24</v>
      </c>
      <c r="BE107" s="224">
        <f t="shared" si="20"/>
        <v>178</v>
      </c>
      <c r="BF107" s="229">
        <f t="shared" si="20"/>
        <v>32</v>
      </c>
      <c r="BG107" s="229">
        <f t="shared" si="20"/>
        <v>32</v>
      </c>
      <c r="BH107" s="229">
        <f t="shared" si="20"/>
        <v>31</v>
      </c>
      <c r="BI107" s="229">
        <f t="shared" si="20"/>
        <v>29</v>
      </c>
      <c r="BJ107" s="229">
        <f t="shared" si="20"/>
        <v>29</v>
      </c>
      <c r="BK107" s="229">
        <f t="shared" si="20"/>
        <v>27</v>
      </c>
      <c r="BL107" s="229">
        <f t="shared" si="20"/>
        <v>26</v>
      </c>
      <c r="BM107" s="225">
        <f t="shared" si="20"/>
        <v>206</v>
      </c>
      <c r="BN107" s="245">
        <f t="shared" si="20"/>
        <v>35</v>
      </c>
      <c r="BO107" s="245">
        <f t="shared" ref="BO107:DQ107" si="21">BO69+BO72+BO73+BO74+BO80+BO79</f>
        <v>35</v>
      </c>
      <c r="BP107" s="245">
        <f t="shared" si="21"/>
        <v>34</v>
      </c>
      <c r="BQ107" s="245">
        <f t="shared" si="21"/>
        <v>34</v>
      </c>
      <c r="BR107" s="245">
        <f t="shared" si="21"/>
        <v>34</v>
      </c>
      <c r="BS107" s="245">
        <f t="shared" si="21"/>
        <v>33</v>
      </c>
      <c r="BT107" s="245">
        <f t="shared" si="21"/>
        <v>30</v>
      </c>
      <c r="BU107" s="224">
        <f t="shared" si="21"/>
        <v>235</v>
      </c>
      <c r="BV107" s="229">
        <f t="shared" si="21"/>
        <v>39</v>
      </c>
      <c r="BW107" s="229">
        <f t="shared" si="21"/>
        <v>39</v>
      </c>
      <c r="BX107" s="229">
        <f t="shared" si="21"/>
        <v>38</v>
      </c>
      <c r="BY107" s="229">
        <f t="shared" si="21"/>
        <v>37</v>
      </c>
      <c r="BZ107" s="229">
        <f t="shared" si="21"/>
        <v>37</v>
      </c>
      <c r="CA107" s="229">
        <f t="shared" si="21"/>
        <v>36</v>
      </c>
      <c r="CB107" s="229">
        <f t="shared" si="21"/>
        <v>34</v>
      </c>
      <c r="CC107" s="225">
        <f t="shared" si="21"/>
        <v>260</v>
      </c>
      <c r="CD107" s="245">
        <f t="shared" si="21"/>
        <v>42</v>
      </c>
      <c r="CE107" s="245">
        <f t="shared" si="21"/>
        <v>41</v>
      </c>
      <c r="CF107" s="245">
        <f t="shared" si="21"/>
        <v>41</v>
      </c>
      <c r="CG107" s="245">
        <f t="shared" si="21"/>
        <v>39</v>
      </c>
      <c r="CH107" s="245">
        <f t="shared" si="21"/>
        <v>38</v>
      </c>
      <c r="CI107" s="245">
        <f t="shared" si="21"/>
        <v>38</v>
      </c>
      <c r="CJ107" s="245">
        <f t="shared" si="21"/>
        <v>37</v>
      </c>
      <c r="CK107" s="224">
        <f t="shared" si="21"/>
        <v>276</v>
      </c>
      <c r="CL107" s="229">
        <f t="shared" si="21"/>
        <v>43</v>
      </c>
      <c r="CM107" s="229">
        <f t="shared" si="21"/>
        <v>42</v>
      </c>
      <c r="CN107" s="229">
        <f t="shared" si="21"/>
        <v>42</v>
      </c>
      <c r="CO107" s="229">
        <f t="shared" si="21"/>
        <v>42</v>
      </c>
      <c r="CP107" s="229">
        <f t="shared" si="21"/>
        <v>40</v>
      </c>
      <c r="CQ107" s="229">
        <f t="shared" si="21"/>
        <v>39</v>
      </c>
      <c r="CR107" s="229">
        <f t="shared" si="21"/>
        <v>38</v>
      </c>
      <c r="CS107" s="225">
        <f t="shared" si="21"/>
        <v>286</v>
      </c>
      <c r="CT107" s="245">
        <f t="shared" si="21"/>
        <v>45</v>
      </c>
      <c r="CU107" s="245">
        <f t="shared" si="21"/>
        <v>43</v>
      </c>
      <c r="CV107" s="245">
        <f t="shared" si="21"/>
        <v>43</v>
      </c>
      <c r="CW107" s="245">
        <f t="shared" si="21"/>
        <v>43</v>
      </c>
      <c r="CX107" s="245">
        <f t="shared" si="21"/>
        <v>42</v>
      </c>
      <c r="CY107" s="245">
        <f t="shared" si="21"/>
        <v>40</v>
      </c>
      <c r="CZ107" s="245">
        <f t="shared" si="21"/>
        <v>39</v>
      </c>
      <c r="DA107" s="224">
        <f t="shared" si="21"/>
        <v>295</v>
      </c>
      <c r="DB107" s="229">
        <f t="shared" si="21"/>
        <v>46</v>
      </c>
      <c r="DC107" s="229">
        <f t="shared" si="21"/>
        <v>44</v>
      </c>
      <c r="DD107" s="229">
        <f t="shared" si="21"/>
        <v>44</v>
      </c>
      <c r="DE107" s="229">
        <f t="shared" si="21"/>
        <v>44</v>
      </c>
      <c r="DF107" s="229">
        <f t="shared" si="21"/>
        <v>43</v>
      </c>
      <c r="DG107" s="229">
        <f t="shared" si="21"/>
        <v>43</v>
      </c>
      <c r="DH107" s="229">
        <f t="shared" si="21"/>
        <v>40</v>
      </c>
      <c r="DI107" s="225">
        <f t="shared" si="21"/>
        <v>304</v>
      </c>
      <c r="DJ107" s="245">
        <f t="shared" si="21"/>
        <v>47</v>
      </c>
      <c r="DK107" s="245">
        <f t="shared" si="21"/>
        <v>45</v>
      </c>
      <c r="DL107" s="245">
        <f t="shared" si="21"/>
        <v>45</v>
      </c>
      <c r="DM107" s="245">
        <f t="shared" si="21"/>
        <v>45</v>
      </c>
      <c r="DN107" s="245">
        <f t="shared" si="21"/>
        <v>45</v>
      </c>
      <c r="DO107" s="245">
        <f t="shared" si="21"/>
        <v>44</v>
      </c>
      <c r="DP107" s="245">
        <f t="shared" si="21"/>
        <v>42</v>
      </c>
      <c r="DQ107" s="224">
        <f t="shared" si="21"/>
        <v>313</v>
      </c>
      <c r="DR107" s="246"/>
      <c r="DS107" s="247"/>
      <c r="DT107" s="247"/>
      <c r="DU107" s="247"/>
      <c r="DV107" s="247"/>
      <c r="DW107" s="247"/>
      <c r="DX107" s="247"/>
      <c r="DY107" s="248"/>
    </row>
    <row r="108" spans="1:129" x14ac:dyDescent="0.2">
      <c r="A108" s="231" t="s">
        <v>103</v>
      </c>
      <c r="B108" s="245">
        <f>B66+B85+B44+B60+B65</f>
        <v>2</v>
      </c>
      <c r="C108" s="245">
        <f t="shared" ref="C108:BN108" si="22">C66+C85+C44+C60+C65</f>
        <v>2</v>
      </c>
      <c r="D108" s="245">
        <f t="shared" si="22"/>
        <v>1</v>
      </c>
      <c r="E108" s="245">
        <f t="shared" si="22"/>
        <v>1</v>
      </c>
      <c r="F108" s="245">
        <f t="shared" si="22"/>
        <v>1</v>
      </c>
      <c r="G108" s="245">
        <f t="shared" si="22"/>
        <v>1</v>
      </c>
      <c r="H108" s="245">
        <f t="shared" si="22"/>
        <v>1</v>
      </c>
      <c r="I108" s="224">
        <f t="shared" si="22"/>
        <v>9</v>
      </c>
      <c r="J108" s="229">
        <f t="shared" si="22"/>
        <v>1</v>
      </c>
      <c r="K108" s="229">
        <f t="shared" si="22"/>
        <v>0</v>
      </c>
      <c r="L108" s="229">
        <f t="shared" si="22"/>
        <v>0</v>
      </c>
      <c r="M108" s="229">
        <f t="shared" si="22"/>
        <v>0</v>
      </c>
      <c r="N108" s="229">
        <f t="shared" si="22"/>
        <v>0</v>
      </c>
      <c r="O108" s="229">
        <f t="shared" si="22"/>
        <v>0</v>
      </c>
      <c r="P108" s="229">
        <f t="shared" si="22"/>
        <v>0</v>
      </c>
      <c r="Q108" s="225">
        <f t="shared" si="22"/>
        <v>1</v>
      </c>
      <c r="R108" s="245">
        <f t="shared" si="22"/>
        <v>2</v>
      </c>
      <c r="S108" s="245">
        <f t="shared" si="22"/>
        <v>1</v>
      </c>
      <c r="T108" s="245">
        <f t="shared" si="22"/>
        <v>0</v>
      </c>
      <c r="U108" s="245">
        <f t="shared" si="22"/>
        <v>0</v>
      </c>
      <c r="V108" s="245">
        <f t="shared" si="22"/>
        <v>0</v>
      </c>
      <c r="W108" s="245">
        <f t="shared" si="22"/>
        <v>0</v>
      </c>
      <c r="X108" s="245">
        <f t="shared" si="22"/>
        <v>0</v>
      </c>
      <c r="Y108" s="224">
        <f t="shared" si="22"/>
        <v>3</v>
      </c>
      <c r="Z108" s="229">
        <f t="shared" si="22"/>
        <v>3</v>
      </c>
      <c r="AA108" s="229">
        <f t="shared" si="22"/>
        <v>2</v>
      </c>
      <c r="AB108" s="229">
        <f t="shared" si="22"/>
        <v>2</v>
      </c>
      <c r="AC108" s="229">
        <f t="shared" si="22"/>
        <v>1</v>
      </c>
      <c r="AD108" s="229">
        <f t="shared" si="22"/>
        <v>0</v>
      </c>
      <c r="AE108" s="229">
        <f t="shared" si="22"/>
        <v>0</v>
      </c>
      <c r="AF108" s="229">
        <f t="shared" si="22"/>
        <v>0</v>
      </c>
      <c r="AG108" s="225">
        <f t="shared" si="22"/>
        <v>8</v>
      </c>
      <c r="AH108" s="245">
        <f t="shared" si="22"/>
        <v>3</v>
      </c>
      <c r="AI108" s="245">
        <f t="shared" si="22"/>
        <v>2</v>
      </c>
      <c r="AJ108" s="245">
        <f t="shared" si="22"/>
        <v>2</v>
      </c>
      <c r="AK108" s="245">
        <f t="shared" si="22"/>
        <v>2</v>
      </c>
      <c r="AL108" s="245">
        <f t="shared" si="22"/>
        <v>2</v>
      </c>
      <c r="AM108" s="245">
        <f t="shared" si="22"/>
        <v>2</v>
      </c>
      <c r="AN108" s="245">
        <f t="shared" si="22"/>
        <v>2</v>
      </c>
      <c r="AO108" s="224">
        <f t="shared" si="22"/>
        <v>15</v>
      </c>
      <c r="AP108" s="229">
        <f t="shared" si="22"/>
        <v>4</v>
      </c>
      <c r="AQ108" s="229">
        <f t="shared" si="22"/>
        <v>3</v>
      </c>
      <c r="AR108" s="229">
        <f t="shared" si="22"/>
        <v>3</v>
      </c>
      <c r="AS108" s="229">
        <f t="shared" si="22"/>
        <v>3</v>
      </c>
      <c r="AT108" s="229">
        <f t="shared" si="22"/>
        <v>2</v>
      </c>
      <c r="AU108" s="229">
        <f t="shared" si="22"/>
        <v>2</v>
      </c>
      <c r="AV108" s="229">
        <f t="shared" si="22"/>
        <v>2</v>
      </c>
      <c r="AW108" s="225">
        <f t="shared" si="22"/>
        <v>19</v>
      </c>
      <c r="AX108" s="245">
        <f t="shared" si="22"/>
        <v>9</v>
      </c>
      <c r="AY108" s="245">
        <f t="shared" si="22"/>
        <v>7</v>
      </c>
      <c r="AZ108" s="245">
        <f t="shared" si="22"/>
        <v>6</v>
      </c>
      <c r="BA108" s="245">
        <f t="shared" si="22"/>
        <v>6</v>
      </c>
      <c r="BB108" s="245">
        <f t="shared" si="22"/>
        <v>6</v>
      </c>
      <c r="BC108" s="245">
        <f t="shared" si="22"/>
        <v>5</v>
      </c>
      <c r="BD108" s="245">
        <f t="shared" si="22"/>
        <v>5</v>
      </c>
      <c r="BE108" s="224">
        <f t="shared" si="22"/>
        <v>44</v>
      </c>
      <c r="BF108" s="229">
        <f t="shared" si="22"/>
        <v>12</v>
      </c>
      <c r="BG108" s="229">
        <f t="shared" si="22"/>
        <v>10</v>
      </c>
      <c r="BH108" s="229">
        <f t="shared" si="22"/>
        <v>9</v>
      </c>
      <c r="BI108" s="229">
        <f t="shared" si="22"/>
        <v>8</v>
      </c>
      <c r="BJ108" s="229">
        <f t="shared" si="22"/>
        <v>8</v>
      </c>
      <c r="BK108" s="229">
        <f t="shared" si="22"/>
        <v>7</v>
      </c>
      <c r="BL108" s="229">
        <f t="shared" si="22"/>
        <v>7</v>
      </c>
      <c r="BM108" s="225">
        <f t="shared" si="22"/>
        <v>61</v>
      </c>
      <c r="BN108" s="245">
        <f t="shared" si="22"/>
        <v>13</v>
      </c>
      <c r="BO108" s="245">
        <f t="shared" ref="BO108:DQ108" si="23">BO66+BO85+BO44+BO60+BO65</f>
        <v>11</v>
      </c>
      <c r="BP108" s="245">
        <f t="shared" si="23"/>
        <v>10</v>
      </c>
      <c r="BQ108" s="245">
        <f t="shared" si="23"/>
        <v>10</v>
      </c>
      <c r="BR108" s="245">
        <f t="shared" si="23"/>
        <v>10</v>
      </c>
      <c r="BS108" s="245">
        <f t="shared" si="23"/>
        <v>9</v>
      </c>
      <c r="BT108" s="245">
        <f t="shared" si="23"/>
        <v>8</v>
      </c>
      <c r="BU108" s="224">
        <f t="shared" si="23"/>
        <v>71</v>
      </c>
      <c r="BV108" s="229">
        <f t="shared" si="23"/>
        <v>15</v>
      </c>
      <c r="BW108" s="229">
        <f t="shared" si="23"/>
        <v>13</v>
      </c>
      <c r="BX108" s="229">
        <f t="shared" si="23"/>
        <v>11</v>
      </c>
      <c r="BY108" s="229">
        <f t="shared" si="23"/>
        <v>11</v>
      </c>
      <c r="BZ108" s="229">
        <f t="shared" si="23"/>
        <v>11</v>
      </c>
      <c r="CA108" s="229">
        <f t="shared" si="23"/>
        <v>10</v>
      </c>
      <c r="CB108" s="229">
        <f t="shared" si="23"/>
        <v>10</v>
      </c>
      <c r="CC108" s="225">
        <f t="shared" si="23"/>
        <v>81</v>
      </c>
      <c r="CD108" s="245">
        <f t="shared" si="23"/>
        <v>16</v>
      </c>
      <c r="CE108" s="245">
        <f t="shared" si="23"/>
        <v>14</v>
      </c>
      <c r="CF108" s="245">
        <f t="shared" si="23"/>
        <v>13</v>
      </c>
      <c r="CG108" s="245">
        <f t="shared" si="23"/>
        <v>13</v>
      </c>
      <c r="CH108" s="245">
        <f t="shared" si="23"/>
        <v>13</v>
      </c>
      <c r="CI108" s="245">
        <f t="shared" si="23"/>
        <v>11</v>
      </c>
      <c r="CJ108" s="245">
        <f t="shared" si="23"/>
        <v>11</v>
      </c>
      <c r="CK108" s="224">
        <f t="shared" si="23"/>
        <v>91</v>
      </c>
      <c r="CL108" s="229">
        <f t="shared" si="23"/>
        <v>16</v>
      </c>
      <c r="CM108" s="229">
        <f t="shared" si="23"/>
        <v>14</v>
      </c>
      <c r="CN108" s="229">
        <f t="shared" si="23"/>
        <v>13</v>
      </c>
      <c r="CO108" s="229">
        <f t="shared" si="23"/>
        <v>13</v>
      </c>
      <c r="CP108" s="229">
        <f t="shared" si="23"/>
        <v>13</v>
      </c>
      <c r="CQ108" s="229">
        <f t="shared" si="23"/>
        <v>12</v>
      </c>
      <c r="CR108" s="229">
        <f t="shared" si="23"/>
        <v>12</v>
      </c>
      <c r="CS108" s="225">
        <f t="shared" si="23"/>
        <v>93</v>
      </c>
      <c r="CT108" s="245">
        <f t="shared" si="23"/>
        <v>17</v>
      </c>
      <c r="CU108" s="245">
        <f t="shared" si="23"/>
        <v>15</v>
      </c>
      <c r="CV108" s="245">
        <f t="shared" si="23"/>
        <v>13</v>
      </c>
      <c r="CW108" s="245">
        <f t="shared" si="23"/>
        <v>13</v>
      </c>
      <c r="CX108" s="245">
        <f t="shared" si="23"/>
        <v>13</v>
      </c>
      <c r="CY108" s="245">
        <f t="shared" si="23"/>
        <v>12</v>
      </c>
      <c r="CZ108" s="245">
        <f t="shared" si="23"/>
        <v>12</v>
      </c>
      <c r="DA108" s="224">
        <f t="shared" si="23"/>
        <v>95</v>
      </c>
      <c r="DB108" s="229">
        <f t="shared" si="23"/>
        <v>17</v>
      </c>
      <c r="DC108" s="229">
        <f t="shared" si="23"/>
        <v>15</v>
      </c>
      <c r="DD108" s="229">
        <f t="shared" si="23"/>
        <v>14</v>
      </c>
      <c r="DE108" s="229">
        <f t="shared" si="23"/>
        <v>14</v>
      </c>
      <c r="DF108" s="229">
        <f t="shared" si="23"/>
        <v>13</v>
      </c>
      <c r="DG108" s="229">
        <f t="shared" si="23"/>
        <v>12</v>
      </c>
      <c r="DH108" s="229">
        <f t="shared" si="23"/>
        <v>12</v>
      </c>
      <c r="DI108" s="225">
        <f t="shared" si="23"/>
        <v>97</v>
      </c>
      <c r="DJ108" s="245">
        <f t="shared" si="23"/>
        <v>17</v>
      </c>
      <c r="DK108" s="245">
        <f t="shared" si="23"/>
        <v>15</v>
      </c>
      <c r="DL108" s="245">
        <f t="shared" si="23"/>
        <v>14</v>
      </c>
      <c r="DM108" s="245">
        <f t="shared" si="23"/>
        <v>14</v>
      </c>
      <c r="DN108" s="245">
        <f t="shared" si="23"/>
        <v>14</v>
      </c>
      <c r="DO108" s="245">
        <f t="shared" si="23"/>
        <v>13</v>
      </c>
      <c r="DP108" s="245">
        <f t="shared" si="23"/>
        <v>12</v>
      </c>
      <c r="DQ108" s="224">
        <f t="shared" si="23"/>
        <v>99</v>
      </c>
      <c r="DR108" s="246"/>
      <c r="DS108" s="247"/>
      <c r="DT108" s="247"/>
      <c r="DU108" s="247"/>
      <c r="DV108" s="247"/>
      <c r="DW108" s="247"/>
      <c r="DX108" s="247"/>
      <c r="DY108" s="248"/>
    </row>
    <row r="109" spans="1:129" x14ac:dyDescent="0.2">
      <c r="A109" s="231" t="s">
        <v>104</v>
      </c>
      <c r="B109" s="245">
        <f>B19+B41+B47+B51</f>
        <v>1</v>
      </c>
      <c r="C109" s="245">
        <f t="shared" ref="C109:BN109" si="24">C19+C41+C47+C51</f>
        <v>1</v>
      </c>
      <c r="D109" s="245">
        <f t="shared" si="24"/>
        <v>0</v>
      </c>
      <c r="E109" s="245">
        <f t="shared" si="24"/>
        <v>0</v>
      </c>
      <c r="F109" s="245">
        <f t="shared" si="24"/>
        <v>0</v>
      </c>
      <c r="G109" s="245">
        <f t="shared" si="24"/>
        <v>0</v>
      </c>
      <c r="H109" s="245">
        <f t="shared" si="24"/>
        <v>0</v>
      </c>
      <c r="I109" s="224">
        <f t="shared" si="24"/>
        <v>2</v>
      </c>
      <c r="J109" s="229">
        <f t="shared" si="24"/>
        <v>2</v>
      </c>
      <c r="K109" s="229">
        <f t="shared" si="24"/>
        <v>2</v>
      </c>
      <c r="L109" s="229">
        <f t="shared" si="24"/>
        <v>1</v>
      </c>
      <c r="M109" s="229">
        <f t="shared" si="24"/>
        <v>1</v>
      </c>
      <c r="N109" s="229">
        <f t="shared" si="24"/>
        <v>0</v>
      </c>
      <c r="O109" s="229">
        <f t="shared" si="24"/>
        <v>0</v>
      </c>
      <c r="P109" s="229">
        <f t="shared" si="24"/>
        <v>0</v>
      </c>
      <c r="Q109" s="225">
        <f t="shared" si="24"/>
        <v>6</v>
      </c>
      <c r="R109" s="245">
        <f t="shared" si="24"/>
        <v>3</v>
      </c>
      <c r="S109" s="245">
        <f t="shared" si="24"/>
        <v>3</v>
      </c>
      <c r="T109" s="245">
        <f t="shared" si="24"/>
        <v>3</v>
      </c>
      <c r="U109" s="245">
        <f t="shared" si="24"/>
        <v>2</v>
      </c>
      <c r="V109" s="245">
        <f t="shared" si="24"/>
        <v>1</v>
      </c>
      <c r="W109" s="245">
        <f t="shared" si="24"/>
        <v>1</v>
      </c>
      <c r="X109" s="245">
        <f t="shared" si="24"/>
        <v>1</v>
      </c>
      <c r="Y109" s="224">
        <f t="shared" si="24"/>
        <v>14</v>
      </c>
      <c r="Z109" s="229">
        <f t="shared" si="24"/>
        <v>5</v>
      </c>
      <c r="AA109" s="229">
        <f t="shared" si="24"/>
        <v>4</v>
      </c>
      <c r="AB109" s="229">
        <f t="shared" si="24"/>
        <v>4</v>
      </c>
      <c r="AC109" s="229">
        <f t="shared" si="24"/>
        <v>4</v>
      </c>
      <c r="AD109" s="229">
        <f t="shared" si="24"/>
        <v>3</v>
      </c>
      <c r="AE109" s="229">
        <f t="shared" si="24"/>
        <v>3</v>
      </c>
      <c r="AF109" s="229">
        <f t="shared" si="24"/>
        <v>3</v>
      </c>
      <c r="AG109" s="225">
        <f t="shared" si="24"/>
        <v>26</v>
      </c>
      <c r="AH109" s="245">
        <f t="shared" si="24"/>
        <v>7</v>
      </c>
      <c r="AI109" s="245">
        <f t="shared" si="24"/>
        <v>6</v>
      </c>
      <c r="AJ109" s="245">
        <f t="shared" si="24"/>
        <v>5</v>
      </c>
      <c r="AK109" s="245">
        <f t="shared" si="24"/>
        <v>5</v>
      </c>
      <c r="AL109" s="245">
        <f t="shared" si="24"/>
        <v>5</v>
      </c>
      <c r="AM109" s="245">
        <f t="shared" si="24"/>
        <v>5</v>
      </c>
      <c r="AN109" s="245">
        <f t="shared" si="24"/>
        <v>4</v>
      </c>
      <c r="AO109" s="224">
        <f t="shared" si="24"/>
        <v>37</v>
      </c>
      <c r="AP109" s="229">
        <f t="shared" si="24"/>
        <v>9</v>
      </c>
      <c r="AQ109" s="229">
        <f t="shared" si="24"/>
        <v>8</v>
      </c>
      <c r="AR109" s="229">
        <f t="shared" si="24"/>
        <v>7</v>
      </c>
      <c r="AS109" s="229">
        <f t="shared" si="24"/>
        <v>6</v>
      </c>
      <c r="AT109" s="229">
        <f t="shared" si="24"/>
        <v>6</v>
      </c>
      <c r="AU109" s="229">
        <f t="shared" si="24"/>
        <v>6</v>
      </c>
      <c r="AV109" s="229">
        <f t="shared" si="24"/>
        <v>6</v>
      </c>
      <c r="AW109" s="225">
        <f t="shared" si="24"/>
        <v>48</v>
      </c>
      <c r="AX109" s="245">
        <f t="shared" si="24"/>
        <v>11</v>
      </c>
      <c r="AY109" s="245">
        <f t="shared" si="24"/>
        <v>11</v>
      </c>
      <c r="AZ109" s="245">
        <f t="shared" si="24"/>
        <v>9</v>
      </c>
      <c r="BA109" s="245">
        <f t="shared" si="24"/>
        <v>9</v>
      </c>
      <c r="BB109" s="245">
        <f t="shared" si="24"/>
        <v>9</v>
      </c>
      <c r="BC109" s="245">
        <f t="shared" si="24"/>
        <v>9</v>
      </c>
      <c r="BD109" s="245">
        <f t="shared" si="24"/>
        <v>8</v>
      </c>
      <c r="BE109" s="224">
        <f t="shared" si="24"/>
        <v>66</v>
      </c>
      <c r="BF109" s="229">
        <f t="shared" si="24"/>
        <v>14</v>
      </c>
      <c r="BG109" s="229">
        <f t="shared" si="24"/>
        <v>14</v>
      </c>
      <c r="BH109" s="229">
        <f t="shared" si="24"/>
        <v>12</v>
      </c>
      <c r="BI109" s="229">
        <f t="shared" si="24"/>
        <v>12</v>
      </c>
      <c r="BJ109" s="229">
        <f t="shared" si="24"/>
        <v>11</v>
      </c>
      <c r="BK109" s="229">
        <f t="shared" si="24"/>
        <v>11</v>
      </c>
      <c r="BL109" s="229">
        <f t="shared" si="24"/>
        <v>11</v>
      </c>
      <c r="BM109" s="225">
        <f t="shared" si="24"/>
        <v>85</v>
      </c>
      <c r="BN109" s="245">
        <f t="shared" si="24"/>
        <v>16</v>
      </c>
      <c r="BO109" s="245">
        <f t="shared" ref="BO109:DQ109" si="25">BO19+BO41+BO47+BO51</f>
        <v>16</v>
      </c>
      <c r="BP109" s="245">
        <f t="shared" si="25"/>
        <v>15</v>
      </c>
      <c r="BQ109" s="245">
        <f t="shared" si="25"/>
        <v>15</v>
      </c>
      <c r="BR109" s="245">
        <f t="shared" si="25"/>
        <v>15</v>
      </c>
      <c r="BS109" s="245">
        <f t="shared" si="25"/>
        <v>14</v>
      </c>
      <c r="BT109" s="245">
        <f t="shared" si="25"/>
        <v>13</v>
      </c>
      <c r="BU109" s="224">
        <f t="shared" si="25"/>
        <v>104</v>
      </c>
      <c r="BV109" s="229">
        <f t="shared" si="25"/>
        <v>20</v>
      </c>
      <c r="BW109" s="229">
        <f t="shared" si="25"/>
        <v>19</v>
      </c>
      <c r="BX109" s="229">
        <f t="shared" si="25"/>
        <v>17</v>
      </c>
      <c r="BY109" s="229">
        <f t="shared" si="25"/>
        <v>17</v>
      </c>
      <c r="BZ109" s="229">
        <f t="shared" si="25"/>
        <v>17</v>
      </c>
      <c r="CA109" s="229">
        <f t="shared" si="25"/>
        <v>17</v>
      </c>
      <c r="CB109" s="229">
        <f t="shared" si="25"/>
        <v>17</v>
      </c>
      <c r="CC109" s="225">
        <f t="shared" si="25"/>
        <v>124</v>
      </c>
      <c r="CD109" s="245">
        <f t="shared" si="25"/>
        <v>22</v>
      </c>
      <c r="CE109" s="245">
        <f t="shared" si="25"/>
        <v>21</v>
      </c>
      <c r="CF109" s="245">
        <f t="shared" si="25"/>
        <v>20</v>
      </c>
      <c r="CG109" s="245">
        <f t="shared" si="25"/>
        <v>19</v>
      </c>
      <c r="CH109" s="245">
        <f t="shared" si="25"/>
        <v>19</v>
      </c>
      <c r="CI109" s="245">
        <f t="shared" si="25"/>
        <v>19</v>
      </c>
      <c r="CJ109" s="245">
        <f t="shared" si="25"/>
        <v>19</v>
      </c>
      <c r="CK109" s="224">
        <f t="shared" si="25"/>
        <v>139</v>
      </c>
      <c r="CL109" s="229">
        <f t="shared" si="25"/>
        <v>24</v>
      </c>
      <c r="CM109" s="229">
        <f t="shared" si="25"/>
        <v>22</v>
      </c>
      <c r="CN109" s="229">
        <f t="shared" si="25"/>
        <v>21</v>
      </c>
      <c r="CO109" s="229">
        <f t="shared" si="25"/>
        <v>21</v>
      </c>
      <c r="CP109" s="229">
        <f t="shared" si="25"/>
        <v>21</v>
      </c>
      <c r="CQ109" s="229">
        <f t="shared" si="25"/>
        <v>21</v>
      </c>
      <c r="CR109" s="229">
        <f t="shared" si="25"/>
        <v>21</v>
      </c>
      <c r="CS109" s="225">
        <f t="shared" si="25"/>
        <v>151</v>
      </c>
      <c r="CT109" s="245">
        <f t="shared" si="25"/>
        <v>24</v>
      </c>
      <c r="CU109" s="245">
        <f t="shared" si="25"/>
        <v>23</v>
      </c>
      <c r="CV109" s="245">
        <f t="shared" si="25"/>
        <v>23</v>
      </c>
      <c r="CW109" s="245">
        <f t="shared" si="25"/>
        <v>23</v>
      </c>
      <c r="CX109" s="245">
        <f t="shared" si="25"/>
        <v>23</v>
      </c>
      <c r="CY109" s="245">
        <f t="shared" si="25"/>
        <v>23</v>
      </c>
      <c r="CZ109" s="245">
        <f t="shared" si="25"/>
        <v>22</v>
      </c>
      <c r="DA109" s="224">
        <f t="shared" si="25"/>
        <v>161</v>
      </c>
      <c r="DB109" s="229">
        <f t="shared" si="25"/>
        <v>26</v>
      </c>
      <c r="DC109" s="229">
        <f t="shared" si="25"/>
        <v>25</v>
      </c>
      <c r="DD109" s="229">
        <f t="shared" si="25"/>
        <v>25</v>
      </c>
      <c r="DE109" s="229">
        <f t="shared" si="25"/>
        <v>25</v>
      </c>
      <c r="DF109" s="229">
        <f t="shared" si="25"/>
        <v>24</v>
      </c>
      <c r="DG109" s="229">
        <f t="shared" si="25"/>
        <v>24</v>
      </c>
      <c r="DH109" s="229">
        <f t="shared" si="25"/>
        <v>24</v>
      </c>
      <c r="DI109" s="225">
        <f t="shared" si="25"/>
        <v>173</v>
      </c>
      <c r="DJ109" s="245">
        <f t="shared" si="25"/>
        <v>28</v>
      </c>
      <c r="DK109" s="245">
        <f t="shared" si="25"/>
        <v>27</v>
      </c>
      <c r="DL109" s="245">
        <f t="shared" si="25"/>
        <v>26</v>
      </c>
      <c r="DM109" s="245">
        <f t="shared" si="25"/>
        <v>26</v>
      </c>
      <c r="DN109" s="245">
        <f t="shared" si="25"/>
        <v>26</v>
      </c>
      <c r="DO109" s="245">
        <f t="shared" si="25"/>
        <v>26</v>
      </c>
      <c r="DP109" s="245">
        <f t="shared" si="25"/>
        <v>26</v>
      </c>
      <c r="DQ109" s="224">
        <f t="shared" si="25"/>
        <v>185</v>
      </c>
      <c r="DR109" s="246"/>
      <c r="DS109" s="247"/>
      <c r="DT109" s="247"/>
      <c r="DU109" s="247"/>
      <c r="DV109" s="247"/>
      <c r="DW109" s="247"/>
      <c r="DX109" s="247"/>
      <c r="DY109" s="248"/>
    </row>
    <row r="110" spans="1:129" x14ac:dyDescent="0.2">
      <c r="A110" s="231" t="s">
        <v>105</v>
      </c>
      <c r="B110" s="245">
        <f>B21+B37+B49+B61</f>
        <v>3</v>
      </c>
      <c r="C110" s="245">
        <f t="shared" ref="C110:BN110" si="26">C21+C37+C49+C61</f>
        <v>3</v>
      </c>
      <c r="D110" s="245">
        <f t="shared" si="26"/>
        <v>3</v>
      </c>
      <c r="E110" s="245">
        <f t="shared" si="26"/>
        <v>3</v>
      </c>
      <c r="F110" s="245">
        <f t="shared" si="26"/>
        <v>2</v>
      </c>
      <c r="G110" s="245">
        <f t="shared" si="26"/>
        <v>2</v>
      </c>
      <c r="H110" s="245">
        <f t="shared" si="26"/>
        <v>2</v>
      </c>
      <c r="I110" s="224">
        <f t="shared" si="26"/>
        <v>18</v>
      </c>
      <c r="J110" s="229">
        <f t="shared" si="26"/>
        <v>5</v>
      </c>
      <c r="K110" s="229">
        <f t="shared" si="26"/>
        <v>5</v>
      </c>
      <c r="L110" s="229">
        <f t="shared" si="26"/>
        <v>5</v>
      </c>
      <c r="M110" s="229">
        <f t="shared" si="26"/>
        <v>5</v>
      </c>
      <c r="N110" s="229">
        <f t="shared" si="26"/>
        <v>4</v>
      </c>
      <c r="O110" s="229">
        <f t="shared" si="26"/>
        <v>4</v>
      </c>
      <c r="P110" s="229">
        <f t="shared" si="26"/>
        <v>4</v>
      </c>
      <c r="Q110" s="225">
        <f t="shared" si="26"/>
        <v>32</v>
      </c>
      <c r="R110" s="245">
        <f t="shared" si="26"/>
        <v>17</v>
      </c>
      <c r="S110" s="245">
        <f t="shared" si="26"/>
        <v>16</v>
      </c>
      <c r="T110" s="245">
        <f t="shared" si="26"/>
        <v>16</v>
      </c>
      <c r="U110" s="245">
        <f t="shared" si="26"/>
        <v>15</v>
      </c>
      <c r="V110" s="245">
        <f t="shared" si="26"/>
        <v>15</v>
      </c>
      <c r="W110" s="245">
        <f t="shared" si="26"/>
        <v>14</v>
      </c>
      <c r="X110" s="245">
        <f t="shared" si="26"/>
        <v>13</v>
      </c>
      <c r="Y110" s="224">
        <f t="shared" si="26"/>
        <v>106</v>
      </c>
      <c r="Z110" s="229">
        <f t="shared" si="26"/>
        <v>31</v>
      </c>
      <c r="AA110" s="229">
        <f t="shared" si="26"/>
        <v>31</v>
      </c>
      <c r="AB110" s="229">
        <f t="shared" si="26"/>
        <v>30</v>
      </c>
      <c r="AC110" s="229">
        <f t="shared" si="26"/>
        <v>28</v>
      </c>
      <c r="AD110" s="229">
        <f t="shared" si="26"/>
        <v>28</v>
      </c>
      <c r="AE110" s="229">
        <f t="shared" si="26"/>
        <v>28</v>
      </c>
      <c r="AF110" s="229">
        <f t="shared" si="26"/>
        <v>27</v>
      </c>
      <c r="AG110" s="225">
        <f t="shared" si="26"/>
        <v>203</v>
      </c>
      <c r="AH110" s="245">
        <f t="shared" si="26"/>
        <v>45</v>
      </c>
      <c r="AI110" s="245">
        <f t="shared" si="26"/>
        <v>45</v>
      </c>
      <c r="AJ110" s="245">
        <f t="shared" si="26"/>
        <v>44</v>
      </c>
      <c r="AK110" s="245">
        <f t="shared" si="26"/>
        <v>41</v>
      </c>
      <c r="AL110" s="245">
        <f t="shared" si="26"/>
        <v>41</v>
      </c>
      <c r="AM110" s="245">
        <f t="shared" si="26"/>
        <v>41</v>
      </c>
      <c r="AN110" s="245">
        <f t="shared" si="26"/>
        <v>41</v>
      </c>
      <c r="AO110" s="224">
        <f t="shared" si="26"/>
        <v>298</v>
      </c>
      <c r="AP110" s="229">
        <f t="shared" si="26"/>
        <v>54</v>
      </c>
      <c r="AQ110" s="229">
        <f t="shared" si="26"/>
        <v>54</v>
      </c>
      <c r="AR110" s="229">
        <f t="shared" si="26"/>
        <v>54</v>
      </c>
      <c r="AS110" s="229">
        <f t="shared" si="26"/>
        <v>51</v>
      </c>
      <c r="AT110" s="229">
        <f t="shared" si="26"/>
        <v>51</v>
      </c>
      <c r="AU110" s="229">
        <f t="shared" si="26"/>
        <v>50</v>
      </c>
      <c r="AV110" s="229">
        <f t="shared" si="26"/>
        <v>50</v>
      </c>
      <c r="AW110" s="225">
        <f t="shared" si="26"/>
        <v>364</v>
      </c>
      <c r="AX110" s="245">
        <f t="shared" si="26"/>
        <v>64</v>
      </c>
      <c r="AY110" s="245">
        <f t="shared" si="26"/>
        <v>63</v>
      </c>
      <c r="AZ110" s="245">
        <f t="shared" si="26"/>
        <v>63</v>
      </c>
      <c r="BA110" s="245">
        <f t="shared" si="26"/>
        <v>62</v>
      </c>
      <c r="BB110" s="245">
        <f t="shared" si="26"/>
        <v>60</v>
      </c>
      <c r="BC110" s="245">
        <f t="shared" si="26"/>
        <v>60</v>
      </c>
      <c r="BD110" s="245">
        <f t="shared" si="26"/>
        <v>60</v>
      </c>
      <c r="BE110" s="224">
        <f t="shared" si="26"/>
        <v>432</v>
      </c>
      <c r="BF110" s="229">
        <f t="shared" si="26"/>
        <v>72</v>
      </c>
      <c r="BG110" s="229">
        <f t="shared" si="26"/>
        <v>72</v>
      </c>
      <c r="BH110" s="229">
        <f t="shared" si="26"/>
        <v>71</v>
      </c>
      <c r="BI110" s="229">
        <f t="shared" si="26"/>
        <v>70</v>
      </c>
      <c r="BJ110" s="229">
        <f t="shared" si="26"/>
        <v>69</v>
      </c>
      <c r="BK110" s="229">
        <f t="shared" si="26"/>
        <v>69</v>
      </c>
      <c r="BL110" s="229">
        <f t="shared" si="26"/>
        <v>68</v>
      </c>
      <c r="BM110" s="225">
        <f t="shared" si="26"/>
        <v>491</v>
      </c>
      <c r="BN110" s="245">
        <f t="shared" si="26"/>
        <v>80</v>
      </c>
      <c r="BO110" s="245">
        <f t="shared" ref="BO110:DQ110" si="27">BO21+BO37+BO49+BO61</f>
        <v>79</v>
      </c>
      <c r="BP110" s="245">
        <f t="shared" si="27"/>
        <v>79</v>
      </c>
      <c r="BQ110" s="245">
        <f t="shared" si="27"/>
        <v>78</v>
      </c>
      <c r="BR110" s="245">
        <f t="shared" si="27"/>
        <v>77</v>
      </c>
      <c r="BS110" s="245">
        <f t="shared" si="27"/>
        <v>77</v>
      </c>
      <c r="BT110" s="245">
        <f t="shared" si="27"/>
        <v>76</v>
      </c>
      <c r="BU110" s="224">
        <f t="shared" si="27"/>
        <v>546</v>
      </c>
      <c r="BV110" s="229">
        <f t="shared" si="27"/>
        <v>85</v>
      </c>
      <c r="BW110" s="229">
        <f t="shared" si="27"/>
        <v>85</v>
      </c>
      <c r="BX110" s="229">
        <f t="shared" si="27"/>
        <v>84</v>
      </c>
      <c r="BY110" s="229">
        <f t="shared" si="27"/>
        <v>83</v>
      </c>
      <c r="BZ110" s="229">
        <f t="shared" si="27"/>
        <v>83</v>
      </c>
      <c r="CA110" s="229">
        <f t="shared" si="27"/>
        <v>83</v>
      </c>
      <c r="CB110" s="229">
        <f t="shared" si="27"/>
        <v>82</v>
      </c>
      <c r="CC110" s="225">
        <f t="shared" si="27"/>
        <v>585</v>
      </c>
      <c r="CD110" s="245">
        <f t="shared" si="27"/>
        <v>85</v>
      </c>
      <c r="CE110" s="245">
        <f t="shared" si="27"/>
        <v>85</v>
      </c>
      <c r="CF110" s="245">
        <f t="shared" si="27"/>
        <v>84</v>
      </c>
      <c r="CG110" s="245">
        <f t="shared" si="27"/>
        <v>83</v>
      </c>
      <c r="CH110" s="245">
        <f t="shared" si="27"/>
        <v>83</v>
      </c>
      <c r="CI110" s="245">
        <f t="shared" si="27"/>
        <v>83</v>
      </c>
      <c r="CJ110" s="245">
        <f t="shared" si="27"/>
        <v>82</v>
      </c>
      <c r="CK110" s="224">
        <f t="shared" si="27"/>
        <v>585</v>
      </c>
      <c r="CL110" s="229">
        <f t="shared" si="27"/>
        <v>85</v>
      </c>
      <c r="CM110" s="229">
        <f t="shared" si="27"/>
        <v>85</v>
      </c>
      <c r="CN110" s="229">
        <f t="shared" si="27"/>
        <v>84</v>
      </c>
      <c r="CO110" s="229">
        <f t="shared" si="27"/>
        <v>83</v>
      </c>
      <c r="CP110" s="229">
        <f t="shared" si="27"/>
        <v>83</v>
      </c>
      <c r="CQ110" s="229">
        <f t="shared" si="27"/>
        <v>83</v>
      </c>
      <c r="CR110" s="229">
        <f t="shared" si="27"/>
        <v>82</v>
      </c>
      <c r="CS110" s="225">
        <f t="shared" si="27"/>
        <v>585</v>
      </c>
      <c r="CT110" s="245">
        <f t="shared" si="27"/>
        <v>85</v>
      </c>
      <c r="CU110" s="245">
        <f t="shared" si="27"/>
        <v>85</v>
      </c>
      <c r="CV110" s="245">
        <f t="shared" si="27"/>
        <v>84</v>
      </c>
      <c r="CW110" s="245">
        <f t="shared" si="27"/>
        <v>83</v>
      </c>
      <c r="CX110" s="245">
        <f t="shared" si="27"/>
        <v>83</v>
      </c>
      <c r="CY110" s="245">
        <f t="shared" si="27"/>
        <v>83</v>
      </c>
      <c r="CZ110" s="245">
        <f t="shared" si="27"/>
        <v>82</v>
      </c>
      <c r="DA110" s="224">
        <f t="shared" si="27"/>
        <v>585</v>
      </c>
      <c r="DB110" s="229">
        <f t="shared" si="27"/>
        <v>85</v>
      </c>
      <c r="DC110" s="229">
        <f t="shared" si="27"/>
        <v>85</v>
      </c>
      <c r="DD110" s="229">
        <f t="shared" si="27"/>
        <v>84</v>
      </c>
      <c r="DE110" s="229">
        <f t="shared" si="27"/>
        <v>83</v>
      </c>
      <c r="DF110" s="229">
        <f t="shared" si="27"/>
        <v>83</v>
      </c>
      <c r="DG110" s="229">
        <f t="shared" si="27"/>
        <v>83</v>
      </c>
      <c r="DH110" s="229">
        <f t="shared" si="27"/>
        <v>82</v>
      </c>
      <c r="DI110" s="225">
        <f t="shared" si="27"/>
        <v>585</v>
      </c>
      <c r="DJ110" s="245">
        <f t="shared" si="27"/>
        <v>85</v>
      </c>
      <c r="DK110" s="245">
        <f t="shared" si="27"/>
        <v>85</v>
      </c>
      <c r="DL110" s="245">
        <f t="shared" si="27"/>
        <v>84</v>
      </c>
      <c r="DM110" s="245">
        <f t="shared" si="27"/>
        <v>83</v>
      </c>
      <c r="DN110" s="245">
        <f t="shared" si="27"/>
        <v>83</v>
      </c>
      <c r="DO110" s="245">
        <f t="shared" si="27"/>
        <v>83</v>
      </c>
      <c r="DP110" s="245">
        <f t="shared" si="27"/>
        <v>82</v>
      </c>
      <c r="DQ110" s="224">
        <f t="shared" si="27"/>
        <v>585</v>
      </c>
      <c r="DR110" s="246"/>
      <c r="DS110" s="247"/>
      <c r="DT110" s="247"/>
      <c r="DU110" s="247"/>
      <c r="DV110" s="247"/>
      <c r="DW110" s="247"/>
      <c r="DX110" s="247"/>
      <c r="DY110" s="248"/>
    </row>
    <row r="111" spans="1:129" x14ac:dyDescent="0.2">
      <c r="A111" s="231" t="s">
        <v>106</v>
      </c>
      <c r="B111" s="245">
        <f>B9+B29+B86+B57+B84</f>
        <v>3</v>
      </c>
      <c r="C111" s="245">
        <f t="shared" ref="C111:BN111" si="28">C9+C29+C86+C57+C84</f>
        <v>3</v>
      </c>
      <c r="D111" s="245">
        <f t="shared" si="28"/>
        <v>2</v>
      </c>
      <c r="E111" s="245">
        <f t="shared" si="28"/>
        <v>2</v>
      </c>
      <c r="F111" s="245">
        <f t="shared" si="28"/>
        <v>1</v>
      </c>
      <c r="G111" s="245">
        <f t="shared" si="28"/>
        <v>1</v>
      </c>
      <c r="H111" s="245">
        <f t="shared" si="28"/>
        <v>1</v>
      </c>
      <c r="I111" s="224">
        <f t="shared" si="28"/>
        <v>13</v>
      </c>
      <c r="J111" s="229">
        <f t="shared" si="28"/>
        <v>3</v>
      </c>
      <c r="K111" s="229">
        <f t="shared" si="28"/>
        <v>2</v>
      </c>
      <c r="L111" s="229">
        <f t="shared" si="28"/>
        <v>2</v>
      </c>
      <c r="M111" s="229">
        <f t="shared" si="28"/>
        <v>2</v>
      </c>
      <c r="N111" s="229">
        <f t="shared" si="28"/>
        <v>2</v>
      </c>
      <c r="O111" s="229">
        <f t="shared" si="28"/>
        <v>2</v>
      </c>
      <c r="P111" s="229">
        <f t="shared" si="28"/>
        <v>2</v>
      </c>
      <c r="Q111" s="225">
        <f t="shared" si="28"/>
        <v>15</v>
      </c>
      <c r="R111" s="245">
        <f t="shared" si="28"/>
        <v>3</v>
      </c>
      <c r="S111" s="245">
        <f t="shared" si="28"/>
        <v>3</v>
      </c>
      <c r="T111" s="245">
        <f t="shared" si="28"/>
        <v>3</v>
      </c>
      <c r="U111" s="245">
        <f t="shared" si="28"/>
        <v>3</v>
      </c>
      <c r="V111" s="245">
        <f t="shared" si="28"/>
        <v>3</v>
      </c>
      <c r="W111" s="245">
        <f t="shared" si="28"/>
        <v>2</v>
      </c>
      <c r="X111" s="245">
        <f t="shared" si="28"/>
        <v>2</v>
      </c>
      <c r="Y111" s="224">
        <f t="shared" si="28"/>
        <v>19</v>
      </c>
      <c r="Z111" s="229">
        <f t="shared" si="28"/>
        <v>4</v>
      </c>
      <c r="AA111" s="229">
        <f t="shared" si="28"/>
        <v>4</v>
      </c>
      <c r="AB111" s="229">
        <f t="shared" si="28"/>
        <v>4</v>
      </c>
      <c r="AC111" s="229">
        <f t="shared" si="28"/>
        <v>4</v>
      </c>
      <c r="AD111" s="229">
        <f t="shared" si="28"/>
        <v>4</v>
      </c>
      <c r="AE111" s="229">
        <f t="shared" si="28"/>
        <v>3</v>
      </c>
      <c r="AF111" s="229">
        <f t="shared" si="28"/>
        <v>3</v>
      </c>
      <c r="AG111" s="225">
        <f t="shared" si="28"/>
        <v>26</v>
      </c>
      <c r="AH111" s="245">
        <f t="shared" si="28"/>
        <v>6</v>
      </c>
      <c r="AI111" s="245">
        <f t="shared" si="28"/>
        <v>5</v>
      </c>
      <c r="AJ111" s="245">
        <f t="shared" si="28"/>
        <v>5</v>
      </c>
      <c r="AK111" s="245">
        <f t="shared" si="28"/>
        <v>5</v>
      </c>
      <c r="AL111" s="245">
        <f t="shared" si="28"/>
        <v>5</v>
      </c>
      <c r="AM111" s="245">
        <f t="shared" si="28"/>
        <v>4</v>
      </c>
      <c r="AN111" s="245">
        <f t="shared" si="28"/>
        <v>4</v>
      </c>
      <c r="AO111" s="224">
        <f t="shared" si="28"/>
        <v>34</v>
      </c>
      <c r="AP111" s="229">
        <f t="shared" si="28"/>
        <v>7</v>
      </c>
      <c r="AQ111" s="229">
        <f t="shared" si="28"/>
        <v>7</v>
      </c>
      <c r="AR111" s="229">
        <f t="shared" si="28"/>
        <v>7</v>
      </c>
      <c r="AS111" s="229">
        <f t="shared" si="28"/>
        <v>7</v>
      </c>
      <c r="AT111" s="229">
        <f t="shared" si="28"/>
        <v>6</v>
      </c>
      <c r="AU111" s="229">
        <f t="shared" si="28"/>
        <v>6</v>
      </c>
      <c r="AV111" s="229">
        <f t="shared" si="28"/>
        <v>6</v>
      </c>
      <c r="AW111" s="225">
        <f t="shared" si="28"/>
        <v>46</v>
      </c>
      <c r="AX111" s="245">
        <f t="shared" si="28"/>
        <v>10</v>
      </c>
      <c r="AY111" s="245">
        <f t="shared" si="28"/>
        <v>9</v>
      </c>
      <c r="AZ111" s="245">
        <f t="shared" si="28"/>
        <v>9</v>
      </c>
      <c r="BA111" s="245">
        <f t="shared" si="28"/>
        <v>8</v>
      </c>
      <c r="BB111" s="245">
        <f t="shared" si="28"/>
        <v>8</v>
      </c>
      <c r="BC111" s="245">
        <f t="shared" si="28"/>
        <v>8</v>
      </c>
      <c r="BD111" s="245">
        <f t="shared" si="28"/>
        <v>8</v>
      </c>
      <c r="BE111" s="224">
        <f t="shared" si="28"/>
        <v>60</v>
      </c>
      <c r="BF111" s="229">
        <f t="shared" si="28"/>
        <v>11</v>
      </c>
      <c r="BG111" s="229">
        <f t="shared" si="28"/>
        <v>11</v>
      </c>
      <c r="BH111" s="229">
        <f t="shared" si="28"/>
        <v>11</v>
      </c>
      <c r="BI111" s="229">
        <f t="shared" si="28"/>
        <v>11</v>
      </c>
      <c r="BJ111" s="229">
        <f t="shared" si="28"/>
        <v>10</v>
      </c>
      <c r="BK111" s="229">
        <f t="shared" si="28"/>
        <v>9</v>
      </c>
      <c r="BL111" s="229">
        <f t="shared" si="28"/>
        <v>9</v>
      </c>
      <c r="BM111" s="225">
        <f t="shared" si="28"/>
        <v>72</v>
      </c>
      <c r="BN111" s="245">
        <f t="shared" si="28"/>
        <v>12</v>
      </c>
      <c r="BO111" s="245">
        <f t="shared" ref="BO111:DQ111" si="29">BO9+BO29+BO86+BO57+BO84</f>
        <v>12</v>
      </c>
      <c r="BP111" s="245">
        <f t="shared" si="29"/>
        <v>12</v>
      </c>
      <c r="BQ111" s="245">
        <f t="shared" si="29"/>
        <v>12</v>
      </c>
      <c r="BR111" s="245">
        <f t="shared" si="29"/>
        <v>12</v>
      </c>
      <c r="BS111" s="245">
        <f t="shared" si="29"/>
        <v>12</v>
      </c>
      <c r="BT111" s="245">
        <f t="shared" si="29"/>
        <v>12</v>
      </c>
      <c r="BU111" s="224">
        <f t="shared" si="29"/>
        <v>84</v>
      </c>
      <c r="BV111" s="229">
        <f t="shared" si="29"/>
        <v>14</v>
      </c>
      <c r="BW111" s="229">
        <f t="shared" si="29"/>
        <v>12</v>
      </c>
      <c r="BX111" s="229">
        <f t="shared" si="29"/>
        <v>12</v>
      </c>
      <c r="BY111" s="229">
        <f t="shared" si="29"/>
        <v>12</v>
      </c>
      <c r="BZ111" s="229">
        <f t="shared" si="29"/>
        <v>12</v>
      </c>
      <c r="CA111" s="229">
        <f t="shared" si="29"/>
        <v>12</v>
      </c>
      <c r="CB111" s="229">
        <f t="shared" si="29"/>
        <v>12</v>
      </c>
      <c r="CC111" s="225">
        <f t="shared" si="29"/>
        <v>86</v>
      </c>
      <c r="CD111" s="245">
        <f t="shared" si="29"/>
        <v>14</v>
      </c>
      <c r="CE111" s="245">
        <f t="shared" si="29"/>
        <v>12</v>
      </c>
      <c r="CF111" s="245">
        <f t="shared" si="29"/>
        <v>12</v>
      </c>
      <c r="CG111" s="245">
        <f t="shared" si="29"/>
        <v>12</v>
      </c>
      <c r="CH111" s="245">
        <f t="shared" si="29"/>
        <v>12</v>
      </c>
      <c r="CI111" s="245">
        <f t="shared" si="29"/>
        <v>12</v>
      </c>
      <c r="CJ111" s="245">
        <f t="shared" si="29"/>
        <v>12</v>
      </c>
      <c r="CK111" s="224">
        <f t="shared" si="29"/>
        <v>86</v>
      </c>
      <c r="CL111" s="229">
        <f t="shared" si="29"/>
        <v>14</v>
      </c>
      <c r="CM111" s="229">
        <f t="shared" si="29"/>
        <v>12</v>
      </c>
      <c r="CN111" s="229">
        <f t="shared" si="29"/>
        <v>12</v>
      </c>
      <c r="CO111" s="229">
        <f t="shared" si="29"/>
        <v>12</v>
      </c>
      <c r="CP111" s="229">
        <f t="shared" si="29"/>
        <v>12</v>
      </c>
      <c r="CQ111" s="229">
        <f t="shared" si="29"/>
        <v>12</v>
      </c>
      <c r="CR111" s="229">
        <f t="shared" si="29"/>
        <v>12</v>
      </c>
      <c r="CS111" s="225">
        <f t="shared" si="29"/>
        <v>86</v>
      </c>
      <c r="CT111" s="245">
        <f t="shared" si="29"/>
        <v>14</v>
      </c>
      <c r="CU111" s="245">
        <f t="shared" si="29"/>
        <v>12</v>
      </c>
      <c r="CV111" s="245">
        <f t="shared" si="29"/>
        <v>12</v>
      </c>
      <c r="CW111" s="245">
        <f t="shared" si="29"/>
        <v>12</v>
      </c>
      <c r="CX111" s="245">
        <f t="shared" si="29"/>
        <v>12</v>
      </c>
      <c r="CY111" s="245">
        <f t="shared" si="29"/>
        <v>12</v>
      </c>
      <c r="CZ111" s="245">
        <f t="shared" si="29"/>
        <v>12</v>
      </c>
      <c r="DA111" s="224">
        <f t="shared" si="29"/>
        <v>86</v>
      </c>
      <c r="DB111" s="229">
        <f t="shared" si="29"/>
        <v>14</v>
      </c>
      <c r="DC111" s="229">
        <f t="shared" si="29"/>
        <v>12</v>
      </c>
      <c r="DD111" s="229">
        <f t="shared" si="29"/>
        <v>12</v>
      </c>
      <c r="DE111" s="229">
        <f t="shared" si="29"/>
        <v>12</v>
      </c>
      <c r="DF111" s="229">
        <f t="shared" si="29"/>
        <v>12</v>
      </c>
      <c r="DG111" s="229">
        <f t="shared" si="29"/>
        <v>12</v>
      </c>
      <c r="DH111" s="229">
        <f t="shared" si="29"/>
        <v>12</v>
      </c>
      <c r="DI111" s="225">
        <f t="shared" si="29"/>
        <v>86</v>
      </c>
      <c r="DJ111" s="245">
        <f t="shared" si="29"/>
        <v>14</v>
      </c>
      <c r="DK111" s="245">
        <f t="shared" si="29"/>
        <v>12</v>
      </c>
      <c r="DL111" s="245">
        <f t="shared" si="29"/>
        <v>12</v>
      </c>
      <c r="DM111" s="245">
        <f t="shared" si="29"/>
        <v>12</v>
      </c>
      <c r="DN111" s="245">
        <f t="shared" si="29"/>
        <v>12</v>
      </c>
      <c r="DO111" s="245">
        <f t="shared" si="29"/>
        <v>12</v>
      </c>
      <c r="DP111" s="245">
        <f t="shared" si="29"/>
        <v>12</v>
      </c>
      <c r="DQ111" s="224">
        <f t="shared" si="29"/>
        <v>86</v>
      </c>
      <c r="DR111" s="246"/>
      <c r="DS111" s="247"/>
      <c r="DT111" s="247"/>
      <c r="DU111" s="247"/>
      <c r="DV111" s="247"/>
      <c r="DW111" s="247"/>
      <c r="DX111" s="247"/>
      <c r="DY111" s="248"/>
    </row>
    <row r="112" spans="1:129" x14ac:dyDescent="0.2">
      <c r="A112" s="231" t="s">
        <v>107</v>
      </c>
      <c r="B112" s="245">
        <f>B25+B31+B62+B46</f>
        <v>6</v>
      </c>
      <c r="C112" s="245">
        <f t="shared" ref="C112:BN112" si="30">C25+C31+C62+C46</f>
        <v>6</v>
      </c>
      <c r="D112" s="245">
        <f t="shared" si="30"/>
        <v>6</v>
      </c>
      <c r="E112" s="245">
        <f t="shared" si="30"/>
        <v>6</v>
      </c>
      <c r="F112" s="245">
        <f t="shared" si="30"/>
        <v>5</v>
      </c>
      <c r="G112" s="245">
        <f t="shared" si="30"/>
        <v>5</v>
      </c>
      <c r="H112" s="245">
        <f t="shared" si="30"/>
        <v>5</v>
      </c>
      <c r="I112" s="224">
        <f t="shared" si="30"/>
        <v>39</v>
      </c>
      <c r="J112" s="229">
        <f t="shared" si="30"/>
        <v>5</v>
      </c>
      <c r="K112" s="229">
        <f t="shared" si="30"/>
        <v>4</v>
      </c>
      <c r="L112" s="229">
        <f t="shared" si="30"/>
        <v>4</v>
      </c>
      <c r="M112" s="229">
        <f t="shared" si="30"/>
        <v>4</v>
      </c>
      <c r="N112" s="229">
        <f t="shared" si="30"/>
        <v>3</v>
      </c>
      <c r="O112" s="229">
        <f t="shared" si="30"/>
        <v>2</v>
      </c>
      <c r="P112" s="229">
        <f t="shared" si="30"/>
        <v>2</v>
      </c>
      <c r="Q112" s="225">
        <f t="shared" si="30"/>
        <v>24</v>
      </c>
      <c r="R112" s="245">
        <f t="shared" si="30"/>
        <v>5</v>
      </c>
      <c r="S112" s="245">
        <f t="shared" si="30"/>
        <v>4</v>
      </c>
      <c r="T112" s="245">
        <f t="shared" si="30"/>
        <v>4</v>
      </c>
      <c r="U112" s="245">
        <f t="shared" si="30"/>
        <v>4</v>
      </c>
      <c r="V112" s="245">
        <f t="shared" si="30"/>
        <v>3</v>
      </c>
      <c r="W112" s="245">
        <f t="shared" si="30"/>
        <v>2</v>
      </c>
      <c r="X112" s="245">
        <f t="shared" si="30"/>
        <v>2</v>
      </c>
      <c r="Y112" s="224">
        <f t="shared" si="30"/>
        <v>24</v>
      </c>
      <c r="Z112" s="229">
        <f t="shared" si="30"/>
        <v>8</v>
      </c>
      <c r="AA112" s="229">
        <f t="shared" si="30"/>
        <v>7</v>
      </c>
      <c r="AB112" s="229">
        <f t="shared" si="30"/>
        <v>7</v>
      </c>
      <c r="AC112" s="229">
        <f t="shared" si="30"/>
        <v>7</v>
      </c>
      <c r="AD112" s="229">
        <f t="shared" si="30"/>
        <v>6</v>
      </c>
      <c r="AE112" s="229">
        <f t="shared" si="30"/>
        <v>5</v>
      </c>
      <c r="AF112" s="229">
        <f t="shared" si="30"/>
        <v>5</v>
      </c>
      <c r="AG112" s="225">
        <f t="shared" si="30"/>
        <v>45</v>
      </c>
      <c r="AH112" s="245">
        <f t="shared" si="30"/>
        <v>12</v>
      </c>
      <c r="AI112" s="245">
        <f t="shared" si="30"/>
        <v>11</v>
      </c>
      <c r="AJ112" s="245">
        <f t="shared" si="30"/>
        <v>11</v>
      </c>
      <c r="AK112" s="245">
        <f t="shared" si="30"/>
        <v>11</v>
      </c>
      <c r="AL112" s="245">
        <f t="shared" si="30"/>
        <v>10</v>
      </c>
      <c r="AM112" s="245">
        <f t="shared" si="30"/>
        <v>10</v>
      </c>
      <c r="AN112" s="245">
        <f t="shared" si="30"/>
        <v>9</v>
      </c>
      <c r="AO112" s="224">
        <f t="shared" si="30"/>
        <v>74</v>
      </c>
      <c r="AP112" s="229">
        <f t="shared" si="30"/>
        <v>16</v>
      </c>
      <c r="AQ112" s="229">
        <f t="shared" si="30"/>
        <v>15</v>
      </c>
      <c r="AR112" s="229">
        <f t="shared" si="30"/>
        <v>15</v>
      </c>
      <c r="AS112" s="229">
        <f t="shared" si="30"/>
        <v>14</v>
      </c>
      <c r="AT112" s="229">
        <f t="shared" si="30"/>
        <v>12</v>
      </c>
      <c r="AU112" s="229">
        <f t="shared" si="30"/>
        <v>12</v>
      </c>
      <c r="AV112" s="229">
        <f t="shared" si="30"/>
        <v>12</v>
      </c>
      <c r="AW112" s="225">
        <f t="shared" si="30"/>
        <v>96</v>
      </c>
      <c r="AX112" s="245">
        <f t="shared" si="30"/>
        <v>21</v>
      </c>
      <c r="AY112" s="245">
        <f t="shared" si="30"/>
        <v>19</v>
      </c>
      <c r="AZ112" s="245">
        <f t="shared" si="30"/>
        <v>19</v>
      </c>
      <c r="BA112" s="245">
        <f t="shared" si="30"/>
        <v>19</v>
      </c>
      <c r="BB112" s="245">
        <f t="shared" si="30"/>
        <v>17</v>
      </c>
      <c r="BC112" s="245">
        <f t="shared" si="30"/>
        <v>17</v>
      </c>
      <c r="BD112" s="245">
        <f t="shared" si="30"/>
        <v>17</v>
      </c>
      <c r="BE112" s="224">
        <f t="shared" si="30"/>
        <v>129</v>
      </c>
      <c r="BF112" s="229">
        <f t="shared" si="30"/>
        <v>28</v>
      </c>
      <c r="BG112" s="229">
        <f t="shared" si="30"/>
        <v>27</v>
      </c>
      <c r="BH112" s="229">
        <f t="shared" si="30"/>
        <v>26</v>
      </c>
      <c r="BI112" s="229">
        <f t="shared" si="30"/>
        <v>26</v>
      </c>
      <c r="BJ112" s="229">
        <f t="shared" si="30"/>
        <v>25</v>
      </c>
      <c r="BK112" s="229">
        <f t="shared" si="30"/>
        <v>24</v>
      </c>
      <c r="BL112" s="229">
        <f t="shared" si="30"/>
        <v>24</v>
      </c>
      <c r="BM112" s="225">
        <f t="shared" si="30"/>
        <v>180</v>
      </c>
      <c r="BN112" s="245">
        <f t="shared" si="30"/>
        <v>35</v>
      </c>
      <c r="BO112" s="245">
        <f t="shared" ref="BO112:DQ112" si="31">BO25+BO31+BO62+BO46</f>
        <v>34</v>
      </c>
      <c r="BP112" s="245">
        <f t="shared" si="31"/>
        <v>33</v>
      </c>
      <c r="BQ112" s="245">
        <f t="shared" si="31"/>
        <v>33</v>
      </c>
      <c r="BR112" s="245">
        <f t="shared" si="31"/>
        <v>32</v>
      </c>
      <c r="BS112" s="245">
        <f t="shared" si="31"/>
        <v>32</v>
      </c>
      <c r="BT112" s="245">
        <f t="shared" si="31"/>
        <v>32</v>
      </c>
      <c r="BU112" s="224">
        <f t="shared" si="31"/>
        <v>231</v>
      </c>
      <c r="BV112" s="229">
        <f t="shared" si="31"/>
        <v>41</v>
      </c>
      <c r="BW112" s="229">
        <f t="shared" si="31"/>
        <v>40</v>
      </c>
      <c r="BX112" s="229">
        <f t="shared" si="31"/>
        <v>40</v>
      </c>
      <c r="BY112" s="229">
        <f t="shared" si="31"/>
        <v>39</v>
      </c>
      <c r="BZ112" s="229">
        <f t="shared" si="31"/>
        <v>37</v>
      </c>
      <c r="CA112" s="229">
        <f t="shared" si="31"/>
        <v>37</v>
      </c>
      <c r="CB112" s="229">
        <f t="shared" si="31"/>
        <v>37</v>
      </c>
      <c r="CC112" s="225">
        <f t="shared" si="31"/>
        <v>271</v>
      </c>
      <c r="CD112" s="245">
        <f t="shared" si="31"/>
        <v>46</v>
      </c>
      <c r="CE112" s="245">
        <f t="shared" si="31"/>
        <v>45</v>
      </c>
      <c r="CF112" s="245">
        <f t="shared" si="31"/>
        <v>45</v>
      </c>
      <c r="CG112" s="245">
        <f t="shared" si="31"/>
        <v>44</v>
      </c>
      <c r="CH112" s="245">
        <f t="shared" si="31"/>
        <v>42</v>
      </c>
      <c r="CI112" s="245">
        <f t="shared" si="31"/>
        <v>42</v>
      </c>
      <c r="CJ112" s="245">
        <f t="shared" si="31"/>
        <v>42</v>
      </c>
      <c r="CK112" s="224">
        <f t="shared" si="31"/>
        <v>306</v>
      </c>
      <c r="CL112" s="229">
        <f t="shared" si="31"/>
        <v>49</v>
      </c>
      <c r="CM112" s="229">
        <f t="shared" si="31"/>
        <v>48</v>
      </c>
      <c r="CN112" s="229">
        <f t="shared" si="31"/>
        <v>48</v>
      </c>
      <c r="CO112" s="229">
        <f t="shared" si="31"/>
        <v>46</v>
      </c>
      <c r="CP112" s="229">
        <f t="shared" si="31"/>
        <v>45</v>
      </c>
      <c r="CQ112" s="229">
        <f t="shared" si="31"/>
        <v>45</v>
      </c>
      <c r="CR112" s="229">
        <f t="shared" si="31"/>
        <v>45</v>
      </c>
      <c r="CS112" s="225">
        <f t="shared" si="31"/>
        <v>326</v>
      </c>
      <c r="CT112" s="245">
        <f t="shared" si="31"/>
        <v>52</v>
      </c>
      <c r="CU112" s="245">
        <f t="shared" si="31"/>
        <v>51</v>
      </c>
      <c r="CV112" s="245">
        <f t="shared" si="31"/>
        <v>50</v>
      </c>
      <c r="CW112" s="245">
        <f t="shared" si="31"/>
        <v>49</v>
      </c>
      <c r="CX112" s="245">
        <f t="shared" si="31"/>
        <v>48</v>
      </c>
      <c r="CY112" s="245">
        <f t="shared" si="31"/>
        <v>48</v>
      </c>
      <c r="CZ112" s="245">
        <f t="shared" si="31"/>
        <v>48</v>
      </c>
      <c r="DA112" s="224">
        <f t="shared" si="31"/>
        <v>346</v>
      </c>
      <c r="DB112" s="229">
        <f t="shared" si="31"/>
        <v>55</v>
      </c>
      <c r="DC112" s="229">
        <f t="shared" si="31"/>
        <v>53</v>
      </c>
      <c r="DD112" s="229">
        <f t="shared" si="31"/>
        <v>53</v>
      </c>
      <c r="DE112" s="229">
        <f t="shared" si="31"/>
        <v>52</v>
      </c>
      <c r="DF112" s="229">
        <f t="shared" si="31"/>
        <v>51</v>
      </c>
      <c r="DG112" s="229">
        <f t="shared" si="31"/>
        <v>51</v>
      </c>
      <c r="DH112" s="229">
        <f t="shared" si="31"/>
        <v>51</v>
      </c>
      <c r="DI112" s="225">
        <f t="shared" si="31"/>
        <v>366</v>
      </c>
      <c r="DJ112" s="245">
        <f t="shared" si="31"/>
        <v>57</v>
      </c>
      <c r="DK112" s="245">
        <f t="shared" si="31"/>
        <v>56</v>
      </c>
      <c r="DL112" s="245">
        <f t="shared" si="31"/>
        <v>56</v>
      </c>
      <c r="DM112" s="245">
        <f t="shared" si="31"/>
        <v>55</v>
      </c>
      <c r="DN112" s="245">
        <f t="shared" si="31"/>
        <v>54</v>
      </c>
      <c r="DO112" s="245">
        <f t="shared" si="31"/>
        <v>54</v>
      </c>
      <c r="DP112" s="245">
        <f t="shared" si="31"/>
        <v>54</v>
      </c>
      <c r="DQ112" s="224">
        <f t="shared" si="31"/>
        <v>386</v>
      </c>
      <c r="DR112" s="246"/>
      <c r="DS112" s="247"/>
      <c r="DT112" s="247"/>
      <c r="DU112" s="247"/>
      <c r="DV112" s="247"/>
      <c r="DW112" s="247"/>
      <c r="DX112" s="247"/>
      <c r="DY112" s="248"/>
    </row>
    <row r="113" spans="1:129" x14ac:dyDescent="0.2">
      <c r="A113" s="231" t="s">
        <v>108</v>
      </c>
      <c r="B113" s="245">
        <f>B70+B71+B75+B76+B36</f>
        <v>5</v>
      </c>
      <c r="C113" s="245">
        <f t="shared" ref="C113:BN113" si="32">C70+C71+C75+C76+C36</f>
        <v>5</v>
      </c>
      <c r="D113" s="245">
        <f t="shared" si="32"/>
        <v>4</v>
      </c>
      <c r="E113" s="245">
        <f t="shared" si="32"/>
        <v>3</v>
      </c>
      <c r="F113" s="245">
        <f t="shared" si="32"/>
        <v>2</v>
      </c>
      <c r="G113" s="245">
        <f t="shared" si="32"/>
        <v>1</v>
      </c>
      <c r="H113" s="245">
        <f t="shared" si="32"/>
        <v>0</v>
      </c>
      <c r="I113" s="224">
        <f t="shared" si="32"/>
        <v>20</v>
      </c>
      <c r="J113" s="229">
        <f t="shared" si="32"/>
        <v>5</v>
      </c>
      <c r="K113" s="229">
        <f t="shared" si="32"/>
        <v>5</v>
      </c>
      <c r="L113" s="229">
        <f t="shared" si="32"/>
        <v>4</v>
      </c>
      <c r="M113" s="229">
        <f t="shared" si="32"/>
        <v>3</v>
      </c>
      <c r="N113" s="229">
        <f t="shared" si="32"/>
        <v>1</v>
      </c>
      <c r="O113" s="229">
        <f t="shared" si="32"/>
        <v>1</v>
      </c>
      <c r="P113" s="229">
        <f t="shared" si="32"/>
        <v>0</v>
      </c>
      <c r="Q113" s="225">
        <f t="shared" si="32"/>
        <v>19</v>
      </c>
      <c r="R113" s="245">
        <f t="shared" si="32"/>
        <v>6</v>
      </c>
      <c r="S113" s="245">
        <f t="shared" si="32"/>
        <v>6</v>
      </c>
      <c r="T113" s="245">
        <f t="shared" si="32"/>
        <v>6</v>
      </c>
      <c r="U113" s="245">
        <f t="shared" si="32"/>
        <v>5</v>
      </c>
      <c r="V113" s="245">
        <f t="shared" si="32"/>
        <v>3</v>
      </c>
      <c r="W113" s="245">
        <f t="shared" si="32"/>
        <v>2</v>
      </c>
      <c r="X113" s="245">
        <f t="shared" si="32"/>
        <v>2</v>
      </c>
      <c r="Y113" s="224">
        <f t="shared" si="32"/>
        <v>30</v>
      </c>
      <c r="Z113" s="229">
        <f t="shared" si="32"/>
        <v>8</v>
      </c>
      <c r="AA113" s="229">
        <f t="shared" si="32"/>
        <v>8</v>
      </c>
      <c r="AB113" s="229">
        <f t="shared" si="32"/>
        <v>7</v>
      </c>
      <c r="AC113" s="229">
        <f t="shared" si="32"/>
        <v>7</v>
      </c>
      <c r="AD113" s="229">
        <f t="shared" si="32"/>
        <v>6</v>
      </c>
      <c r="AE113" s="229">
        <f t="shared" si="32"/>
        <v>6</v>
      </c>
      <c r="AF113" s="229">
        <f t="shared" si="32"/>
        <v>5</v>
      </c>
      <c r="AG113" s="225">
        <f t="shared" si="32"/>
        <v>47</v>
      </c>
      <c r="AH113" s="245">
        <f t="shared" si="32"/>
        <v>12</v>
      </c>
      <c r="AI113" s="245">
        <f t="shared" si="32"/>
        <v>12</v>
      </c>
      <c r="AJ113" s="245">
        <f t="shared" si="32"/>
        <v>11</v>
      </c>
      <c r="AK113" s="245">
        <f t="shared" si="32"/>
        <v>11</v>
      </c>
      <c r="AL113" s="245">
        <f t="shared" si="32"/>
        <v>9</v>
      </c>
      <c r="AM113" s="245">
        <f t="shared" si="32"/>
        <v>9</v>
      </c>
      <c r="AN113" s="245">
        <f t="shared" si="32"/>
        <v>7</v>
      </c>
      <c r="AO113" s="224">
        <f t="shared" si="32"/>
        <v>71</v>
      </c>
      <c r="AP113" s="229">
        <f t="shared" si="32"/>
        <v>15</v>
      </c>
      <c r="AQ113" s="229">
        <f t="shared" si="32"/>
        <v>14</v>
      </c>
      <c r="AR113" s="229">
        <f t="shared" si="32"/>
        <v>14</v>
      </c>
      <c r="AS113" s="229">
        <f t="shared" si="32"/>
        <v>14</v>
      </c>
      <c r="AT113" s="229">
        <f t="shared" si="32"/>
        <v>14</v>
      </c>
      <c r="AU113" s="229">
        <f t="shared" si="32"/>
        <v>14</v>
      </c>
      <c r="AV113" s="229">
        <f t="shared" si="32"/>
        <v>10</v>
      </c>
      <c r="AW113" s="225">
        <f t="shared" si="32"/>
        <v>95</v>
      </c>
      <c r="AX113" s="245">
        <f t="shared" si="32"/>
        <v>19</v>
      </c>
      <c r="AY113" s="245">
        <f t="shared" si="32"/>
        <v>19</v>
      </c>
      <c r="AZ113" s="245">
        <f t="shared" si="32"/>
        <v>19</v>
      </c>
      <c r="BA113" s="245">
        <f t="shared" si="32"/>
        <v>18</v>
      </c>
      <c r="BB113" s="245">
        <f t="shared" si="32"/>
        <v>17</v>
      </c>
      <c r="BC113" s="245">
        <f t="shared" si="32"/>
        <v>16</v>
      </c>
      <c r="BD113" s="245">
        <f t="shared" si="32"/>
        <v>15</v>
      </c>
      <c r="BE113" s="224">
        <f t="shared" si="32"/>
        <v>123</v>
      </c>
      <c r="BF113" s="229">
        <f t="shared" si="32"/>
        <v>23</v>
      </c>
      <c r="BG113" s="229">
        <f t="shared" si="32"/>
        <v>22</v>
      </c>
      <c r="BH113" s="229">
        <f t="shared" si="32"/>
        <v>22</v>
      </c>
      <c r="BI113" s="229">
        <f t="shared" si="32"/>
        <v>21</v>
      </c>
      <c r="BJ113" s="229">
        <f t="shared" si="32"/>
        <v>21</v>
      </c>
      <c r="BK113" s="229">
        <f t="shared" si="32"/>
        <v>21</v>
      </c>
      <c r="BL113" s="229">
        <f t="shared" si="32"/>
        <v>21</v>
      </c>
      <c r="BM113" s="225">
        <f t="shared" si="32"/>
        <v>151</v>
      </c>
      <c r="BN113" s="245">
        <f t="shared" si="32"/>
        <v>28</v>
      </c>
      <c r="BO113" s="245">
        <f t="shared" ref="BO113:DQ113" si="33">BO70+BO71+BO75+BO76+BO36</f>
        <v>27</v>
      </c>
      <c r="BP113" s="245">
        <f t="shared" si="33"/>
        <v>25</v>
      </c>
      <c r="BQ113" s="245">
        <f t="shared" si="33"/>
        <v>24</v>
      </c>
      <c r="BR113" s="245">
        <f t="shared" si="33"/>
        <v>24</v>
      </c>
      <c r="BS113" s="245">
        <f t="shared" si="33"/>
        <v>24</v>
      </c>
      <c r="BT113" s="245">
        <f t="shared" si="33"/>
        <v>24</v>
      </c>
      <c r="BU113" s="224">
        <f t="shared" si="33"/>
        <v>176</v>
      </c>
      <c r="BV113" s="229">
        <f t="shared" si="33"/>
        <v>30</v>
      </c>
      <c r="BW113" s="229">
        <f t="shared" si="33"/>
        <v>30</v>
      </c>
      <c r="BX113" s="229">
        <f t="shared" si="33"/>
        <v>30</v>
      </c>
      <c r="BY113" s="229">
        <f t="shared" si="33"/>
        <v>28</v>
      </c>
      <c r="BZ113" s="229">
        <f t="shared" si="33"/>
        <v>28</v>
      </c>
      <c r="CA113" s="229">
        <f t="shared" si="33"/>
        <v>27</v>
      </c>
      <c r="CB113" s="229">
        <f t="shared" si="33"/>
        <v>26</v>
      </c>
      <c r="CC113" s="225">
        <f t="shared" si="33"/>
        <v>199</v>
      </c>
      <c r="CD113" s="245">
        <f t="shared" si="33"/>
        <v>33</v>
      </c>
      <c r="CE113" s="245">
        <f t="shared" si="33"/>
        <v>33</v>
      </c>
      <c r="CF113" s="245">
        <f t="shared" si="33"/>
        <v>33</v>
      </c>
      <c r="CG113" s="245">
        <f t="shared" si="33"/>
        <v>32</v>
      </c>
      <c r="CH113" s="245">
        <f t="shared" si="33"/>
        <v>31</v>
      </c>
      <c r="CI113" s="245">
        <f t="shared" si="33"/>
        <v>29</v>
      </c>
      <c r="CJ113" s="245">
        <f t="shared" si="33"/>
        <v>28</v>
      </c>
      <c r="CK113" s="224">
        <f t="shared" si="33"/>
        <v>219</v>
      </c>
      <c r="CL113" s="229">
        <f t="shared" si="33"/>
        <v>35</v>
      </c>
      <c r="CM113" s="229">
        <f t="shared" si="33"/>
        <v>33</v>
      </c>
      <c r="CN113" s="229">
        <f t="shared" si="33"/>
        <v>33</v>
      </c>
      <c r="CO113" s="229">
        <f t="shared" si="33"/>
        <v>33</v>
      </c>
      <c r="CP113" s="229">
        <f t="shared" si="33"/>
        <v>32</v>
      </c>
      <c r="CQ113" s="229">
        <f t="shared" si="33"/>
        <v>32</v>
      </c>
      <c r="CR113" s="229">
        <f t="shared" si="33"/>
        <v>30</v>
      </c>
      <c r="CS113" s="225">
        <f t="shared" si="33"/>
        <v>228</v>
      </c>
      <c r="CT113" s="245">
        <f t="shared" si="33"/>
        <v>36</v>
      </c>
      <c r="CU113" s="245">
        <f t="shared" si="33"/>
        <v>35</v>
      </c>
      <c r="CV113" s="245">
        <f t="shared" si="33"/>
        <v>35</v>
      </c>
      <c r="CW113" s="245">
        <f t="shared" si="33"/>
        <v>35</v>
      </c>
      <c r="CX113" s="245">
        <f t="shared" si="33"/>
        <v>33</v>
      </c>
      <c r="CY113" s="245">
        <f t="shared" si="33"/>
        <v>32</v>
      </c>
      <c r="CZ113" s="245">
        <f t="shared" si="33"/>
        <v>31</v>
      </c>
      <c r="DA113" s="224">
        <f t="shared" si="33"/>
        <v>237</v>
      </c>
      <c r="DB113" s="229">
        <f t="shared" si="33"/>
        <v>37</v>
      </c>
      <c r="DC113" s="229">
        <f t="shared" si="33"/>
        <v>36</v>
      </c>
      <c r="DD113" s="229">
        <f t="shared" si="33"/>
        <v>36</v>
      </c>
      <c r="DE113" s="229">
        <f t="shared" si="33"/>
        <v>36</v>
      </c>
      <c r="DF113" s="229">
        <f t="shared" si="33"/>
        <v>35</v>
      </c>
      <c r="DG113" s="229">
        <f t="shared" si="33"/>
        <v>34</v>
      </c>
      <c r="DH113" s="229">
        <f t="shared" si="33"/>
        <v>33</v>
      </c>
      <c r="DI113" s="225">
        <f t="shared" si="33"/>
        <v>247</v>
      </c>
      <c r="DJ113" s="245">
        <f t="shared" si="33"/>
        <v>38</v>
      </c>
      <c r="DK113" s="245">
        <f t="shared" si="33"/>
        <v>38</v>
      </c>
      <c r="DL113" s="245">
        <f t="shared" si="33"/>
        <v>38</v>
      </c>
      <c r="DM113" s="245">
        <f t="shared" si="33"/>
        <v>37</v>
      </c>
      <c r="DN113" s="245">
        <f t="shared" si="33"/>
        <v>37</v>
      </c>
      <c r="DO113" s="245">
        <f t="shared" si="33"/>
        <v>35</v>
      </c>
      <c r="DP113" s="245">
        <f t="shared" si="33"/>
        <v>34</v>
      </c>
      <c r="DQ113" s="224">
        <f t="shared" si="33"/>
        <v>257</v>
      </c>
      <c r="DR113" s="246"/>
      <c r="DS113" s="247"/>
      <c r="DT113" s="247"/>
      <c r="DU113" s="247"/>
      <c r="DV113" s="247"/>
      <c r="DW113" s="247"/>
      <c r="DX113" s="247"/>
      <c r="DY113" s="248"/>
    </row>
    <row r="114" spans="1:129" x14ac:dyDescent="0.2">
      <c r="A114" s="231" t="s">
        <v>109</v>
      </c>
      <c r="B114" s="245">
        <f>B77+B78+B81+B43</f>
        <v>3</v>
      </c>
      <c r="C114" s="245">
        <f t="shared" ref="C114:BN114" si="34">C77+C78+C81+C43</f>
        <v>2</v>
      </c>
      <c r="D114" s="245">
        <f t="shared" si="34"/>
        <v>0</v>
      </c>
      <c r="E114" s="245">
        <f t="shared" si="34"/>
        <v>0</v>
      </c>
      <c r="F114" s="245">
        <f t="shared" si="34"/>
        <v>0</v>
      </c>
      <c r="G114" s="245">
        <f t="shared" si="34"/>
        <v>0</v>
      </c>
      <c r="H114" s="245">
        <f t="shared" si="34"/>
        <v>0</v>
      </c>
      <c r="I114" s="224">
        <f t="shared" si="34"/>
        <v>5</v>
      </c>
      <c r="J114" s="229">
        <f t="shared" si="34"/>
        <v>3</v>
      </c>
      <c r="K114" s="229">
        <f t="shared" si="34"/>
        <v>1</v>
      </c>
      <c r="L114" s="229">
        <f t="shared" si="34"/>
        <v>1</v>
      </c>
      <c r="M114" s="229">
        <f t="shared" si="34"/>
        <v>0</v>
      </c>
      <c r="N114" s="229">
        <f t="shared" si="34"/>
        <v>0</v>
      </c>
      <c r="O114" s="229">
        <f t="shared" si="34"/>
        <v>0</v>
      </c>
      <c r="P114" s="229">
        <f t="shared" si="34"/>
        <v>0</v>
      </c>
      <c r="Q114" s="225">
        <f t="shared" si="34"/>
        <v>5</v>
      </c>
      <c r="R114" s="245">
        <f t="shared" si="34"/>
        <v>3</v>
      </c>
      <c r="S114" s="245">
        <f t="shared" si="34"/>
        <v>3</v>
      </c>
      <c r="T114" s="245">
        <f t="shared" si="34"/>
        <v>2</v>
      </c>
      <c r="U114" s="245">
        <f t="shared" si="34"/>
        <v>2</v>
      </c>
      <c r="V114" s="245">
        <f t="shared" si="34"/>
        <v>1</v>
      </c>
      <c r="W114" s="245">
        <f t="shared" si="34"/>
        <v>0</v>
      </c>
      <c r="X114" s="245">
        <f t="shared" si="34"/>
        <v>0</v>
      </c>
      <c r="Y114" s="224">
        <f t="shared" si="34"/>
        <v>11</v>
      </c>
      <c r="Z114" s="229">
        <f t="shared" si="34"/>
        <v>4</v>
      </c>
      <c r="AA114" s="229">
        <f t="shared" si="34"/>
        <v>4</v>
      </c>
      <c r="AB114" s="229">
        <f t="shared" si="34"/>
        <v>3</v>
      </c>
      <c r="AC114" s="229">
        <f t="shared" si="34"/>
        <v>3</v>
      </c>
      <c r="AD114" s="229">
        <f t="shared" si="34"/>
        <v>2</v>
      </c>
      <c r="AE114" s="229">
        <f t="shared" si="34"/>
        <v>2</v>
      </c>
      <c r="AF114" s="229">
        <f t="shared" si="34"/>
        <v>2</v>
      </c>
      <c r="AG114" s="225">
        <f t="shared" si="34"/>
        <v>20</v>
      </c>
      <c r="AH114" s="245">
        <f t="shared" si="34"/>
        <v>5</v>
      </c>
      <c r="AI114" s="245">
        <f t="shared" si="34"/>
        <v>5</v>
      </c>
      <c r="AJ114" s="245">
        <f t="shared" si="34"/>
        <v>4</v>
      </c>
      <c r="AK114" s="245">
        <f t="shared" si="34"/>
        <v>4</v>
      </c>
      <c r="AL114" s="245">
        <f t="shared" si="34"/>
        <v>2</v>
      </c>
      <c r="AM114" s="245">
        <f t="shared" si="34"/>
        <v>2</v>
      </c>
      <c r="AN114" s="245">
        <f t="shared" si="34"/>
        <v>2</v>
      </c>
      <c r="AO114" s="224">
        <f t="shared" si="34"/>
        <v>24</v>
      </c>
      <c r="AP114" s="229">
        <f t="shared" si="34"/>
        <v>5</v>
      </c>
      <c r="AQ114" s="229">
        <f t="shared" si="34"/>
        <v>5</v>
      </c>
      <c r="AR114" s="229">
        <f t="shared" si="34"/>
        <v>5</v>
      </c>
      <c r="AS114" s="229">
        <f t="shared" si="34"/>
        <v>5</v>
      </c>
      <c r="AT114" s="229">
        <f t="shared" si="34"/>
        <v>3</v>
      </c>
      <c r="AU114" s="229">
        <f t="shared" si="34"/>
        <v>2</v>
      </c>
      <c r="AV114" s="229">
        <f t="shared" si="34"/>
        <v>2</v>
      </c>
      <c r="AW114" s="225">
        <f t="shared" si="34"/>
        <v>27</v>
      </c>
      <c r="AX114" s="245">
        <f t="shared" si="34"/>
        <v>8</v>
      </c>
      <c r="AY114" s="245">
        <f t="shared" si="34"/>
        <v>6</v>
      </c>
      <c r="AZ114" s="245">
        <f t="shared" si="34"/>
        <v>5</v>
      </c>
      <c r="BA114" s="245">
        <f t="shared" si="34"/>
        <v>5</v>
      </c>
      <c r="BB114" s="245">
        <f t="shared" si="34"/>
        <v>5</v>
      </c>
      <c r="BC114" s="245">
        <f t="shared" si="34"/>
        <v>5</v>
      </c>
      <c r="BD114" s="245">
        <f t="shared" si="34"/>
        <v>5</v>
      </c>
      <c r="BE114" s="224">
        <f t="shared" si="34"/>
        <v>39</v>
      </c>
      <c r="BF114" s="229">
        <f t="shared" si="34"/>
        <v>9</v>
      </c>
      <c r="BG114" s="229">
        <f t="shared" si="34"/>
        <v>7</v>
      </c>
      <c r="BH114" s="229">
        <f t="shared" si="34"/>
        <v>7</v>
      </c>
      <c r="BI114" s="229">
        <f t="shared" si="34"/>
        <v>7</v>
      </c>
      <c r="BJ114" s="229">
        <f t="shared" si="34"/>
        <v>6</v>
      </c>
      <c r="BK114" s="229">
        <f t="shared" si="34"/>
        <v>6</v>
      </c>
      <c r="BL114" s="229">
        <f t="shared" si="34"/>
        <v>6</v>
      </c>
      <c r="BM114" s="225">
        <f t="shared" si="34"/>
        <v>48</v>
      </c>
      <c r="BN114" s="245">
        <f t="shared" si="34"/>
        <v>10</v>
      </c>
      <c r="BO114" s="245">
        <f t="shared" ref="BO114:DQ114" si="35">BO77+BO78+BO81+BO43</f>
        <v>8</v>
      </c>
      <c r="BP114" s="245">
        <f t="shared" si="35"/>
        <v>8</v>
      </c>
      <c r="BQ114" s="245">
        <f t="shared" si="35"/>
        <v>8</v>
      </c>
      <c r="BR114" s="245">
        <f t="shared" si="35"/>
        <v>8</v>
      </c>
      <c r="BS114" s="245">
        <f t="shared" si="35"/>
        <v>7</v>
      </c>
      <c r="BT114" s="245">
        <f t="shared" si="35"/>
        <v>7</v>
      </c>
      <c r="BU114" s="224">
        <f t="shared" si="35"/>
        <v>56</v>
      </c>
      <c r="BV114" s="229">
        <f t="shared" si="35"/>
        <v>11</v>
      </c>
      <c r="BW114" s="229">
        <f t="shared" si="35"/>
        <v>10</v>
      </c>
      <c r="BX114" s="229">
        <f t="shared" si="35"/>
        <v>9</v>
      </c>
      <c r="BY114" s="229">
        <f t="shared" si="35"/>
        <v>9</v>
      </c>
      <c r="BZ114" s="229">
        <f t="shared" si="35"/>
        <v>9</v>
      </c>
      <c r="CA114" s="229">
        <f t="shared" si="35"/>
        <v>8</v>
      </c>
      <c r="CB114" s="229">
        <f t="shared" si="35"/>
        <v>8</v>
      </c>
      <c r="CC114" s="225">
        <f t="shared" si="35"/>
        <v>64</v>
      </c>
      <c r="CD114" s="245">
        <f t="shared" si="35"/>
        <v>13</v>
      </c>
      <c r="CE114" s="245">
        <f t="shared" si="35"/>
        <v>12</v>
      </c>
      <c r="CF114" s="245">
        <f t="shared" si="35"/>
        <v>11</v>
      </c>
      <c r="CG114" s="245">
        <f t="shared" si="35"/>
        <v>10</v>
      </c>
      <c r="CH114" s="245">
        <f t="shared" si="35"/>
        <v>10</v>
      </c>
      <c r="CI114" s="245">
        <f t="shared" si="35"/>
        <v>9</v>
      </c>
      <c r="CJ114" s="245">
        <f t="shared" si="35"/>
        <v>9</v>
      </c>
      <c r="CK114" s="224">
        <f t="shared" si="35"/>
        <v>74</v>
      </c>
      <c r="CL114" s="229">
        <f t="shared" si="35"/>
        <v>13</v>
      </c>
      <c r="CM114" s="229">
        <f t="shared" si="35"/>
        <v>12</v>
      </c>
      <c r="CN114" s="229">
        <f t="shared" si="35"/>
        <v>11</v>
      </c>
      <c r="CO114" s="229">
        <f t="shared" si="35"/>
        <v>10</v>
      </c>
      <c r="CP114" s="229">
        <f t="shared" si="35"/>
        <v>10</v>
      </c>
      <c r="CQ114" s="229">
        <f t="shared" si="35"/>
        <v>10</v>
      </c>
      <c r="CR114" s="229">
        <f t="shared" si="35"/>
        <v>10</v>
      </c>
      <c r="CS114" s="225">
        <f t="shared" si="35"/>
        <v>76</v>
      </c>
      <c r="CT114" s="245">
        <f t="shared" si="35"/>
        <v>14</v>
      </c>
      <c r="CU114" s="245">
        <f t="shared" si="35"/>
        <v>13</v>
      </c>
      <c r="CV114" s="245">
        <f t="shared" si="35"/>
        <v>12</v>
      </c>
      <c r="CW114" s="245">
        <f t="shared" si="35"/>
        <v>10</v>
      </c>
      <c r="CX114" s="245">
        <f t="shared" si="35"/>
        <v>10</v>
      </c>
      <c r="CY114" s="245">
        <f t="shared" si="35"/>
        <v>10</v>
      </c>
      <c r="CZ114" s="245">
        <f t="shared" si="35"/>
        <v>10</v>
      </c>
      <c r="DA114" s="224">
        <f t="shared" si="35"/>
        <v>79</v>
      </c>
      <c r="DB114" s="229">
        <f t="shared" si="35"/>
        <v>14</v>
      </c>
      <c r="DC114" s="229">
        <f t="shared" si="35"/>
        <v>13</v>
      </c>
      <c r="DD114" s="229">
        <f t="shared" si="35"/>
        <v>13</v>
      </c>
      <c r="DE114" s="229">
        <f t="shared" si="35"/>
        <v>11</v>
      </c>
      <c r="DF114" s="229">
        <f t="shared" si="35"/>
        <v>10</v>
      </c>
      <c r="DG114" s="229">
        <f t="shared" si="35"/>
        <v>10</v>
      </c>
      <c r="DH114" s="229">
        <f t="shared" si="35"/>
        <v>10</v>
      </c>
      <c r="DI114" s="225">
        <f t="shared" si="35"/>
        <v>81</v>
      </c>
      <c r="DJ114" s="245">
        <f t="shared" si="35"/>
        <v>14</v>
      </c>
      <c r="DK114" s="245">
        <f t="shared" si="35"/>
        <v>13</v>
      </c>
      <c r="DL114" s="245">
        <f t="shared" si="35"/>
        <v>13</v>
      </c>
      <c r="DM114" s="245">
        <f t="shared" si="35"/>
        <v>12</v>
      </c>
      <c r="DN114" s="245">
        <f t="shared" si="35"/>
        <v>11</v>
      </c>
      <c r="DO114" s="245">
        <f t="shared" si="35"/>
        <v>11</v>
      </c>
      <c r="DP114" s="245">
        <f t="shared" si="35"/>
        <v>10</v>
      </c>
      <c r="DQ114" s="224">
        <f t="shared" si="35"/>
        <v>84</v>
      </c>
      <c r="DR114" s="246"/>
      <c r="DS114" s="247"/>
      <c r="DT114" s="247"/>
      <c r="DU114" s="247"/>
      <c r="DV114" s="247"/>
      <c r="DW114" s="247"/>
      <c r="DX114" s="247"/>
      <c r="DY114" s="248"/>
    </row>
    <row r="115" spans="1:129" x14ac:dyDescent="0.2">
      <c r="A115" s="231" t="s">
        <v>110</v>
      </c>
      <c r="B115" s="245">
        <f>B5+B15+B23+B27</f>
        <v>1</v>
      </c>
      <c r="C115" s="245">
        <f t="shared" ref="C115:BN115" si="36">C5+C15+C23+C27</f>
        <v>1</v>
      </c>
      <c r="D115" s="245">
        <f t="shared" si="36"/>
        <v>1</v>
      </c>
      <c r="E115" s="245">
        <f t="shared" si="36"/>
        <v>0</v>
      </c>
      <c r="F115" s="245">
        <f t="shared" si="36"/>
        <v>0</v>
      </c>
      <c r="G115" s="245">
        <f t="shared" si="36"/>
        <v>0</v>
      </c>
      <c r="H115" s="245">
        <f t="shared" si="36"/>
        <v>0</v>
      </c>
      <c r="I115" s="224">
        <f t="shared" si="36"/>
        <v>3</v>
      </c>
      <c r="J115" s="229">
        <f t="shared" si="36"/>
        <v>1</v>
      </c>
      <c r="K115" s="229">
        <f t="shared" si="36"/>
        <v>1</v>
      </c>
      <c r="L115" s="229">
        <f t="shared" si="36"/>
        <v>1</v>
      </c>
      <c r="M115" s="229">
        <f t="shared" si="36"/>
        <v>0</v>
      </c>
      <c r="N115" s="229">
        <f t="shared" si="36"/>
        <v>0</v>
      </c>
      <c r="O115" s="229">
        <f t="shared" si="36"/>
        <v>0</v>
      </c>
      <c r="P115" s="229">
        <f t="shared" si="36"/>
        <v>0</v>
      </c>
      <c r="Q115" s="225">
        <f t="shared" si="36"/>
        <v>3</v>
      </c>
      <c r="R115" s="245">
        <f t="shared" si="36"/>
        <v>1</v>
      </c>
      <c r="S115" s="245">
        <f t="shared" si="36"/>
        <v>1</v>
      </c>
      <c r="T115" s="245">
        <f t="shared" si="36"/>
        <v>1</v>
      </c>
      <c r="U115" s="245">
        <f t="shared" si="36"/>
        <v>0</v>
      </c>
      <c r="V115" s="245">
        <f t="shared" si="36"/>
        <v>0</v>
      </c>
      <c r="W115" s="245">
        <f t="shared" si="36"/>
        <v>0</v>
      </c>
      <c r="X115" s="245">
        <f t="shared" si="36"/>
        <v>0</v>
      </c>
      <c r="Y115" s="224">
        <f t="shared" si="36"/>
        <v>3</v>
      </c>
      <c r="Z115" s="229">
        <f t="shared" si="36"/>
        <v>2</v>
      </c>
      <c r="AA115" s="229">
        <f t="shared" si="36"/>
        <v>2</v>
      </c>
      <c r="AB115" s="229">
        <f t="shared" si="36"/>
        <v>2</v>
      </c>
      <c r="AC115" s="229">
        <f t="shared" si="36"/>
        <v>1</v>
      </c>
      <c r="AD115" s="229">
        <f t="shared" si="36"/>
        <v>0</v>
      </c>
      <c r="AE115" s="229">
        <f t="shared" si="36"/>
        <v>0</v>
      </c>
      <c r="AF115" s="229">
        <f t="shared" si="36"/>
        <v>0</v>
      </c>
      <c r="AG115" s="225">
        <f t="shared" si="36"/>
        <v>7</v>
      </c>
      <c r="AH115" s="245">
        <f t="shared" si="36"/>
        <v>3</v>
      </c>
      <c r="AI115" s="245">
        <f t="shared" si="36"/>
        <v>3</v>
      </c>
      <c r="AJ115" s="245">
        <f t="shared" si="36"/>
        <v>3</v>
      </c>
      <c r="AK115" s="245">
        <f t="shared" si="36"/>
        <v>2</v>
      </c>
      <c r="AL115" s="245">
        <f t="shared" si="36"/>
        <v>1</v>
      </c>
      <c r="AM115" s="245">
        <f t="shared" si="36"/>
        <v>1</v>
      </c>
      <c r="AN115" s="245">
        <f t="shared" si="36"/>
        <v>1</v>
      </c>
      <c r="AO115" s="224">
        <f t="shared" si="36"/>
        <v>14</v>
      </c>
      <c r="AP115" s="229">
        <f t="shared" si="36"/>
        <v>5</v>
      </c>
      <c r="AQ115" s="229">
        <f t="shared" si="36"/>
        <v>5</v>
      </c>
      <c r="AR115" s="229">
        <f t="shared" si="36"/>
        <v>5</v>
      </c>
      <c r="AS115" s="229">
        <f t="shared" si="36"/>
        <v>4</v>
      </c>
      <c r="AT115" s="229">
        <f t="shared" si="36"/>
        <v>3</v>
      </c>
      <c r="AU115" s="229">
        <f t="shared" si="36"/>
        <v>3</v>
      </c>
      <c r="AV115" s="229">
        <f t="shared" si="36"/>
        <v>3</v>
      </c>
      <c r="AW115" s="225">
        <f t="shared" si="36"/>
        <v>28</v>
      </c>
      <c r="AX115" s="245">
        <f t="shared" si="36"/>
        <v>7</v>
      </c>
      <c r="AY115" s="245">
        <f t="shared" si="36"/>
        <v>7</v>
      </c>
      <c r="AZ115" s="245">
        <f t="shared" si="36"/>
        <v>7</v>
      </c>
      <c r="BA115" s="245">
        <f t="shared" si="36"/>
        <v>6</v>
      </c>
      <c r="BB115" s="245">
        <f t="shared" si="36"/>
        <v>5</v>
      </c>
      <c r="BC115" s="245">
        <f t="shared" si="36"/>
        <v>5</v>
      </c>
      <c r="BD115" s="245">
        <f t="shared" si="36"/>
        <v>5</v>
      </c>
      <c r="BE115" s="224">
        <f t="shared" si="36"/>
        <v>42</v>
      </c>
      <c r="BF115" s="229">
        <f t="shared" si="36"/>
        <v>9</v>
      </c>
      <c r="BG115" s="229">
        <f t="shared" si="36"/>
        <v>9</v>
      </c>
      <c r="BH115" s="229">
        <f t="shared" si="36"/>
        <v>9</v>
      </c>
      <c r="BI115" s="229">
        <f t="shared" si="36"/>
        <v>8</v>
      </c>
      <c r="BJ115" s="229">
        <f t="shared" si="36"/>
        <v>7</v>
      </c>
      <c r="BK115" s="229">
        <f t="shared" si="36"/>
        <v>7</v>
      </c>
      <c r="BL115" s="229">
        <f t="shared" si="36"/>
        <v>7</v>
      </c>
      <c r="BM115" s="225">
        <f t="shared" si="36"/>
        <v>56</v>
      </c>
      <c r="BN115" s="245">
        <f t="shared" si="36"/>
        <v>11</v>
      </c>
      <c r="BO115" s="245">
        <f t="shared" ref="BO115:DQ115" si="37">BO5+BO15+BO23+BO27</f>
        <v>11</v>
      </c>
      <c r="BP115" s="245">
        <f t="shared" si="37"/>
        <v>11</v>
      </c>
      <c r="BQ115" s="245">
        <f t="shared" si="37"/>
        <v>10</v>
      </c>
      <c r="BR115" s="245">
        <f t="shared" si="37"/>
        <v>9</v>
      </c>
      <c r="BS115" s="245">
        <f t="shared" si="37"/>
        <v>9</v>
      </c>
      <c r="BT115" s="245">
        <f t="shared" si="37"/>
        <v>9</v>
      </c>
      <c r="BU115" s="224">
        <f t="shared" si="37"/>
        <v>70</v>
      </c>
      <c r="BV115" s="229">
        <f t="shared" si="37"/>
        <v>13</v>
      </c>
      <c r="BW115" s="229">
        <f t="shared" si="37"/>
        <v>13</v>
      </c>
      <c r="BX115" s="229">
        <f t="shared" si="37"/>
        <v>13</v>
      </c>
      <c r="BY115" s="229">
        <f t="shared" si="37"/>
        <v>12</v>
      </c>
      <c r="BZ115" s="229">
        <f t="shared" si="37"/>
        <v>11</v>
      </c>
      <c r="CA115" s="229">
        <f t="shared" si="37"/>
        <v>11</v>
      </c>
      <c r="CB115" s="229">
        <f t="shared" si="37"/>
        <v>11</v>
      </c>
      <c r="CC115" s="225">
        <f t="shared" si="37"/>
        <v>84</v>
      </c>
      <c r="CD115" s="245">
        <f t="shared" si="37"/>
        <v>15</v>
      </c>
      <c r="CE115" s="245">
        <f t="shared" si="37"/>
        <v>14</v>
      </c>
      <c r="CF115" s="245">
        <f t="shared" si="37"/>
        <v>14</v>
      </c>
      <c r="CG115" s="245">
        <f t="shared" si="37"/>
        <v>13</v>
      </c>
      <c r="CH115" s="245">
        <f t="shared" si="37"/>
        <v>13</v>
      </c>
      <c r="CI115" s="245">
        <f t="shared" si="37"/>
        <v>13</v>
      </c>
      <c r="CJ115" s="245">
        <f t="shared" si="37"/>
        <v>13</v>
      </c>
      <c r="CK115" s="224">
        <f t="shared" si="37"/>
        <v>95</v>
      </c>
      <c r="CL115" s="229">
        <f t="shared" si="37"/>
        <v>15</v>
      </c>
      <c r="CM115" s="229">
        <f t="shared" si="37"/>
        <v>14</v>
      </c>
      <c r="CN115" s="229">
        <f t="shared" si="37"/>
        <v>14</v>
      </c>
      <c r="CO115" s="229">
        <f t="shared" si="37"/>
        <v>13</v>
      </c>
      <c r="CP115" s="229">
        <f t="shared" si="37"/>
        <v>13</v>
      </c>
      <c r="CQ115" s="229">
        <f t="shared" si="37"/>
        <v>13</v>
      </c>
      <c r="CR115" s="229">
        <f t="shared" si="37"/>
        <v>13</v>
      </c>
      <c r="CS115" s="225">
        <f t="shared" si="37"/>
        <v>95</v>
      </c>
      <c r="CT115" s="245">
        <f t="shared" si="37"/>
        <v>14</v>
      </c>
      <c r="CU115" s="245">
        <f t="shared" si="37"/>
        <v>13</v>
      </c>
      <c r="CV115" s="245">
        <f t="shared" si="37"/>
        <v>13</v>
      </c>
      <c r="CW115" s="245">
        <f t="shared" si="37"/>
        <v>13</v>
      </c>
      <c r="CX115" s="245">
        <f t="shared" si="37"/>
        <v>13</v>
      </c>
      <c r="CY115" s="245">
        <f t="shared" si="37"/>
        <v>13</v>
      </c>
      <c r="CZ115" s="245">
        <f t="shared" si="37"/>
        <v>13</v>
      </c>
      <c r="DA115" s="224">
        <f t="shared" si="37"/>
        <v>92</v>
      </c>
      <c r="DB115" s="229">
        <f t="shared" si="37"/>
        <v>14</v>
      </c>
      <c r="DC115" s="229">
        <f t="shared" si="37"/>
        <v>13</v>
      </c>
      <c r="DD115" s="229">
        <f t="shared" si="37"/>
        <v>13</v>
      </c>
      <c r="DE115" s="229">
        <f t="shared" si="37"/>
        <v>13</v>
      </c>
      <c r="DF115" s="229">
        <f t="shared" si="37"/>
        <v>13</v>
      </c>
      <c r="DG115" s="229">
        <f t="shared" si="37"/>
        <v>13</v>
      </c>
      <c r="DH115" s="229">
        <f t="shared" si="37"/>
        <v>13</v>
      </c>
      <c r="DI115" s="225">
        <f t="shared" si="37"/>
        <v>92</v>
      </c>
      <c r="DJ115" s="245">
        <f t="shared" si="37"/>
        <v>14</v>
      </c>
      <c r="DK115" s="245">
        <f t="shared" si="37"/>
        <v>13</v>
      </c>
      <c r="DL115" s="245">
        <f t="shared" si="37"/>
        <v>13</v>
      </c>
      <c r="DM115" s="245">
        <f t="shared" si="37"/>
        <v>13</v>
      </c>
      <c r="DN115" s="245">
        <f t="shared" si="37"/>
        <v>13</v>
      </c>
      <c r="DO115" s="245">
        <f t="shared" si="37"/>
        <v>13</v>
      </c>
      <c r="DP115" s="245">
        <f t="shared" si="37"/>
        <v>13</v>
      </c>
      <c r="DQ115" s="224">
        <f t="shared" si="37"/>
        <v>92</v>
      </c>
      <c r="DR115" s="246"/>
      <c r="DS115" s="247"/>
      <c r="DT115" s="247"/>
      <c r="DU115" s="247"/>
      <c r="DV115" s="247"/>
      <c r="DW115" s="247"/>
      <c r="DX115" s="247"/>
      <c r="DY115" s="248"/>
    </row>
    <row r="116" spans="1:129" x14ac:dyDescent="0.2">
      <c r="A116" s="231" t="s">
        <v>111</v>
      </c>
      <c r="B116" s="245">
        <f>B87+B88+B89</f>
        <v>2</v>
      </c>
      <c r="C116" s="245">
        <f t="shared" ref="C116:BN116" si="38">C87+C88+C89</f>
        <v>2</v>
      </c>
      <c r="D116" s="245">
        <f t="shared" si="38"/>
        <v>2</v>
      </c>
      <c r="E116" s="245">
        <f t="shared" si="38"/>
        <v>1</v>
      </c>
      <c r="F116" s="245">
        <f t="shared" si="38"/>
        <v>0</v>
      </c>
      <c r="G116" s="245">
        <f t="shared" si="38"/>
        <v>0</v>
      </c>
      <c r="H116" s="245">
        <f t="shared" si="38"/>
        <v>0</v>
      </c>
      <c r="I116" s="224">
        <f t="shared" si="38"/>
        <v>7</v>
      </c>
      <c r="J116" s="229">
        <f t="shared" si="38"/>
        <v>3</v>
      </c>
      <c r="K116" s="229">
        <f t="shared" si="38"/>
        <v>2</v>
      </c>
      <c r="L116" s="229">
        <f t="shared" si="38"/>
        <v>1</v>
      </c>
      <c r="M116" s="229">
        <f t="shared" si="38"/>
        <v>0</v>
      </c>
      <c r="N116" s="229">
        <f t="shared" si="38"/>
        <v>0</v>
      </c>
      <c r="O116" s="229">
        <f t="shared" si="38"/>
        <v>0</v>
      </c>
      <c r="P116" s="229">
        <f t="shared" si="38"/>
        <v>0</v>
      </c>
      <c r="Q116" s="225">
        <f t="shared" si="38"/>
        <v>6</v>
      </c>
      <c r="R116" s="245">
        <f t="shared" si="38"/>
        <v>4</v>
      </c>
      <c r="S116" s="245">
        <f t="shared" si="38"/>
        <v>3</v>
      </c>
      <c r="T116" s="245">
        <f t="shared" si="38"/>
        <v>2</v>
      </c>
      <c r="U116" s="245">
        <f t="shared" si="38"/>
        <v>2</v>
      </c>
      <c r="V116" s="245">
        <f t="shared" si="38"/>
        <v>2</v>
      </c>
      <c r="W116" s="245">
        <f t="shared" si="38"/>
        <v>1</v>
      </c>
      <c r="X116" s="245">
        <f t="shared" si="38"/>
        <v>1</v>
      </c>
      <c r="Y116" s="224">
        <f t="shared" si="38"/>
        <v>15</v>
      </c>
      <c r="Z116" s="229">
        <f t="shared" si="38"/>
        <v>6</v>
      </c>
      <c r="AA116" s="229">
        <f t="shared" si="38"/>
        <v>5</v>
      </c>
      <c r="AB116" s="229">
        <f t="shared" si="38"/>
        <v>3</v>
      </c>
      <c r="AC116" s="229">
        <f t="shared" si="38"/>
        <v>3</v>
      </c>
      <c r="AD116" s="229">
        <f t="shared" si="38"/>
        <v>3</v>
      </c>
      <c r="AE116" s="229">
        <f t="shared" si="38"/>
        <v>3</v>
      </c>
      <c r="AF116" s="229">
        <f t="shared" si="38"/>
        <v>3</v>
      </c>
      <c r="AG116" s="225">
        <f t="shared" si="38"/>
        <v>26</v>
      </c>
      <c r="AH116" s="245">
        <f t="shared" si="38"/>
        <v>7</v>
      </c>
      <c r="AI116" s="245">
        <f t="shared" si="38"/>
        <v>6</v>
      </c>
      <c r="AJ116" s="245">
        <f t="shared" si="38"/>
        <v>5</v>
      </c>
      <c r="AK116" s="245">
        <f t="shared" si="38"/>
        <v>5</v>
      </c>
      <c r="AL116" s="245">
        <f t="shared" si="38"/>
        <v>5</v>
      </c>
      <c r="AM116" s="245">
        <f t="shared" si="38"/>
        <v>5</v>
      </c>
      <c r="AN116" s="245">
        <f t="shared" si="38"/>
        <v>5</v>
      </c>
      <c r="AO116" s="224">
        <f t="shared" si="38"/>
        <v>38</v>
      </c>
      <c r="AP116" s="229">
        <f t="shared" si="38"/>
        <v>9</v>
      </c>
      <c r="AQ116" s="229">
        <f t="shared" si="38"/>
        <v>8</v>
      </c>
      <c r="AR116" s="229">
        <f t="shared" si="38"/>
        <v>8</v>
      </c>
      <c r="AS116" s="229">
        <f t="shared" si="38"/>
        <v>7</v>
      </c>
      <c r="AT116" s="229">
        <f t="shared" si="38"/>
        <v>7</v>
      </c>
      <c r="AU116" s="229">
        <f t="shared" si="38"/>
        <v>6</v>
      </c>
      <c r="AV116" s="229">
        <f t="shared" si="38"/>
        <v>6</v>
      </c>
      <c r="AW116" s="225">
        <f t="shared" si="38"/>
        <v>51</v>
      </c>
      <c r="AX116" s="245">
        <f t="shared" si="38"/>
        <v>12</v>
      </c>
      <c r="AY116" s="245">
        <f t="shared" si="38"/>
        <v>10</v>
      </c>
      <c r="AZ116" s="245">
        <f t="shared" si="38"/>
        <v>10</v>
      </c>
      <c r="BA116" s="245">
        <f t="shared" si="38"/>
        <v>10</v>
      </c>
      <c r="BB116" s="245">
        <f t="shared" si="38"/>
        <v>10</v>
      </c>
      <c r="BC116" s="245">
        <f t="shared" si="38"/>
        <v>10</v>
      </c>
      <c r="BD116" s="245">
        <f t="shared" si="38"/>
        <v>9</v>
      </c>
      <c r="BE116" s="224">
        <f t="shared" si="38"/>
        <v>71</v>
      </c>
      <c r="BF116" s="229">
        <f t="shared" si="38"/>
        <v>16</v>
      </c>
      <c r="BG116" s="229">
        <f t="shared" si="38"/>
        <v>14</v>
      </c>
      <c r="BH116" s="229">
        <f t="shared" si="38"/>
        <v>14</v>
      </c>
      <c r="BI116" s="229">
        <f t="shared" si="38"/>
        <v>13</v>
      </c>
      <c r="BJ116" s="229">
        <f t="shared" si="38"/>
        <v>13</v>
      </c>
      <c r="BK116" s="229">
        <f t="shared" si="38"/>
        <v>13</v>
      </c>
      <c r="BL116" s="229">
        <f t="shared" si="38"/>
        <v>13</v>
      </c>
      <c r="BM116" s="225">
        <f t="shared" si="38"/>
        <v>96</v>
      </c>
      <c r="BN116" s="245">
        <f t="shared" si="38"/>
        <v>19</v>
      </c>
      <c r="BO116" s="245">
        <f t="shared" ref="BO116:DQ116" si="39">BO87+BO88+BO89</f>
        <v>18</v>
      </c>
      <c r="BP116" s="245">
        <f t="shared" si="39"/>
        <v>18</v>
      </c>
      <c r="BQ116" s="245">
        <f t="shared" si="39"/>
        <v>18</v>
      </c>
      <c r="BR116" s="245">
        <f t="shared" si="39"/>
        <v>18</v>
      </c>
      <c r="BS116" s="245">
        <f t="shared" si="39"/>
        <v>16</v>
      </c>
      <c r="BT116" s="245">
        <f t="shared" si="39"/>
        <v>16</v>
      </c>
      <c r="BU116" s="224">
        <f t="shared" si="39"/>
        <v>123</v>
      </c>
      <c r="BV116" s="229">
        <f t="shared" si="39"/>
        <v>23</v>
      </c>
      <c r="BW116" s="229">
        <f t="shared" si="39"/>
        <v>22</v>
      </c>
      <c r="BX116" s="229">
        <f t="shared" si="39"/>
        <v>21</v>
      </c>
      <c r="BY116" s="229">
        <f t="shared" si="39"/>
        <v>21</v>
      </c>
      <c r="BZ116" s="229">
        <f t="shared" si="39"/>
        <v>21</v>
      </c>
      <c r="CA116" s="229">
        <f t="shared" si="39"/>
        <v>21</v>
      </c>
      <c r="CB116" s="229">
        <f t="shared" si="39"/>
        <v>20</v>
      </c>
      <c r="CC116" s="225">
        <f t="shared" si="39"/>
        <v>149</v>
      </c>
      <c r="CD116" s="245">
        <f t="shared" si="39"/>
        <v>26</v>
      </c>
      <c r="CE116" s="245">
        <f t="shared" si="39"/>
        <v>25</v>
      </c>
      <c r="CF116" s="245">
        <f t="shared" si="39"/>
        <v>25</v>
      </c>
      <c r="CG116" s="245">
        <f t="shared" si="39"/>
        <v>25</v>
      </c>
      <c r="CH116" s="245">
        <f t="shared" si="39"/>
        <v>25</v>
      </c>
      <c r="CI116" s="245">
        <f t="shared" si="39"/>
        <v>25</v>
      </c>
      <c r="CJ116" s="245">
        <f t="shared" si="39"/>
        <v>24</v>
      </c>
      <c r="CK116" s="224">
        <f t="shared" si="39"/>
        <v>175</v>
      </c>
      <c r="CL116" s="229">
        <f t="shared" si="39"/>
        <v>30</v>
      </c>
      <c r="CM116" s="229">
        <f t="shared" si="39"/>
        <v>28</v>
      </c>
      <c r="CN116" s="229">
        <f t="shared" si="39"/>
        <v>28</v>
      </c>
      <c r="CO116" s="229">
        <f t="shared" si="39"/>
        <v>28</v>
      </c>
      <c r="CP116" s="229">
        <f t="shared" si="39"/>
        <v>28</v>
      </c>
      <c r="CQ116" s="229">
        <f t="shared" si="39"/>
        <v>28</v>
      </c>
      <c r="CR116" s="229">
        <f t="shared" si="39"/>
        <v>27</v>
      </c>
      <c r="CS116" s="225">
        <f t="shared" si="39"/>
        <v>197</v>
      </c>
      <c r="CT116" s="245">
        <f t="shared" si="39"/>
        <v>33</v>
      </c>
      <c r="CU116" s="245">
        <f t="shared" si="39"/>
        <v>32</v>
      </c>
      <c r="CV116" s="245">
        <f t="shared" si="39"/>
        <v>32</v>
      </c>
      <c r="CW116" s="245">
        <f t="shared" si="39"/>
        <v>31</v>
      </c>
      <c r="CX116" s="245">
        <f t="shared" si="39"/>
        <v>31</v>
      </c>
      <c r="CY116" s="245">
        <f t="shared" si="39"/>
        <v>30</v>
      </c>
      <c r="CZ116" s="245">
        <f t="shared" si="39"/>
        <v>30</v>
      </c>
      <c r="DA116" s="224">
        <f t="shared" si="39"/>
        <v>219</v>
      </c>
      <c r="DB116" s="229">
        <f t="shared" si="39"/>
        <v>36</v>
      </c>
      <c r="DC116" s="229">
        <f t="shared" si="39"/>
        <v>35</v>
      </c>
      <c r="DD116" s="229">
        <f t="shared" si="39"/>
        <v>35</v>
      </c>
      <c r="DE116" s="229">
        <f t="shared" si="39"/>
        <v>35</v>
      </c>
      <c r="DF116" s="229">
        <f t="shared" si="39"/>
        <v>34</v>
      </c>
      <c r="DG116" s="229">
        <f t="shared" si="39"/>
        <v>34</v>
      </c>
      <c r="DH116" s="229">
        <f t="shared" si="39"/>
        <v>33</v>
      </c>
      <c r="DI116" s="225">
        <f t="shared" si="39"/>
        <v>242</v>
      </c>
      <c r="DJ116" s="245">
        <f t="shared" si="39"/>
        <v>40</v>
      </c>
      <c r="DK116" s="245">
        <f t="shared" si="39"/>
        <v>38</v>
      </c>
      <c r="DL116" s="245">
        <f t="shared" si="39"/>
        <v>38</v>
      </c>
      <c r="DM116" s="245">
        <f t="shared" si="39"/>
        <v>37</v>
      </c>
      <c r="DN116" s="245">
        <f t="shared" si="39"/>
        <v>37</v>
      </c>
      <c r="DO116" s="245">
        <f t="shared" si="39"/>
        <v>37</v>
      </c>
      <c r="DP116" s="245">
        <f t="shared" si="39"/>
        <v>37</v>
      </c>
      <c r="DQ116" s="224">
        <f t="shared" si="39"/>
        <v>264</v>
      </c>
      <c r="DR116" s="246"/>
      <c r="DS116" s="247"/>
      <c r="DT116" s="247"/>
      <c r="DU116" s="247"/>
      <c r="DV116" s="247"/>
      <c r="DW116" s="247"/>
      <c r="DX116" s="247"/>
      <c r="DY116" s="248"/>
    </row>
    <row r="117" spans="1:129" x14ac:dyDescent="0.2">
      <c r="A117" s="231" t="s">
        <v>112</v>
      </c>
      <c r="B117" s="245">
        <f>B4+B26+B20+B82</f>
        <v>2</v>
      </c>
      <c r="C117" s="245">
        <f t="shared" ref="C117:BN117" si="40">C4+C26+C20+C82</f>
        <v>2</v>
      </c>
      <c r="D117" s="245">
        <f t="shared" si="40"/>
        <v>2</v>
      </c>
      <c r="E117" s="245">
        <f t="shared" si="40"/>
        <v>2</v>
      </c>
      <c r="F117" s="245">
        <f t="shared" si="40"/>
        <v>1</v>
      </c>
      <c r="G117" s="245">
        <f t="shared" si="40"/>
        <v>1</v>
      </c>
      <c r="H117" s="245">
        <f t="shared" si="40"/>
        <v>1</v>
      </c>
      <c r="I117" s="224">
        <f t="shared" si="40"/>
        <v>11</v>
      </c>
      <c r="J117" s="229">
        <f t="shared" si="40"/>
        <v>1</v>
      </c>
      <c r="K117" s="229">
        <f t="shared" si="40"/>
        <v>1</v>
      </c>
      <c r="L117" s="229">
        <f t="shared" si="40"/>
        <v>1</v>
      </c>
      <c r="M117" s="229">
        <f t="shared" si="40"/>
        <v>1</v>
      </c>
      <c r="N117" s="229">
        <f t="shared" si="40"/>
        <v>0</v>
      </c>
      <c r="O117" s="229">
        <f t="shared" si="40"/>
        <v>0</v>
      </c>
      <c r="P117" s="229">
        <f t="shared" si="40"/>
        <v>0</v>
      </c>
      <c r="Q117" s="225">
        <f t="shared" si="40"/>
        <v>4</v>
      </c>
      <c r="R117" s="245">
        <f t="shared" si="40"/>
        <v>3</v>
      </c>
      <c r="S117" s="245">
        <f t="shared" si="40"/>
        <v>2</v>
      </c>
      <c r="T117" s="245">
        <f t="shared" si="40"/>
        <v>2</v>
      </c>
      <c r="U117" s="245">
        <f t="shared" si="40"/>
        <v>1</v>
      </c>
      <c r="V117" s="245">
        <f t="shared" si="40"/>
        <v>1</v>
      </c>
      <c r="W117" s="245">
        <f t="shared" si="40"/>
        <v>1</v>
      </c>
      <c r="X117" s="245">
        <f t="shared" si="40"/>
        <v>1</v>
      </c>
      <c r="Y117" s="224">
        <f t="shared" si="40"/>
        <v>11</v>
      </c>
      <c r="Z117" s="229">
        <f t="shared" si="40"/>
        <v>4</v>
      </c>
      <c r="AA117" s="229">
        <f t="shared" si="40"/>
        <v>4</v>
      </c>
      <c r="AB117" s="229">
        <f t="shared" si="40"/>
        <v>2</v>
      </c>
      <c r="AC117" s="229">
        <f t="shared" si="40"/>
        <v>2</v>
      </c>
      <c r="AD117" s="229">
        <f t="shared" si="40"/>
        <v>2</v>
      </c>
      <c r="AE117" s="229">
        <f t="shared" si="40"/>
        <v>2</v>
      </c>
      <c r="AF117" s="229">
        <f t="shared" si="40"/>
        <v>2</v>
      </c>
      <c r="AG117" s="225">
        <f t="shared" si="40"/>
        <v>18</v>
      </c>
      <c r="AH117" s="245">
        <f t="shared" si="40"/>
        <v>5</v>
      </c>
      <c r="AI117" s="245">
        <f t="shared" si="40"/>
        <v>5</v>
      </c>
      <c r="AJ117" s="245">
        <f t="shared" si="40"/>
        <v>5</v>
      </c>
      <c r="AK117" s="245">
        <f t="shared" si="40"/>
        <v>4</v>
      </c>
      <c r="AL117" s="245">
        <f t="shared" si="40"/>
        <v>3</v>
      </c>
      <c r="AM117" s="245">
        <f t="shared" si="40"/>
        <v>3</v>
      </c>
      <c r="AN117" s="245">
        <f t="shared" si="40"/>
        <v>3</v>
      </c>
      <c r="AO117" s="224">
        <f t="shared" si="40"/>
        <v>28</v>
      </c>
      <c r="AP117" s="229">
        <f t="shared" si="40"/>
        <v>6</v>
      </c>
      <c r="AQ117" s="229">
        <f t="shared" si="40"/>
        <v>6</v>
      </c>
      <c r="AR117" s="229">
        <f t="shared" si="40"/>
        <v>6</v>
      </c>
      <c r="AS117" s="229">
        <f t="shared" si="40"/>
        <v>6</v>
      </c>
      <c r="AT117" s="229">
        <f t="shared" si="40"/>
        <v>4</v>
      </c>
      <c r="AU117" s="229">
        <f t="shared" si="40"/>
        <v>4</v>
      </c>
      <c r="AV117" s="229">
        <f t="shared" si="40"/>
        <v>3</v>
      </c>
      <c r="AW117" s="225">
        <f t="shared" si="40"/>
        <v>35</v>
      </c>
      <c r="AX117" s="245">
        <f t="shared" si="40"/>
        <v>8</v>
      </c>
      <c r="AY117" s="245">
        <f t="shared" si="40"/>
        <v>8</v>
      </c>
      <c r="AZ117" s="245">
        <f t="shared" si="40"/>
        <v>7</v>
      </c>
      <c r="BA117" s="245">
        <f t="shared" si="40"/>
        <v>7</v>
      </c>
      <c r="BB117" s="245">
        <f t="shared" si="40"/>
        <v>6</v>
      </c>
      <c r="BC117" s="245">
        <f t="shared" si="40"/>
        <v>5</v>
      </c>
      <c r="BD117" s="245">
        <f t="shared" si="40"/>
        <v>5</v>
      </c>
      <c r="BE117" s="224">
        <f t="shared" si="40"/>
        <v>46</v>
      </c>
      <c r="BF117" s="229">
        <f t="shared" si="40"/>
        <v>9</v>
      </c>
      <c r="BG117" s="229">
        <f t="shared" si="40"/>
        <v>8</v>
      </c>
      <c r="BH117" s="229">
        <f t="shared" si="40"/>
        <v>8</v>
      </c>
      <c r="BI117" s="229">
        <f t="shared" si="40"/>
        <v>8</v>
      </c>
      <c r="BJ117" s="229">
        <f t="shared" si="40"/>
        <v>7</v>
      </c>
      <c r="BK117" s="229">
        <f t="shared" si="40"/>
        <v>7</v>
      </c>
      <c r="BL117" s="229">
        <f t="shared" si="40"/>
        <v>7</v>
      </c>
      <c r="BM117" s="225">
        <f t="shared" si="40"/>
        <v>54</v>
      </c>
      <c r="BN117" s="245">
        <f t="shared" si="40"/>
        <v>11</v>
      </c>
      <c r="BO117" s="245">
        <f t="shared" ref="BO117:DQ117" si="41">BO4+BO26+BO20+BO82</f>
        <v>10</v>
      </c>
      <c r="BP117" s="245">
        <f t="shared" si="41"/>
        <v>10</v>
      </c>
      <c r="BQ117" s="245">
        <f t="shared" si="41"/>
        <v>10</v>
      </c>
      <c r="BR117" s="245">
        <f t="shared" si="41"/>
        <v>8</v>
      </c>
      <c r="BS117" s="245">
        <f t="shared" si="41"/>
        <v>8</v>
      </c>
      <c r="BT117" s="245">
        <f t="shared" si="41"/>
        <v>8</v>
      </c>
      <c r="BU117" s="224">
        <f t="shared" si="41"/>
        <v>65</v>
      </c>
      <c r="BV117" s="229">
        <f t="shared" si="41"/>
        <v>12</v>
      </c>
      <c r="BW117" s="229">
        <f t="shared" si="41"/>
        <v>12</v>
      </c>
      <c r="BX117" s="229">
        <f t="shared" si="41"/>
        <v>11</v>
      </c>
      <c r="BY117" s="229">
        <f t="shared" si="41"/>
        <v>11</v>
      </c>
      <c r="BZ117" s="229">
        <f t="shared" si="41"/>
        <v>10</v>
      </c>
      <c r="CA117" s="229">
        <f t="shared" si="41"/>
        <v>10</v>
      </c>
      <c r="CB117" s="229">
        <f t="shared" si="41"/>
        <v>10</v>
      </c>
      <c r="CC117" s="225">
        <f t="shared" si="41"/>
        <v>76</v>
      </c>
      <c r="CD117" s="245">
        <f t="shared" si="41"/>
        <v>12</v>
      </c>
      <c r="CE117" s="245">
        <f t="shared" si="41"/>
        <v>12</v>
      </c>
      <c r="CF117" s="245">
        <f t="shared" si="41"/>
        <v>12</v>
      </c>
      <c r="CG117" s="245">
        <f t="shared" si="41"/>
        <v>12</v>
      </c>
      <c r="CH117" s="245">
        <f t="shared" si="41"/>
        <v>11</v>
      </c>
      <c r="CI117" s="245">
        <f t="shared" si="41"/>
        <v>11</v>
      </c>
      <c r="CJ117" s="245">
        <f t="shared" si="41"/>
        <v>11</v>
      </c>
      <c r="CK117" s="224">
        <f t="shared" si="41"/>
        <v>81</v>
      </c>
      <c r="CL117" s="229">
        <f t="shared" si="41"/>
        <v>13</v>
      </c>
      <c r="CM117" s="229">
        <f t="shared" si="41"/>
        <v>13</v>
      </c>
      <c r="CN117" s="229">
        <f t="shared" si="41"/>
        <v>12</v>
      </c>
      <c r="CO117" s="229">
        <f t="shared" si="41"/>
        <v>12</v>
      </c>
      <c r="CP117" s="229">
        <f t="shared" si="41"/>
        <v>11</v>
      </c>
      <c r="CQ117" s="229">
        <f t="shared" si="41"/>
        <v>11</v>
      </c>
      <c r="CR117" s="229">
        <f t="shared" si="41"/>
        <v>11</v>
      </c>
      <c r="CS117" s="225">
        <f t="shared" si="41"/>
        <v>83</v>
      </c>
      <c r="CT117" s="245">
        <f t="shared" si="41"/>
        <v>13</v>
      </c>
      <c r="CU117" s="245">
        <f t="shared" si="41"/>
        <v>13</v>
      </c>
      <c r="CV117" s="245">
        <f t="shared" si="41"/>
        <v>12</v>
      </c>
      <c r="CW117" s="245">
        <f t="shared" si="41"/>
        <v>12</v>
      </c>
      <c r="CX117" s="245">
        <f t="shared" si="41"/>
        <v>11</v>
      </c>
      <c r="CY117" s="245">
        <f t="shared" si="41"/>
        <v>11</v>
      </c>
      <c r="CZ117" s="245">
        <f t="shared" si="41"/>
        <v>11</v>
      </c>
      <c r="DA117" s="224">
        <f t="shared" si="41"/>
        <v>83</v>
      </c>
      <c r="DB117" s="229">
        <f t="shared" si="41"/>
        <v>13</v>
      </c>
      <c r="DC117" s="229">
        <f t="shared" si="41"/>
        <v>13</v>
      </c>
      <c r="DD117" s="229">
        <f t="shared" si="41"/>
        <v>12</v>
      </c>
      <c r="DE117" s="229">
        <f t="shared" si="41"/>
        <v>12</v>
      </c>
      <c r="DF117" s="229">
        <f t="shared" si="41"/>
        <v>11</v>
      </c>
      <c r="DG117" s="229">
        <f t="shared" si="41"/>
        <v>11</v>
      </c>
      <c r="DH117" s="229">
        <f t="shared" si="41"/>
        <v>11</v>
      </c>
      <c r="DI117" s="225">
        <f t="shared" si="41"/>
        <v>83</v>
      </c>
      <c r="DJ117" s="245">
        <f t="shared" si="41"/>
        <v>13</v>
      </c>
      <c r="DK117" s="245">
        <f t="shared" si="41"/>
        <v>13</v>
      </c>
      <c r="DL117" s="245">
        <f t="shared" si="41"/>
        <v>12</v>
      </c>
      <c r="DM117" s="245">
        <f t="shared" si="41"/>
        <v>12</v>
      </c>
      <c r="DN117" s="245">
        <f t="shared" si="41"/>
        <v>11</v>
      </c>
      <c r="DO117" s="245">
        <f t="shared" si="41"/>
        <v>11</v>
      </c>
      <c r="DP117" s="245">
        <f t="shared" si="41"/>
        <v>11</v>
      </c>
      <c r="DQ117" s="224">
        <f t="shared" si="41"/>
        <v>83</v>
      </c>
      <c r="DR117" s="246"/>
      <c r="DS117" s="247"/>
      <c r="DT117" s="247"/>
      <c r="DU117" s="247"/>
      <c r="DV117" s="247"/>
      <c r="DW117" s="247"/>
      <c r="DX117" s="247"/>
      <c r="DY117" s="248"/>
    </row>
    <row r="118" spans="1:129" x14ac:dyDescent="0.2">
      <c r="A118" s="231" t="s">
        <v>113</v>
      </c>
      <c r="B118" s="245">
        <f>B12+B16+B67</f>
        <v>0</v>
      </c>
      <c r="C118" s="245">
        <f t="shared" ref="C118:BN118" si="42">C12+C16+C67</f>
        <v>0</v>
      </c>
      <c r="D118" s="245">
        <f t="shared" si="42"/>
        <v>0</v>
      </c>
      <c r="E118" s="245">
        <f t="shared" si="42"/>
        <v>0</v>
      </c>
      <c r="F118" s="245">
        <f t="shared" si="42"/>
        <v>0</v>
      </c>
      <c r="G118" s="245">
        <f t="shared" si="42"/>
        <v>0</v>
      </c>
      <c r="H118" s="245">
        <f t="shared" si="42"/>
        <v>0</v>
      </c>
      <c r="I118" s="224">
        <f t="shared" si="42"/>
        <v>0</v>
      </c>
      <c r="J118" s="229">
        <f t="shared" si="42"/>
        <v>2</v>
      </c>
      <c r="K118" s="229">
        <f t="shared" si="42"/>
        <v>2</v>
      </c>
      <c r="L118" s="229">
        <f t="shared" si="42"/>
        <v>1</v>
      </c>
      <c r="M118" s="229">
        <f t="shared" si="42"/>
        <v>0</v>
      </c>
      <c r="N118" s="229">
        <f t="shared" si="42"/>
        <v>0</v>
      </c>
      <c r="O118" s="229">
        <f t="shared" si="42"/>
        <v>0</v>
      </c>
      <c r="P118" s="229">
        <f t="shared" si="42"/>
        <v>0</v>
      </c>
      <c r="Q118" s="225">
        <f t="shared" si="42"/>
        <v>5</v>
      </c>
      <c r="R118" s="245">
        <f t="shared" si="42"/>
        <v>2</v>
      </c>
      <c r="S118" s="245">
        <f t="shared" si="42"/>
        <v>2</v>
      </c>
      <c r="T118" s="245">
        <f t="shared" si="42"/>
        <v>2</v>
      </c>
      <c r="U118" s="245">
        <f t="shared" si="42"/>
        <v>2</v>
      </c>
      <c r="V118" s="245">
        <f t="shared" si="42"/>
        <v>2</v>
      </c>
      <c r="W118" s="245">
        <f t="shared" si="42"/>
        <v>2</v>
      </c>
      <c r="X118" s="245">
        <f t="shared" si="42"/>
        <v>1</v>
      </c>
      <c r="Y118" s="224">
        <f t="shared" si="42"/>
        <v>13</v>
      </c>
      <c r="Z118" s="229">
        <f t="shared" si="42"/>
        <v>2</v>
      </c>
      <c r="AA118" s="229">
        <f t="shared" si="42"/>
        <v>2</v>
      </c>
      <c r="AB118" s="229">
        <f t="shared" si="42"/>
        <v>2</v>
      </c>
      <c r="AC118" s="229">
        <f t="shared" si="42"/>
        <v>2</v>
      </c>
      <c r="AD118" s="229">
        <f t="shared" si="42"/>
        <v>2</v>
      </c>
      <c r="AE118" s="229">
        <f t="shared" si="42"/>
        <v>2</v>
      </c>
      <c r="AF118" s="229">
        <f t="shared" si="42"/>
        <v>2</v>
      </c>
      <c r="AG118" s="225">
        <f t="shared" si="42"/>
        <v>14</v>
      </c>
      <c r="AH118" s="245">
        <f t="shared" si="42"/>
        <v>2</v>
      </c>
      <c r="AI118" s="245">
        <f t="shared" si="42"/>
        <v>2</v>
      </c>
      <c r="AJ118" s="245">
        <f t="shared" si="42"/>
        <v>2</v>
      </c>
      <c r="AK118" s="245">
        <f t="shared" si="42"/>
        <v>2</v>
      </c>
      <c r="AL118" s="245">
        <f t="shared" si="42"/>
        <v>2</v>
      </c>
      <c r="AM118" s="245">
        <f t="shared" si="42"/>
        <v>2</v>
      </c>
      <c r="AN118" s="245">
        <f t="shared" si="42"/>
        <v>2</v>
      </c>
      <c r="AO118" s="224">
        <f t="shared" si="42"/>
        <v>14</v>
      </c>
      <c r="AP118" s="229">
        <f t="shared" si="42"/>
        <v>2</v>
      </c>
      <c r="AQ118" s="229">
        <f t="shared" si="42"/>
        <v>2</v>
      </c>
      <c r="AR118" s="229">
        <f t="shared" si="42"/>
        <v>2</v>
      </c>
      <c r="AS118" s="229">
        <f t="shared" si="42"/>
        <v>2</v>
      </c>
      <c r="AT118" s="229">
        <f t="shared" si="42"/>
        <v>2</v>
      </c>
      <c r="AU118" s="229">
        <f t="shared" si="42"/>
        <v>2</v>
      </c>
      <c r="AV118" s="229">
        <f t="shared" si="42"/>
        <v>2</v>
      </c>
      <c r="AW118" s="225">
        <f t="shared" si="42"/>
        <v>14</v>
      </c>
      <c r="AX118" s="245">
        <f t="shared" si="42"/>
        <v>2</v>
      </c>
      <c r="AY118" s="245">
        <f t="shared" si="42"/>
        <v>2</v>
      </c>
      <c r="AZ118" s="245">
        <f t="shared" si="42"/>
        <v>2</v>
      </c>
      <c r="BA118" s="245">
        <f t="shared" si="42"/>
        <v>2</v>
      </c>
      <c r="BB118" s="245">
        <f t="shared" si="42"/>
        <v>2</v>
      </c>
      <c r="BC118" s="245">
        <f t="shared" si="42"/>
        <v>2</v>
      </c>
      <c r="BD118" s="245">
        <f t="shared" si="42"/>
        <v>2</v>
      </c>
      <c r="BE118" s="224">
        <f t="shared" si="42"/>
        <v>14</v>
      </c>
      <c r="BF118" s="229">
        <f t="shared" si="42"/>
        <v>2</v>
      </c>
      <c r="BG118" s="229">
        <f t="shared" si="42"/>
        <v>2</v>
      </c>
      <c r="BH118" s="229">
        <f t="shared" si="42"/>
        <v>2</v>
      </c>
      <c r="BI118" s="229">
        <f t="shared" si="42"/>
        <v>2</v>
      </c>
      <c r="BJ118" s="229">
        <f t="shared" si="42"/>
        <v>2</v>
      </c>
      <c r="BK118" s="229">
        <f t="shared" si="42"/>
        <v>2</v>
      </c>
      <c r="BL118" s="229">
        <f t="shared" si="42"/>
        <v>2</v>
      </c>
      <c r="BM118" s="225">
        <f t="shared" si="42"/>
        <v>14</v>
      </c>
      <c r="BN118" s="245">
        <f t="shared" si="42"/>
        <v>2</v>
      </c>
      <c r="BO118" s="245">
        <f t="shared" ref="BO118:DQ118" si="43">BO12+BO16+BO67</f>
        <v>2</v>
      </c>
      <c r="BP118" s="245">
        <f t="shared" si="43"/>
        <v>2</v>
      </c>
      <c r="BQ118" s="245">
        <f t="shared" si="43"/>
        <v>2</v>
      </c>
      <c r="BR118" s="245">
        <f t="shared" si="43"/>
        <v>2</v>
      </c>
      <c r="BS118" s="245">
        <f t="shared" si="43"/>
        <v>2</v>
      </c>
      <c r="BT118" s="245">
        <f t="shared" si="43"/>
        <v>2</v>
      </c>
      <c r="BU118" s="224">
        <f t="shared" si="43"/>
        <v>14</v>
      </c>
      <c r="BV118" s="229">
        <f t="shared" si="43"/>
        <v>2</v>
      </c>
      <c r="BW118" s="229">
        <f t="shared" si="43"/>
        <v>2</v>
      </c>
      <c r="BX118" s="229">
        <f t="shared" si="43"/>
        <v>2</v>
      </c>
      <c r="BY118" s="229">
        <f t="shared" si="43"/>
        <v>2</v>
      </c>
      <c r="BZ118" s="229">
        <f t="shared" si="43"/>
        <v>2</v>
      </c>
      <c r="CA118" s="229">
        <f t="shared" si="43"/>
        <v>2</v>
      </c>
      <c r="CB118" s="229">
        <f t="shared" si="43"/>
        <v>2</v>
      </c>
      <c r="CC118" s="225">
        <f t="shared" si="43"/>
        <v>14</v>
      </c>
      <c r="CD118" s="245">
        <f t="shared" si="43"/>
        <v>2</v>
      </c>
      <c r="CE118" s="245">
        <f t="shared" si="43"/>
        <v>2</v>
      </c>
      <c r="CF118" s="245">
        <f t="shared" si="43"/>
        <v>2</v>
      </c>
      <c r="CG118" s="245">
        <f t="shared" si="43"/>
        <v>2</v>
      </c>
      <c r="CH118" s="245">
        <f t="shared" si="43"/>
        <v>2</v>
      </c>
      <c r="CI118" s="245">
        <f t="shared" si="43"/>
        <v>2</v>
      </c>
      <c r="CJ118" s="245">
        <f t="shared" si="43"/>
        <v>2</v>
      </c>
      <c r="CK118" s="224">
        <f t="shared" si="43"/>
        <v>14</v>
      </c>
      <c r="CL118" s="229">
        <f t="shared" si="43"/>
        <v>2</v>
      </c>
      <c r="CM118" s="229">
        <f t="shared" si="43"/>
        <v>2</v>
      </c>
      <c r="CN118" s="229">
        <f t="shared" si="43"/>
        <v>2</v>
      </c>
      <c r="CO118" s="229">
        <f t="shared" si="43"/>
        <v>2</v>
      </c>
      <c r="CP118" s="229">
        <f t="shared" si="43"/>
        <v>2</v>
      </c>
      <c r="CQ118" s="229">
        <f t="shared" si="43"/>
        <v>2</v>
      </c>
      <c r="CR118" s="229">
        <f t="shared" si="43"/>
        <v>2</v>
      </c>
      <c r="CS118" s="225">
        <f t="shared" si="43"/>
        <v>14</v>
      </c>
      <c r="CT118" s="245">
        <f t="shared" si="43"/>
        <v>2</v>
      </c>
      <c r="CU118" s="245">
        <f t="shared" si="43"/>
        <v>2</v>
      </c>
      <c r="CV118" s="245">
        <f t="shared" si="43"/>
        <v>2</v>
      </c>
      <c r="CW118" s="245">
        <f t="shared" si="43"/>
        <v>2</v>
      </c>
      <c r="CX118" s="245">
        <f t="shared" si="43"/>
        <v>2</v>
      </c>
      <c r="CY118" s="245">
        <f t="shared" si="43"/>
        <v>2</v>
      </c>
      <c r="CZ118" s="245">
        <f t="shared" si="43"/>
        <v>2</v>
      </c>
      <c r="DA118" s="224">
        <f t="shared" si="43"/>
        <v>14</v>
      </c>
      <c r="DB118" s="229">
        <f t="shared" si="43"/>
        <v>2</v>
      </c>
      <c r="DC118" s="229">
        <f t="shared" si="43"/>
        <v>2</v>
      </c>
      <c r="DD118" s="229">
        <f t="shared" si="43"/>
        <v>2</v>
      </c>
      <c r="DE118" s="229">
        <f t="shared" si="43"/>
        <v>2</v>
      </c>
      <c r="DF118" s="229">
        <f t="shared" si="43"/>
        <v>2</v>
      </c>
      <c r="DG118" s="229">
        <f t="shared" si="43"/>
        <v>2</v>
      </c>
      <c r="DH118" s="229">
        <f t="shared" si="43"/>
        <v>2</v>
      </c>
      <c r="DI118" s="225">
        <f t="shared" si="43"/>
        <v>14</v>
      </c>
      <c r="DJ118" s="245">
        <f t="shared" si="43"/>
        <v>2</v>
      </c>
      <c r="DK118" s="245">
        <f t="shared" si="43"/>
        <v>2</v>
      </c>
      <c r="DL118" s="245">
        <f t="shared" si="43"/>
        <v>2</v>
      </c>
      <c r="DM118" s="245">
        <f t="shared" si="43"/>
        <v>2</v>
      </c>
      <c r="DN118" s="245">
        <f t="shared" si="43"/>
        <v>2</v>
      </c>
      <c r="DO118" s="245">
        <f t="shared" si="43"/>
        <v>2</v>
      </c>
      <c r="DP118" s="245">
        <f t="shared" si="43"/>
        <v>2</v>
      </c>
      <c r="DQ118" s="224">
        <f t="shared" si="43"/>
        <v>14</v>
      </c>
      <c r="DR118" s="246"/>
      <c r="DS118" s="247"/>
      <c r="DT118" s="247"/>
      <c r="DU118" s="247"/>
      <c r="DV118" s="247"/>
      <c r="DW118" s="247"/>
      <c r="DX118" s="247"/>
      <c r="DY118" s="248"/>
    </row>
    <row r="119" spans="1:129" x14ac:dyDescent="0.2">
      <c r="A119" s="225" t="s">
        <v>138</v>
      </c>
      <c r="B119" s="224">
        <f>SUM(B96:B118)</f>
        <v>67</v>
      </c>
      <c r="C119" s="224">
        <f t="shared" ref="C119:BN119" si="44">SUM(C96:C118)</f>
        <v>63</v>
      </c>
      <c r="D119" s="224">
        <f t="shared" si="44"/>
        <v>51</v>
      </c>
      <c r="E119" s="224">
        <f t="shared" si="44"/>
        <v>43</v>
      </c>
      <c r="F119" s="224">
        <f t="shared" si="44"/>
        <v>34</v>
      </c>
      <c r="G119" s="224">
        <f t="shared" si="44"/>
        <v>30</v>
      </c>
      <c r="H119" s="224">
        <f t="shared" si="44"/>
        <v>26</v>
      </c>
      <c r="I119" s="224">
        <f t="shared" si="44"/>
        <v>314</v>
      </c>
      <c r="J119" s="225">
        <f t="shared" si="44"/>
        <v>86</v>
      </c>
      <c r="K119" s="225">
        <f t="shared" si="44"/>
        <v>71</v>
      </c>
      <c r="L119" s="225">
        <f t="shared" si="44"/>
        <v>62</v>
      </c>
      <c r="M119" s="225">
        <f t="shared" si="44"/>
        <v>55</v>
      </c>
      <c r="N119" s="225">
        <f t="shared" si="44"/>
        <v>46</v>
      </c>
      <c r="O119" s="225">
        <f t="shared" si="44"/>
        <v>42</v>
      </c>
      <c r="P119" s="225">
        <f t="shared" si="44"/>
        <v>39</v>
      </c>
      <c r="Q119" s="225">
        <f t="shared" si="44"/>
        <v>401</v>
      </c>
      <c r="R119" s="224">
        <f t="shared" si="44"/>
        <v>132</v>
      </c>
      <c r="S119" s="224">
        <f t="shared" si="44"/>
        <v>125</v>
      </c>
      <c r="T119" s="224">
        <f t="shared" si="44"/>
        <v>115</v>
      </c>
      <c r="U119" s="224">
        <f t="shared" si="44"/>
        <v>104</v>
      </c>
      <c r="V119" s="224">
        <f t="shared" si="44"/>
        <v>98</v>
      </c>
      <c r="W119" s="224">
        <f t="shared" si="44"/>
        <v>89</v>
      </c>
      <c r="X119" s="224">
        <f t="shared" si="44"/>
        <v>81</v>
      </c>
      <c r="Y119" s="224">
        <f t="shared" si="44"/>
        <v>744</v>
      </c>
      <c r="Z119" s="225">
        <f t="shared" si="44"/>
        <v>191</v>
      </c>
      <c r="AA119" s="225">
        <f t="shared" si="44"/>
        <v>185</v>
      </c>
      <c r="AB119" s="225">
        <f t="shared" si="44"/>
        <v>172</v>
      </c>
      <c r="AC119" s="225">
        <f t="shared" si="44"/>
        <v>162</v>
      </c>
      <c r="AD119" s="225">
        <f t="shared" si="44"/>
        <v>153</v>
      </c>
      <c r="AE119" s="225">
        <f t="shared" si="44"/>
        <v>150</v>
      </c>
      <c r="AF119" s="225">
        <f t="shared" si="44"/>
        <v>143</v>
      </c>
      <c r="AG119" s="225">
        <f t="shared" si="44"/>
        <v>1156</v>
      </c>
      <c r="AH119" s="224">
        <f t="shared" si="44"/>
        <v>255</v>
      </c>
      <c r="AI119" s="224">
        <f t="shared" si="44"/>
        <v>246</v>
      </c>
      <c r="AJ119" s="224">
        <f t="shared" si="44"/>
        <v>236</v>
      </c>
      <c r="AK119" s="224">
        <f t="shared" si="44"/>
        <v>227</v>
      </c>
      <c r="AL119" s="224">
        <f t="shared" si="44"/>
        <v>217</v>
      </c>
      <c r="AM119" s="224">
        <f t="shared" si="44"/>
        <v>210</v>
      </c>
      <c r="AN119" s="224">
        <f t="shared" si="44"/>
        <v>202</v>
      </c>
      <c r="AO119" s="224">
        <f t="shared" si="44"/>
        <v>1593</v>
      </c>
      <c r="AP119" s="225">
        <f t="shared" si="44"/>
        <v>315</v>
      </c>
      <c r="AQ119" s="225">
        <f t="shared" si="44"/>
        <v>303</v>
      </c>
      <c r="AR119" s="225">
        <f t="shared" si="44"/>
        <v>298</v>
      </c>
      <c r="AS119" s="225">
        <f t="shared" si="44"/>
        <v>288</v>
      </c>
      <c r="AT119" s="225">
        <f t="shared" si="44"/>
        <v>275</v>
      </c>
      <c r="AU119" s="225">
        <f t="shared" si="44"/>
        <v>267</v>
      </c>
      <c r="AV119" s="225">
        <f t="shared" si="44"/>
        <v>259</v>
      </c>
      <c r="AW119" s="225">
        <f t="shared" si="44"/>
        <v>2005</v>
      </c>
      <c r="AX119" s="224">
        <f t="shared" si="44"/>
        <v>390</v>
      </c>
      <c r="AY119" s="224">
        <f t="shared" si="44"/>
        <v>375</v>
      </c>
      <c r="AZ119" s="224">
        <f t="shared" si="44"/>
        <v>366</v>
      </c>
      <c r="BA119" s="224">
        <f t="shared" si="44"/>
        <v>359</v>
      </c>
      <c r="BB119" s="224">
        <f t="shared" si="44"/>
        <v>346</v>
      </c>
      <c r="BC119" s="224">
        <f t="shared" si="44"/>
        <v>338</v>
      </c>
      <c r="BD119" s="224">
        <f t="shared" si="44"/>
        <v>333</v>
      </c>
      <c r="BE119" s="224">
        <f t="shared" si="44"/>
        <v>2507</v>
      </c>
      <c r="BF119" s="225">
        <f t="shared" si="44"/>
        <v>461</v>
      </c>
      <c r="BG119" s="225">
        <f t="shared" si="44"/>
        <v>445</v>
      </c>
      <c r="BH119" s="225">
        <f t="shared" si="44"/>
        <v>435</v>
      </c>
      <c r="BI119" s="225">
        <f t="shared" si="44"/>
        <v>426</v>
      </c>
      <c r="BJ119" s="225">
        <f t="shared" si="44"/>
        <v>415</v>
      </c>
      <c r="BK119" s="225">
        <f t="shared" si="44"/>
        <v>406</v>
      </c>
      <c r="BL119" s="225">
        <f t="shared" si="44"/>
        <v>401</v>
      </c>
      <c r="BM119" s="225">
        <f t="shared" si="44"/>
        <v>2989</v>
      </c>
      <c r="BN119" s="224">
        <f t="shared" si="44"/>
        <v>521</v>
      </c>
      <c r="BO119" s="224">
        <f t="shared" ref="BO119:DQ119" si="45">SUM(BO96:BO118)</f>
        <v>509</v>
      </c>
      <c r="BP119" s="224">
        <f t="shared" si="45"/>
        <v>497</v>
      </c>
      <c r="BQ119" s="224">
        <f t="shared" si="45"/>
        <v>494</v>
      </c>
      <c r="BR119" s="224">
        <f t="shared" si="45"/>
        <v>486</v>
      </c>
      <c r="BS119" s="224">
        <f t="shared" si="45"/>
        <v>476</v>
      </c>
      <c r="BT119" s="224">
        <f t="shared" si="45"/>
        <v>464</v>
      </c>
      <c r="BU119" s="224">
        <f t="shared" si="45"/>
        <v>3447</v>
      </c>
      <c r="BV119" s="225">
        <f t="shared" si="45"/>
        <v>582</v>
      </c>
      <c r="BW119" s="225">
        <f t="shared" si="45"/>
        <v>571</v>
      </c>
      <c r="BX119" s="225">
        <f t="shared" si="45"/>
        <v>557</v>
      </c>
      <c r="BY119" s="225">
        <f t="shared" si="45"/>
        <v>549</v>
      </c>
      <c r="BZ119" s="225">
        <f t="shared" si="45"/>
        <v>541</v>
      </c>
      <c r="CA119" s="225">
        <f t="shared" si="45"/>
        <v>533</v>
      </c>
      <c r="CB119" s="225">
        <f t="shared" si="45"/>
        <v>523</v>
      </c>
      <c r="CC119" s="225">
        <f t="shared" si="45"/>
        <v>3856</v>
      </c>
      <c r="CD119" s="224">
        <f t="shared" si="45"/>
        <v>630</v>
      </c>
      <c r="CE119" s="224">
        <f t="shared" si="45"/>
        <v>616</v>
      </c>
      <c r="CF119" s="224">
        <f t="shared" si="45"/>
        <v>609</v>
      </c>
      <c r="CG119" s="224">
        <f t="shared" si="45"/>
        <v>599</v>
      </c>
      <c r="CH119" s="224">
        <f t="shared" si="45"/>
        <v>589</v>
      </c>
      <c r="CI119" s="224">
        <f t="shared" si="45"/>
        <v>579</v>
      </c>
      <c r="CJ119" s="224">
        <f t="shared" si="45"/>
        <v>570</v>
      </c>
      <c r="CK119" s="224">
        <f t="shared" si="45"/>
        <v>4192</v>
      </c>
      <c r="CL119" s="225">
        <f t="shared" si="45"/>
        <v>654</v>
      </c>
      <c r="CM119" s="225">
        <f t="shared" si="45"/>
        <v>638</v>
      </c>
      <c r="CN119" s="225">
        <f t="shared" si="45"/>
        <v>630</v>
      </c>
      <c r="CO119" s="225">
        <f t="shared" si="45"/>
        <v>624</v>
      </c>
      <c r="CP119" s="225">
        <f t="shared" si="45"/>
        <v>613</v>
      </c>
      <c r="CQ119" s="225">
        <f t="shared" si="45"/>
        <v>607</v>
      </c>
      <c r="CR119" s="225">
        <f t="shared" si="45"/>
        <v>593</v>
      </c>
      <c r="CS119" s="225">
        <f t="shared" si="45"/>
        <v>4359</v>
      </c>
      <c r="CT119" s="224">
        <f t="shared" si="45"/>
        <v>678</v>
      </c>
      <c r="CU119" s="224">
        <f t="shared" si="45"/>
        <v>663</v>
      </c>
      <c r="CV119" s="224">
        <f t="shared" si="45"/>
        <v>655</v>
      </c>
      <c r="CW119" s="224">
        <f t="shared" si="45"/>
        <v>647</v>
      </c>
      <c r="CX119" s="224">
        <f t="shared" si="45"/>
        <v>636</v>
      </c>
      <c r="CY119" s="224">
        <f t="shared" si="45"/>
        <v>627</v>
      </c>
      <c r="CZ119" s="224">
        <f t="shared" si="45"/>
        <v>617</v>
      </c>
      <c r="DA119" s="224">
        <f t="shared" si="45"/>
        <v>4523</v>
      </c>
      <c r="DB119" s="225">
        <f t="shared" si="45"/>
        <v>702</v>
      </c>
      <c r="DC119" s="225">
        <f t="shared" si="45"/>
        <v>686</v>
      </c>
      <c r="DD119" s="225">
        <f t="shared" si="45"/>
        <v>679</v>
      </c>
      <c r="DE119" s="225">
        <f t="shared" si="45"/>
        <v>674</v>
      </c>
      <c r="DF119" s="225">
        <f t="shared" si="45"/>
        <v>658</v>
      </c>
      <c r="DG119" s="225">
        <f t="shared" si="45"/>
        <v>653</v>
      </c>
      <c r="DH119" s="225">
        <f t="shared" si="45"/>
        <v>642</v>
      </c>
      <c r="DI119" s="225">
        <f t="shared" si="45"/>
        <v>4694</v>
      </c>
      <c r="DJ119" s="224">
        <f t="shared" si="45"/>
        <v>725</v>
      </c>
      <c r="DK119" s="224">
        <f t="shared" si="45"/>
        <v>709</v>
      </c>
      <c r="DL119" s="224">
        <f t="shared" si="45"/>
        <v>702</v>
      </c>
      <c r="DM119" s="224">
        <f t="shared" si="45"/>
        <v>695</v>
      </c>
      <c r="DN119" s="224">
        <f t="shared" si="45"/>
        <v>687</v>
      </c>
      <c r="DO119" s="224">
        <f t="shared" si="45"/>
        <v>679</v>
      </c>
      <c r="DP119" s="224">
        <f t="shared" si="45"/>
        <v>667</v>
      </c>
      <c r="DQ119" s="224">
        <f t="shared" si="45"/>
        <v>4864</v>
      </c>
      <c r="DR119" s="249"/>
      <c r="DS119" s="248"/>
      <c r="DT119" s="248"/>
      <c r="DU119" s="248"/>
      <c r="DV119" s="248"/>
      <c r="DW119" s="248"/>
      <c r="DX119" s="248"/>
      <c r="DY119" s="248"/>
    </row>
    <row r="120" spans="1:129" x14ac:dyDescent="0.2">
      <c r="B120" s="244"/>
      <c r="C120" s="244"/>
      <c r="D120" s="244"/>
      <c r="E120" s="244"/>
      <c r="F120" s="244"/>
      <c r="G120" s="244"/>
      <c r="H120" s="244"/>
      <c r="I120" s="244"/>
    </row>
  </sheetData>
  <mergeCells count="30">
    <mergeCell ref="CL94:CS94"/>
    <mergeCell ref="CT94:DA94"/>
    <mergeCell ref="DB94:DI94"/>
    <mergeCell ref="DJ94:DQ94"/>
    <mergeCell ref="AX94:BE94"/>
    <mergeCell ref="BF94:BM94"/>
    <mergeCell ref="BN94:BU94"/>
    <mergeCell ref="BV94:CC94"/>
    <mergeCell ref="CD94:CK94"/>
    <mergeCell ref="AP1:AW1"/>
    <mergeCell ref="B94:I94"/>
    <mergeCell ref="J94:Q94"/>
    <mergeCell ref="R94:Y94"/>
    <mergeCell ref="Z94:AG94"/>
    <mergeCell ref="AH94:AO94"/>
    <mergeCell ref="AP94:AW94"/>
    <mergeCell ref="B1:I1"/>
    <mergeCell ref="J1:Q1"/>
    <mergeCell ref="R1:Y1"/>
    <mergeCell ref="Z1:AG1"/>
    <mergeCell ref="AH1:AO1"/>
    <mergeCell ref="CT1:DA1"/>
    <mergeCell ref="DB1:DI1"/>
    <mergeCell ref="DJ1:DQ1"/>
    <mergeCell ref="AX1:BE1"/>
    <mergeCell ref="BF1:BM1"/>
    <mergeCell ref="BN1:BU1"/>
    <mergeCell ref="BV1:CC1"/>
    <mergeCell ref="CD1:CK1"/>
    <mergeCell ref="CL1:CS1"/>
  </mergeCells>
  <pageMargins left="0.75" right="0.75" top="1" bottom="1" header="0.5" footer="0.5"/>
  <pageSetup paperSize="9" orientation="portrait"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DB31"/>
  <sheetViews>
    <sheetView workbookViewId="0">
      <selection activeCell="B1" sqref="B1:H1"/>
    </sheetView>
  </sheetViews>
  <sheetFormatPr defaultRowHeight="12.75" x14ac:dyDescent="0.2"/>
  <cols>
    <col min="1" max="1" width="34.140625" style="223" bestFit="1" customWidth="1"/>
    <col min="2" max="2" width="3" style="221" customWidth="1"/>
    <col min="3" max="7" width="3.28515625" style="221" customWidth="1"/>
    <col min="8" max="8" width="5.5703125" style="221" bestFit="1" customWidth="1"/>
    <col min="9" max="10" width="4" style="221" bestFit="1" customWidth="1"/>
    <col min="11" max="14" width="3.28515625" style="221" customWidth="1"/>
    <col min="15" max="15" width="5.5703125" style="222" bestFit="1" customWidth="1"/>
    <col min="16" max="19" width="4" style="221" bestFit="1" customWidth="1"/>
    <col min="20" max="21" width="3.28515625" style="221" customWidth="1"/>
    <col min="22" max="22" width="5.5703125" style="221" bestFit="1" customWidth="1"/>
    <col min="23" max="28" width="4" style="221" bestFit="1" customWidth="1"/>
    <col min="29" max="29" width="5.5703125" style="221" bestFit="1" customWidth="1"/>
    <col min="30" max="35" width="4" style="221" bestFit="1" customWidth="1"/>
    <col min="36" max="36" width="5.5703125" style="221" bestFit="1" customWidth="1"/>
    <col min="37" max="42" width="4" style="221" bestFit="1" customWidth="1"/>
    <col min="43" max="43" width="5.5703125" style="221" bestFit="1" customWidth="1"/>
    <col min="44" max="49" width="4" style="221" bestFit="1" customWidth="1"/>
    <col min="50" max="50" width="5.5703125" style="221" bestFit="1" customWidth="1"/>
    <col min="51" max="56" width="4" style="221" bestFit="1" customWidth="1"/>
    <col min="57" max="57" width="5.5703125" style="221" bestFit="1" customWidth="1"/>
    <col min="58" max="63" width="4" style="221" bestFit="1" customWidth="1"/>
    <col min="64" max="64" width="5.5703125" style="221" bestFit="1" customWidth="1"/>
    <col min="65" max="70" width="4" style="221" bestFit="1" customWidth="1"/>
    <col min="71" max="71" width="5.5703125" style="221" bestFit="1" customWidth="1"/>
    <col min="72" max="77" width="4" style="221" bestFit="1" customWidth="1"/>
    <col min="78" max="78" width="5.5703125" style="221" bestFit="1" customWidth="1"/>
    <col min="79" max="84" width="4" style="221" bestFit="1" customWidth="1"/>
    <col min="85" max="85" width="5.5703125" style="221" bestFit="1" customWidth="1"/>
    <col min="86" max="91" width="4" style="221" bestFit="1" customWidth="1"/>
    <col min="92" max="92" width="5.5703125" style="221" bestFit="1" customWidth="1"/>
    <col min="93" max="98" width="4" style="221" bestFit="1" customWidth="1"/>
    <col min="99" max="99" width="5.5703125" style="221" bestFit="1" customWidth="1"/>
    <col min="100" max="105" width="4" style="221" bestFit="1" customWidth="1"/>
    <col min="106" max="106" width="5.5703125" style="221" bestFit="1" customWidth="1"/>
    <col min="107" max="16384" width="9.140625" style="221"/>
  </cols>
  <sheetData>
    <row r="1" spans="1:106" x14ac:dyDescent="0.2">
      <c r="A1" s="223" t="str">
        <f>'Pri Housing Generation'!A1</f>
        <v>Housing Development - August 2018</v>
      </c>
      <c r="B1" s="426">
        <f>'Pri Housing Generation'!B1</f>
        <v>2018</v>
      </c>
      <c r="C1" s="426"/>
      <c r="D1" s="426"/>
      <c r="E1" s="426"/>
      <c r="F1" s="426"/>
      <c r="G1" s="426"/>
      <c r="H1" s="426"/>
      <c r="I1" s="427">
        <f>'Pri Housing Generation'!J1</f>
        <v>2019</v>
      </c>
      <c r="J1" s="427"/>
      <c r="K1" s="427"/>
      <c r="L1" s="427"/>
      <c r="M1" s="427"/>
      <c r="N1" s="427"/>
      <c r="O1" s="427"/>
      <c r="P1" s="426">
        <f>'Pri Housing Generation'!R1</f>
        <v>2020</v>
      </c>
      <c r="Q1" s="426"/>
      <c r="R1" s="426"/>
      <c r="S1" s="426"/>
      <c r="T1" s="426"/>
      <c r="U1" s="426"/>
      <c r="V1" s="426"/>
      <c r="W1" s="427">
        <f>'Pri Housing Generation'!Z1</f>
        <v>2021</v>
      </c>
      <c r="X1" s="427"/>
      <c r="Y1" s="427"/>
      <c r="Z1" s="427"/>
      <c r="AA1" s="427"/>
      <c r="AB1" s="427"/>
      <c r="AC1" s="427"/>
      <c r="AD1" s="426">
        <f>'Pri Housing Generation'!AH1</f>
        <v>2022</v>
      </c>
      <c r="AE1" s="426"/>
      <c r="AF1" s="426"/>
      <c r="AG1" s="426"/>
      <c r="AH1" s="426"/>
      <c r="AI1" s="426"/>
      <c r="AJ1" s="426"/>
      <c r="AK1" s="427">
        <f>'Pri Housing Generation'!AP1</f>
        <v>2023</v>
      </c>
      <c r="AL1" s="427"/>
      <c r="AM1" s="427"/>
      <c r="AN1" s="427"/>
      <c r="AO1" s="427"/>
      <c r="AP1" s="427"/>
      <c r="AQ1" s="427"/>
      <c r="AR1" s="426">
        <f>'Pri Housing Generation'!AX1</f>
        <v>2024</v>
      </c>
      <c r="AS1" s="426"/>
      <c r="AT1" s="426"/>
      <c r="AU1" s="426"/>
      <c r="AV1" s="426"/>
      <c r="AW1" s="426"/>
      <c r="AX1" s="426"/>
      <c r="AY1" s="427">
        <f>'Pri Housing Generation'!BF1</f>
        <v>2025</v>
      </c>
      <c r="AZ1" s="427"/>
      <c r="BA1" s="427"/>
      <c r="BB1" s="427"/>
      <c r="BC1" s="427"/>
      <c r="BD1" s="427"/>
      <c r="BE1" s="427"/>
      <c r="BF1" s="426">
        <f>'Pri Housing Generation'!BN1</f>
        <v>2026</v>
      </c>
      <c r="BG1" s="426"/>
      <c r="BH1" s="426"/>
      <c r="BI1" s="426"/>
      <c r="BJ1" s="426"/>
      <c r="BK1" s="426"/>
      <c r="BL1" s="426"/>
      <c r="BM1" s="427">
        <f>'Pri Housing Generation'!BV1</f>
        <v>2027</v>
      </c>
      <c r="BN1" s="427"/>
      <c r="BO1" s="427"/>
      <c r="BP1" s="427"/>
      <c r="BQ1" s="427"/>
      <c r="BR1" s="427"/>
      <c r="BS1" s="427"/>
      <c r="BT1" s="426">
        <f>'Pri Housing Generation'!CD1</f>
        <v>2028</v>
      </c>
      <c r="BU1" s="426"/>
      <c r="BV1" s="426"/>
      <c r="BW1" s="426"/>
      <c r="BX1" s="426"/>
      <c r="BY1" s="426"/>
      <c r="BZ1" s="426"/>
      <c r="CA1" s="427">
        <f>'Pri Housing Generation'!CL1</f>
        <v>2029</v>
      </c>
      <c r="CB1" s="427"/>
      <c r="CC1" s="427"/>
      <c r="CD1" s="427"/>
      <c r="CE1" s="427"/>
      <c r="CF1" s="427"/>
      <c r="CG1" s="427"/>
      <c r="CH1" s="426">
        <f>'Pri Housing Generation'!CT1</f>
        <v>2030</v>
      </c>
      <c r="CI1" s="426"/>
      <c r="CJ1" s="426"/>
      <c r="CK1" s="426"/>
      <c r="CL1" s="426"/>
      <c r="CM1" s="426"/>
      <c r="CN1" s="426"/>
      <c r="CO1" s="427">
        <f>'Pri Housing Generation'!DB1</f>
        <v>2031</v>
      </c>
      <c r="CP1" s="427"/>
      <c r="CQ1" s="427"/>
      <c r="CR1" s="427"/>
      <c r="CS1" s="427"/>
      <c r="CT1" s="427"/>
      <c r="CU1" s="427"/>
      <c r="CV1" s="426">
        <f>'Pri Housing Generation'!DJ1</f>
        <v>2032</v>
      </c>
      <c r="CW1" s="426"/>
      <c r="CX1" s="426"/>
      <c r="CY1" s="426"/>
      <c r="CZ1" s="426"/>
      <c r="DA1" s="426"/>
      <c r="DB1" s="426"/>
    </row>
    <row r="2" spans="1:106" s="223" customFormat="1" x14ac:dyDescent="0.2">
      <c r="A2" s="225" t="s">
        <v>2</v>
      </c>
      <c r="B2" s="224" t="s">
        <v>121</v>
      </c>
      <c r="C2" s="224" t="s">
        <v>122</v>
      </c>
      <c r="D2" s="224" t="s">
        <v>123</v>
      </c>
      <c r="E2" s="224" t="s">
        <v>124</v>
      </c>
      <c r="F2" s="224" t="s">
        <v>125</v>
      </c>
      <c r="G2" s="224" t="s">
        <v>126</v>
      </c>
      <c r="H2" s="224" t="s">
        <v>138</v>
      </c>
      <c r="I2" s="225" t="s">
        <v>121</v>
      </c>
      <c r="J2" s="225" t="s">
        <v>122</v>
      </c>
      <c r="K2" s="225" t="s">
        <v>123</v>
      </c>
      <c r="L2" s="225" t="s">
        <v>124</v>
      </c>
      <c r="M2" s="225" t="s">
        <v>125</v>
      </c>
      <c r="N2" s="225" t="s">
        <v>126</v>
      </c>
      <c r="O2" s="225" t="s">
        <v>138</v>
      </c>
      <c r="P2" s="224" t="s">
        <v>121</v>
      </c>
      <c r="Q2" s="224" t="s">
        <v>122</v>
      </c>
      <c r="R2" s="224" t="s">
        <v>123</v>
      </c>
      <c r="S2" s="224" t="s">
        <v>124</v>
      </c>
      <c r="T2" s="224" t="s">
        <v>125</v>
      </c>
      <c r="U2" s="224" t="s">
        <v>126</v>
      </c>
      <c r="V2" s="224" t="s">
        <v>138</v>
      </c>
      <c r="W2" s="225" t="s">
        <v>121</v>
      </c>
      <c r="X2" s="225" t="s">
        <v>122</v>
      </c>
      <c r="Y2" s="225" t="s">
        <v>123</v>
      </c>
      <c r="Z2" s="225" t="s">
        <v>124</v>
      </c>
      <c r="AA2" s="225" t="s">
        <v>125</v>
      </c>
      <c r="AB2" s="225" t="s">
        <v>126</v>
      </c>
      <c r="AC2" s="225" t="s">
        <v>138</v>
      </c>
      <c r="AD2" s="224" t="s">
        <v>121</v>
      </c>
      <c r="AE2" s="224" t="s">
        <v>122</v>
      </c>
      <c r="AF2" s="224" t="s">
        <v>123</v>
      </c>
      <c r="AG2" s="224" t="s">
        <v>124</v>
      </c>
      <c r="AH2" s="224" t="s">
        <v>125</v>
      </c>
      <c r="AI2" s="224" t="s">
        <v>126</v>
      </c>
      <c r="AJ2" s="224" t="s">
        <v>138</v>
      </c>
      <c r="AK2" s="225" t="s">
        <v>121</v>
      </c>
      <c r="AL2" s="225" t="s">
        <v>122</v>
      </c>
      <c r="AM2" s="225" t="s">
        <v>123</v>
      </c>
      <c r="AN2" s="225" t="s">
        <v>124</v>
      </c>
      <c r="AO2" s="225" t="s">
        <v>125</v>
      </c>
      <c r="AP2" s="225" t="s">
        <v>126</v>
      </c>
      <c r="AQ2" s="225" t="s">
        <v>138</v>
      </c>
      <c r="AR2" s="224" t="s">
        <v>121</v>
      </c>
      <c r="AS2" s="224" t="s">
        <v>122</v>
      </c>
      <c r="AT2" s="224" t="s">
        <v>123</v>
      </c>
      <c r="AU2" s="224" t="s">
        <v>124</v>
      </c>
      <c r="AV2" s="224" t="s">
        <v>125</v>
      </c>
      <c r="AW2" s="224" t="s">
        <v>126</v>
      </c>
      <c r="AX2" s="224" t="s">
        <v>138</v>
      </c>
      <c r="AY2" s="225" t="s">
        <v>121</v>
      </c>
      <c r="AZ2" s="225" t="s">
        <v>122</v>
      </c>
      <c r="BA2" s="225" t="s">
        <v>123</v>
      </c>
      <c r="BB2" s="225" t="s">
        <v>124</v>
      </c>
      <c r="BC2" s="225" t="s">
        <v>125</v>
      </c>
      <c r="BD2" s="225" t="s">
        <v>126</v>
      </c>
      <c r="BE2" s="225" t="s">
        <v>138</v>
      </c>
      <c r="BF2" s="224" t="s">
        <v>121</v>
      </c>
      <c r="BG2" s="224" t="s">
        <v>122</v>
      </c>
      <c r="BH2" s="224" t="s">
        <v>123</v>
      </c>
      <c r="BI2" s="224" t="s">
        <v>124</v>
      </c>
      <c r="BJ2" s="224" t="s">
        <v>125</v>
      </c>
      <c r="BK2" s="224" t="s">
        <v>126</v>
      </c>
      <c r="BL2" s="224" t="s">
        <v>138</v>
      </c>
      <c r="BM2" s="225" t="s">
        <v>121</v>
      </c>
      <c r="BN2" s="225" t="s">
        <v>122</v>
      </c>
      <c r="BO2" s="225" t="s">
        <v>123</v>
      </c>
      <c r="BP2" s="225" t="s">
        <v>124</v>
      </c>
      <c r="BQ2" s="225" t="s">
        <v>125</v>
      </c>
      <c r="BR2" s="225" t="s">
        <v>126</v>
      </c>
      <c r="BS2" s="225" t="s">
        <v>138</v>
      </c>
      <c r="BT2" s="224" t="s">
        <v>121</v>
      </c>
      <c r="BU2" s="224" t="s">
        <v>122</v>
      </c>
      <c r="BV2" s="224" t="s">
        <v>123</v>
      </c>
      <c r="BW2" s="224" t="s">
        <v>124</v>
      </c>
      <c r="BX2" s="224" t="s">
        <v>125</v>
      </c>
      <c r="BY2" s="224" t="s">
        <v>126</v>
      </c>
      <c r="BZ2" s="224" t="s">
        <v>138</v>
      </c>
      <c r="CA2" s="225" t="s">
        <v>121</v>
      </c>
      <c r="CB2" s="225" t="s">
        <v>122</v>
      </c>
      <c r="CC2" s="225" t="s">
        <v>123</v>
      </c>
      <c r="CD2" s="225" t="s">
        <v>124</v>
      </c>
      <c r="CE2" s="225" t="s">
        <v>125</v>
      </c>
      <c r="CF2" s="225" t="s">
        <v>126</v>
      </c>
      <c r="CG2" s="225" t="s">
        <v>138</v>
      </c>
      <c r="CH2" s="224" t="s">
        <v>121</v>
      </c>
      <c r="CI2" s="224" t="s">
        <v>122</v>
      </c>
      <c r="CJ2" s="224" t="s">
        <v>123</v>
      </c>
      <c r="CK2" s="224" t="s">
        <v>124</v>
      </c>
      <c r="CL2" s="224" t="s">
        <v>125</v>
      </c>
      <c r="CM2" s="224" t="s">
        <v>126</v>
      </c>
      <c r="CN2" s="224" t="s">
        <v>138</v>
      </c>
      <c r="CO2" s="225" t="s">
        <v>121</v>
      </c>
      <c r="CP2" s="225" t="s">
        <v>122</v>
      </c>
      <c r="CQ2" s="225" t="s">
        <v>123</v>
      </c>
      <c r="CR2" s="225" t="s">
        <v>124</v>
      </c>
      <c r="CS2" s="225" t="s">
        <v>125</v>
      </c>
      <c r="CT2" s="225" t="s">
        <v>126</v>
      </c>
      <c r="CU2" s="225" t="s">
        <v>138</v>
      </c>
      <c r="CV2" s="224" t="s">
        <v>121</v>
      </c>
      <c r="CW2" s="224" t="s">
        <v>122</v>
      </c>
      <c r="CX2" s="224" t="s">
        <v>123</v>
      </c>
      <c r="CY2" s="224" t="s">
        <v>124</v>
      </c>
      <c r="CZ2" s="224" t="s">
        <v>125</v>
      </c>
      <c r="DA2" s="224" t="s">
        <v>126</v>
      </c>
      <c r="DB2" s="224" t="s">
        <v>138</v>
      </c>
    </row>
    <row r="3" spans="1:106" x14ac:dyDescent="0.2">
      <c r="A3" s="231" t="s">
        <v>97</v>
      </c>
      <c r="B3" s="227">
        <v>1</v>
      </c>
      <c r="C3" s="227">
        <v>1</v>
      </c>
      <c r="D3" s="227">
        <v>1</v>
      </c>
      <c r="E3" s="227">
        <v>1</v>
      </c>
      <c r="F3" s="227">
        <v>0</v>
      </c>
      <c r="G3" s="227">
        <v>0</v>
      </c>
      <c r="H3" s="224">
        <v>4</v>
      </c>
      <c r="I3" s="229">
        <f>ROUNDUP(O3/6,0)</f>
        <v>2</v>
      </c>
      <c r="J3" s="229">
        <f>IF((O3-I3)&gt;0,(ROUNDUP(((O3-I3)/5),0)),0)</f>
        <v>2</v>
      </c>
      <c r="K3" s="229">
        <f>IF((O3-I3-J3)&gt;0,(ROUNDUP(((O3-I3-J3)/4),0)),0)</f>
        <v>2</v>
      </c>
      <c r="L3" s="229">
        <f>IF((O3-I3-J3-K3)&gt;0,(ROUNDUP(((O3-I3-J3-K3)/3),0)),0)</f>
        <v>2</v>
      </c>
      <c r="M3" s="229">
        <f>IF((O3-I3-J3-K3-L3)&gt;0,(ROUNDUP(((O3-I3-J3-K3-L3)/2),0)),0)</f>
        <v>1</v>
      </c>
      <c r="N3" s="229">
        <f>IF((O3-I3-J3-K3-L3-M3)&gt;0,(ROUNDUP(((O3-I3-J3-K3-L3-M3)/1),0)),0)</f>
        <v>1</v>
      </c>
      <c r="O3" s="225">
        <f>ROUND((VLOOKUP(A3,'PS - Cumulative pupils per year'!$A$3:$R$25,2,FALSE)),0)</f>
        <v>10</v>
      </c>
      <c r="P3" s="227">
        <f>ROUNDUP(V3/6,0)</f>
        <v>3</v>
      </c>
      <c r="Q3" s="227">
        <f>IF((V3-P3)&gt;0,(ROUNDUP(((V3-P3)/5),0)),0)</f>
        <v>3</v>
      </c>
      <c r="R3" s="227">
        <f>IF((V3-P3-Q3)&gt;0,(ROUNDUP(((V3-P3-Q3)/4),0)),0)</f>
        <v>3</v>
      </c>
      <c r="S3" s="227">
        <f>IF((V3-P3-Q3-R3)&gt;0,(ROUNDUP(((V3-P3-Q3-R3)/3),0)),0)</f>
        <v>3</v>
      </c>
      <c r="T3" s="227">
        <f>IF((V3-P3-Q3-R3-S3)&gt;0,(ROUNDUP(((V3-P3-Q3-R3-S3)/2),0)),0)</f>
        <v>3</v>
      </c>
      <c r="U3" s="227">
        <f>IF((V3-P3-Q3-R3-S3-T3)&gt;0,(ROUNDUP(((V3-P3-Q3-R3-S3-T3)/1),0)),0)</f>
        <v>2</v>
      </c>
      <c r="V3" s="224">
        <f>ROUND((VLOOKUP(A3,'PS - Cumulative pupils per year'!$A$3:$R$25,3,FALSE)),0)</f>
        <v>17</v>
      </c>
      <c r="W3" s="230">
        <f>ROUNDUP(AC3/6,0)</f>
        <v>4</v>
      </c>
      <c r="X3" s="230">
        <f>IF((AC3-W3)&gt;0,(ROUNDUP(((AC3-W3)/5),0)),0)</f>
        <v>4</v>
      </c>
      <c r="Y3" s="230">
        <f>IF((AC3-W3-X3)&gt;0,(ROUNDUP(((AC3-W3-X3)/4),0)),0)</f>
        <v>4</v>
      </c>
      <c r="Z3" s="230">
        <f>IF((AC3-W3-X3-Y3)&gt;0,(ROUNDUP(((AC3-W3-X3-Y3)/3),0)),0)</f>
        <v>4</v>
      </c>
      <c r="AA3" s="230">
        <f>IF((AC3-W3-X3-Y3-Z3)&gt;0,(ROUNDUP(((AC3-W3-X3-Y3-Z3)/2),0)),0)</f>
        <v>4</v>
      </c>
      <c r="AB3" s="230">
        <f>IF((AC3-W3-X3-Y3-Z3-AA3)&gt;0,(ROUNDUP(((AC3-W3-X3-Y3-Z3-AA3)/1),0)),0)</f>
        <v>3</v>
      </c>
      <c r="AC3" s="225">
        <f>ROUND((VLOOKUP(A3,'PS - Cumulative pupils per year'!$A$3:$R$25,4,FALSE)),0)</f>
        <v>23</v>
      </c>
      <c r="AD3" s="227">
        <f>ROUNDUP(AJ3/6,0)</f>
        <v>5</v>
      </c>
      <c r="AE3" s="227">
        <f>IF((AJ3-AD3)&gt;0,(ROUNDUP(((AJ3-AD3)/5),0)),0)</f>
        <v>5</v>
      </c>
      <c r="AF3" s="227">
        <f>IF((AJ3-AD3-AE3)&gt;0,(ROUNDUP(((AJ3-AD3-AE3)/4),0)),0)</f>
        <v>5</v>
      </c>
      <c r="AG3" s="227">
        <f>IF((AJ3-AD3-AE3-AF3)&gt;0,(ROUNDUP(((AJ3-AD3-AE3-AF3)/3),0)),0)</f>
        <v>5</v>
      </c>
      <c r="AH3" s="227">
        <f>IF((AJ3-AD3-AE3-AF3-AG3)&gt;0,(ROUNDUP(((AJ3-AD3-AE3-AF3-AG3)/2),0)),0)</f>
        <v>4</v>
      </c>
      <c r="AI3" s="227">
        <f>IF((AJ3-AD3-AE3-AF3-AG3-AH3)&gt;0,(ROUNDUP(((AJ3-AD3-AE3-AF3-AG3-AH3)/1),0)),0)</f>
        <v>4</v>
      </c>
      <c r="AJ3" s="224">
        <f>ROUND((VLOOKUP(A3,'PS - Cumulative pupils per year'!$A$3:$R$25,5,FALSE)),0)</f>
        <v>28</v>
      </c>
      <c r="AK3" s="230">
        <f>ROUNDUP(AQ3/6,0)</f>
        <v>5</v>
      </c>
      <c r="AL3" s="230">
        <f>IF((AQ3-AK3)&gt;0,(ROUNDUP(((AQ3-AK3)/5),0)),0)</f>
        <v>5</v>
      </c>
      <c r="AM3" s="230">
        <f>IF((AQ3-AK3-AL3)&gt;0,(ROUNDUP(((AQ3-AK3-AL3)/4),0)),0)</f>
        <v>5</v>
      </c>
      <c r="AN3" s="230">
        <f>IF((AQ3-AK3-AL3-AM3)&gt;0,(ROUNDUP(((AQ3-AK3-AL3-AM3)/3),0)),0)</f>
        <v>5</v>
      </c>
      <c r="AO3" s="230">
        <f>IF((AQ3-AK3-AL3-AM3-AN3)&gt;0,(ROUNDUP(((AQ3-AK3-AL3-AM3-AN3)/2),0)),0)</f>
        <v>4</v>
      </c>
      <c r="AP3" s="230">
        <f>IF((AQ3-AK3-AL3-AM3-AN3-AO3)&gt;0,(ROUNDUP(((AQ3-AK3-AL3-AM3-AN3-AO3)/1),0)),0)</f>
        <v>4</v>
      </c>
      <c r="AQ3" s="225">
        <f>ROUND((VLOOKUP(A3,'PS - Cumulative pupils per year'!$A$3:$R$25,6,FALSE)),0)</f>
        <v>28</v>
      </c>
      <c r="AR3" s="227">
        <f>ROUNDUP(AX3/6,0)</f>
        <v>5</v>
      </c>
      <c r="AS3" s="227">
        <f>IF((AX3-AR3)&gt;0,(ROUNDUP(((AX3-AR3)/5),0)),0)</f>
        <v>5</v>
      </c>
      <c r="AT3" s="227">
        <f>IF((AX3-AR3-AS3)&gt;0,(ROUNDUP(((AX3-AR3-AS3)/4),0)),0)</f>
        <v>5</v>
      </c>
      <c r="AU3" s="227">
        <f>IF((AX3-AR3-AS3-AT3)&gt;0,(ROUNDUP(((AX3-AR3-AS3-AT3)/3),0)),0)</f>
        <v>5</v>
      </c>
      <c r="AV3" s="227">
        <f>IF((AX3-AR3-AS3-AT3-AU3)&gt;0,(ROUNDUP(((AX3-AR3-AS3-AT3-AU3)/2),0)),0)</f>
        <v>4</v>
      </c>
      <c r="AW3" s="227">
        <f>IF((AX3-AR3-AS3-AT3-AU3-AV3)&gt;0,(ROUNDUP(((AX3-AR3-AS3-AT3-AU3-AV3)/1),0)),0)</f>
        <v>4</v>
      </c>
      <c r="AX3" s="224">
        <f>ROUND((VLOOKUP(A3,'PS - Cumulative pupils per year'!$A$3:$R$25,7,FALSE)),0)</f>
        <v>28</v>
      </c>
      <c r="AY3" s="230">
        <f>ROUNDUP(BE3/6,0)</f>
        <v>5</v>
      </c>
      <c r="AZ3" s="230">
        <f>IF((BE3-AY3)&gt;0,(ROUNDUP(((BE3-AY3)/5),0)),0)</f>
        <v>5</v>
      </c>
      <c r="BA3" s="230">
        <f>IF((BE3-AY3-AZ3)&gt;0,(ROUNDUP(((BE3-AY3-AZ3)/4),0)),0)</f>
        <v>5</v>
      </c>
      <c r="BB3" s="230">
        <f>IF((BE3-AY3-AZ3-BA3)&gt;0,(ROUNDUP(((BE3-AY3-AZ3-BA3)/3),0)),0)</f>
        <v>5</v>
      </c>
      <c r="BC3" s="230">
        <f>IF((BE3-AY3-AZ3-BA3-BB3)&gt;0,(ROUNDUP(((BE3-AY3-AZ3-BA3-BB3)/2),0)),0)</f>
        <v>4</v>
      </c>
      <c r="BD3" s="230">
        <f>IF((BE3-AY3-AZ3-BA3-BB3-BC3)&gt;0,(ROUNDUP(((BE3-AY3-AZ3-BA3-BB3-BC3)/1),0)),0)</f>
        <v>4</v>
      </c>
      <c r="BE3" s="225">
        <f>ROUND((VLOOKUP(A3,'PS - Cumulative pupils per year'!$A$3:$R$25,8,FALSE)),0)</f>
        <v>28</v>
      </c>
      <c r="BF3" s="227">
        <f>ROUNDUP(BL3/6,0)</f>
        <v>5</v>
      </c>
      <c r="BG3" s="227">
        <f>IF((BL3-BF3)&gt;0,(ROUNDUP(((BL3-BF3)/5),0)),0)</f>
        <v>5</v>
      </c>
      <c r="BH3" s="227">
        <f>IF((BL3-BF3-BG3)&gt;0,(ROUNDUP(((BL3-BF3-BG3)/4),0)),0)</f>
        <v>5</v>
      </c>
      <c r="BI3" s="227">
        <f>IF((BL3-BF3-BG3-BH3)&gt;0,(ROUNDUP(((BL3-BF3-BG3-BH3)/3),0)),0)</f>
        <v>5</v>
      </c>
      <c r="BJ3" s="227">
        <f>IF((BL3-BF3-BG3-BH3-BI3)&gt;0,(ROUNDUP(((BL3-BF3-BG3-BH3-BI3)/2),0)),0)</f>
        <v>4</v>
      </c>
      <c r="BK3" s="227">
        <f>IF((BL3-BF3-BG3-BH3-BI3-BJ3)&gt;0,(ROUNDUP(((BL3-BF3-BG3-BH3-BI3-BJ3)/1),0)),0)</f>
        <v>4</v>
      </c>
      <c r="BL3" s="224">
        <f>ROUND((VLOOKUP(A3,'PS - Cumulative pupils per year'!$A$3:$R$25,9,FALSE)),0)</f>
        <v>28</v>
      </c>
      <c r="BM3" s="230">
        <f>ROUNDUP(BS3/6,0)</f>
        <v>5</v>
      </c>
      <c r="BN3" s="230">
        <f>IF((BS3-BM3)&gt;0,(ROUNDUP(((BS3-BM3)/5),0)),0)</f>
        <v>5</v>
      </c>
      <c r="BO3" s="230">
        <f>IF((BS3-BM3-BN3)&gt;0,(ROUNDUP(((BS3-BM3-BN3)/4),0)),0)</f>
        <v>5</v>
      </c>
      <c r="BP3" s="230">
        <f>IF((BS3-BM3-BN3-BO3)&gt;0,(ROUNDUP(((BS3-BM3-BN3-BO3)/3),0)),0)</f>
        <v>5</v>
      </c>
      <c r="BQ3" s="230">
        <f>IF((BS3-BM3-BN3-BO3-BP3)&gt;0,(ROUNDUP(((BS3-BM3-BN3-BO3-BP3)/2),0)),0)</f>
        <v>4</v>
      </c>
      <c r="BR3" s="230">
        <f>IF((BS3-BM3-BN3-BO3-BP3-BQ3)&gt;0,(ROUNDUP(((BS3-BM3-BN3-BO3-BP3-BQ3)/1),0)),0)</f>
        <v>4</v>
      </c>
      <c r="BS3" s="225">
        <f>ROUND((VLOOKUP(A3,'PS - Cumulative pupils per year'!$A$3:$R$25,10,FALSE)),0)</f>
        <v>28</v>
      </c>
      <c r="BT3" s="227">
        <f>ROUNDUP(BZ3/6,0)</f>
        <v>5</v>
      </c>
      <c r="BU3" s="227">
        <f>IF((BZ3-BT3)&gt;0,(ROUNDUP(((BZ3-BT3)/5),0)),0)</f>
        <v>5</v>
      </c>
      <c r="BV3" s="227">
        <f>IF((BZ3-BT3-BU3)&gt;0,(ROUNDUP(((BZ3-BT3-BU3)/4),0)),0)</f>
        <v>5</v>
      </c>
      <c r="BW3" s="227">
        <f>IF((BZ3-BT3-BU3-BV3)&gt;0,(ROUNDUP(((BZ3-BT3-BU3-BV3)/3),0)),0)</f>
        <v>5</v>
      </c>
      <c r="BX3" s="227">
        <f>IF((BZ3-BT3-BU3-BV3-BW3)&gt;0,(ROUNDUP(((BZ3-BT3-BU3-BV3-BW3)/2),0)),0)</f>
        <v>4</v>
      </c>
      <c r="BY3" s="227">
        <f>IF((BZ3-BT3-BU3-BV3-BW3-BX3)&gt;0,(ROUNDUP(((BZ3-BT3-BU3-BV3-BW3-BX3)/1),0)),0)</f>
        <v>4</v>
      </c>
      <c r="BZ3" s="224">
        <f>ROUND((VLOOKUP(A3,'PS - Cumulative pupils per year'!$A$3:$R$25,11,FALSE)),0)</f>
        <v>28</v>
      </c>
      <c r="CA3" s="230">
        <f>ROUNDUP(CG3/6,0)</f>
        <v>5</v>
      </c>
      <c r="CB3" s="230">
        <f>IF((CG3-CA3)&gt;0,(ROUNDUP(((CG3-CA3)/5),0)),0)</f>
        <v>5</v>
      </c>
      <c r="CC3" s="230">
        <f>IF((CG3-CA3-CB3)&gt;0,(ROUNDUP(((CG3-CA3-CB3)/4),0)),0)</f>
        <v>5</v>
      </c>
      <c r="CD3" s="230">
        <f>IF((CG3-CA3-CB3-CC3)&gt;0,(ROUNDUP(((CG3-CA3-CB3-CC3)/3),0)),0)</f>
        <v>5</v>
      </c>
      <c r="CE3" s="230">
        <f>IF((CG3-CA3-CB3-CC3-CD3)&gt;0,(ROUNDUP(((CG3-CA3-CB3-CC3-CD3)/2),0)),0)</f>
        <v>4</v>
      </c>
      <c r="CF3" s="230">
        <f>IF((CG3-CA3-CB3-CC3-CD3-CE3)&gt;0,(ROUNDUP(((CG3-CA3-CB3-CC3-CD3-CE3)/1),0)),0)</f>
        <v>4</v>
      </c>
      <c r="CG3" s="228">
        <f>ROUND((VLOOKUP(A3,'PS - Cumulative pupils per year'!$A$3:$R$25,12,FALSE)),0)</f>
        <v>28</v>
      </c>
      <c r="CH3" s="227">
        <f>ROUNDUP(CN3/6,0)</f>
        <v>5</v>
      </c>
      <c r="CI3" s="227">
        <f>IF((CN3-CH3)&gt;0,(ROUNDUP(((CN3-CH3)/5),0)),0)</f>
        <v>5</v>
      </c>
      <c r="CJ3" s="227">
        <f>IF((CN3-CH3-CI3)&gt;0,(ROUNDUP(((CN3-CH3-CI3)/4),0)),0)</f>
        <v>5</v>
      </c>
      <c r="CK3" s="227">
        <f>IF((CN3-CH3-CI3-CJ3)&gt;0,(ROUNDUP(((CN3-CH3-CI3-CJ3)/3),0)),0)</f>
        <v>5</v>
      </c>
      <c r="CL3" s="227">
        <f>IF((CN3-CH3-CI3-CJ3-CK3)&gt;0,(ROUNDUP(((CN3-CH3-CI3-CJ3-CK3)/2),0)),0)</f>
        <v>4</v>
      </c>
      <c r="CM3" s="227">
        <f>IF((CN3-CH3-CI3-CJ3-CK3-CL3)&gt;0,(ROUNDUP(((CN3-CH3-CI3-CJ3-CK3-CL3)/1),0)),0)</f>
        <v>4</v>
      </c>
      <c r="CN3" s="224">
        <f>ROUND((VLOOKUP(A3,'PS - Cumulative pupils per year'!$A$3:$R$25,13,FALSE)),0)</f>
        <v>28</v>
      </c>
      <c r="CO3" s="230">
        <f>ROUNDUP(CU3/6,0)</f>
        <v>5</v>
      </c>
      <c r="CP3" s="230">
        <f>IF((CU3-CO3)&gt;0,(ROUNDUP(((CU3-CO3)/5),0)),0)</f>
        <v>5</v>
      </c>
      <c r="CQ3" s="230">
        <f>IF((CU3-CO3-CP3)&gt;0,(ROUNDUP(((CU3-CO3-CP3)/4),0)),0)</f>
        <v>5</v>
      </c>
      <c r="CR3" s="230">
        <f>IF((CU3-CO3-CP3-CQ3)&gt;0,(ROUNDUP(((CU3-CO3-CP3-CQ3)/3),0)),0)</f>
        <v>5</v>
      </c>
      <c r="CS3" s="230">
        <f>IF((CU3-CO3-CP3-CQ3-CR3)&gt;0,(ROUNDUP(((CU3-CO3-CP3-CQ3-CR3)/2),0)),0)</f>
        <v>4</v>
      </c>
      <c r="CT3" s="230">
        <f>IF((CU3-CO3-CP3-CQ3-CR3-CS3)&gt;0,(ROUNDUP(((CU3-CO3-CP3-CQ3-CR3-CS3)/1),0)),0)</f>
        <v>4</v>
      </c>
      <c r="CU3" s="228">
        <f>ROUND((VLOOKUP(A3,'PS - Cumulative pupils per year'!$A$3:$R$25,14,FALSE)),0)</f>
        <v>28</v>
      </c>
      <c r="CV3" s="227">
        <f>ROUNDUP(DB3/6,0)</f>
        <v>5</v>
      </c>
      <c r="CW3" s="227">
        <f>IF((DB3-CV3)&gt;0,(ROUNDUP(((DB3-CV3)/5),0)),0)</f>
        <v>5</v>
      </c>
      <c r="CX3" s="227">
        <f>IF((DB3-CV3-CW3)&gt;0,(ROUNDUP(((DB3-CV3-CW3)/4),0)),0)</f>
        <v>5</v>
      </c>
      <c r="CY3" s="227">
        <f>IF((DB3-CV3-CW3-CX3)&gt;0,(ROUNDUP(((DB3-CV3-CW3-CX3)/3),0)),0)</f>
        <v>5</v>
      </c>
      <c r="CZ3" s="227">
        <f>IF((DB3-CV3-CW3-CX3-CY3)&gt;0,(ROUNDUP(((DB3-CV3-CW3-CX3-CY3)/2),0)),0)</f>
        <v>4</v>
      </c>
      <c r="DA3" s="227">
        <f>IF((DB3-CV3-CW3-CX3-CY3-CZ3)&gt;0,(ROUNDUP(((DB3-CV3-CW3-CX3-CY3-CZ3)/1),0)),0)</f>
        <v>4</v>
      </c>
      <c r="DB3" s="224">
        <f>ROUND((VLOOKUP(A3,'PS - Cumulative pupils per year'!$A$3:$R$25,15,FALSE)),0)</f>
        <v>28</v>
      </c>
    </row>
    <row r="4" spans="1:106" x14ac:dyDescent="0.2">
      <c r="A4" s="231" t="s">
        <v>92</v>
      </c>
      <c r="B4" s="227">
        <v>1</v>
      </c>
      <c r="C4" s="227">
        <v>1</v>
      </c>
      <c r="D4" s="227">
        <v>1</v>
      </c>
      <c r="E4" s="227">
        <v>1</v>
      </c>
      <c r="F4" s="227">
        <v>1</v>
      </c>
      <c r="G4" s="227">
        <v>0</v>
      </c>
      <c r="H4" s="224">
        <v>5</v>
      </c>
      <c r="I4" s="229">
        <f t="shared" ref="I4:I25" si="0">ROUNDUP(O4/6,0)</f>
        <v>1</v>
      </c>
      <c r="J4" s="229">
        <f t="shared" ref="J4:J25" si="1">IF((O4-I4)&gt;0,(ROUNDUP(((O4-I4)/5),0)),0)</f>
        <v>1</v>
      </c>
      <c r="K4" s="229">
        <f t="shared" ref="K4:K25" si="2">IF((O4-I4-J4)&gt;0,(ROUNDUP(((O4-I4-J4)/4),0)),0)</f>
        <v>1</v>
      </c>
      <c r="L4" s="229">
        <f t="shared" ref="L4:L25" si="3">IF((O4-I4-J4-K4)&gt;0,(ROUNDUP(((O4-I4-J4-K4)/3),0)),0)</f>
        <v>0</v>
      </c>
      <c r="M4" s="229">
        <f t="shared" ref="M4:M25" si="4">IF((O4-I4-J4-K4-L4)&gt;0,(ROUNDUP(((O4-I4-J4-K4-L4)/2),0)),0)</f>
        <v>0</v>
      </c>
      <c r="N4" s="229">
        <f t="shared" ref="N4:N25" si="5">IF((O4-I4-J4-K4-L4-M4)&gt;0,(ROUNDUP(((O4-I4-J4-K4-L4-M4)/1),0)),0)</f>
        <v>0</v>
      </c>
      <c r="O4" s="225">
        <f>ROUND((VLOOKUP(A4,'PS - Cumulative pupils per year'!$A$3:$R$25,2,FALSE)),0)</f>
        <v>3</v>
      </c>
      <c r="P4" s="227">
        <f t="shared" ref="P4:P25" si="6">ROUNDUP(V4/6,0)</f>
        <v>1</v>
      </c>
      <c r="Q4" s="227">
        <f t="shared" ref="Q4:Q25" si="7">IF((V4-P4)&gt;0,(ROUNDUP(((V4-P4)/5),0)),0)</f>
        <v>1</v>
      </c>
      <c r="R4" s="227">
        <f t="shared" ref="R4:R25" si="8">IF((V4-P4-Q4)&gt;0,(ROUNDUP(((V4-P4-Q4)/4),0)),0)</f>
        <v>1</v>
      </c>
      <c r="S4" s="227">
        <f t="shared" ref="S4:S25" si="9">IF((V4-P4-Q4-R4)&gt;0,(ROUNDUP(((V4-P4-Q4-R4)/3),0)),0)</f>
        <v>1</v>
      </c>
      <c r="T4" s="227">
        <f t="shared" ref="T4:T25" si="10">IF((V4-P4-Q4-R4-S4)&gt;0,(ROUNDUP(((V4-P4-Q4-R4-S4)/2),0)),0)</f>
        <v>1</v>
      </c>
      <c r="U4" s="227">
        <f t="shared" ref="U4:U25" si="11">IF((V4-P4-Q4-R4-S4-T4)&gt;0,(ROUNDUP(((V4-P4-Q4-R4-S4-T4)/1),0)),0)</f>
        <v>1</v>
      </c>
      <c r="V4" s="224">
        <f>ROUND((VLOOKUP(A4,'PS - Cumulative pupils per year'!$A$3:$R$25,3,FALSE)),0)</f>
        <v>6</v>
      </c>
      <c r="W4" s="230">
        <f t="shared" ref="W4:W25" si="12">ROUNDUP(AC4/6,0)</f>
        <v>2</v>
      </c>
      <c r="X4" s="230">
        <f t="shared" ref="X4:X25" si="13">IF((AC4-W4)&gt;0,(ROUNDUP(((AC4-W4)/5),0)),0)</f>
        <v>2</v>
      </c>
      <c r="Y4" s="230">
        <f t="shared" ref="Y4:Y25" si="14">IF((AC4-W4-X4)&gt;0,(ROUNDUP(((AC4-W4-X4)/4),0)),0)</f>
        <v>2</v>
      </c>
      <c r="Z4" s="230">
        <f t="shared" ref="Z4:Z25" si="15">IF((AC4-W4-X4-Y4)&gt;0,(ROUNDUP(((AC4-W4-X4-Y4)/3),0)),0)</f>
        <v>2</v>
      </c>
      <c r="AA4" s="230">
        <f t="shared" ref="AA4:AA25" si="16">IF((AC4-W4-X4-Y4-Z4)&gt;0,(ROUNDUP(((AC4-W4-X4-Y4-Z4)/2),0)),0)</f>
        <v>1</v>
      </c>
      <c r="AB4" s="230">
        <f t="shared" ref="AB4:AB25" si="17">IF((AC4-W4-X4-Y4-Z4-AA4)&gt;0,(ROUNDUP(((AC4-W4-X4-Y4-Z4-AA4)/1),0)),0)</f>
        <v>1</v>
      </c>
      <c r="AC4" s="225">
        <f>ROUND((VLOOKUP(A4,'PS - Cumulative pupils per year'!$A$3:$R$25,4,FALSE)),0)</f>
        <v>10</v>
      </c>
      <c r="AD4" s="227">
        <f t="shared" ref="AD4:AD25" si="18">ROUNDUP(AJ4/6,0)</f>
        <v>2</v>
      </c>
      <c r="AE4" s="227">
        <f t="shared" ref="AE4:AE25" si="19">IF((AJ4-AD4)&gt;0,(ROUNDUP(((AJ4-AD4)/5),0)),0)</f>
        <v>2</v>
      </c>
      <c r="AF4" s="227">
        <f t="shared" ref="AF4:AF25" si="20">IF((AJ4-AD4-AE4)&gt;0,(ROUNDUP(((AJ4-AD4-AE4)/4),0)),0)</f>
        <v>2</v>
      </c>
      <c r="AG4" s="227">
        <f t="shared" ref="AG4:AG25" si="21">IF((AJ4-AD4-AE4-AF4)&gt;0,(ROUNDUP(((AJ4-AD4-AE4-AF4)/3),0)),0)</f>
        <v>2</v>
      </c>
      <c r="AH4" s="227">
        <f t="shared" ref="AH4:AH25" si="22">IF((AJ4-AD4-AE4-AF4-AG4)&gt;0,(ROUNDUP(((AJ4-AD4-AE4-AF4-AG4)/2),0)),0)</f>
        <v>2</v>
      </c>
      <c r="AI4" s="227">
        <f t="shared" ref="AI4:AI25" si="23">IF((AJ4-AD4-AE4-AF4-AG4-AH4)&gt;0,(ROUNDUP(((AJ4-AD4-AE4-AF4-AG4-AH4)/1),0)),0)</f>
        <v>2</v>
      </c>
      <c r="AJ4" s="224">
        <f>ROUND((VLOOKUP(A4,'PS - Cumulative pupils per year'!$A$3:$R$25,5,FALSE)),0)</f>
        <v>12</v>
      </c>
      <c r="AK4" s="230">
        <f t="shared" ref="AK4:AK25" si="24">ROUNDUP(AQ4/6,0)</f>
        <v>2</v>
      </c>
      <c r="AL4" s="230">
        <f t="shared" ref="AL4:AL25" si="25">IF((AQ4-AK4)&gt;0,(ROUNDUP(((AQ4-AK4)/5),0)),0)</f>
        <v>2</v>
      </c>
      <c r="AM4" s="230">
        <f t="shared" ref="AM4:AM25" si="26">IF((AQ4-AK4-AL4)&gt;0,(ROUNDUP(((AQ4-AK4-AL4)/4),0)),0)</f>
        <v>2</v>
      </c>
      <c r="AN4" s="230">
        <f t="shared" ref="AN4:AN25" si="27">IF((AQ4-AK4-AL4-AM4)&gt;0,(ROUNDUP(((AQ4-AK4-AL4-AM4)/3),0)),0)</f>
        <v>2</v>
      </c>
      <c r="AO4" s="230">
        <f t="shared" ref="AO4:AO25" si="28">IF((AQ4-AK4-AL4-AM4-AN4)&gt;0,(ROUNDUP(((AQ4-AK4-AL4-AM4-AN4)/2),0)),0)</f>
        <v>2</v>
      </c>
      <c r="AP4" s="230">
        <f t="shared" ref="AP4:AP25" si="29">IF((AQ4-AK4-AL4-AM4-AN4-AO4)&gt;0,(ROUNDUP(((AQ4-AK4-AL4-AM4-AN4-AO4)/1),0)),0)</f>
        <v>2</v>
      </c>
      <c r="AQ4" s="225">
        <f>ROUND((VLOOKUP(A4,'PS - Cumulative pupils per year'!$A$3:$R$25,6,FALSE)),0)</f>
        <v>12</v>
      </c>
      <c r="AR4" s="227">
        <f t="shared" ref="AR4:AR25" si="30">ROUNDUP(AX4/6,0)</f>
        <v>2</v>
      </c>
      <c r="AS4" s="227">
        <f t="shared" ref="AS4:AS25" si="31">IF((AX4-AR4)&gt;0,(ROUNDUP(((AX4-AR4)/5),0)),0)</f>
        <v>2</v>
      </c>
      <c r="AT4" s="227">
        <f t="shared" ref="AT4:AT25" si="32">IF((AX4-AR4-AS4)&gt;0,(ROUNDUP(((AX4-AR4-AS4)/4),0)),0)</f>
        <v>2</v>
      </c>
      <c r="AU4" s="227">
        <f t="shared" ref="AU4:AU25" si="33">IF((AX4-AR4-AS4-AT4)&gt;0,(ROUNDUP(((AX4-AR4-AS4-AT4)/3),0)),0)</f>
        <v>2</v>
      </c>
      <c r="AV4" s="227">
        <f t="shared" ref="AV4:AV25" si="34">IF((AX4-AR4-AS4-AT4-AU4)&gt;0,(ROUNDUP(((AX4-AR4-AS4-AT4-AU4)/2),0)),0)</f>
        <v>2</v>
      </c>
      <c r="AW4" s="227">
        <f t="shared" ref="AW4:AW25" si="35">IF((AX4-AR4-AS4-AT4-AU4-AV4)&gt;0,(ROUNDUP(((AX4-AR4-AS4-AT4-AU4-AV4)/1),0)),0)</f>
        <v>2</v>
      </c>
      <c r="AX4" s="224">
        <f>ROUND((VLOOKUP(A4,'PS - Cumulative pupils per year'!$A$3:$R$25,7,FALSE)),0)</f>
        <v>12</v>
      </c>
      <c r="AY4" s="230">
        <f t="shared" ref="AY4:AY25" si="36">ROUNDUP(BE4/6,0)</f>
        <v>2</v>
      </c>
      <c r="AZ4" s="230">
        <f t="shared" ref="AZ4:AZ25" si="37">IF((BE4-AY4)&gt;0,(ROUNDUP(((BE4-AY4)/5),0)),0)</f>
        <v>2</v>
      </c>
      <c r="BA4" s="230">
        <f t="shared" ref="BA4:BA25" si="38">IF((BE4-AY4-AZ4)&gt;0,(ROUNDUP(((BE4-AY4-AZ4)/4),0)),0)</f>
        <v>2</v>
      </c>
      <c r="BB4" s="230">
        <f t="shared" ref="BB4:BB25" si="39">IF((BE4-AY4-AZ4-BA4)&gt;0,(ROUNDUP(((BE4-AY4-AZ4-BA4)/3),0)),0)</f>
        <v>2</v>
      </c>
      <c r="BC4" s="230">
        <f t="shared" ref="BC4:BC25" si="40">IF((BE4-AY4-AZ4-BA4-BB4)&gt;0,(ROUNDUP(((BE4-AY4-AZ4-BA4-BB4)/2),0)),0)</f>
        <v>2</v>
      </c>
      <c r="BD4" s="230">
        <f t="shared" ref="BD4:BD25" si="41">IF((BE4-AY4-AZ4-BA4-BB4-BC4)&gt;0,(ROUNDUP(((BE4-AY4-AZ4-BA4-BB4-BC4)/1),0)),0)</f>
        <v>2</v>
      </c>
      <c r="BE4" s="225">
        <f>ROUND((VLOOKUP(A4,'PS - Cumulative pupils per year'!$A$3:$R$25,8,FALSE)),0)</f>
        <v>12</v>
      </c>
      <c r="BF4" s="227">
        <f t="shared" ref="BF4:BF25" si="42">ROUNDUP(BL4/6,0)</f>
        <v>2</v>
      </c>
      <c r="BG4" s="227">
        <f t="shared" ref="BG4:BG25" si="43">IF((BL4-BF4)&gt;0,(ROUNDUP(((BL4-BF4)/5),0)),0)</f>
        <v>2</v>
      </c>
      <c r="BH4" s="227">
        <f t="shared" ref="BH4:BH25" si="44">IF((BL4-BF4-BG4)&gt;0,(ROUNDUP(((BL4-BF4-BG4)/4),0)),0)</f>
        <v>2</v>
      </c>
      <c r="BI4" s="227">
        <f t="shared" ref="BI4:BI25" si="45">IF((BL4-BF4-BG4-BH4)&gt;0,(ROUNDUP(((BL4-BF4-BG4-BH4)/3),0)),0)</f>
        <v>2</v>
      </c>
      <c r="BJ4" s="227">
        <f t="shared" ref="BJ4:BJ25" si="46">IF((BL4-BF4-BG4-BH4-BI4)&gt;0,(ROUNDUP(((BL4-BF4-BG4-BH4-BI4)/2),0)),0)</f>
        <v>2</v>
      </c>
      <c r="BK4" s="227">
        <f t="shared" ref="BK4:BK25" si="47">IF((BL4-BF4-BG4-BH4-BI4-BJ4)&gt;0,(ROUNDUP(((BL4-BF4-BG4-BH4-BI4-BJ4)/1),0)),0)</f>
        <v>2</v>
      </c>
      <c r="BL4" s="224">
        <f>ROUND((VLOOKUP(A4,'PS - Cumulative pupils per year'!$A$3:$R$25,9,FALSE)),0)</f>
        <v>12</v>
      </c>
      <c r="BM4" s="230">
        <f t="shared" ref="BM4:BM25" si="48">ROUNDUP(BS4/6,0)</f>
        <v>2</v>
      </c>
      <c r="BN4" s="230">
        <f t="shared" ref="BN4:BN25" si="49">IF((BS4-BM4)&gt;0,(ROUNDUP(((BS4-BM4)/5),0)),0)</f>
        <v>2</v>
      </c>
      <c r="BO4" s="230">
        <f t="shared" ref="BO4:BO25" si="50">IF((BS4-BM4-BN4)&gt;0,(ROUNDUP(((BS4-BM4-BN4)/4),0)),0)</f>
        <v>2</v>
      </c>
      <c r="BP4" s="230">
        <f t="shared" ref="BP4:BP25" si="51">IF((BS4-BM4-BN4-BO4)&gt;0,(ROUNDUP(((BS4-BM4-BN4-BO4)/3),0)),0)</f>
        <v>2</v>
      </c>
      <c r="BQ4" s="230">
        <f t="shared" ref="BQ4:BQ25" si="52">IF((BS4-BM4-BN4-BO4-BP4)&gt;0,(ROUNDUP(((BS4-BM4-BN4-BO4-BP4)/2),0)),0)</f>
        <v>2</v>
      </c>
      <c r="BR4" s="230">
        <f t="shared" ref="BR4:BR25" si="53">IF((BS4-BM4-BN4-BO4-BP4-BQ4)&gt;0,(ROUNDUP(((BS4-BM4-BN4-BO4-BP4-BQ4)/1),0)),0)</f>
        <v>2</v>
      </c>
      <c r="BS4" s="225">
        <f>ROUND((VLOOKUP(A4,'PS - Cumulative pupils per year'!$A$3:$R$25,10,FALSE)),0)</f>
        <v>12</v>
      </c>
      <c r="BT4" s="227">
        <f t="shared" ref="BT4:BT25" si="54">ROUNDUP(BZ4/6,0)</f>
        <v>2</v>
      </c>
      <c r="BU4" s="227">
        <f t="shared" ref="BU4:BU25" si="55">IF((BZ4-BT4)&gt;0,(ROUNDUP(((BZ4-BT4)/5),0)),0)</f>
        <v>2</v>
      </c>
      <c r="BV4" s="227">
        <f t="shared" ref="BV4:BV25" si="56">IF((BZ4-BT4-BU4)&gt;0,(ROUNDUP(((BZ4-BT4-BU4)/4),0)),0)</f>
        <v>2</v>
      </c>
      <c r="BW4" s="227">
        <f t="shared" ref="BW4:BW25" si="57">IF((BZ4-BT4-BU4-BV4)&gt;0,(ROUNDUP(((BZ4-BT4-BU4-BV4)/3),0)),0)</f>
        <v>2</v>
      </c>
      <c r="BX4" s="227">
        <f t="shared" ref="BX4:BX25" si="58">IF((BZ4-BT4-BU4-BV4-BW4)&gt;0,(ROUNDUP(((BZ4-BT4-BU4-BV4-BW4)/2),0)),0)</f>
        <v>2</v>
      </c>
      <c r="BY4" s="227">
        <f t="shared" ref="BY4:BY25" si="59">IF((BZ4-BT4-BU4-BV4-BW4-BX4)&gt;0,(ROUNDUP(((BZ4-BT4-BU4-BV4-BW4-BX4)/1),0)),0)</f>
        <v>2</v>
      </c>
      <c r="BZ4" s="224">
        <f>ROUND((VLOOKUP(A4,'PS - Cumulative pupils per year'!$A$3:$R$25,11,FALSE)),0)</f>
        <v>12</v>
      </c>
      <c r="CA4" s="230">
        <f t="shared" ref="CA4:CA25" si="60">ROUNDUP(CG4/6,0)</f>
        <v>2</v>
      </c>
      <c r="CB4" s="230">
        <f t="shared" ref="CB4:CB25" si="61">IF((CG4-CA4)&gt;0,(ROUNDUP(((CG4-CA4)/5),0)),0)</f>
        <v>2</v>
      </c>
      <c r="CC4" s="230">
        <f t="shared" ref="CC4:CC25" si="62">IF((CG4-CA4-CB4)&gt;0,(ROUNDUP(((CG4-CA4-CB4)/4),0)),0)</f>
        <v>2</v>
      </c>
      <c r="CD4" s="230">
        <f t="shared" ref="CD4:CD25" si="63">IF((CG4-CA4-CB4-CC4)&gt;0,(ROUNDUP(((CG4-CA4-CB4-CC4)/3),0)),0)</f>
        <v>2</v>
      </c>
      <c r="CE4" s="230">
        <f t="shared" ref="CE4:CE25" si="64">IF((CG4-CA4-CB4-CC4-CD4)&gt;0,(ROUNDUP(((CG4-CA4-CB4-CC4-CD4)/2),0)),0)</f>
        <v>2</v>
      </c>
      <c r="CF4" s="230">
        <f t="shared" ref="CF4:CF25" si="65">IF((CG4-CA4-CB4-CC4-CD4-CE4)&gt;0,(ROUNDUP(((CG4-CA4-CB4-CC4-CD4-CE4)/1),0)),0)</f>
        <v>2</v>
      </c>
      <c r="CG4" s="228">
        <f>ROUND((VLOOKUP(A4,'PS - Cumulative pupils per year'!$A$3:$R$25,12,FALSE)),0)</f>
        <v>12</v>
      </c>
      <c r="CH4" s="227">
        <f t="shared" ref="CH4:CH25" si="66">ROUNDUP(CN4/6,0)</f>
        <v>2</v>
      </c>
      <c r="CI4" s="227">
        <f t="shared" ref="CI4:CI25" si="67">IF((CN4-CH4)&gt;0,(ROUNDUP(((CN4-CH4)/5),0)),0)</f>
        <v>2</v>
      </c>
      <c r="CJ4" s="227">
        <f t="shared" ref="CJ4:CJ25" si="68">IF((CN4-CH4-CI4)&gt;0,(ROUNDUP(((CN4-CH4-CI4)/4),0)),0)</f>
        <v>2</v>
      </c>
      <c r="CK4" s="227">
        <f t="shared" ref="CK4:CK25" si="69">IF((CN4-CH4-CI4-CJ4)&gt;0,(ROUNDUP(((CN4-CH4-CI4-CJ4)/3),0)),0)</f>
        <v>2</v>
      </c>
      <c r="CL4" s="227">
        <f t="shared" ref="CL4:CL25" si="70">IF((CN4-CH4-CI4-CJ4-CK4)&gt;0,(ROUNDUP(((CN4-CH4-CI4-CJ4-CK4)/2),0)),0)</f>
        <v>2</v>
      </c>
      <c r="CM4" s="227">
        <f t="shared" ref="CM4:CM25" si="71">IF((CN4-CH4-CI4-CJ4-CK4-CL4)&gt;0,(ROUNDUP(((CN4-CH4-CI4-CJ4-CK4-CL4)/1),0)),0)</f>
        <v>2</v>
      </c>
      <c r="CN4" s="224">
        <f>ROUND((VLOOKUP(A4,'PS - Cumulative pupils per year'!$A$3:$R$25,13,FALSE)),0)</f>
        <v>12</v>
      </c>
      <c r="CO4" s="230">
        <f t="shared" ref="CO4:CO25" si="72">ROUNDUP(CU4/6,0)</f>
        <v>2</v>
      </c>
      <c r="CP4" s="230">
        <f t="shared" ref="CP4:CP25" si="73">IF((CU4-CO4)&gt;0,(ROUNDUP(((CU4-CO4)/5),0)),0)</f>
        <v>2</v>
      </c>
      <c r="CQ4" s="230">
        <f t="shared" ref="CQ4:CQ25" si="74">IF((CU4-CO4-CP4)&gt;0,(ROUNDUP(((CU4-CO4-CP4)/4),0)),0)</f>
        <v>2</v>
      </c>
      <c r="CR4" s="230">
        <f t="shared" ref="CR4:CR25" si="75">IF((CU4-CO4-CP4-CQ4)&gt;0,(ROUNDUP(((CU4-CO4-CP4-CQ4)/3),0)),0)</f>
        <v>2</v>
      </c>
      <c r="CS4" s="230">
        <f t="shared" ref="CS4:CS25" si="76">IF((CU4-CO4-CP4-CQ4-CR4)&gt;0,(ROUNDUP(((CU4-CO4-CP4-CQ4-CR4)/2),0)),0)</f>
        <v>2</v>
      </c>
      <c r="CT4" s="230">
        <f t="shared" ref="CT4:CT25" si="77">IF((CU4-CO4-CP4-CQ4-CR4-CS4)&gt;0,(ROUNDUP(((CU4-CO4-CP4-CQ4-CR4-CS4)/1),0)),0)</f>
        <v>2</v>
      </c>
      <c r="CU4" s="228">
        <f>ROUND((VLOOKUP(A4,'PS - Cumulative pupils per year'!$A$3:$R$25,14,FALSE)),0)</f>
        <v>12</v>
      </c>
      <c r="CV4" s="227">
        <f t="shared" ref="CV4:CV25" si="78">ROUNDUP(DB4/6,0)</f>
        <v>2</v>
      </c>
      <c r="CW4" s="227">
        <f t="shared" ref="CW4:CW25" si="79">IF((DB4-CV4)&gt;0,(ROUNDUP(((DB4-CV4)/5),0)),0)</f>
        <v>2</v>
      </c>
      <c r="CX4" s="227">
        <f t="shared" ref="CX4:CX25" si="80">IF((DB4-CV4-CW4)&gt;0,(ROUNDUP(((DB4-CV4-CW4)/4),0)),0)</f>
        <v>2</v>
      </c>
      <c r="CY4" s="227">
        <f t="shared" ref="CY4:CY25" si="81">IF((DB4-CV4-CW4-CX4)&gt;0,(ROUNDUP(((DB4-CV4-CW4-CX4)/3),0)),0)</f>
        <v>2</v>
      </c>
      <c r="CZ4" s="227">
        <f t="shared" ref="CZ4:CZ25" si="82">IF((DB4-CV4-CW4-CX4-CY4)&gt;0,(ROUNDUP(((DB4-CV4-CW4-CX4-CY4)/2),0)),0)</f>
        <v>2</v>
      </c>
      <c r="DA4" s="227">
        <f t="shared" ref="DA4:DA25" si="83">IF((DB4-CV4-CW4-CX4-CY4-CZ4)&gt;0,(ROUNDUP(((DB4-CV4-CW4-CX4-CY4-CZ4)/1),0)),0)</f>
        <v>2</v>
      </c>
      <c r="DB4" s="224">
        <f>ROUND((VLOOKUP(A4,'PS - Cumulative pupils per year'!$A$3:$R$25,15,FALSE)),0)</f>
        <v>12</v>
      </c>
    </row>
    <row r="5" spans="1:106" x14ac:dyDescent="0.2">
      <c r="A5" s="231" t="s">
        <v>93</v>
      </c>
      <c r="B5" s="227">
        <v>1</v>
      </c>
      <c r="C5" s="227">
        <v>1</v>
      </c>
      <c r="D5" s="227">
        <v>0</v>
      </c>
      <c r="E5" s="227">
        <v>0</v>
      </c>
      <c r="F5" s="227">
        <v>0</v>
      </c>
      <c r="G5" s="227">
        <v>0</v>
      </c>
      <c r="H5" s="224">
        <v>2</v>
      </c>
      <c r="I5" s="229">
        <f t="shared" si="0"/>
        <v>0</v>
      </c>
      <c r="J5" s="229">
        <f t="shared" si="1"/>
        <v>0</v>
      </c>
      <c r="K5" s="229">
        <f t="shared" si="2"/>
        <v>0</v>
      </c>
      <c r="L5" s="229">
        <f t="shared" si="3"/>
        <v>0</v>
      </c>
      <c r="M5" s="229">
        <f t="shared" si="4"/>
        <v>0</v>
      </c>
      <c r="N5" s="229">
        <f t="shared" si="5"/>
        <v>0</v>
      </c>
      <c r="O5" s="225">
        <f>ROUND((VLOOKUP(A5,'PS - Cumulative pupils per year'!$A$3:$R$25,2,FALSE)),0)</f>
        <v>0</v>
      </c>
      <c r="P5" s="227">
        <f t="shared" si="6"/>
        <v>2</v>
      </c>
      <c r="Q5" s="227">
        <f t="shared" si="7"/>
        <v>2</v>
      </c>
      <c r="R5" s="227">
        <f t="shared" si="8"/>
        <v>1</v>
      </c>
      <c r="S5" s="227">
        <f t="shared" si="9"/>
        <v>1</v>
      </c>
      <c r="T5" s="227">
        <f t="shared" si="10"/>
        <v>1</v>
      </c>
      <c r="U5" s="227">
        <f t="shared" si="11"/>
        <v>1</v>
      </c>
      <c r="V5" s="224">
        <f>ROUND((VLOOKUP(A5,'PS - Cumulative pupils per year'!$A$3:$R$25,3,FALSE)),0)</f>
        <v>8</v>
      </c>
      <c r="W5" s="230">
        <f t="shared" si="12"/>
        <v>4</v>
      </c>
      <c r="X5" s="230">
        <f t="shared" si="13"/>
        <v>3</v>
      </c>
      <c r="Y5" s="230">
        <f t="shared" si="14"/>
        <v>3</v>
      </c>
      <c r="Z5" s="230">
        <f t="shared" si="15"/>
        <v>3</v>
      </c>
      <c r="AA5" s="230">
        <f t="shared" si="16"/>
        <v>3</v>
      </c>
      <c r="AB5" s="230">
        <f t="shared" si="17"/>
        <v>3</v>
      </c>
      <c r="AC5" s="225">
        <f>ROUND((VLOOKUP(A5,'PS - Cumulative pupils per year'!$A$3:$R$25,4,FALSE)),0)</f>
        <v>19</v>
      </c>
      <c r="AD5" s="227">
        <f t="shared" si="18"/>
        <v>5</v>
      </c>
      <c r="AE5" s="227">
        <f t="shared" si="19"/>
        <v>5</v>
      </c>
      <c r="AF5" s="227">
        <f t="shared" si="20"/>
        <v>5</v>
      </c>
      <c r="AG5" s="227">
        <f t="shared" si="21"/>
        <v>4</v>
      </c>
      <c r="AH5" s="227">
        <f t="shared" si="22"/>
        <v>4</v>
      </c>
      <c r="AI5" s="227">
        <f t="shared" si="23"/>
        <v>4</v>
      </c>
      <c r="AJ5" s="224">
        <f>ROUND((VLOOKUP(A5,'PS - Cumulative pupils per year'!$A$3:$R$25,5,FALSE)),0)</f>
        <v>27</v>
      </c>
      <c r="AK5" s="230">
        <f t="shared" si="24"/>
        <v>5</v>
      </c>
      <c r="AL5" s="230">
        <f t="shared" si="25"/>
        <v>5</v>
      </c>
      <c r="AM5" s="230">
        <f t="shared" si="26"/>
        <v>5</v>
      </c>
      <c r="AN5" s="230">
        <f t="shared" si="27"/>
        <v>5</v>
      </c>
      <c r="AO5" s="230">
        <f t="shared" si="28"/>
        <v>5</v>
      </c>
      <c r="AP5" s="230">
        <f t="shared" si="29"/>
        <v>4</v>
      </c>
      <c r="AQ5" s="225">
        <f>ROUND((VLOOKUP(A5,'PS - Cumulative pupils per year'!$A$3:$R$25,6,FALSE)),0)</f>
        <v>29</v>
      </c>
      <c r="AR5" s="227">
        <f t="shared" si="30"/>
        <v>7</v>
      </c>
      <c r="AS5" s="227">
        <f t="shared" si="31"/>
        <v>7</v>
      </c>
      <c r="AT5" s="227">
        <f t="shared" si="32"/>
        <v>7</v>
      </c>
      <c r="AU5" s="227">
        <f t="shared" si="33"/>
        <v>7</v>
      </c>
      <c r="AV5" s="227">
        <f t="shared" si="34"/>
        <v>6</v>
      </c>
      <c r="AW5" s="227">
        <f t="shared" si="35"/>
        <v>6</v>
      </c>
      <c r="AX5" s="224">
        <f>ROUND((VLOOKUP(A5,'PS - Cumulative pupils per year'!$A$3:$R$25,7,FALSE)),0)</f>
        <v>40</v>
      </c>
      <c r="AY5" s="230">
        <f t="shared" si="36"/>
        <v>10</v>
      </c>
      <c r="AZ5" s="230">
        <f t="shared" si="37"/>
        <v>10</v>
      </c>
      <c r="BA5" s="230">
        <f t="shared" si="38"/>
        <v>9</v>
      </c>
      <c r="BB5" s="230">
        <f t="shared" si="39"/>
        <v>9</v>
      </c>
      <c r="BC5" s="230">
        <f t="shared" si="40"/>
        <v>9</v>
      </c>
      <c r="BD5" s="230">
        <f t="shared" si="41"/>
        <v>9</v>
      </c>
      <c r="BE5" s="225">
        <f>ROUND((VLOOKUP(A5,'PS - Cumulative pupils per year'!$A$3:$R$25,8,FALSE)),0)</f>
        <v>56</v>
      </c>
      <c r="BF5" s="227">
        <f t="shared" si="42"/>
        <v>12</v>
      </c>
      <c r="BG5" s="227">
        <f t="shared" si="43"/>
        <v>12</v>
      </c>
      <c r="BH5" s="227">
        <f t="shared" si="44"/>
        <v>12</v>
      </c>
      <c r="BI5" s="227">
        <f t="shared" si="45"/>
        <v>12</v>
      </c>
      <c r="BJ5" s="227">
        <f t="shared" si="46"/>
        <v>12</v>
      </c>
      <c r="BK5" s="227">
        <f t="shared" si="47"/>
        <v>12</v>
      </c>
      <c r="BL5" s="224">
        <f>ROUND((VLOOKUP(A5,'PS - Cumulative pupils per year'!$A$3:$R$25,9,FALSE)),0)</f>
        <v>72</v>
      </c>
      <c r="BM5" s="230">
        <f t="shared" si="48"/>
        <v>15</v>
      </c>
      <c r="BN5" s="230">
        <f t="shared" si="49"/>
        <v>14</v>
      </c>
      <c r="BO5" s="230">
        <f t="shared" si="50"/>
        <v>14</v>
      </c>
      <c r="BP5" s="230">
        <f t="shared" si="51"/>
        <v>14</v>
      </c>
      <c r="BQ5" s="230">
        <f t="shared" si="52"/>
        <v>14</v>
      </c>
      <c r="BR5" s="230">
        <f t="shared" si="53"/>
        <v>14</v>
      </c>
      <c r="BS5" s="225">
        <f>ROUND((VLOOKUP(A5,'PS - Cumulative pupils per year'!$A$3:$R$25,10,FALSE)),0)</f>
        <v>85</v>
      </c>
      <c r="BT5" s="227">
        <f t="shared" si="54"/>
        <v>18</v>
      </c>
      <c r="BU5" s="227">
        <f t="shared" si="55"/>
        <v>18</v>
      </c>
      <c r="BV5" s="227">
        <f t="shared" si="56"/>
        <v>18</v>
      </c>
      <c r="BW5" s="227">
        <f t="shared" si="57"/>
        <v>18</v>
      </c>
      <c r="BX5" s="227">
        <f t="shared" si="58"/>
        <v>17</v>
      </c>
      <c r="BY5" s="227">
        <f t="shared" si="59"/>
        <v>17</v>
      </c>
      <c r="BZ5" s="224">
        <f>ROUND((VLOOKUP(A5,'PS - Cumulative pupils per year'!$A$3:$R$25,11,FALSE)),0)</f>
        <v>106</v>
      </c>
      <c r="CA5" s="230">
        <f t="shared" si="60"/>
        <v>19</v>
      </c>
      <c r="CB5" s="230">
        <f t="shared" si="61"/>
        <v>19</v>
      </c>
      <c r="CC5" s="230">
        <f t="shared" si="62"/>
        <v>19</v>
      </c>
      <c r="CD5" s="230">
        <f t="shared" si="63"/>
        <v>19</v>
      </c>
      <c r="CE5" s="230">
        <f t="shared" si="64"/>
        <v>18</v>
      </c>
      <c r="CF5" s="230">
        <f t="shared" si="65"/>
        <v>18</v>
      </c>
      <c r="CG5" s="228">
        <f>ROUND((VLOOKUP(A5,'PS - Cumulative pupils per year'!$A$3:$R$25,12,FALSE)),0)</f>
        <v>112</v>
      </c>
      <c r="CH5" s="227">
        <f t="shared" si="66"/>
        <v>20</v>
      </c>
      <c r="CI5" s="227">
        <f t="shared" si="67"/>
        <v>20</v>
      </c>
      <c r="CJ5" s="227">
        <f t="shared" si="68"/>
        <v>20</v>
      </c>
      <c r="CK5" s="227">
        <f t="shared" si="69"/>
        <v>20</v>
      </c>
      <c r="CL5" s="227">
        <f t="shared" si="70"/>
        <v>19</v>
      </c>
      <c r="CM5" s="227">
        <f t="shared" si="71"/>
        <v>19</v>
      </c>
      <c r="CN5" s="224">
        <f>ROUND((VLOOKUP(A5,'PS - Cumulative pupils per year'!$A$3:$R$25,13,FALSE)),0)</f>
        <v>118</v>
      </c>
      <c r="CO5" s="230">
        <f t="shared" si="72"/>
        <v>21</v>
      </c>
      <c r="CP5" s="230">
        <f t="shared" si="73"/>
        <v>21</v>
      </c>
      <c r="CQ5" s="230">
        <f t="shared" si="74"/>
        <v>21</v>
      </c>
      <c r="CR5" s="230">
        <f t="shared" si="75"/>
        <v>21</v>
      </c>
      <c r="CS5" s="230">
        <f t="shared" si="76"/>
        <v>20</v>
      </c>
      <c r="CT5" s="230">
        <f t="shared" si="77"/>
        <v>20</v>
      </c>
      <c r="CU5" s="228">
        <f>ROUND((VLOOKUP(A5,'PS - Cumulative pupils per year'!$A$3:$R$25,14,FALSE)),0)</f>
        <v>124</v>
      </c>
      <c r="CV5" s="227">
        <f t="shared" si="78"/>
        <v>22</v>
      </c>
      <c r="CW5" s="227">
        <f t="shared" si="79"/>
        <v>22</v>
      </c>
      <c r="CX5" s="227">
        <f t="shared" si="80"/>
        <v>22</v>
      </c>
      <c r="CY5" s="227">
        <f t="shared" si="81"/>
        <v>22</v>
      </c>
      <c r="CZ5" s="227">
        <f t="shared" si="82"/>
        <v>21</v>
      </c>
      <c r="DA5" s="227">
        <f t="shared" si="83"/>
        <v>21</v>
      </c>
      <c r="DB5" s="224">
        <f>ROUND((VLOOKUP(A5,'PS - Cumulative pupils per year'!$A$3:$R$25,15,FALSE)),0)</f>
        <v>130</v>
      </c>
    </row>
    <row r="6" spans="1:106" x14ac:dyDescent="0.2">
      <c r="A6" s="231" t="s">
        <v>98</v>
      </c>
      <c r="B6" s="227">
        <v>6</v>
      </c>
      <c r="C6" s="227">
        <v>6</v>
      </c>
      <c r="D6" s="227">
        <v>6</v>
      </c>
      <c r="E6" s="227">
        <v>5</v>
      </c>
      <c r="F6" s="227">
        <v>5</v>
      </c>
      <c r="G6" s="227">
        <v>5</v>
      </c>
      <c r="H6" s="224">
        <v>33</v>
      </c>
      <c r="I6" s="229">
        <f t="shared" si="0"/>
        <v>10</v>
      </c>
      <c r="J6" s="229">
        <f t="shared" si="1"/>
        <v>10</v>
      </c>
      <c r="K6" s="229">
        <f t="shared" si="2"/>
        <v>10</v>
      </c>
      <c r="L6" s="229">
        <f t="shared" si="3"/>
        <v>10</v>
      </c>
      <c r="M6" s="229">
        <f t="shared" si="4"/>
        <v>10</v>
      </c>
      <c r="N6" s="229">
        <f t="shared" si="5"/>
        <v>10</v>
      </c>
      <c r="O6" s="225">
        <f>ROUND((VLOOKUP(A6,'PS - Cumulative pupils per year'!$A$3:$R$25,2,FALSE)),0)</f>
        <v>60</v>
      </c>
      <c r="P6" s="227">
        <f t="shared" si="6"/>
        <v>20</v>
      </c>
      <c r="Q6" s="227">
        <f t="shared" si="7"/>
        <v>20</v>
      </c>
      <c r="R6" s="227">
        <f t="shared" si="8"/>
        <v>19</v>
      </c>
      <c r="S6" s="227">
        <f t="shared" si="9"/>
        <v>19</v>
      </c>
      <c r="T6" s="227">
        <f t="shared" si="10"/>
        <v>19</v>
      </c>
      <c r="U6" s="227">
        <f t="shared" si="11"/>
        <v>19</v>
      </c>
      <c r="V6" s="224">
        <f>ROUND((VLOOKUP(A6,'PS - Cumulative pupils per year'!$A$3:$R$25,3,FALSE)),0)</f>
        <v>116</v>
      </c>
      <c r="W6" s="230">
        <f t="shared" si="12"/>
        <v>28</v>
      </c>
      <c r="X6" s="230">
        <f t="shared" si="13"/>
        <v>28</v>
      </c>
      <c r="Y6" s="230">
        <f t="shared" si="14"/>
        <v>28</v>
      </c>
      <c r="Z6" s="230">
        <f t="shared" si="15"/>
        <v>28</v>
      </c>
      <c r="AA6" s="230">
        <f t="shared" si="16"/>
        <v>28</v>
      </c>
      <c r="AB6" s="230">
        <f t="shared" si="17"/>
        <v>28</v>
      </c>
      <c r="AC6" s="225">
        <f>ROUND((VLOOKUP(A6,'PS - Cumulative pupils per year'!$A$3:$R$25,4,FALSE)),0)</f>
        <v>168</v>
      </c>
      <c r="AD6" s="227">
        <f t="shared" si="18"/>
        <v>37</v>
      </c>
      <c r="AE6" s="227">
        <f t="shared" si="19"/>
        <v>36</v>
      </c>
      <c r="AF6" s="227">
        <f t="shared" si="20"/>
        <v>36</v>
      </c>
      <c r="AG6" s="227">
        <f t="shared" si="21"/>
        <v>36</v>
      </c>
      <c r="AH6" s="227">
        <f t="shared" si="22"/>
        <v>36</v>
      </c>
      <c r="AI6" s="227">
        <f t="shared" si="23"/>
        <v>36</v>
      </c>
      <c r="AJ6" s="224">
        <f>ROUND((VLOOKUP(A6,'PS - Cumulative pupils per year'!$A$3:$R$25,5,FALSE)),0)</f>
        <v>217</v>
      </c>
      <c r="AK6" s="230">
        <f t="shared" si="24"/>
        <v>46</v>
      </c>
      <c r="AL6" s="230">
        <f t="shared" si="25"/>
        <v>46</v>
      </c>
      <c r="AM6" s="230">
        <f t="shared" si="26"/>
        <v>45</v>
      </c>
      <c r="AN6" s="230">
        <f t="shared" si="27"/>
        <v>45</v>
      </c>
      <c r="AO6" s="230">
        <f t="shared" si="28"/>
        <v>45</v>
      </c>
      <c r="AP6" s="230">
        <f t="shared" si="29"/>
        <v>45</v>
      </c>
      <c r="AQ6" s="225">
        <f>ROUND((VLOOKUP(A6,'PS - Cumulative pupils per year'!$A$3:$R$25,6,FALSE)),0)</f>
        <v>272</v>
      </c>
      <c r="AR6" s="227">
        <f t="shared" si="30"/>
        <v>54</v>
      </c>
      <c r="AS6" s="227">
        <f t="shared" si="31"/>
        <v>53</v>
      </c>
      <c r="AT6" s="227">
        <f t="shared" si="32"/>
        <v>53</v>
      </c>
      <c r="AU6" s="227">
        <f t="shared" si="33"/>
        <v>53</v>
      </c>
      <c r="AV6" s="227">
        <f t="shared" si="34"/>
        <v>53</v>
      </c>
      <c r="AW6" s="227">
        <f t="shared" si="35"/>
        <v>53</v>
      </c>
      <c r="AX6" s="224">
        <f>ROUND((VLOOKUP(A6,'PS - Cumulative pupils per year'!$A$3:$R$25,7,FALSE)),0)</f>
        <v>319</v>
      </c>
      <c r="AY6" s="230">
        <f t="shared" si="36"/>
        <v>60</v>
      </c>
      <c r="AZ6" s="230">
        <f t="shared" si="37"/>
        <v>60</v>
      </c>
      <c r="BA6" s="230">
        <f t="shared" si="38"/>
        <v>60</v>
      </c>
      <c r="BB6" s="230">
        <f t="shared" si="39"/>
        <v>60</v>
      </c>
      <c r="BC6" s="230">
        <f t="shared" si="40"/>
        <v>60</v>
      </c>
      <c r="BD6" s="230">
        <f t="shared" si="41"/>
        <v>59</v>
      </c>
      <c r="BE6" s="225">
        <f>ROUND((VLOOKUP(A6,'PS - Cumulative pupils per year'!$A$3:$R$25,8,FALSE)),0)</f>
        <v>359</v>
      </c>
      <c r="BF6" s="227">
        <f t="shared" si="42"/>
        <v>68</v>
      </c>
      <c r="BG6" s="227">
        <f t="shared" si="43"/>
        <v>68</v>
      </c>
      <c r="BH6" s="227">
        <f t="shared" si="44"/>
        <v>68</v>
      </c>
      <c r="BI6" s="227">
        <f t="shared" si="45"/>
        <v>68</v>
      </c>
      <c r="BJ6" s="227">
        <f t="shared" si="46"/>
        <v>67</v>
      </c>
      <c r="BK6" s="227">
        <f t="shared" si="47"/>
        <v>67</v>
      </c>
      <c r="BL6" s="224">
        <f>ROUND((VLOOKUP(A6,'PS - Cumulative pupils per year'!$A$3:$R$25,9,FALSE)),0)</f>
        <v>406</v>
      </c>
      <c r="BM6" s="230">
        <f t="shared" si="48"/>
        <v>76</v>
      </c>
      <c r="BN6" s="230">
        <f t="shared" si="49"/>
        <v>75</v>
      </c>
      <c r="BO6" s="230">
        <f t="shared" si="50"/>
        <v>75</v>
      </c>
      <c r="BP6" s="230">
        <f t="shared" si="51"/>
        <v>75</v>
      </c>
      <c r="BQ6" s="230">
        <f t="shared" si="52"/>
        <v>75</v>
      </c>
      <c r="BR6" s="230">
        <f t="shared" si="53"/>
        <v>75</v>
      </c>
      <c r="BS6" s="225">
        <f>ROUND((VLOOKUP(A6,'PS - Cumulative pupils per year'!$A$3:$R$25,10,FALSE)),0)</f>
        <v>451</v>
      </c>
      <c r="BT6" s="227">
        <f t="shared" si="54"/>
        <v>82</v>
      </c>
      <c r="BU6" s="227">
        <f t="shared" si="55"/>
        <v>82</v>
      </c>
      <c r="BV6" s="227">
        <f t="shared" si="56"/>
        <v>82</v>
      </c>
      <c r="BW6" s="227">
        <f t="shared" si="57"/>
        <v>81</v>
      </c>
      <c r="BX6" s="227">
        <f t="shared" si="58"/>
        <v>81</v>
      </c>
      <c r="BY6" s="227">
        <f t="shared" si="59"/>
        <v>81</v>
      </c>
      <c r="BZ6" s="224">
        <f>ROUND((VLOOKUP(A6,'PS - Cumulative pupils per year'!$A$3:$R$25,11,FALSE)),0)</f>
        <v>489</v>
      </c>
      <c r="CA6" s="230">
        <f t="shared" si="60"/>
        <v>85</v>
      </c>
      <c r="CB6" s="230">
        <f t="shared" si="61"/>
        <v>85</v>
      </c>
      <c r="CC6" s="230">
        <f t="shared" si="62"/>
        <v>84</v>
      </c>
      <c r="CD6" s="230">
        <f t="shared" si="63"/>
        <v>84</v>
      </c>
      <c r="CE6" s="230">
        <f t="shared" si="64"/>
        <v>84</v>
      </c>
      <c r="CF6" s="230">
        <f t="shared" si="65"/>
        <v>84</v>
      </c>
      <c r="CG6" s="228">
        <f>ROUND((VLOOKUP(A6,'PS - Cumulative pupils per year'!$A$3:$R$25,12,FALSE)),0)</f>
        <v>506</v>
      </c>
      <c r="CH6" s="227">
        <f t="shared" si="66"/>
        <v>88</v>
      </c>
      <c r="CI6" s="227">
        <f t="shared" si="67"/>
        <v>87</v>
      </c>
      <c r="CJ6" s="227">
        <f t="shared" si="68"/>
        <v>87</v>
      </c>
      <c r="CK6" s="227">
        <f t="shared" si="69"/>
        <v>87</v>
      </c>
      <c r="CL6" s="227">
        <f t="shared" si="70"/>
        <v>87</v>
      </c>
      <c r="CM6" s="227">
        <f t="shared" si="71"/>
        <v>87</v>
      </c>
      <c r="CN6" s="224">
        <f>ROUND((VLOOKUP(A6,'PS - Cumulative pupils per year'!$A$3:$R$25,13,FALSE)),0)</f>
        <v>523</v>
      </c>
      <c r="CO6" s="230">
        <f t="shared" si="72"/>
        <v>90</v>
      </c>
      <c r="CP6" s="230">
        <f t="shared" si="73"/>
        <v>90</v>
      </c>
      <c r="CQ6" s="230">
        <f t="shared" si="74"/>
        <v>90</v>
      </c>
      <c r="CR6" s="230">
        <f t="shared" si="75"/>
        <v>90</v>
      </c>
      <c r="CS6" s="230">
        <f t="shared" si="76"/>
        <v>90</v>
      </c>
      <c r="CT6" s="230">
        <f t="shared" si="77"/>
        <v>90</v>
      </c>
      <c r="CU6" s="228">
        <f>ROUND((VLOOKUP(A6,'PS - Cumulative pupils per year'!$A$3:$R$25,14,FALSE)),0)</f>
        <v>540</v>
      </c>
      <c r="CV6" s="227">
        <f t="shared" si="78"/>
        <v>93</v>
      </c>
      <c r="CW6" s="227">
        <f t="shared" si="79"/>
        <v>93</v>
      </c>
      <c r="CX6" s="227">
        <f t="shared" si="80"/>
        <v>93</v>
      </c>
      <c r="CY6" s="227">
        <f t="shared" si="81"/>
        <v>93</v>
      </c>
      <c r="CZ6" s="227">
        <f t="shared" si="82"/>
        <v>93</v>
      </c>
      <c r="DA6" s="227">
        <f t="shared" si="83"/>
        <v>92</v>
      </c>
      <c r="DB6" s="224">
        <f>ROUND((VLOOKUP(A6,'PS - Cumulative pupils per year'!$A$3:$R$25,15,FALSE)),0)</f>
        <v>557</v>
      </c>
    </row>
    <row r="7" spans="1:106" x14ac:dyDescent="0.2">
      <c r="A7" s="231" t="s">
        <v>94</v>
      </c>
      <c r="B7" s="227">
        <v>0</v>
      </c>
      <c r="C7" s="227">
        <v>0</v>
      </c>
      <c r="D7" s="227">
        <v>0</v>
      </c>
      <c r="E7" s="227">
        <v>0</v>
      </c>
      <c r="F7" s="227">
        <v>0</v>
      </c>
      <c r="G7" s="227">
        <v>0</v>
      </c>
      <c r="H7" s="224">
        <v>0</v>
      </c>
      <c r="I7" s="229">
        <f t="shared" si="0"/>
        <v>1</v>
      </c>
      <c r="J7" s="229">
        <f t="shared" si="1"/>
        <v>1</v>
      </c>
      <c r="K7" s="229">
        <f t="shared" si="2"/>
        <v>1</v>
      </c>
      <c r="L7" s="229">
        <f t="shared" si="3"/>
        <v>0</v>
      </c>
      <c r="M7" s="229">
        <f t="shared" si="4"/>
        <v>0</v>
      </c>
      <c r="N7" s="229">
        <f t="shared" si="5"/>
        <v>0</v>
      </c>
      <c r="O7" s="225">
        <f>ROUND((VLOOKUP(A7,'PS - Cumulative pupils per year'!$A$3:$R$25,2,FALSE)),0)</f>
        <v>3</v>
      </c>
      <c r="P7" s="227">
        <f t="shared" si="6"/>
        <v>2</v>
      </c>
      <c r="Q7" s="227">
        <f t="shared" si="7"/>
        <v>1</v>
      </c>
      <c r="R7" s="227">
        <f t="shared" si="8"/>
        <v>1</v>
      </c>
      <c r="S7" s="227">
        <f t="shared" si="9"/>
        <v>1</v>
      </c>
      <c r="T7" s="227">
        <f t="shared" si="10"/>
        <v>1</v>
      </c>
      <c r="U7" s="227">
        <f t="shared" si="11"/>
        <v>1</v>
      </c>
      <c r="V7" s="224">
        <f>ROUND((VLOOKUP(A7,'PS - Cumulative pupils per year'!$A$3:$R$25,3,FALSE)),0)</f>
        <v>7</v>
      </c>
      <c r="W7" s="230">
        <f t="shared" si="12"/>
        <v>5</v>
      </c>
      <c r="X7" s="230">
        <f t="shared" si="13"/>
        <v>5</v>
      </c>
      <c r="Y7" s="230">
        <f t="shared" si="14"/>
        <v>5</v>
      </c>
      <c r="Z7" s="230">
        <f t="shared" si="15"/>
        <v>5</v>
      </c>
      <c r="AA7" s="230">
        <f t="shared" si="16"/>
        <v>5</v>
      </c>
      <c r="AB7" s="230">
        <f t="shared" si="17"/>
        <v>4</v>
      </c>
      <c r="AC7" s="225">
        <f>ROUND((VLOOKUP(A7,'PS - Cumulative pupils per year'!$A$3:$R$25,4,FALSE)),0)</f>
        <v>29</v>
      </c>
      <c r="AD7" s="227">
        <f t="shared" si="18"/>
        <v>12</v>
      </c>
      <c r="AE7" s="227">
        <f t="shared" si="19"/>
        <v>12</v>
      </c>
      <c r="AF7" s="227">
        <f t="shared" si="20"/>
        <v>12</v>
      </c>
      <c r="AG7" s="227">
        <f t="shared" si="21"/>
        <v>12</v>
      </c>
      <c r="AH7" s="227">
        <f t="shared" si="22"/>
        <v>11</v>
      </c>
      <c r="AI7" s="227">
        <f t="shared" si="23"/>
        <v>11</v>
      </c>
      <c r="AJ7" s="224">
        <f>ROUND((VLOOKUP(A7,'PS - Cumulative pupils per year'!$A$3:$R$25,5,FALSE)),0)</f>
        <v>70</v>
      </c>
      <c r="AK7" s="230">
        <f t="shared" si="24"/>
        <v>21</v>
      </c>
      <c r="AL7" s="230">
        <f t="shared" si="25"/>
        <v>20</v>
      </c>
      <c r="AM7" s="230">
        <f t="shared" si="26"/>
        <v>20</v>
      </c>
      <c r="AN7" s="230">
        <f t="shared" si="27"/>
        <v>20</v>
      </c>
      <c r="AO7" s="230">
        <f t="shared" si="28"/>
        <v>20</v>
      </c>
      <c r="AP7" s="230">
        <f t="shared" si="29"/>
        <v>20</v>
      </c>
      <c r="AQ7" s="225">
        <f>ROUND((VLOOKUP(A7,'PS - Cumulative pupils per year'!$A$3:$R$25,6,FALSE)),0)</f>
        <v>121</v>
      </c>
      <c r="AR7" s="227">
        <f t="shared" si="30"/>
        <v>27</v>
      </c>
      <c r="AS7" s="227">
        <f t="shared" si="31"/>
        <v>27</v>
      </c>
      <c r="AT7" s="227">
        <f t="shared" si="32"/>
        <v>27</v>
      </c>
      <c r="AU7" s="227">
        <f t="shared" si="33"/>
        <v>27</v>
      </c>
      <c r="AV7" s="227">
        <f t="shared" si="34"/>
        <v>26</v>
      </c>
      <c r="AW7" s="227">
        <f t="shared" si="35"/>
        <v>26</v>
      </c>
      <c r="AX7" s="224">
        <f>ROUND((VLOOKUP(A7,'PS - Cumulative pupils per year'!$A$3:$R$25,7,FALSE)),0)</f>
        <v>160</v>
      </c>
      <c r="AY7" s="230">
        <f t="shared" si="36"/>
        <v>32</v>
      </c>
      <c r="AZ7" s="230">
        <f t="shared" si="37"/>
        <v>32</v>
      </c>
      <c r="BA7" s="230">
        <f t="shared" si="38"/>
        <v>32</v>
      </c>
      <c r="BB7" s="230">
        <f t="shared" si="39"/>
        <v>31</v>
      </c>
      <c r="BC7" s="230">
        <f t="shared" si="40"/>
        <v>31</v>
      </c>
      <c r="BD7" s="230">
        <f t="shared" si="41"/>
        <v>31</v>
      </c>
      <c r="BE7" s="225">
        <f>ROUND((VLOOKUP(A7,'PS - Cumulative pupils per year'!$A$3:$R$25,8,FALSE)),0)</f>
        <v>189</v>
      </c>
      <c r="BF7" s="227">
        <f t="shared" si="42"/>
        <v>36</v>
      </c>
      <c r="BG7" s="227">
        <f t="shared" si="43"/>
        <v>36</v>
      </c>
      <c r="BH7" s="227">
        <f t="shared" si="44"/>
        <v>36</v>
      </c>
      <c r="BI7" s="227">
        <f t="shared" si="45"/>
        <v>36</v>
      </c>
      <c r="BJ7" s="227">
        <f t="shared" si="46"/>
        <v>36</v>
      </c>
      <c r="BK7" s="227">
        <f t="shared" si="47"/>
        <v>35</v>
      </c>
      <c r="BL7" s="224">
        <f>ROUND((VLOOKUP(A7,'PS - Cumulative pupils per year'!$A$3:$R$25,9,FALSE)),0)</f>
        <v>215</v>
      </c>
      <c r="BM7" s="230">
        <f t="shared" si="48"/>
        <v>40</v>
      </c>
      <c r="BN7" s="230">
        <f t="shared" si="49"/>
        <v>40</v>
      </c>
      <c r="BO7" s="230">
        <f t="shared" si="50"/>
        <v>40</v>
      </c>
      <c r="BP7" s="230">
        <f t="shared" si="51"/>
        <v>40</v>
      </c>
      <c r="BQ7" s="230">
        <f t="shared" si="52"/>
        <v>39</v>
      </c>
      <c r="BR7" s="230">
        <f t="shared" si="53"/>
        <v>39</v>
      </c>
      <c r="BS7" s="225">
        <f>ROUND((VLOOKUP(A7,'PS - Cumulative pupils per year'!$A$3:$R$25,10,FALSE)),0)</f>
        <v>238</v>
      </c>
      <c r="BT7" s="227">
        <f t="shared" si="54"/>
        <v>44</v>
      </c>
      <c r="BU7" s="227">
        <f t="shared" si="55"/>
        <v>43</v>
      </c>
      <c r="BV7" s="227">
        <f t="shared" si="56"/>
        <v>43</v>
      </c>
      <c r="BW7" s="227">
        <f t="shared" si="57"/>
        <v>43</v>
      </c>
      <c r="BX7" s="227">
        <f t="shared" si="58"/>
        <v>43</v>
      </c>
      <c r="BY7" s="227">
        <f t="shared" si="59"/>
        <v>43</v>
      </c>
      <c r="BZ7" s="224">
        <f>ROUND((VLOOKUP(A7,'PS - Cumulative pupils per year'!$A$3:$R$25,11,FALSE)),0)</f>
        <v>259</v>
      </c>
      <c r="CA7" s="230">
        <f t="shared" si="60"/>
        <v>47</v>
      </c>
      <c r="CB7" s="230">
        <f t="shared" si="61"/>
        <v>47</v>
      </c>
      <c r="CC7" s="230">
        <f t="shared" si="62"/>
        <v>47</v>
      </c>
      <c r="CD7" s="230">
        <f t="shared" si="63"/>
        <v>47</v>
      </c>
      <c r="CE7" s="230">
        <f t="shared" si="64"/>
        <v>46</v>
      </c>
      <c r="CF7" s="230">
        <f t="shared" si="65"/>
        <v>46</v>
      </c>
      <c r="CG7" s="228">
        <f>ROUND((VLOOKUP(A7,'PS - Cumulative pupils per year'!$A$3:$R$25,12,FALSE)),0)</f>
        <v>280</v>
      </c>
      <c r="CH7" s="227">
        <f t="shared" si="66"/>
        <v>51</v>
      </c>
      <c r="CI7" s="227">
        <f t="shared" si="67"/>
        <v>50</v>
      </c>
      <c r="CJ7" s="227">
        <f t="shared" si="68"/>
        <v>50</v>
      </c>
      <c r="CK7" s="227">
        <f t="shared" si="69"/>
        <v>50</v>
      </c>
      <c r="CL7" s="227">
        <f t="shared" si="70"/>
        <v>50</v>
      </c>
      <c r="CM7" s="227">
        <f t="shared" si="71"/>
        <v>50</v>
      </c>
      <c r="CN7" s="224">
        <f>ROUND((VLOOKUP(A7,'PS - Cumulative pupils per year'!$A$3:$R$25,13,FALSE)),0)</f>
        <v>301</v>
      </c>
      <c r="CO7" s="230">
        <f t="shared" si="72"/>
        <v>54</v>
      </c>
      <c r="CP7" s="230">
        <f t="shared" si="73"/>
        <v>54</v>
      </c>
      <c r="CQ7" s="230">
        <f t="shared" si="74"/>
        <v>54</v>
      </c>
      <c r="CR7" s="230">
        <f t="shared" si="75"/>
        <v>54</v>
      </c>
      <c r="CS7" s="230">
        <f t="shared" si="76"/>
        <v>53</v>
      </c>
      <c r="CT7" s="230">
        <f t="shared" si="77"/>
        <v>53</v>
      </c>
      <c r="CU7" s="228">
        <f>ROUND((VLOOKUP(A7,'PS - Cumulative pupils per year'!$A$3:$R$25,14,FALSE)),0)</f>
        <v>322</v>
      </c>
      <c r="CV7" s="227">
        <f t="shared" si="78"/>
        <v>58</v>
      </c>
      <c r="CW7" s="227">
        <f t="shared" si="79"/>
        <v>57</v>
      </c>
      <c r="CX7" s="227">
        <f t="shared" si="80"/>
        <v>57</v>
      </c>
      <c r="CY7" s="227">
        <f t="shared" si="81"/>
        <v>57</v>
      </c>
      <c r="CZ7" s="227">
        <f t="shared" si="82"/>
        <v>57</v>
      </c>
      <c r="DA7" s="227">
        <f t="shared" si="83"/>
        <v>57</v>
      </c>
      <c r="DB7" s="224">
        <f>ROUND((VLOOKUP(A7,'PS - Cumulative pupils per year'!$A$3:$R$25,15,FALSE)),0)</f>
        <v>343</v>
      </c>
    </row>
    <row r="8" spans="1:106" x14ac:dyDescent="0.2">
      <c r="A8" s="231" t="s">
        <v>95</v>
      </c>
      <c r="B8" s="227">
        <v>2</v>
      </c>
      <c r="C8" s="227">
        <v>2</v>
      </c>
      <c r="D8" s="227">
        <v>1</v>
      </c>
      <c r="E8" s="227">
        <v>1</v>
      </c>
      <c r="F8" s="227">
        <v>1</v>
      </c>
      <c r="G8" s="227">
        <v>1</v>
      </c>
      <c r="H8" s="224">
        <v>8</v>
      </c>
      <c r="I8" s="229">
        <f t="shared" si="0"/>
        <v>2</v>
      </c>
      <c r="J8" s="229">
        <f t="shared" si="1"/>
        <v>2</v>
      </c>
      <c r="K8" s="229">
        <f t="shared" si="2"/>
        <v>2</v>
      </c>
      <c r="L8" s="229">
        <f t="shared" si="3"/>
        <v>2</v>
      </c>
      <c r="M8" s="229">
        <f t="shared" si="4"/>
        <v>2</v>
      </c>
      <c r="N8" s="229">
        <f t="shared" si="5"/>
        <v>2</v>
      </c>
      <c r="O8" s="225">
        <f>ROUND((VLOOKUP(A8,'PS - Cumulative pupils per year'!$A$3:$R$25,2,FALSE)),0)</f>
        <v>12</v>
      </c>
      <c r="P8" s="227">
        <f t="shared" si="6"/>
        <v>2</v>
      </c>
      <c r="Q8" s="227">
        <f t="shared" si="7"/>
        <v>2</v>
      </c>
      <c r="R8" s="227">
        <f t="shared" si="8"/>
        <v>2</v>
      </c>
      <c r="S8" s="227">
        <f t="shared" si="9"/>
        <v>2</v>
      </c>
      <c r="T8" s="227">
        <f t="shared" si="10"/>
        <v>2</v>
      </c>
      <c r="U8" s="227">
        <f t="shared" si="11"/>
        <v>2</v>
      </c>
      <c r="V8" s="224">
        <f>ROUND((VLOOKUP(A8,'PS - Cumulative pupils per year'!$A$3:$R$25,3,FALSE)),0)</f>
        <v>12</v>
      </c>
      <c r="W8" s="230">
        <f t="shared" si="12"/>
        <v>3</v>
      </c>
      <c r="X8" s="230">
        <f t="shared" si="13"/>
        <v>3</v>
      </c>
      <c r="Y8" s="230">
        <f t="shared" si="14"/>
        <v>3</v>
      </c>
      <c r="Z8" s="230">
        <f t="shared" si="15"/>
        <v>3</v>
      </c>
      <c r="AA8" s="230">
        <f t="shared" si="16"/>
        <v>3</v>
      </c>
      <c r="AB8" s="230">
        <f t="shared" si="17"/>
        <v>2</v>
      </c>
      <c r="AC8" s="225">
        <f>ROUND((VLOOKUP(A8,'PS - Cumulative pupils per year'!$A$3:$R$25,4,FALSE)),0)</f>
        <v>17</v>
      </c>
      <c r="AD8" s="227">
        <f t="shared" si="18"/>
        <v>5</v>
      </c>
      <c r="AE8" s="227">
        <f t="shared" si="19"/>
        <v>5</v>
      </c>
      <c r="AF8" s="227">
        <f t="shared" si="20"/>
        <v>4</v>
      </c>
      <c r="AG8" s="227">
        <f t="shared" si="21"/>
        <v>4</v>
      </c>
      <c r="AH8" s="227">
        <f t="shared" si="22"/>
        <v>4</v>
      </c>
      <c r="AI8" s="227">
        <f t="shared" si="23"/>
        <v>4</v>
      </c>
      <c r="AJ8" s="224">
        <f>ROUND((VLOOKUP(A8,'PS - Cumulative pupils per year'!$A$3:$R$25,5,FALSE)),0)</f>
        <v>26</v>
      </c>
      <c r="AK8" s="230">
        <f t="shared" si="24"/>
        <v>6</v>
      </c>
      <c r="AL8" s="230">
        <f t="shared" si="25"/>
        <v>6</v>
      </c>
      <c r="AM8" s="230">
        <f t="shared" si="26"/>
        <v>6</v>
      </c>
      <c r="AN8" s="230">
        <f t="shared" si="27"/>
        <v>6</v>
      </c>
      <c r="AO8" s="230">
        <f t="shared" si="28"/>
        <v>6</v>
      </c>
      <c r="AP8" s="230">
        <f t="shared" si="29"/>
        <v>5</v>
      </c>
      <c r="AQ8" s="225">
        <f>ROUND((VLOOKUP(A8,'PS - Cumulative pupils per year'!$A$3:$R$25,6,FALSE)),0)</f>
        <v>35</v>
      </c>
      <c r="AR8" s="227">
        <f t="shared" si="30"/>
        <v>9</v>
      </c>
      <c r="AS8" s="227">
        <f t="shared" si="31"/>
        <v>9</v>
      </c>
      <c r="AT8" s="227">
        <f t="shared" si="32"/>
        <v>9</v>
      </c>
      <c r="AU8" s="227">
        <f t="shared" si="33"/>
        <v>9</v>
      </c>
      <c r="AV8" s="227">
        <f t="shared" si="34"/>
        <v>8</v>
      </c>
      <c r="AW8" s="227">
        <f t="shared" si="35"/>
        <v>8</v>
      </c>
      <c r="AX8" s="224">
        <f>ROUND((VLOOKUP(A8,'PS - Cumulative pupils per year'!$A$3:$R$25,7,FALSE)),0)</f>
        <v>52</v>
      </c>
      <c r="AY8" s="230">
        <f t="shared" si="36"/>
        <v>12</v>
      </c>
      <c r="AZ8" s="230">
        <f t="shared" si="37"/>
        <v>12</v>
      </c>
      <c r="BA8" s="230">
        <f t="shared" si="38"/>
        <v>12</v>
      </c>
      <c r="BB8" s="230">
        <f t="shared" si="39"/>
        <v>11</v>
      </c>
      <c r="BC8" s="230">
        <f t="shared" si="40"/>
        <v>11</v>
      </c>
      <c r="BD8" s="230">
        <f t="shared" si="41"/>
        <v>11</v>
      </c>
      <c r="BE8" s="225">
        <f>ROUND((VLOOKUP(A8,'PS - Cumulative pupils per year'!$A$3:$R$25,8,FALSE)),0)</f>
        <v>69</v>
      </c>
      <c r="BF8" s="227">
        <f t="shared" si="42"/>
        <v>14</v>
      </c>
      <c r="BG8" s="227">
        <f t="shared" si="43"/>
        <v>14</v>
      </c>
      <c r="BH8" s="227">
        <f t="shared" si="44"/>
        <v>14</v>
      </c>
      <c r="BI8" s="227">
        <f t="shared" si="45"/>
        <v>14</v>
      </c>
      <c r="BJ8" s="227">
        <f t="shared" si="46"/>
        <v>14</v>
      </c>
      <c r="BK8" s="227">
        <f t="shared" si="47"/>
        <v>14</v>
      </c>
      <c r="BL8" s="224">
        <f>ROUND((VLOOKUP(A8,'PS - Cumulative pupils per year'!$A$3:$R$25,9,FALSE)),0)</f>
        <v>84</v>
      </c>
      <c r="BM8" s="230">
        <f t="shared" si="48"/>
        <v>17</v>
      </c>
      <c r="BN8" s="230">
        <f t="shared" si="49"/>
        <v>17</v>
      </c>
      <c r="BO8" s="230">
        <f t="shared" si="50"/>
        <v>17</v>
      </c>
      <c r="BP8" s="230">
        <f t="shared" si="51"/>
        <v>17</v>
      </c>
      <c r="BQ8" s="230">
        <f t="shared" si="52"/>
        <v>16</v>
      </c>
      <c r="BR8" s="230">
        <f t="shared" si="53"/>
        <v>16</v>
      </c>
      <c r="BS8" s="225">
        <f>ROUND((VLOOKUP(A8,'PS - Cumulative pupils per year'!$A$3:$R$25,10,FALSE)),0)</f>
        <v>100</v>
      </c>
      <c r="BT8" s="227">
        <f t="shared" si="54"/>
        <v>19</v>
      </c>
      <c r="BU8" s="227">
        <f t="shared" si="55"/>
        <v>19</v>
      </c>
      <c r="BV8" s="227">
        <f t="shared" si="56"/>
        <v>19</v>
      </c>
      <c r="BW8" s="227">
        <f t="shared" si="57"/>
        <v>19</v>
      </c>
      <c r="BX8" s="227">
        <f t="shared" si="58"/>
        <v>18</v>
      </c>
      <c r="BY8" s="227">
        <f t="shared" si="59"/>
        <v>18</v>
      </c>
      <c r="BZ8" s="224">
        <f>ROUND((VLOOKUP(A8,'PS - Cumulative pupils per year'!$A$3:$R$25,11,FALSE)),0)</f>
        <v>112</v>
      </c>
      <c r="CA8" s="230">
        <f t="shared" si="60"/>
        <v>20</v>
      </c>
      <c r="CB8" s="230">
        <f t="shared" si="61"/>
        <v>20</v>
      </c>
      <c r="CC8" s="230">
        <f t="shared" si="62"/>
        <v>19</v>
      </c>
      <c r="CD8" s="230">
        <f t="shared" si="63"/>
        <v>19</v>
      </c>
      <c r="CE8" s="230">
        <f t="shared" si="64"/>
        <v>19</v>
      </c>
      <c r="CF8" s="230">
        <f t="shared" si="65"/>
        <v>19</v>
      </c>
      <c r="CG8" s="228">
        <f>ROUND((VLOOKUP(A8,'PS - Cumulative pupils per year'!$A$3:$R$25,12,FALSE)),0)</f>
        <v>116</v>
      </c>
      <c r="CH8" s="227">
        <f t="shared" si="66"/>
        <v>20</v>
      </c>
      <c r="CI8" s="227">
        <f t="shared" si="67"/>
        <v>20</v>
      </c>
      <c r="CJ8" s="227">
        <f t="shared" si="68"/>
        <v>20</v>
      </c>
      <c r="CK8" s="227">
        <f t="shared" si="69"/>
        <v>20</v>
      </c>
      <c r="CL8" s="227">
        <f t="shared" si="70"/>
        <v>20</v>
      </c>
      <c r="CM8" s="227">
        <f t="shared" si="71"/>
        <v>20</v>
      </c>
      <c r="CN8" s="224">
        <f>ROUND((VLOOKUP(A8,'PS - Cumulative pupils per year'!$A$3:$R$25,13,FALSE)),0)</f>
        <v>120</v>
      </c>
      <c r="CO8" s="230">
        <f t="shared" si="72"/>
        <v>21</v>
      </c>
      <c r="CP8" s="230">
        <f t="shared" si="73"/>
        <v>21</v>
      </c>
      <c r="CQ8" s="230">
        <f t="shared" si="74"/>
        <v>21</v>
      </c>
      <c r="CR8" s="230">
        <f t="shared" si="75"/>
        <v>21</v>
      </c>
      <c r="CS8" s="230">
        <f t="shared" si="76"/>
        <v>20</v>
      </c>
      <c r="CT8" s="230">
        <f t="shared" si="77"/>
        <v>20</v>
      </c>
      <c r="CU8" s="228">
        <f>ROUND((VLOOKUP(A8,'PS - Cumulative pupils per year'!$A$3:$R$25,14,FALSE)),0)</f>
        <v>124</v>
      </c>
      <c r="CV8" s="227">
        <f t="shared" si="78"/>
        <v>22</v>
      </c>
      <c r="CW8" s="227">
        <f t="shared" si="79"/>
        <v>22</v>
      </c>
      <c r="CX8" s="227">
        <f t="shared" si="80"/>
        <v>21</v>
      </c>
      <c r="CY8" s="227">
        <f t="shared" si="81"/>
        <v>21</v>
      </c>
      <c r="CZ8" s="227">
        <f t="shared" si="82"/>
        <v>21</v>
      </c>
      <c r="DA8" s="227">
        <f t="shared" si="83"/>
        <v>21</v>
      </c>
      <c r="DB8" s="224">
        <f>ROUND((VLOOKUP(A8,'PS - Cumulative pupils per year'!$A$3:$R$25,15,FALSE)),0)</f>
        <v>128</v>
      </c>
    </row>
    <row r="9" spans="1:106" x14ac:dyDescent="0.2">
      <c r="A9" s="231" t="s">
        <v>99</v>
      </c>
      <c r="B9" s="227">
        <v>2</v>
      </c>
      <c r="C9" s="227">
        <v>2</v>
      </c>
      <c r="D9" s="227">
        <v>1</v>
      </c>
      <c r="E9" s="227">
        <v>1</v>
      </c>
      <c r="F9" s="227">
        <v>1</v>
      </c>
      <c r="G9" s="227">
        <v>1</v>
      </c>
      <c r="H9" s="224">
        <v>8</v>
      </c>
      <c r="I9" s="229">
        <f t="shared" ref="I9" si="84">ROUNDUP(O9/6,0)</f>
        <v>2</v>
      </c>
      <c r="J9" s="229">
        <f t="shared" ref="J9" si="85">IF((O9-I9)&gt;0,(ROUNDUP(((O9-I9)/5),0)),0)</f>
        <v>2</v>
      </c>
      <c r="K9" s="229">
        <f t="shared" ref="K9" si="86">IF((O9-I9-J9)&gt;0,(ROUNDUP(((O9-I9-J9)/4),0)),0)</f>
        <v>2</v>
      </c>
      <c r="L9" s="229">
        <f t="shared" ref="L9" si="87">IF((O9-I9-J9-K9)&gt;0,(ROUNDUP(((O9-I9-J9-K9)/3),0)),0)</f>
        <v>2</v>
      </c>
      <c r="M9" s="229">
        <f t="shared" ref="M9" si="88">IF((O9-I9-J9-K9-L9)&gt;0,(ROUNDUP(((O9-I9-J9-K9-L9)/2),0)),0)</f>
        <v>1</v>
      </c>
      <c r="N9" s="229">
        <f t="shared" ref="N9" si="89">IF((O9-I9-J9-K9-L9-M9)&gt;0,(ROUNDUP(((O9-I9-J9-K9-L9-M9)/1),0)),0)</f>
        <v>1</v>
      </c>
      <c r="O9" s="225">
        <f>ROUND((VLOOKUP(A9,'PS - Cumulative pupils per year'!$A$3:$R$25,2,FALSE)),0)</f>
        <v>10</v>
      </c>
      <c r="P9" s="227">
        <f t="shared" ref="P9" si="90">ROUNDUP(V9/6,0)</f>
        <v>3</v>
      </c>
      <c r="Q9" s="227">
        <f t="shared" ref="Q9" si="91">IF((V9-P9)&gt;0,(ROUNDUP(((V9-P9)/5),0)),0)</f>
        <v>3</v>
      </c>
      <c r="R9" s="227">
        <f t="shared" ref="R9" si="92">IF((V9-P9-Q9)&gt;0,(ROUNDUP(((V9-P9-Q9)/4),0)),0)</f>
        <v>3</v>
      </c>
      <c r="S9" s="227">
        <f t="shared" ref="S9" si="93">IF((V9-P9-Q9-R9)&gt;0,(ROUNDUP(((V9-P9-Q9-R9)/3),0)),0)</f>
        <v>3</v>
      </c>
      <c r="T9" s="227">
        <f t="shared" ref="T9" si="94">IF((V9-P9-Q9-R9-S9)&gt;0,(ROUNDUP(((V9-P9-Q9-R9-S9)/2),0)),0)</f>
        <v>2</v>
      </c>
      <c r="U9" s="227">
        <f t="shared" ref="U9" si="95">IF((V9-P9-Q9-R9-S9-T9)&gt;0,(ROUNDUP(((V9-P9-Q9-R9-S9-T9)/1),0)),0)</f>
        <v>2</v>
      </c>
      <c r="V9" s="224">
        <f>ROUND((VLOOKUP(A9,'PS - Cumulative pupils per year'!$A$3:$R$25,3,FALSE)),0)</f>
        <v>16</v>
      </c>
      <c r="W9" s="230">
        <f t="shared" ref="W9" si="96">ROUNDUP(AC9/6,0)</f>
        <v>4</v>
      </c>
      <c r="X9" s="230">
        <f t="shared" ref="X9" si="97">IF((AC9-W9)&gt;0,(ROUNDUP(((AC9-W9)/5),0)),0)</f>
        <v>4</v>
      </c>
      <c r="Y9" s="230">
        <f t="shared" ref="Y9" si="98">IF((AC9-W9-X9)&gt;0,(ROUNDUP(((AC9-W9-X9)/4),0)),0)</f>
        <v>4</v>
      </c>
      <c r="Z9" s="230">
        <f t="shared" ref="Z9" si="99">IF((AC9-W9-X9-Y9)&gt;0,(ROUNDUP(((AC9-W9-X9-Y9)/3),0)),0)</f>
        <v>4</v>
      </c>
      <c r="AA9" s="230">
        <f t="shared" ref="AA9" si="100">IF((AC9-W9-X9-Y9-Z9)&gt;0,(ROUNDUP(((AC9-W9-X9-Y9-Z9)/2),0)),0)</f>
        <v>3</v>
      </c>
      <c r="AB9" s="230">
        <f t="shared" ref="AB9" si="101">IF((AC9-W9-X9-Y9-Z9-AA9)&gt;0,(ROUNDUP(((AC9-W9-X9-Y9-Z9-AA9)/1),0)),0)</f>
        <v>3</v>
      </c>
      <c r="AC9" s="225">
        <f>ROUND((VLOOKUP(A9,'PS - Cumulative pupils per year'!$A$3:$R$25,4,FALSE)),0)</f>
        <v>22</v>
      </c>
      <c r="AD9" s="227">
        <f t="shared" ref="AD9" si="102">ROUNDUP(AJ9/6,0)</f>
        <v>5</v>
      </c>
      <c r="AE9" s="227">
        <f t="shared" ref="AE9" si="103">IF((AJ9-AD9)&gt;0,(ROUNDUP(((AJ9-AD9)/5),0)),0)</f>
        <v>5</v>
      </c>
      <c r="AF9" s="227">
        <f t="shared" ref="AF9" si="104">IF((AJ9-AD9-AE9)&gt;0,(ROUNDUP(((AJ9-AD9-AE9)/4),0)),0)</f>
        <v>5</v>
      </c>
      <c r="AG9" s="227">
        <f t="shared" ref="AG9" si="105">IF((AJ9-AD9-AE9-AF9)&gt;0,(ROUNDUP(((AJ9-AD9-AE9-AF9)/3),0)),0)</f>
        <v>5</v>
      </c>
      <c r="AH9" s="227">
        <f t="shared" ref="AH9" si="106">IF((AJ9-AD9-AE9-AF9-AG9)&gt;0,(ROUNDUP(((AJ9-AD9-AE9-AF9-AG9)/2),0)),0)</f>
        <v>5</v>
      </c>
      <c r="AI9" s="227">
        <f t="shared" ref="AI9" si="107">IF((AJ9-AD9-AE9-AF9-AG9-AH9)&gt;0,(ROUNDUP(((AJ9-AD9-AE9-AF9-AG9-AH9)/1),0)),0)</f>
        <v>4</v>
      </c>
      <c r="AJ9" s="224">
        <f>ROUND((VLOOKUP(A9,'PS - Cumulative pupils per year'!$A$3:$R$25,5,FALSE)),0)</f>
        <v>29</v>
      </c>
      <c r="AK9" s="230">
        <f t="shared" ref="AK9" si="108">ROUNDUP(AQ9/6,0)</f>
        <v>7</v>
      </c>
      <c r="AL9" s="230">
        <f t="shared" ref="AL9" si="109">IF((AQ9-AK9)&gt;0,(ROUNDUP(((AQ9-AK9)/5),0)),0)</f>
        <v>7</v>
      </c>
      <c r="AM9" s="230">
        <f t="shared" ref="AM9" si="110">IF((AQ9-AK9-AL9)&gt;0,(ROUNDUP(((AQ9-AK9-AL9)/4),0)),0)</f>
        <v>7</v>
      </c>
      <c r="AN9" s="230">
        <f t="shared" ref="AN9" si="111">IF((AQ9-AK9-AL9-AM9)&gt;0,(ROUNDUP(((AQ9-AK9-AL9-AM9)/3),0)),0)</f>
        <v>7</v>
      </c>
      <c r="AO9" s="230">
        <f t="shared" ref="AO9" si="112">IF((AQ9-AK9-AL9-AM9-AN9)&gt;0,(ROUNDUP(((AQ9-AK9-AL9-AM9-AN9)/2),0)),0)</f>
        <v>6</v>
      </c>
      <c r="AP9" s="230">
        <f t="shared" ref="AP9" si="113">IF((AQ9-AK9-AL9-AM9-AN9-AO9)&gt;0,(ROUNDUP(((AQ9-AK9-AL9-AM9-AN9-AO9)/1),0)),0)</f>
        <v>6</v>
      </c>
      <c r="AQ9" s="225">
        <f>ROUND((VLOOKUP(A9,'PS - Cumulative pupils per year'!$A$3:$R$25,6,FALSE)),0)</f>
        <v>40</v>
      </c>
      <c r="AR9" s="227">
        <f t="shared" ref="AR9" si="114">ROUNDUP(AX9/6,0)</f>
        <v>8</v>
      </c>
      <c r="AS9" s="227">
        <f t="shared" ref="AS9" si="115">IF((AX9-AR9)&gt;0,(ROUNDUP(((AX9-AR9)/5),0)),0)</f>
        <v>8</v>
      </c>
      <c r="AT9" s="227">
        <f t="shared" ref="AT9" si="116">IF((AX9-AR9-AS9)&gt;0,(ROUNDUP(((AX9-AR9-AS9)/4),0)),0)</f>
        <v>8</v>
      </c>
      <c r="AU9" s="227">
        <f t="shared" ref="AU9" si="117">IF((AX9-AR9-AS9-AT9)&gt;0,(ROUNDUP(((AX9-AR9-AS9-AT9)/3),0)),0)</f>
        <v>8</v>
      </c>
      <c r="AV9" s="227">
        <f t="shared" ref="AV9" si="118">IF((AX9-AR9-AS9-AT9-AU9)&gt;0,(ROUNDUP(((AX9-AR9-AS9-AT9-AU9)/2),0)),0)</f>
        <v>8</v>
      </c>
      <c r="AW9" s="227">
        <f t="shared" ref="AW9" si="119">IF((AX9-AR9-AS9-AT9-AU9-AV9)&gt;0,(ROUNDUP(((AX9-AR9-AS9-AT9-AU9-AV9)/1),0)),0)</f>
        <v>7</v>
      </c>
      <c r="AX9" s="224">
        <f>ROUND((VLOOKUP(A9,'PS - Cumulative pupils per year'!$A$3:$R$25,7,FALSE)),0)</f>
        <v>47</v>
      </c>
      <c r="AY9" s="230">
        <f t="shared" ref="AY9" si="120">ROUNDUP(BE9/6,0)</f>
        <v>9</v>
      </c>
      <c r="AZ9" s="230">
        <f t="shared" ref="AZ9" si="121">IF((BE9-AY9)&gt;0,(ROUNDUP(((BE9-AY9)/5),0)),0)</f>
        <v>9</v>
      </c>
      <c r="BA9" s="230">
        <f t="shared" ref="BA9" si="122">IF((BE9-AY9-AZ9)&gt;0,(ROUNDUP(((BE9-AY9-AZ9)/4),0)),0)</f>
        <v>9</v>
      </c>
      <c r="BB9" s="230">
        <f t="shared" ref="BB9" si="123">IF((BE9-AY9-AZ9-BA9)&gt;0,(ROUNDUP(((BE9-AY9-AZ9-BA9)/3),0)),0)</f>
        <v>9</v>
      </c>
      <c r="BC9" s="230">
        <f t="shared" ref="BC9" si="124">IF((BE9-AY9-AZ9-BA9-BB9)&gt;0,(ROUNDUP(((BE9-AY9-AZ9-BA9-BB9)/2),0)),0)</f>
        <v>9</v>
      </c>
      <c r="BD9" s="230">
        <f t="shared" ref="BD9" si="125">IF((BE9-AY9-AZ9-BA9-BB9-BC9)&gt;0,(ROUNDUP(((BE9-AY9-AZ9-BA9-BB9-BC9)/1),0)),0)</f>
        <v>9</v>
      </c>
      <c r="BE9" s="225">
        <f>ROUND((VLOOKUP(A9,'PS - Cumulative pupils per year'!$A$3:$R$25,8,FALSE)),0)</f>
        <v>54</v>
      </c>
      <c r="BF9" s="227">
        <f t="shared" ref="BF9" si="126">ROUNDUP(BL9/6,0)</f>
        <v>10</v>
      </c>
      <c r="BG9" s="227">
        <f t="shared" ref="BG9" si="127">IF((BL9-BF9)&gt;0,(ROUNDUP(((BL9-BF9)/5),0)),0)</f>
        <v>9</v>
      </c>
      <c r="BH9" s="227">
        <f t="shared" ref="BH9" si="128">IF((BL9-BF9-BG9)&gt;0,(ROUNDUP(((BL9-BF9-BG9)/4),0)),0)</f>
        <v>9</v>
      </c>
      <c r="BI9" s="227">
        <f t="shared" ref="BI9" si="129">IF((BL9-BF9-BG9-BH9)&gt;0,(ROUNDUP(((BL9-BF9-BG9-BH9)/3),0)),0)</f>
        <v>9</v>
      </c>
      <c r="BJ9" s="227">
        <f t="shared" ref="BJ9" si="130">IF((BL9-BF9-BG9-BH9-BI9)&gt;0,(ROUNDUP(((BL9-BF9-BG9-BH9-BI9)/2),0)),0)</f>
        <v>9</v>
      </c>
      <c r="BK9" s="227">
        <f t="shared" ref="BK9" si="131">IF((BL9-BF9-BG9-BH9-BI9-BJ9)&gt;0,(ROUNDUP(((BL9-BF9-BG9-BH9-BI9-BJ9)/1),0)),0)</f>
        <v>9</v>
      </c>
      <c r="BL9" s="224">
        <f>ROUND((VLOOKUP(A9,'PS - Cumulative pupils per year'!$A$3:$R$25,9,FALSE)),0)</f>
        <v>55</v>
      </c>
      <c r="BM9" s="230">
        <f t="shared" ref="BM9" si="132">ROUNDUP(BS9/6,0)</f>
        <v>10</v>
      </c>
      <c r="BN9" s="230">
        <f t="shared" ref="BN9" si="133">IF((BS9-BM9)&gt;0,(ROUNDUP(((BS9-BM9)/5),0)),0)</f>
        <v>9</v>
      </c>
      <c r="BO9" s="230">
        <f t="shared" ref="BO9" si="134">IF((BS9-BM9-BN9)&gt;0,(ROUNDUP(((BS9-BM9-BN9)/4),0)),0)</f>
        <v>9</v>
      </c>
      <c r="BP9" s="230">
        <f t="shared" ref="BP9" si="135">IF((BS9-BM9-BN9-BO9)&gt;0,(ROUNDUP(((BS9-BM9-BN9-BO9)/3),0)),0)</f>
        <v>9</v>
      </c>
      <c r="BQ9" s="230">
        <f t="shared" ref="BQ9" si="136">IF((BS9-BM9-BN9-BO9-BP9)&gt;0,(ROUNDUP(((BS9-BM9-BN9-BO9-BP9)/2),0)),0)</f>
        <v>9</v>
      </c>
      <c r="BR9" s="230">
        <f t="shared" ref="BR9" si="137">IF((BS9-BM9-BN9-BO9-BP9-BQ9)&gt;0,(ROUNDUP(((BS9-BM9-BN9-BO9-BP9-BQ9)/1),0)),0)</f>
        <v>9</v>
      </c>
      <c r="BS9" s="225">
        <f>ROUND((VLOOKUP(A9,'PS - Cumulative pupils per year'!$A$3:$R$25,10,FALSE)),0)</f>
        <v>55</v>
      </c>
      <c r="BT9" s="227">
        <f t="shared" ref="BT9" si="138">ROUNDUP(BZ9/6,0)</f>
        <v>10</v>
      </c>
      <c r="BU9" s="227">
        <f t="shared" ref="BU9" si="139">IF((BZ9-BT9)&gt;0,(ROUNDUP(((BZ9-BT9)/5),0)),0)</f>
        <v>9</v>
      </c>
      <c r="BV9" s="227">
        <f t="shared" ref="BV9" si="140">IF((BZ9-BT9-BU9)&gt;0,(ROUNDUP(((BZ9-BT9-BU9)/4),0)),0)</f>
        <v>9</v>
      </c>
      <c r="BW9" s="227">
        <f t="shared" ref="BW9" si="141">IF((BZ9-BT9-BU9-BV9)&gt;0,(ROUNDUP(((BZ9-BT9-BU9-BV9)/3),0)),0)</f>
        <v>9</v>
      </c>
      <c r="BX9" s="227">
        <f t="shared" ref="BX9" si="142">IF((BZ9-BT9-BU9-BV9-BW9)&gt;0,(ROUNDUP(((BZ9-BT9-BU9-BV9-BW9)/2),0)),0)</f>
        <v>9</v>
      </c>
      <c r="BY9" s="227">
        <f t="shared" ref="BY9" si="143">IF((BZ9-BT9-BU9-BV9-BW9-BX9)&gt;0,(ROUNDUP(((BZ9-BT9-BU9-BV9-BW9-BX9)/1),0)),0)</f>
        <v>9</v>
      </c>
      <c r="BZ9" s="224">
        <f>ROUND((VLOOKUP(A9,'PS - Cumulative pupils per year'!$A$3:$R$25,11,FALSE)),0)</f>
        <v>55</v>
      </c>
      <c r="CA9" s="230">
        <f t="shared" ref="CA9" si="144">ROUNDUP(CG9/6,0)</f>
        <v>10</v>
      </c>
      <c r="CB9" s="230">
        <f t="shared" ref="CB9" si="145">IF((CG9-CA9)&gt;0,(ROUNDUP(((CG9-CA9)/5),0)),0)</f>
        <v>9</v>
      </c>
      <c r="CC9" s="230">
        <f t="shared" ref="CC9" si="146">IF((CG9-CA9-CB9)&gt;0,(ROUNDUP(((CG9-CA9-CB9)/4),0)),0)</f>
        <v>9</v>
      </c>
      <c r="CD9" s="230">
        <f t="shared" ref="CD9" si="147">IF((CG9-CA9-CB9-CC9)&gt;0,(ROUNDUP(((CG9-CA9-CB9-CC9)/3),0)),0)</f>
        <v>9</v>
      </c>
      <c r="CE9" s="230">
        <f t="shared" ref="CE9" si="148">IF((CG9-CA9-CB9-CC9-CD9)&gt;0,(ROUNDUP(((CG9-CA9-CB9-CC9-CD9)/2),0)),0)</f>
        <v>9</v>
      </c>
      <c r="CF9" s="230">
        <f t="shared" ref="CF9" si="149">IF((CG9-CA9-CB9-CC9-CD9-CE9)&gt;0,(ROUNDUP(((CG9-CA9-CB9-CC9-CD9-CE9)/1),0)),0)</f>
        <v>9</v>
      </c>
      <c r="CG9" s="228">
        <f>ROUND((VLOOKUP(A9,'PS - Cumulative pupils per year'!$A$3:$R$25,12,FALSE)),0)</f>
        <v>55</v>
      </c>
      <c r="CH9" s="227">
        <f t="shared" ref="CH9" si="150">ROUNDUP(CN9/6,0)</f>
        <v>10</v>
      </c>
      <c r="CI9" s="227">
        <f t="shared" ref="CI9" si="151">IF((CN9-CH9)&gt;0,(ROUNDUP(((CN9-CH9)/5),0)),0)</f>
        <v>9</v>
      </c>
      <c r="CJ9" s="227">
        <f t="shared" ref="CJ9" si="152">IF((CN9-CH9-CI9)&gt;0,(ROUNDUP(((CN9-CH9-CI9)/4),0)),0)</f>
        <v>9</v>
      </c>
      <c r="CK9" s="227">
        <f t="shared" ref="CK9" si="153">IF((CN9-CH9-CI9-CJ9)&gt;0,(ROUNDUP(((CN9-CH9-CI9-CJ9)/3),0)),0)</f>
        <v>9</v>
      </c>
      <c r="CL9" s="227">
        <f t="shared" ref="CL9" si="154">IF((CN9-CH9-CI9-CJ9-CK9)&gt;0,(ROUNDUP(((CN9-CH9-CI9-CJ9-CK9)/2),0)),0)</f>
        <v>9</v>
      </c>
      <c r="CM9" s="227">
        <f t="shared" ref="CM9" si="155">IF((CN9-CH9-CI9-CJ9-CK9-CL9)&gt;0,(ROUNDUP(((CN9-CH9-CI9-CJ9-CK9-CL9)/1),0)),0)</f>
        <v>9</v>
      </c>
      <c r="CN9" s="224">
        <f>ROUND((VLOOKUP(A9,'PS - Cumulative pupils per year'!$A$3:$R$25,13,FALSE)),0)</f>
        <v>55</v>
      </c>
      <c r="CO9" s="230">
        <f t="shared" ref="CO9" si="156">ROUNDUP(CU9/6,0)</f>
        <v>10</v>
      </c>
      <c r="CP9" s="230">
        <f t="shared" ref="CP9" si="157">IF((CU9-CO9)&gt;0,(ROUNDUP(((CU9-CO9)/5),0)),0)</f>
        <v>9</v>
      </c>
      <c r="CQ9" s="230">
        <f t="shared" ref="CQ9" si="158">IF((CU9-CO9-CP9)&gt;0,(ROUNDUP(((CU9-CO9-CP9)/4),0)),0)</f>
        <v>9</v>
      </c>
      <c r="CR9" s="230">
        <f t="shared" ref="CR9" si="159">IF((CU9-CO9-CP9-CQ9)&gt;0,(ROUNDUP(((CU9-CO9-CP9-CQ9)/3),0)),0)</f>
        <v>9</v>
      </c>
      <c r="CS9" s="230">
        <f t="shared" ref="CS9" si="160">IF((CU9-CO9-CP9-CQ9-CR9)&gt;0,(ROUNDUP(((CU9-CO9-CP9-CQ9-CR9)/2),0)),0)</f>
        <v>9</v>
      </c>
      <c r="CT9" s="230">
        <f t="shared" ref="CT9" si="161">IF((CU9-CO9-CP9-CQ9-CR9-CS9)&gt;0,(ROUNDUP(((CU9-CO9-CP9-CQ9-CR9-CS9)/1),0)),0)</f>
        <v>9</v>
      </c>
      <c r="CU9" s="228">
        <f>ROUND((VLOOKUP(A9,'PS - Cumulative pupils per year'!$A$3:$R$25,14,FALSE)),0)</f>
        <v>55</v>
      </c>
      <c r="CV9" s="227">
        <f t="shared" ref="CV9" si="162">ROUNDUP(DB9/6,0)</f>
        <v>10</v>
      </c>
      <c r="CW9" s="227">
        <f t="shared" ref="CW9" si="163">IF((DB9-CV9)&gt;0,(ROUNDUP(((DB9-CV9)/5),0)),0)</f>
        <v>9</v>
      </c>
      <c r="CX9" s="227">
        <f t="shared" ref="CX9" si="164">IF((DB9-CV9-CW9)&gt;0,(ROUNDUP(((DB9-CV9-CW9)/4),0)),0)</f>
        <v>9</v>
      </c>
      <c r="CY9" s="227">
        <f t="shared" ref="CY9" si="165">IF((DB9-CV9-CW9-CX9)&gt;0,(ROUNDUP(((DB9-CV9-CW9-CX9)/3),0)),0)</f>
        <v>9</v>
      </c>
      <c r="CZ9" s="227">
        <f t="shared" ref="CZ9" si="166">IF((DB9-CV9-CW9-CX9-CY9)&gt;0,(ROUNDUP(((DB9-CV9-CW9-CX9-CY9)/2),0)),0)</f>
        <v>9</v>
      </c>
      <c r="DA9" s="227">
        <f t="shared" ref="DA9" si="167">IF((DB9-CV9-CW9-CX9-CY9-CZ9)&gt;0,(ROUNDUP(((DB9-CV9-CW9-CX9-CY9-CZ9)/1),0)),0)</f>
        <v>9</v>
      </c>
      <c r="DB9" s="224">
        <f>ROUND((VLOOKUP(A9,'PS - Cumulative pupils per year'!$A$3:$R$25,15,FALSE)),0)</f>
        <v>55</v>
      </c>
    </row>
    <row r="10" spans="1:106" x14ac:dyDescent="0.2">
      <c r="A10" s="231" t="s">
        <v>96</v>
      </c>
      <c r="B10" s="227">
        <v>3</v>
      </c>
      <c r="C10" s="227">
        <v>3</v>
      </c>
      <c r="D10" s="227">
        <v>2</v>
      </c>
      <c r="E10" s="227">
        <v>2</v>
      </c>
      <c r="F10" s="227">
        <v>2</v>
      </c>
      <c r="G10" s="227">
        <v>2</v>
      </c>
      <c r="H10" s="224">
        <v>14</v>
      </c>
      <c r="I10" s="229">
        <f t="shared" si="0"/>
        <v>2</v>
      </c>
      <c r="J10" s="229">
        <f t="shared" si="1"/>
        <v>2</v>
      </c>
      <c r="K10" s="229">
        <f t="shared" si="2"/>
        <v>2</v>
      </c>
      <c r="L10" s="229">
        <f t="shared" si="3"/>
        <v>2</v>
      </c>
      <c r="M10" s="229">
        <f t="shared" si="4"/>
        <v>2</v>
      </c>
      <c r="N10" s="229">
        <f t="shared" si="5"/>
        <v>1</v>
      </c>
      <c r="O10" s="225">
        <f>ROUND((VLOOKUP(A10,'PS - Cumulative pupils per year'!$A$3:$R$25,2,FALSE)),0)</f>
        <v>11</v>
      </c>
      <c r="P10" s="227">
        <f t="shared" si="6"/>
        <v>4</v>
      </c>
      <c r="Q10" s="227">
        <f t="shared" si="7"/>
        <v>3</v>
      </c>
      <c r="R10" s="227">
        <f t="shared" si="8"/>
        <v>3</v>
      </c>
      <c r="S10" s="227">
        <f t="shared" si="9"/>
        <v>3</v>
      </c>
      <c r="T10" s="227">
        <f t="shared" si="10"/>
        <v>3</v>
      </c>
      <c r="U10" s="227">
        <f t="shared" si="11"/>
        <v>3</v>
      </c>
      <c r="V10" s="224">
        <f>ROUND((VLOOKUP(A10,'PS - Cumulative pupils per year'!$A$3:$R$25,3,FALSE)),0)</f>
        <v>19</v>
      </c>
      <c r="W10" s="230">
        <f t="shared" si="12"/>
        <v>5</v>
      </c>
      <c r="X10" s="230">
        <f t="shared" si="13"/>
        <v>5</v>
      </c>
      <c r="Y10" s="230">
        <f t="shared" si="14"/>
        <v>5</v>
      </c>
      <c r="Z10" s="230">
        <f t="shared" si="15"/>
        <v>5</v>
      </c>
      <c r="AA10" s="230">
        <f t="shared" si="16"/>
        <v>5</v>
      </c>
      <c r="AB10" s="230">
        <f t="shared" si="17"/>
        <v>5</v>
      </c>
      <c r="AC10" s="225">
        <f>ROUND((VLOOKUP(A10,'PS - Cumulative pupils per year'!$A$3:$R$25,4,FALSE)),0)</f>
        <v>30</v>
      </c>
      <c r="AD10" s="227">
        <f t="shared" si="18"/>
        <v>7</v>
      </c>
      <c r="AE10" s="227">
        <f t="shared" si="19"/>
        <v>6</v>
      </c>
      <c r="AF10" s="227">
        <f t="shared" si="20"/>
        <v>6</v>
      </c>
      <c r="AG10" s="227">
        <f t="shared" si="21"/>
        <v>6</v>
      </c>
      <c r="AH10" s="227">
        <f t="shared" si="22"/>
        <v>6</v>
      </c>
      <c r="AI10" s="227">
        <f t="shared" si="23"/>
        <v>6</v>
      </c>
      <c r="AJ10" s="224">
        <f>ROUND((VLOOKUP(A10,'PS - Cumulative pupils per year'!$A$3:$R$25,5,FALSE)),0)</f>
        <v>37</v>
      </c>
      <c r="AK10" s="230">
        <f t="shared" si="24"/>
        <v>7</v>
      </c>
      <c r="AL10" s="230">
        <f t="shared" si="25"/>
        <v>7</v>
      </c>
      <c r="AM10" s="230">
        <f t="shared" si="26"/>
        <v>7</v>
      </c>
      <c r="AN10" s="230">
        <f t="shared" si="27"/>
        <v>7</v>
      </c>
      <c r="AO10" s="230">
        <f t="shared" si="28"/>
        <v>6</v>
      </c>
      <c r="AP10" s="230">
        <f t="shared" si="29"/>
        <v>6</v>
      </c>
      <c r="AQ10" s="225">
        <f>ROUND((VLOOKUP(A10,'PS - Cumulative pupils per year'!$A$3:$R$25,6,FALSE)),0)</f>
        <v>40</v>
      </c>
      <c r="AR10" s="227">
        <f t="shared" si="30"/>
        <v>8</v>
      </c>
      <c r="AS10" s="227">
        <f t="shared" si="31"/>
        <v>8</v>
      </c>
      <c r="AT10" s="227">
        <f t="shared" si="32"/>
        <v>7</v>
      </c>
      <c r="AU10" s="227">
        <f t="shared" si="33"/>
        <v>7</v>
      </c>
      <c r="AV10" s="227">
        <f t="shared" si="34"/>
        <v>7</v>
      </c>
      <c r="AW10" s="227">
        <f t="shared" si="35"/>
        <v>7</v>
      </c>
      <c r="AX10" s="224">
        <f>ROUND((VLOOKUP(A10,'PS - Cumulative pupils per year'!$A$3:$R$25,7,FALSE)),0)</f>
        <v>44</v>
      </c>
      <c r="AY10" s="230">
        <f t="shared" si="36"/>
        <v>8</v>
      </c>
      <c r="AZ10" s="230">
        <f t="shared" si="37"/>
        <v>8</v>
      </c>
      <c r="BA10" s="230">
        <f t="shared" si="38"/>
        <v>8</v>
      </c>
      <c r="BB10" s="230">
        <f t="shared" si="39"/>
        <v>8</v>
      </c>
      <c r="BC10" s="230">
        <f t="shared" si="40"/>
        <v>7</v>
      </c>
      <c r="BD10" s="230">
        <f t="shared" si="41"/>
        <v>7</v>
      </c>
      <c r="BE10" s="225">
        <f>ROUND((VLOOKUP(A10,'PS - Cumulative pupils per year'!$A$3:$R$25,8,FALSE)),0)</f>
        <v>46</v>
      </c>
      <c r="BF10" s="227">
        <f t="shared" si="42"/>
        <v>8</v>
      </c>
      <c r="BG10" s="227">
        <f t="shared" si="43"/>
        <v>8</v>
      </c>
      <c r="BH10" s="227">
        <f t="shared" si="44"/>
        <v>8</v>
      </c>
      <c r="BI10" s="227">
        <f t="shared" si="45"/>
        <v>8</v>
      </c>
      <c r="BJ10" s="227">
        <f t="shared" si="46"/>
        <v>8</v>
      </c>
      <c r="BK10" s="227">
        <f t="shared" si="47"/>
        <v>7</v>
      </c>
      <c r="BL10" s="224">
        <f>ROUND((VLOOKUP(A10,'PS - Cumulative pupils per year'!$A$3:$R$25,9,FALSE)),0)</f>
        <v>47</v>
      </c>
      <c r="BM10" s="230">
        <f t="shared" si="48"/>
        <v>8</v>
      </c>
      <c r="BN10" s="230">
        <f t="shared" si="49"/>
        <v>8</v>
      </c>
      <c r="BO10" s="230">
        <f t="shared" si="50"/>
        <v>8</v>
      </c>
      <c r="BP10" s="230">
        <f t="shared" si="51"/>
        <v>8</v>
      </c>
      <c r="BQ10" s="230">
        <f t="shared" si="52"/>
        <v>8</v>
      </c>
      <c r="BR10" s="230">
        <f t="shared" si="53"/>
        <v>8</v>
      </c>
      <c r="BS10" s="225">
        <f>ROUND((VLOOKUP(A10,'PS - Cumulative pupils per year'!$A$3:$R$25,10,FALSE)),0)</f>
        <v>48</v>
      </c>
      <c r="BT10" s="227">
        <f t="shared" si="54"/>
        <v>8</v>
      </c>
      <c r="BU10" s="227">
        <f t="shared" si="55"/>
        <v>8</v>
      </c>
      <c r="BV10" s="227">
        <f t="shared" si="56"/>
        <v>8</v>
      </c>
      <c r="BW10" s="227">
        <f t="shared" si="57"/>
        <v>8</v>
      </c>
      <c r="BX10" s="227">
        <f t="shared" si="58"/>
        <v>8</v>
      </c>
      <c r="BY10" s="227">
        <f t="shared" si="59"/>
        <v>8</v>
      </c>
      <c r="BZ10" s="224">
        <f>ROUND((VLOOKUP(A10,'PS - Cumulative pupils per year'!$A$3:$R$25,11,FALSE)),0)</f>
        <v>48</v>
      </c>
      <c r="CA10" s="230">
        <f t="shared" si="60"/>
        <v>8</v>
      </c>
      <c r="CB10" s="230">
        <f t="shared" si="61"/>
        <v>8</v>
      </c>
      <c r="CC10" s="230">
        <f t="shared" si="62"/>
        <v>8</v>
      </c>
      <c r="CD10" s="230">
        <f t="shared" si="63"/>
        <v>8</v>
      </c>
      <c r="CE10" s="230">
        <f t="shared" si="64"/>
        <v>8</v>
      </c>
      <c r="CF10" s="230">
        <f t="shared" si="65"/>
        <v>8</v>
      </c>
      <c r="CG10" s="228">
        <f>ROUND((VLOOKUP(A10,'PS - Cumulative pupils per year'!$A$3:$R$25,12,FALSE)),0)</f>
        <v>48</v>
      </c>
      <c r="CH10" s="227">
        <f t="shared" si="66"/>
        <v>8</v>
      </c>
      <c r="CI10" s="227">
        <f t="shared" si="67"/>
        <v>8</v>
      </c>
      <c r="CJ10" s="227">
        <f t="shared" si="68"/>
        <v>8</v>
      </c>
      <c r="CK10" s="227">
        <f t="shared" si="69"/>
        <v>8</v>
      </c>
      <c r="CL10" s="227">
        <f t="shared" si="70"/>
        <v>8</v>
      </c>
      <c r="CM10" s="227">
        <f t="shared" si="71"/>
        <v>8</v>
      </c>
      <c r="CN10" s="224">
        <f>ROUND((VLOOKUP(A10,'PS - Cumulative pupils per year'!$A$3:$R$25,13,FALSE)),0)</f>
        <v>48</v>
      </c>
      <c r="CO10" s="230">
        <f t="shared" si="72"/>
        <v>8</v>
      </c>
      <c r="CP10" s="230">
        <f t="shared" si="73"/>
        <v>8</v>
      </c>
      <c r="CQ10" s="230">
        <f t="shared" si="74"/>
        <v>8</v>
      </c>
      <c r="CR10" s="230">
        <f t="shared" si="75"/>
        <v>8</v>
      </c>
      <c r="CS10" s="230">
        <f t="shared" si="76"/>
        <v>8</v>
      </c>
      <c r="CT10" s="230">
        <f t="shared" si="77"/>
        <v>8</v>
      </c>
      <c r="CU10" s="228">
        <f>ROUND((VLOOKUP(A10,'PS - Cumulative pupils per year'!$A$3:$R$25,14,FALSE)),0)</f>
        <v>48</v>
      </c>
      <c r="CV10" s="227">
        <f t="shared" si="78"/>
        <v>8</v>
      </c>
      <c r="CW10" s="227">
        <f t="shared" si="79"/>
        <v>8</v>
      </c>
      <c r="CX10" s="227">
        <f t="shared" si="80"/>
        <v>8</v>
      </c>
      <c r="CY10" s="227">
        <f t="shared" si="81"/>
        <v>8</v>
      </c>
      <c r="CZ10" s="227">
        <f t="shared" si="82"/>
        <v>8</v>
      </c>
      <c r="DA10" s="227">
        <f t="shared" si="83"/>
        <v>8</v>
      </c>
      <c r="DB10" s="224">
        <f>ROUND((VLOOKUP(A10,'PS - Cumulative pupils per year'!$A$3:$R$25,15,FALSE)),0)</f>
        <v>48</v>
      </c>
    </row>
    <row r="11" spans="1:106" x14ac:dyDescent="0.2">
      <c r="A11" s="231" t="s">
        <v>314</v>
      </c>
      <c r="B11" s="227">
        <v>1</v>
      </c>
      <c r="C11" s="227">
        <v>1</v>
      </c>
      <c r="D11" s="227">
        <v>0</v>
      </c>
      <c r="E11" s="227">
        <v>0</v>
      </c>
      <c r="F11" s="227">
        <v>0</v>
      </c>
      <c r="G11" s="227">
        <v>0</v>
      </c>
      <c r="H11" s="224">
        <v>2</v>
      </c>
      <c r="I11" s="229">
        <f t="shared" si="0"/>
        <v>1</v>
      </c>
      <c r="J11" s="229">
        <f t="shared" si="1"/>
        <v>0</v>
      </c>
      <c r="K11" s="229">
        <f t="shared" si="2"/>
        <v>0</v>
      </c>
      <c r="L11" s="229">
        <f t="shared" si="3"/>
        <v>0</v>
      </c>
      <c r="M11" s="229">
        <f t="shared" si="4"/>
        <v>0</v>
      </c>
      <c r="N11" s="229">
        <f t="shared" si="5"/>
        <v>0</v>
      </c>
      <c r="O11" s="225">
        <f>ROUND((VLOOKUP(A11,'PS - Cumulative pupils per year'!$A$3:$R$25,2,FALSE)),0)</f>
        <v>1</v>
      </c>
      <c r="P11" s="227">
        <f t="shared" si="6"/>
        <v>1</v>
      </c>
      <c r="Q11" s="227">
        <f t="shared" si="7"/>
        <v>1</v>
      </c>
      <c r="R11" s="227">
        <f t="shared" si="8"/>
        <v>0</v>
      </c>
      <c r="S11" s="227">
        <f t="shared" si="9"/>
        <v>0</v>
      </c>
      <c r="T11" s="227">
        <f t="shared" si="10"/>
        <v>0</v>
      </c>
      <c r="U11" s="227">
        <f t="shared" si="11"/>
        <v>0</v>
      </c>
      <c r="V11" s="224">
        <f>ROUND((VLOOKUP(A11,'PS - Cumulative pupils per year'!$A$3:$R$25,3,FALSE)),0)</f>
        <v>2</v>
      </c>
      <c r="W11" s="230">
        <f t="shared" si="12"/>
        <v>1</v>
      </c>
      <c r="X11" s="230">
        <f t="shared" si="13"/>
        <v>1</v>
      </c>
      <c r="Y11" s="230">
        <f t="shared" si="14"/>
        <v>0</v>
      </c>
      <c r="Z11" s="230">
        <f t="shared" si="15"/>
        <v>0</v>
      </c>
      <c r="AA11" s="230">
        <f t="shared" si="16"/>
        <v>0</v>
      </c>
      <c r="AB11" s="230">
        <f t="shared" si="17"/>
        <v>0</v>
      </c>
      <c r="AC11" s="225">
        <f>ROUND((VLOOKUP(A11,'PS - Cumulative pupils per year'!$A$3:$R$25,4,FALSE)),0)</f>
        <v>2</v>
      </c>
      <c r="AD11" s="227">
        <f t="shared" si="18"/>
        <v>1</v>
      </c>
      <c r="AE11" s="227">
        <f t="shared" si="19"/>
        <v>1</v>
      </c>
      <c r="AF11" s="227">
        <f t="shared" si="20"/>
        <v>0</v>
      </c>
      <c r="AG11" s="227">
        <f t="shared" si="21"/>
        <v>0</v>
      </c>
      <c r="AH11" s="227">
        <f t="shared" si="22"/>
        <v>0</v>
      </c>
      <c r="AI11" s="227">
        <f t="shared" si="23"/>
        <v>0</v>
      </c>
      <c r="AJ11" s="224">
        <f>ROUND((VLOOKUP(A11,'PS - Cumulative pupils per year'!$A$3:$R$25,5,FALSE)),0)</f>
        <v>2</v>
      </c>
      <c r="AK11" s="230">
        <f t="shared" si="24"/>
        <v>1</v>
      </c>
      <c r="AL11" s="230">
        <f t="shared" si="25"/>
        <v>1</v>
      </c>
      <c r="AM11" s="230">
        <f t="shared" si="26"/>
        <v>0</v>
      </c>
      <c r="AN11" s="230">
        <f t="shared" si="27"/>
        <v>0</v>
      </c>
      <c r="AO11" s="230">
        <f t="shared" si="28"/>
        <v>0</v>
      </c>
      <c r="AP11" s="230">
        <f t="shared" si="29"/>
        <v>0</v>
      </c>
      <c r="AQ11" s="225">
        <f>ROUND((VLOOKUP(A11,'PS - Cumulative pupils per year'!$A$3:$R$25,6,FALSE)),0)</f>
        <v>2</v>
      </c>
      <c r="AR11" s="227">
        <f t="shared" si="30"/>
        <v>1</v>
      </c>
      <c r="AS11" s="227">
        <f t="shared" si="31"/>
        <v>1</v>
      </c>
      <c r="AT11" s="227">
        <f t="shared" si="32"/>
        <v>1</v>
      </c>
      <c r="AU11" s="227">
        <f t="shared" si="33"/>
        <v>0</v>
      </c>
      <c r="AV11" s="227">
        <f t="shared" si="34"/>
        <v>0</v>
      </c>
      <c r="AW11" s="227">
        <f t="shared" si="35"/>
        <v>0</v>
      </c>
      <c r="AX11" s="224">
        <f>ROUND((VLOOKUP(A11,'PS - Cumulative pupils per year'!$A$3:$R$25,7,FALSE)),0)</f>
        <v>3</v>
      </c>
      <c r="AY11" s="230">
        <f t="shared" si="36"/>
        <v>1</v>
      </c>
      <c r="AZ11" s="230">
        <f t="shared" si="37"/>
        <v>1</v>
      </c>
      <c r="BA11" s="230">
        <f t="shared" si="38"/>
        <v>1</v>
      </c>
      <c r="BB11" s="230">
        <f t="shared" si="39"/>
        <v>1</v>
      </c>
      <c r="BC11" s="230">
        <f t="shared" si="40"/>
        <v>1</v>
      </c>
      <c r="BD11" s="230">
        <f t="shared" si="41"/>
        <v>0</v>
      </c>
      <c r="BE11" s="225">
        <f>ROUND((VLOOKUP(A11,'PS - Cumulative pupils per year'!$A$3:$R$25,8,FALSE)),0)</f>
        <v>5</v>
      </c>
      <c r="BF11" s="227">
        <f t="shared" si="42"/>
        <v>1</v>
      </c>
      <c r="BG11" s="227">
        <f t="shared" si="43"/>
        <v>1</v>
      </c>
      <c r="BH11" s="227">
        <f t="shared" si="44"/>
        <v>1</v>
      </c>
      <c r="BI11" s="227">
        <f t="shared" si="45"/>
        <v>1</v>
      </c>
      <c r="BJ11" s="227">
        <f t="shared" si="46"/>
        <v>1</v>
      </c>
      <c r="BK11" s="227">
        <f t="shared" si="47"/>
        <v>0</v>
      </c>
      <c r="BL11" s="224">
        <f>ROUND((VLOOKUP(A11,'PS - Cumulative pupils per year'!$A$3:$R$25,9,FALSE)),0)</f>
        <v>5</v>
      </c>
      <c r="BM11" s="230">
        <f t="shared" si="48"/>
        <v>1</v>
      </c>
      <c r="BN11" s="230">
        <f t="shared" si="49"/>
        <v>1</v>
      </c>
      <c r="BO11" s="230">
        <f t="shared" si="50"/>
        <v>1</v>
      </c>
      <c r="BP11" s="230">
        <f t="shared" si="51"/>
        <v>1</v>
      </c>
      <c r="BQ11" s="230">
        <f t="shared" si="52"/>
        <v>1</v>
      </c>
      <c r="BR11" s="230">
        <f t="shared" si="53"/>
        <v>0</v>
      </c>
      <c r="BS11" s="225">
        <f>ROUND((VLOOKUP(A11,'PS - Cumulative pupils per year'!$A$3:$R$25,10,FALSE)),0)</f>
        <v>5</v>
      </c>
      <c r="BT11" s="227">
        <f t="shared" si="54"/>
        <v>1</v>
      </c>
      <c r="BU11" s="227">
        <f t="shared" si="55"/>
        <v>1</v>
      </c>
      <c r="BV11" s="227">
        <f t="shared" si="56"/>
        <v>1</v>
      </c>
      <c r="BW11" s="227">
        <f t="shared" si="57"/>
        <v>1</v>
      </c>
      <c r="BX11" s="227">
        <f t="shared" si="58"/>
        <v>1</v>
      </c>
      <c r="BY11" s="227">
        <f t="shared" si="59"/>
        <v>0</v>
      </c>
      <c r="BZ11" s="224">
        <f>ROUND((VLOOKUP(A11,'PS - Cumulative pupils per year'!$A$3:$R$25,11,FALSE)),0)</f>
        <v>5</v>
      </c>
      <c r="CA11" s="230">
        <f t="shared" si="60"/>
        <v>1</v>
      </c>
      <c r="CB11" s="230">
        <f t="shared" si="61"/>
        <v>1</v>
      </c>
      <c r="CC11" s="230">
        <f t="shared" si="62"/>
        <v>1</v>
      </c>
      <c r="CD11" s="230">
        <f t="shared" si="63"/>
        <v>1</v>
      </c>
      <c r="CE11" s="230">
        <f t="shared" si="64"/>
        <v>1</v>
      </c>
      <c r="CF11" s="230">
        <f t="shared" si="65"/>
        <v>0</v>
      </c>
      <c r="CG11" s="228">
        <f>ROUND((VLOOKUP(A11,'PS - Cumulative pupils per year'!$A$3:$R$25,12,FALSE)),0)</f>
        <v>5</v>
      </c>
      <c r="CH11" s="227">
        <f t="shared" si="66"/>
        <v>1</v>
      </c>
      <c r="CI11" s="227">
        <f t="shared" si="67"/>
        <v>1</v>
      </c>
      <c r="CJ11" s="227">
        <f t="shared" si="68"/>
        <v>1</v>
      </c>
      <c r="CK11" s="227">
        <f t="shared" si="69"/>
        <v>1</v>
      </c>
      <c r="CL11" s="227">
        <f t="shared" si="70"/>
        <v>1</v>
      </c>
      <c r="CM11" s="227">
        <f t="shared" si="71"/>
        <v>0</v>
      </c>
      <c r="CN11" s="224">
        <f>ROUND((VLOOKUP(A11,'PS - Cumulative pupils per year'!$A$3:$R$25,13,FALSE)),0)</f>
        <v>5</v>
      </c>
      <c r="CO11" s="230">
        <f t="shared" si="72"/>
        <v>1</v>
      </c>
      <c r="CP11" s="230">
        <f t="shared" si="73"/>
        <v>1</v>
      </c>
      <c r="CQ11" s="230">
        <f t="shared" si="74"/>
        <v>1</v>
      </c>
      <c r="CR11" s="230">
        <f t="shared" si="75"/>
        <v>1</v>
      </c>
      <c r="CS11" s="230">
        <f t="shared" si="76"/>
        <v>1</v>
      </c>
      <c r="CT11" s="230">
        <f t="shared" si="77"/>
        <v>0</v>
      </c>
      <c r="CU11" s="228">
        <f>ROUND((VLOOKUP(A11,'PS - Cumulative pupils per year'!$A$3:$R$25,14,FALSE)),0)</f>
        <v>5</v>
      </c>
      <c r="CV11" s="227">
        <f t="shared" si="78"/>
        <v>1</v>
      </c>
      <c r="CW11" s="227">
        <f t="shared" si="79"/>
        <v>1</v>
      </c>
      <c r="CX11" s="227">
        <f t="shared" si="80"/>
        <v>1</v>
      </c>
      <c r="CY11" s="227">
        <f t="shared" si="81"/>
        <v>1</v>
      </c>
      <c r="CZ11" s="227">
        <f t="shared" si="82"/>
        <v>1</v>
      </c>
      <c r="DA11" s="227">
        <f t="shared" si="83"/>
        <v>0</v>
      </c>
      <c r="DB11" s="224">
        <f>ROUND((VLOOKUP(A11,'PS - Cumulative pupils per year'!$A$3:$R$25,15,FALSE)),0)</f>
        <v>5</v>
      </c>
    </row>
    <row r="12" spans="1:106" x14ac:dyDescent="0.2">
      <c r="A12" s="231" t="s">
        <v>100</v>
      </c>
      <c r="B12" s="227">
        <v>3</v>
      </c>
      <c r="C12" s="227">
        <v>3</v>
      </c>
      <c r="D12" s="227">
        <v>3</v>
      </c>
      <c r="E12" s="227">
        <v>2</v>
      </c>
      <c r="F12" s="227">
        <v>2</v>
      </c>
      <c r="G12" s="227">
        <v>2</v>
      </c>
      <c r="H12" s="224">
        <v>15</v>
      </c>
      <c r="I12" s="229">
        <f t="shared" si="0"/>
        <v>4</v>
      </c>
      <c r="J12" s="229">
        <f t="shared" si="1"/>
        <v>3</v>
      </c>
      <c r="K12" s="229">
        <f t="shared" si="2"/>
        <v>3</v>
      </c>
      <c r="L12" s="229">
        <f t="shared" si="3"/>
        <v>3</v>
      </c>
      <c r="M12" s="229">
        <f t="shared" si="4"/>
        <v>3</v>
      </c>
      <c r="N12" s="229">
        <f t="shared" si="5"/>
        <v>3</v>
      </c>
      <c r="O12" s="225">
        <f>ROUND((VLOOKUP(A12,'PS - Cumulative pupils per year'!$A$3:$R$25,2,FALSE)),0)</f>
        <v>19</v>
      </c>
      <c r="P12" s="227">
        <f t="shared" si="6"/>
        <v>6</v>
      </c>
      <c r="Q12" s="227">
        <f t="shared" si="7"/>
        <v>6</v>
      </c>
      <c r="R12" s="227">
        <f t="shared" si="8"/>
        <v>5</v>
      </c>
      <c r="S12" s="227">
        <f t="shared" si="9"/>
        <v>5</v>
      </c>
      <c r="T12" s="227">
        <f t="shared" si="10"/>
        <v>5</v>
      </c>
      <c r="U12" s="227">
        <f t="shared" si="11"/>
        <v>5</v>
      </c>
      <c r="V12" s="224">
        <f>ROUND((VLOOKUP(A12,'PS - Cumulative pupils per year'!$A$3:$R$25,3,FALSE)),0)</f>
        <v>32</v>
      </c>
      <c r="W12" s="230">
        <f t="shared" si="12"/>
        <v>6</v>
      </c>
      <c r="X12" s="230">
        <f t="shared" si="13"/>
        <v>6</v>
      </c>
      <c r="Y12" s="230">
        <f t="shared" si="14"/>
        <v>5</v>
      </c>
      <c r="Z12" s="230">
        <f t="shared" si="15"/>
        <v>5</v>
      </c>
      <c r="AA12" s="230">
        <f t="shared" si="16"/>
        <v>5</v>
      </c>
      <c r="AB12" s="230">
        <f t="shared" si="17"/>
        <v>5</v>
      </c>
      <c r="AC12" s="225">
        <f>ROUND((VLOOKUP(A12,'PS - Cumulative pupils per year'!$A$3:$R$25,4,FALSE)),0)</f>
        <v>32</v>
      </c>
      <c r="AD12" s="227">
        <f t="shared" si="18"/>
        <v>6</v>
      </c>
      <c r="AE12" s="227">
        <f t="shared" si="19"/>
        <v>6</v>
      </c>
      <c r="AF12" s="227">
        <f t="shared" si="20"/>
        <v>5</v>
      </c>
      <c r="AG12" s="227">
        <f t="shared" si="21"/>
        <v>5</v>
      </c>
      <c r="AH12" s="227">
        <f t="shared" si="22"/>
        <v>5</v>
      </c>
      <c r="AI12" s="227">
        <f t="shared" si="23"/>
        <v>5</v>
      </c>
      <c r="AJ12" s="224">
        <f>ROUND((VLOOKUP(A12,'PS - Cumulative pupils per year'!$A$3:$R$25,5,FALSE)),0)</f>
        <v>32</v>
      </c>
      <c r="AK12" s="230">
        <f t="shared" si="24"/>
        <v>6</v>
      </c>
      <c r="AL12" s="230">
        <f t="shared" si="25"/>
        <v>6</v>
      </c>
      <c r="AM12" s="230">
        <f t="shared" si="26"/>
        <v>5</v>
      </c>
      <c r="AN12" s="230">
        <f t="shared" si="27"/>
        <v>5</v>
      </c>
      <c r="AO12" s="230">
        <f t="shared" si="28"/>
        <v>5</v>
      </c>
      <c r="AP12" s="230">
        <f t="shared" si="29"/>
        <v>5</v>
      </c>
      <c r="AQ12" s="225">
        <f>ROUND((VLOOKUP(A12,'PS - Cumulative pupils per year'!$A$3:$R$25,6,FALSE)),0)</f>
        <v>32</v>
      </c>
      <c r="AR12" s="227">
        <f t="shared" si="30"/>
        <v>6</v>
      </c>
      <c r="AS12" s="227">
        <f t="shared" si="31"/>
        <v>6</v>
      </c>
      <c r="AT12" s="227">
        <f t="shared" si="32"/>
        <v>6</v>
      </c>
      <c r="AU12" s="227">
        <f t="shared" si="33"/>
        <v>6</v>
      </c>
      <c r="AV12" s="227">
        <f t="shared" si="34"/>
        <v>6</v>
      </c>
      <c r="AW12" s="227">
        <f t="shared" si="35"/>
        <v>5</v>
      </c>
      <c r="AX12" s="224">
        <f>ROUND((VLOOKUP(A12,'PS - Cumulative pupils per year'!$A$3:$R$25,7,FALSE)),0)</f>
        <v>35</v>
      </c>
      <c r="AY12" s="230">
        <f t="shared" si="36"/>
        <v>7</v>
      </c>
      <c r="AZ12" s="230">
        <f t="shared" si="37"/>
        <v>7</v>
      </c>
      <c r="BA12" s="230">
        <f t="shared" si="38"/>
        <v>6</v>
      </c>
      <c r="BB12" s="230">
        <f t="shared" si="39"/>
        <v>6</v>
      </c>
      <c r="BC12" s="230">
        <f t="shared" si="40"/>
        <v>6</v>
      </c>
      <c r="BD12" s="230">
        <f t="shared" si="41"/>
        <v>6</v>
      </c>
      <c r="BE12" s="225">
        <f>ROUND((VLOOKUP(A12,'PS - Cumulative pupils per year'!$A$3:$R$25,8,FALSE)),0)</f>
        <v>38</v>
      </c>
      <c r="BF12" s="227">
        <f t="shared" si="42"/>
        <v>7</v>
      </c>
      <c r="BG12" s="227">
        <f t="shared" si="43"/>
        <v>7</v>
      </c>
      <c r="BH12" s="227">
        <f t="shared" si="44"/>
        <v>7</v>
      </c>
      <c r="BI12" s="227">
        <f t="shared" si="45"/>
        <v>7</v>
      </c>
      <c r="BJ12" s="227">
        <f t="shared" si="46"/>
        <v>6</v>
      </c>
      <c r="BK12" s="227">
        <f t="shared" si="47"/>
        <v>6</v>
      </c>
      <c r="BL12" s="224">
        <f>ROUND((VLOOKUP(A12,'PS - Cumulative pupils per year'!$A$3:$R$25,9,FALSE)),0)</f>
        <v>40</v>
      </c>
      <c r="BM12" s="230">
        <f t="shared" si="48"/>
        <v>8</v>
      </c>
      <c r="BN12" s="230">
        <f t="shared" si="49"/>
        <v>7</v>
      </c>
      <c r="BO12" s="230">
        <f t="shared" si="50"/>
        <v>7</v>
      </c>
      <c r="BP12" s="230">
        <f t="shared" si="51"/>
        <v>7</v>
      </c>
      <c r="BQ12" s="230">
        <f t="shared" si="52"/>
        <v>7</v>
      </c>
      <c r="BR12" s="230">
        <f t="shared" si="53"/>
        <v>7</v>
      </c>
      <c r="BS12" s="225">
        <f>ROUND((VLOOKUP(A12,'PS - Cumulative pupils per year'!$A$3:$R$25,10,FALSE)),0)</f>
        <v>43</v>
      </c>
      <c r="BT12" s="227">
        <f t="shared" si="54"/>
        <v>8</v>
      </c>
      <c r="BU12" s="227">
        <f t="shared" si="55"/>
        <v>8</v>
      </c>
      <c r="BV12" s="227">
        <f t="shared" si="56"/>
        <v>8</v>
      </c>
      <c r="BW12" s="227">
        <f t="shared" si="57"/>
        <v>8</v>
      </c>
      <c r="BX12" s="227">
        <f t="shared" si="58"/>
        <v>7</v>
      </c>
      <c r="BY12" s="227">
        <f t="shared" si="59"/>
        <v>7</v>
      </c>
      <c r="BZ12" s="224">
        <f>ROUND((VLOOKUP(A12,'PS - Cumulative pupils per year'!$A$3:$R$25,11,FALSE)),0)</f>
        <v>46</v>
      </c>
      <c r="CA12" s="230">
        <f t="shared" si="60"/>
        <v>8</v>
      </c>
      <c r="CB12" s="230">
        <f t="shared" si="61"/>
        <v>8</v>
      </c>
      <c r="CC12" s="230">
        <f t="shared" si="62"/>
        <v>8</v>
      </c>
      <c r="CD12" s="230">
        <f t="shared" si="63"/>
        <v>8</v>
      </c>
      <c r="CE12" s="230">
        <f t="shared" si="64"/>
        <v>8</v>
      </c>
      <c r="CF12" s="230">
        <f t="shared" si="65"/>
        <v>7</v>
      </c>
      <c r="CG12" s="228">
        <f>ROUND((VLOOKUP(A12,'PS - Cumulative pupils per year'!$A$3:$R$25,12,FALSE)),0)</f>
        <v>47</v>
      </c>
      <c r="CH12" s="227">
        <f t="shared" si="66"/>
        <v>9</v>
      </c>
      <c r="CI12" s="227">
        <f t="shared" si="67"/>
        <v>8</v>
      </c>
      <c r="CJ12" s="227">
        <f t="shared" si="68"/>
        <v>8</v>
      </c>
      <c r="CK12" s="227">
        <f t="shared" si="69"/>
        <v>8</v>
      </c>
      <c r="CL12" s="227">
        <f t="shared" si="70"/>
        <v>8</v>
      </c>
      <c r="CM12" s="227">
        <f t="shared" si="71"/>
        <v>8</v>
      </c>
      <c r="CN12" s="224">
        <f>ROUND((VLOOKUP(A12,'PS - Cumulative pupils per year'!$A$3:$R$25,13,FALSE)),0)</f>
        <v>49</v>
      </c>
      <c r="CO12" s="230">
        <f t="shared" si="72"/>
        <v>9</v>
      </c>
      <c r="CP12" s="230">
        <f t="shared" si="73"/>
        <v>9</v>
      </c>
      <c r="CQ12" s="230">
        <f t="shared" si="74"/>
        <v>8</v>
      </c>
      <c r="CR12" s="230">
        <f t="shared" si="75"/>
        <v>8</v>
      </c>
      <c r="CS12" s="230">
        <f t="shared" si="76"/>
        <v>8</v>
      </c>
      <c r="CT12" s="230">
        <f t="shared" si="77"/>
        <v>8</v>
      </c>
      <c r="CU12" s="228">
        <f>ROUND((VLOOKUP(A12,'PS - Cumulative pupils per year'!$A$3:$R$25,14,FALSE)),0)</f>
        <v>50</v>
      </c>
      <c r="CV12" s="227">
        <f t="shared" si="78"/>
        <v>9</v>
      </c>
      <c r="CW12" s="227">
        <f t="shared" si="79"/>
        <v>9</v>
      </c>
      <c r="CX12" s="227">
        <f t="shared" si="80"/>
        <v>9</v>
      </c>
      <c r="CY12" s="227">
        <f t="shared" si="81"/>
        <v>8</v>
      </c>
      <c r="CZ12" s="227">
        <f t="shared" si="82"/>
        <v>8</v>
      </c>
      <c r="DA12" s="227">
        <f t="shared" si="83"/>
        <v>8</v>
      </c>
      <c r="DB12" s="224">
        <f>ROUND((VLOOKUP(A12,'PS - Cumulative pupils per year'!$A$3:$R$25,15,FALSE)),0)</f>
        <v>51</v>
      </c>
    </row>
    <row r="13" spans="1:106" x14ac:dyDescent="0.2">
      <c r="A13" s="231" t="s">
        <v>101</v>
      </c>
      <c r="B13" s="227">
        <v>3</v>
      </c>
      <c r="C13" s="227">
        <v>2</v>
      </c>
      <c r="D13" s="227">
        <v>2</v>
      </c>
      <c r="E13" s="227">
        <v>2</v>
      </c>
      <c r="F13" s="227">
        <v>2</v>
      </c>
      <c r="G13" s="227">
        <v>2</v>
      </c>
      <c r="H13" s="224">
        <v>13</v>
      </c>
      <c r="I13" s="229">
        <f t="shared" si="0"/>
        <v>6</v>
      </c>
      <c r="J13" s="229">
        <f t="shared" si="1"/>
        <v>5</v>
      </c>
      <c r="K13" s="229">
        <f t="shared" si="2"/>
        <v>5</v>
      </c>
      <c r="L13" s="229">
        <f t="shared" si="3"/>
        <v>5</v>
      </c>
      <c r="M13" s="229">
        <f t="shared" si="4"/>
        <v>5</v>
      </c>
      <c r="N13" s="229">
        <f t="shared" si="5"/>
        <v>5</v>
      </c>
      <c r="O13" s="225">
        <f>ROUND((VLOOKUP(A13,'PS - Cumulative pupils per year'!$A$3:$R$25,2,FALSE)),0)</f>
        <v>31</v>
      </c>
      <c r="P13" s="227">
        <f t="shared" si="6"/>
        <v>10</v>
      </c>
      <c r="Q13" s="227">
        <f t="shared" si="7"/>
        <v>10</v>
      </c>
      <c r="R13" s="227">
        <f t="shared" si="8"/>
        <v>10</v>
      </c>
      <c r="S13" s="227">
        <f t="shared" si="9"/>
        <v>10</v>
      </c>
      <c r="T13" s="227">
        <f t="shared" si="10"/>
        <v>10</v>
      </c>
      <c r="U13" s="227">
        <f t="shared" si="11"/>
        <v>9</v>
      </c>
      <c r="V13" s="224">
        <f>ROUND((VLOOKUP(A13,'PS - Cumulative pupils per year'!$A$3:$R$25,3,FALSE)),0)</f>
        <v>59</v>
      </c>
      <c r="W13" s="230">
        <f t="shared" si="12"/>
        <v>14</v>
      </c>
      <c r="X13" s="230">
        <f t="shared" si="13"/>
        <v>14</v>
      </c>
      <c r="Y13" s="230">
        <f t="shared" si="14"/>
        <v>14</v>
      </c>
      <c r="Z13" s="230">
        <f t="shared" si="15"/>
        <v>14</v>
      </c>
      <c r="AA13" s="230">
        <f t="shared" si="16"/>
        <v>14</v>
      </c>
      <c r="AB13" s="230">
        <f t="shared" si="17"/>
        <v>14</v>
      </c>
      <c r="AC13" s="225">
        <f>ROUND((VLOOKUP(A13,'PS - Cumulative pupils per year'!$A$3:$R$25,4,FALSE)),0)</f>
        <v>84</v>
      </c>
      <c r="AD13" s="227">
        <f t="shared" si="18"/>
        <v>18</v>
      </c>
      <c r="AE13" s="227">
        <f t="shared" si="19"/>
        <v>17</v>
      </c>
      <c r="AF13" s="227">
        <f t="shared" si="20"/>
        <v>17</v>
      </c>
      <c r="AG13" s="227">
        <f t="shared" si="21"/>
        <v>17</v>
      </c>
      <c r="AH13" s="227">
        <f t="shared" si="22"/>
        <v>17</v>
      </c>
      <c r="AI13" s="227">
        <f t="shared" si="23"/>
        <v>17</v>
      </c>
      <c r="AJ13" s="224">
        <f>ROUND((VLOOKUP(A13,'PS - Cumulative pupils per year'!$A$3:$R$25,5,FALSE)),0)</f>
        <v>103</v>
      </c>
      <c r="AK13" s="230">
        <f t="shared" si="24"/>
        <v>19</v>
      </c>
      <c r="AL13" s="230">
        <f t="shared" si="25"/>
        <v>19</v>
      </c>
      <c r="AM13" s="230">
        <f t="shared" si="26"/>
        <v>18</v>
      </c>
      <c r="AN13" s="230">
        <f t="shared" si="27"/>
        <v>18</v>
      </c>
      <c r="AO13" s="230">
        <f t="shared" si="28"/>
        <v>18</v>
      </c>
      <c r="AP13" s="230">
        <f t="shared" si="29"/>
        <v>18</v>
      </c>
      <c r="AQ13" s="225">
        <f>ROUND((VLOOKUP(A13,'PS - Cumulative pupils per year'!$A$3:$R$25,6,FALSE)),0)</f>
        <v>110</v>
      </c>
      <c r="AR13" s="227">
        <f t="shared" si="30"/>
        <v>22</v>
      </c>
      <c r="AS13" s="227">
        <f t="shared" si="31"/>
        <v>22</v>
      </c>
      <c r="AT13" s="227">
        <f t="shared" si="32"/>
        <v>21</v>
      </c>
      <c r="AU13" s="227">
        <f t="shared" si="33"/>
        <v>21</v>
      </c>
      <c r="AV13" s="227">
        <f t="shared" si="34"/>
        <v>21</v>
      </c>
      <c r="AW13" s="227">
        <f t="shared" si="35"/>
        <v>21</v>
      </c>
      <c r="AX13" s="224">
        <f>ROUND((VLOOKUP(A13,'PS - Cumulative pupils per year'!$A$3:$R$25,7,FALSE)),0)</f>
        <v>128</v>
      </c>
      <c r="AY13" s="230">
        <f t="shared" si="36"/>
        <v>25</v>
      </c>
      <c r="AZ13" s="230">
        <f t="shared" si="37"/>
        <v>25</v>
      </c>
      <c r="BA13" s="230">
        <f t="shared" si="38"/>
        <v>25</v>
      </c>
      <c r="BB13" s="230">
        <f t="shared" si="39"/>
        <v>24</v>
      </c>
      <c r="BC13" s="230">
        <f t="shared" si="40"/>
        <v>24</v>
      </c>
      <c r="BD13" s="230">
        <f t="shared" si="41"/>
        <v>24</v>
      </c>
      <c r="BE13" s="225">
        <f>ROUND((VLOOKUP(A13,'PS - Cumulative pupils per year'!$A$3:$R$25,8,FALSE)),0)</f>
        <v>147</v>
      </c>
      <c r="BF13" s="227">
        <f t="shared" si="42"/>
        <v>28</v>
      </c>
      <c r="BG13" s="227">
        <f t="shared" si="43"/>
        <v>28</v>
      </c>
      <c r="BH13" s="227">
        <f t="shared" si="44"/>
        <v>28</v>
      </c>
      <c r="BI13" s="227">
        <f t="shared" si="45"/>
        <v>27</v>
      </c>
      <c r="BJ13" s="227">
        <f t="shared" si="46"/>
        <v>27</v>
      </c>
      <c r="BK13" s="227">
        <f t="shared" si="47"/>
        <v>27</v>
      </c>
      <c r="BL13" s="224">
        <f>ROUND((VLOOKUP(A13,'PS - Cumulative pupils per year'!$A$3:$R$25,9,FALSE)),0)</f>
        <v>165</v>
      </c>
      <c r="BM13" s="230">
        <f t="shared" si="48"/>
        <v>31</v>
      </c>
      <c r="BN13" s="230">
        <f t="shared" si="49"/>
        <v>31</v>
      </c>
      <c r="BO13" s="230">
        <f t="shared" si="50"/>
        <v>31</v>
      </c>
      <c r="BP13" s="230">
        <f t="shared" si="51"/>
        <v>31</v>
      </c>
      <c r="BQ13" s="230">
        <f t="shared" si="52"/>
        <v>30</v>
      </c>
      <c r="BR13" s="230">
        <f t="shared" si="53"/>
        <v>30</v>
      </c>
      <c r="BS13" s="225">
        <f>ROUND((VLOOKUP(A13,'PS - Cumulative pupils per year'!$A$3:$R$25,10,FALSE)),0)</f>
        <v>184</v>
      </c>
      <c r="BT13" s="227">
        <f t="shared" si="54"/>
        <v>33</v>
      </c>
      <c r="BU13" s="227">
        <f t="shared" si="55"/>
        <v>33</v>
      </c>
      <c r="BV13" s="227">
        <f t="shared" si="56"/>
        <v>33</v>
      </c>
      <c r="BW13" s="227">
        <f t="shared" si="57"/>
        <v>33</v>
      </c>
      <c r="BX13" s="227">
        <f t="shared" si="58"/>
        <v>32</v>
      </c>
      <c r="BY13" s="227">
        <f t="shared" si="59"/>
        <v>32</v>
      </c>
      <c r="BZ13" s="224">
        <f>ROUND((VLOOKUP(A13,'PS - Cumulative pupils per year'!$A$3:$R$25,11,FALSE)),0)</f>
        <v>196</v>
      </c>
      <c r="CA13" s="230">
        <f t="shared" si="60"/>
        <v>34</v>
      </c>
      <c r="CB13" s="230">
        <f t="shared" si="61"/>
        <v>34</v>
      </c>
      <c r="CC13" s="230">
        <f t="shared" si="62"/>
        <v>33</v>
      </c>
      <c r="CD13" s="230">
        <f t="shared" si="63"/>
        <v>33</v>
      </c>
      <c r="CE13" s="230">
        <f t="shared" si="64"/>
        <v>33</v>
      </c>
      <c r="CF13" s="230">
        <f t="shared" si="65"/>
        <v>33</v>
      </c>
      <c r="CG13" s="228">
        <f>ROUND((VLOOKUP(A13,'PS - Cumulative pupils per year'!$A$3:$R$25,12,FALSE)),0)</f>
        <v>200</v>
      </c>
      <c r="CH13" s="227">
        <f t="shared" si="66"/>
        <v>34</v>
      </c>
      <c r="CI13" s="227">
        <f t="shared" si="67"/>
        <v>34</v>
      </c>
      <c r="CJ13" s="227">
        <f t="shared" si="68"/>
        <v>34</v>
      </c>
      <c r="CK13" s="227">
        <f t="shared" si="69"/>
        <v>34</v>
      </c>
      <c r="CL13" s="227">
        <f t="shared" si="70"/>
        <v>34</v>
      </c>
      <c r="CM13" s="227">
        <f t="shared" si="71"/>
        <v>34</v>
      </c>
      <c r="CN13" s="224">
        <f>ROUND((VLOOKUP(A13,'PS - Cumulative pupils per year'!$A$3:$R$25,13,FALSE)),0)</f>
        <v>204</v>
      </c>
      <c r="CO13" s="230">
        <f t="shared" si="72"/>
        <v>35</v>
      </c>
      <c r="CP13" s="230">
        <f t="shared" si="73"/>
        <v>35</v>
      </c>
      <c r="CQ13" s="230">
        <f t="shared" si="74"/>
        <v>35</v>
      </c>
      <c r="CR13" s="230">
        <f t="shared" si="75"/>
        <v>35</v>
      </c>
      <c r="CS13" s="230">
        <f t="shared" si="76"/>
        <v>34</v>
      </c>
      <c r="CT13" s="230">
        <f t="shared" si="77"/>
        <v>34</v>
      </c>
      <c r="CU13" s="228">
        <f>ROUND((VLOOKUP(A13,'PS - Cumulative pupils per year'!$A$3:$R$25,14,FALSE)),0)</f>
        <v>208</v>
      </c>
      <c r="CV13" s="227">
        <f t="shared" si="78"/>
        <v>36</v>
      </c>
      <c r="CW13" s="227">
        <f t="shared" si="79"/>
        <v>36</v>
      </c>
      <c r="CX13" s="227">
        <f t="shared" si="80"/>
        <v>35</v>
      </c>
      <c r="CY13" s="227">
        <f t="shared" si="81"/>
        <v>35</v>
      </c>
      <c r="CZ13" s="227">
        <f t="shared" si="82"/>
        <v>35</v>
      </c>
      <c r="DA13" s="227">
        <f t="shared" si="83"/>
        <v>35</v>
      </c>
      <c r="DB13" s="224">
        <f>ROUND((VLOOKUP(A13,'PS - Cumulative pupils per year'!$A$3:$R$25,15,FALSE)),0)</f>
        <v>212</v>
      </c>
    </row>
    <row r="14" spans="1:106" x14ac:dyDescent="0.2">
      <c r="A14" s="231" t="s">
        <v>102</v>
      </c>
      <c r="B14" s="227">
        <v>2</v>
      </c>
      <c r="C14" s="227">
        <v>2</v>
      </c>
      <c r="D14" s="227">
        <v>2</v>
      </c>
      <c r="E14" s="227">
        <v>2</v>
      </c>
      <c r="F14" s="227">
        <v>2</v>
      </c>
      <c r="G14" s="227">
        <v>2</v>
      </c>
      <c r="H14" s="224">
        <v>12</v>
      </c>
      <c r="I14" s="229">
        <f t="shared" ref="I14" si="168">ROUNDUP(O14/6,0)</f>
        <v>4</v>
      </c>
      <c r="J14" s="229">
        <f t="shared" ref="J14" si="169">IF((O14-I14)&gt;0,(ROUNDUP(((O14-I14)/5),0)),0)</f>
        <v>4</v>
      </c>
      <c r="K14" s="229">
        <f t="shared" ref="K14" si="170">IF((O14-I14-J14)&gt;0,(ROUNDUP(((O14-I14-J14)/4),0)),0)</f>
        <v>3</v>
      </c>
      <c r="L14" s="229">
        <f t="shared" ref="L14" si="171">IF((O14-I14-J14-K14)&gt;0,(ROUNDUP(((O14-I14-J14-K14)/3),0)),0)</f>
        <v>3</v>
      </c>
      <c r="M14" s="229">
        <f t="shared" ref="M14" si="172">IF((O14-I14-J14-K14-L14)&gt;0,(ROUNDUP(((O14-I14-J14-K14-L14)/2),0)),0)</f>
        <v>3</v>
      </c>
      <c r="N14" s="229">
        <f t="shared" ref="N14" si="173">IF((O14-I14-J14-K14-L14-M14)&gt;0,(ROUNDUP(((O14-I14-J14-K14-L14-M14)/1),0)),0)</f>
        <v>3</v>
      </c>
      <c r="O14" s="225">
        <f>ROUND((VLOOKUP(A14,'PS - Cumulative pupils per year'!$A$3:$R$25,2,FALSE)),0)</f>
        <v>20</v>
      </c>
      <c r="P14" s="227">
        <f t="shared" ref="P14" si="174">ROUNDUP(V14/6,0)</f>
        <v>7</v>
      </c>
      <c r="Q14" s="227">
        <f t="shared" ref="Q14" si="175">IF((V14-P14)&gt;0,(ROUNDUP(((V14-P14)/5),0)),0)</f>
        <v>7</v>
      </c>
      <c r="R14" s="227">
        <f t="shared" ref="R14" si="176">IF((V14-P14-Q14)&gt;0,(ROUNDUP(((V14-P14-Q14)/4),0)),0)</f>
        <v>7</v>
      </c>
      <c r="S14" s="227">
        <f t="shared" ref="S14" si="177">IF((V14-P14-Q14-R14)&gt;0,(ROUNDUP(((V14-P14-Q14-R14)/3),0)),0)</f>
        <v>7</v>
      </c>
      <c r="T14" s="227">
        <f t="shared" ref="T14" si="178">IF((V14-P14-Q14-R14-S14)&gt;0,(ROUNDUP(((V14-P14-Q14-R14-S14)/2),0)),0)</f>
        <v>6</v>
      </c>
      <c r="U14" s="227">
        <f t="shared" ref="U14" si="179">IF((V14-P14-Q14-R14-S14-T14)&gt;0,(ROUNDUP(((V14-P14-Q14-R14-S14-T14)/1),0)),0)</f>
        <v>6</v>
      </c>
      <c r="V14" s="224">
        <f>ROUND((VLOOKUP(A14,'PS - Cumulative pupils per year'!$A$3:$R$25,3,FALSE)),0)</f>
        <v>40</v>
      </c>
      <c r="W14" s="230">
        <f t="shared" ref="W14" si="180">ROUNDUP(AC14/6,0)</f>
        <v>11</v>
      </c>
      <c r="X14" s="230">
        <f t="shared" ref="X14" si="181">IF((AC14-W14)&gt;0,(ROUNDUP(((AC14-W14)/5),0)),0)</f>
        <v>10</v>
      </c>
      <c r="Y14" s="230">
        <f t="shared" ref="Y14" si="182">IF((AC14-W14-X14)&gt;0,(ROUNDUP(((AC14-W14-X14)/4),0)),0)</f>
        <v>10</v>
      </c>
      <c r="Z14" s="230">
        <f t="shared" ref="Z14" si="183">IF((AC14-W14-X14-Y14)&gt;0,(ROUNDUP(((AC14-W14-X14-Y14)/3),0)),0)</f>
        <v>10</v>
      </c>
      <c r="AA14" s="230">
        <f t="shared" ref="AA14" si="184">IF((AC14-W14-X14-Y14-Z14)&gt;0,(ROUNDUP(((AC14-W14-X14-Y14-Z14)/2),0)),0)</f>
        <v>10</v>
      </c>
      <c r="AB14" s="230">
        <f t="shared" ref="AB14" si="185">IF((AC14-W14-X14-Y14-Z14-AA14)&gt;0,(ROUNDUP(((AC14-W14-X14-Y14-Z14-AA14)/1),0)),0)</f>
        <v>10</v>
      </c>
      <c r="AC14" s="225">
        <f>ROUND((VLOOKUP(A14,'PS - Cumulative pupils per year'!$A$3:$R$25,4,FALSE)),0)</f>
        <v>61</v>
      </c>
      <c r="AD14" s="227">
        <f t="shared" ref="AD14" si="186">ROUNDUP(AJ14/6,0)</f>
        <v>14</v>
      </c>
      <c r="AE14" s="227">
        <f t="shared" ref="AE14" si="187">IF((AJ14-AD14)&gt;0,(ROUNDUP(((AJ14-AD14)/5),0)),0)</f>
        <v>14</v>
      </c>
      <c r="AF14" s="227">
        <f t="shared" ref="AF14" si="188">IF((AJ14-AD14-AE14)&gt;0,(ROUNDUP(((AJ14-AD14-AE14)/4),0)),0)</f>
        <v>14</v>
      </c>
      <c r="AG14" s="227">
        <f t="shared" ref="AG14" si="189">IF((AJ14-AD14-AE14-AF14)&gt;0,(ROUNDUP(((AJ14-AD14-AE14-AF14)/3),0)),0)</f>
        <v>13</v>
      </c>
      <c r="AH14" s="227">
        <f t="shared" ref="AH14" si="190">IF((AJ14-AD14-AE14-AF14-AG14)&gt;0,(ROUNDUP(((AJ14-AD14-AE14-AF14-AG14)/2),0)),0)</f>
        <v>13</v>
      </c>
      <c r="AI14" s="227">
        <f t="shared" ref="AI14" si="191">IF((AJ14-AD14-AE14-AF14-AG14-AH14)&gt;0,(ROUNDUP(((AJ14-AD14-AE14-AF14-AG14-AH14)/1),0)),0)</f>
        <v>13</v>
      </c>
      <c r="AJ14" s="224">
        <f>ROUND((VLOOKUP(A14,'PS - Cumulative pupils per year'!$A$3:$R$25,5,FALSE)),0)</f>
        <v>81</v>
      </c>
      <c r="AK14" s="230">
        <f t="shared" ref="AK14" si="192">ROUNDUP(AQ14/6,0)</f>
        <v>17</v>
      </c>
      <c r="AL14" s="230">
        <f t="shared" ref="AL14" si="193">IF((AQ14-AK14)&gt;0,(ROUNDUP(((AQ14-AK14)/5),0)),0)</f>
        <v>17</v>
      </c>
      <c r="AM14" s="230">
        <f t="shared" ref="AM14" si="194">IF((AQ14-AK14-AL14)&gt;0,(ROUNDUP(((AQ14-AK14-AL14)/4),0)),0)</f>
        <v>17</v>
      </c>
      <c r="AN14" s="230">
        <f t="shared" ref="AN14" si="195">IF((AQ14-AK14-AL14-AM14)&gt;0,(ROUNDUP(((AQ14-AK14-AL14-AM14)/3),0)),0)</f>
        <v>17</v>
      </c>
      <c r="AO14" s="230">
        <f t="shared" ref="AO14" si="196">IF((AQ14-AK14-AL14-AM14-AN14)&gt;0,(ROUNDUP(((AQ14-AK14-AL14-AM14-AN14)/2),0)),0)</f>
        <v>16</v>
      </c>
      <c r="AP14" s="230">
        <f t="shared" ref="AP14" si="197">IF((AQ14-AK14-AL14-AM14-AN14-AO14)&gt;0,(ROUNDUP(((AQ14-AK14-AL14-AM14-AN14-AO14)/1),0)),0)</f>
        <v>16</v>
      </c>
      <c r="AQ14" s="225">
        <f>ROUND((VLOOKUP(A14,'PS - Cumulative pupils per year'!$A$3:$R$25,6,FALSE)),0)</f>
        <v>100</v>
      </c>
      <c r="AR14" s="227">
        <f t="shared" ref="AR14" si="198">ROUNDUP(AX14/6,0)</f>
        <v>20</v>
      </c>
      <c r="AS14" s="227">
        <f t="shared" ref="AS14" si="199">IF((AX14-AR14)&gt;0,(ROUNDUP(((AX14-AR14)/5),0)),0)</f>
        <v>20</v>
      </c>
      <c r="AT14" s="227">
        <f t="shared" ref="AT14" si="200">IF((AX14-AR14-AS14)&gt;0,(ROUNDUP(((AX14-AR14-AS14)/4),0)),0)</f>
        <v>20</v>
      </c>
      <c r="AU14" s="227">
        <f t="shared" ref="AU14" si="201">IF((AX14-AR14-AS14-AT14)&gt;0,(ROUNDUP(((AX14-AR14-AS14-AT14)/3),0)),0)</f>
        <v>20</v>
      </c>
      <c r="AV14" s="227">
        <f t="shared" ref="AV14" si="202">IF((AX14-AR14-AS14-AT14-AU14)&gt;0,(ROUNDUP(((AX14-AR14-AS14-AT14-AU14)/2),0)),0)</f>
        <v>20</v>
      </c>
      <c r="AW14" s="227">
        <f t="shared" ref="AW14" si="203">IF((AX14-AR14-AS14-AT14-AU14-AV14)&gt;0,(ROUNDUP(((AX14-AR14-AS14-AT14-AU14-AV14)/1),0)),0)</f>
        <v>20</v>
      </c>
      <c r="AX14" s="224">
        <f>ROUND((VLOOKUP(A14,'PS - Cumulative pupils per year'!$A$3:$R$25,7,FALSE)),0)</f>
        <v>120</v>
      </c>
      <c r="AY14" s="230">
        <f t="shared" ref="AY14" si="204">ROUNDUP(BE14/6,0)</f>
        <v>24</v>
      </c>
      <c r="AZ14" s="230">
        <f t="shared" ref="AZ14" si="205">IF((BE14-AY14)&gt;0,(ROUNDUP(((BE14-AY14)/5),0)),0)</f>
        <v>23</v>
      </c>
      <c r="BA14" s="230">
        <f t="shared" ref="BA14" si="206">IF((BE14-AY14-AZ14)&gt;0,(ROUNDUP(((BE14-AY14-AZ14)/4),0)),0)</f>
        <v>23</v>
      </c>
      <c r="BB14" s="230">
        <f t="shared" ref="BB14" si="207">IF((BE14-AY14-AZ14-BA14)&gt;0,(ROUNDUP(((BE14-AY14-AZ14-BA14)/3),0)),0)</f>
        <v>23</v>
      </c>
      <c r="BC14" s="230">
        <f t="shared" ref="BC14" si="208">IF((BE14-AY14-AZ14-BA14-BB14)&gt;0,(ROUNDUP(((BE14-AY14-AZ14-BA14-BB14)/2),0)),0)</f>
        <v>23</v>
      </c>
      <c r="BD14" s="230">
        <f t="shared" ref="BD14" si="209">IF((BE14-AY14-AZ14-BA14-BB14-BC14)&gt;0,(ROUNDUP(((BE14-AY14-AZ14-BA14-BB14-BC14)/1),0)),0)</f>
        <v>23</v>
      </c>
      <c r="BE14" s="225">
        <f>ROUND((VLOOKUP(A14,'PS - Cumulative pupils per year'!$A$3:$R$25,8,FALSE)),0)</f>
        <v>139</v>
      </c>
      <c r="BF14" s="227">
        <f t="shared" ref="BF14" si="210">ROUNDUP(BL14/6,0)</f>
        <v>27</v>
      </c>
      <c r="BG14" s="227">
        <f t="shared" ref="BG14" si="211">IF((BL14-BF14)&gt;0,(ROUNDUP(((BL14-BF14)/5),0)),0)</f>
        <v>27</v>
      </c>
      <c r="BH14" s="227">
        <f t="shared" ref="BH14" si="212">IF((BL14-BF14-BG14)&gt;0,(ROUNDUP(((BL14-BF14-BG14)/4),0)),0)</f>
        <v>26</v>
      </c>
      <c r="BI14" s="227">
        <f t="shared" ref="BI14" si="213">IF((BL14-BF14-BG14-BH14)&gt;0,(ROUNDUP(((BL14-BF14-BG14-BH14)/3),0)),0)</f>
        <v>26</v>
      </c>
      <c r="BJ14" s="227">
        <f t="shared" ref="BJ14" si="214">IF((BL14-BF14-BG14-BH14-BI14)&gt;0,(ROUNDUP(((BL14-BF14-BG14-BH14-BI14)/2),0)),0)</f>
        <v>26</v>
      </c>
      <c r="BK14" s="227">
        <f t="shared" ref="BK14" si="215">IF((BL14-BF14-BG14-BH14-BI14-BJ14)&gt;0,(ROUNDUP(((BL14-BF14-BG14-BH14-BI14-BJ14)/1),0)),0)</f>
        <v>26</v>
      </c>
      <c r="BL14" s="224">
        <f>ROUND((VLOOKUP(A14,'PS - Cumulative pupils per year'!$A$3:$R$25,9,FALSE)),0)</f>
        <v>158</v>
      </c>
      <c r="BM14" s="230">
        <f t="shared" ref="BM14" si="216">ROUNDUP(BS14/6,0)</f>
        <v>29</v>
      </c>
      <c r="BN14" s="230">
        <f t="shared" ref="BN14" si="217">IF((BS14-BM14)&gt;0,(ROUNDUP(((BS14-BM14)/5),0)),0)</f>
        <v>29</v>
      </c>
      <c r="BO14" s="230">
        <f t="shared" ref="BO14" si="218">IF((BS14-BM14-BN14)&gt;0,(ROUNDUP(((BS14-BM14-BN14)/4),0)),0)</f>
        <v>29</v>
      </c>
      <c r="BP14" s="230">
        <f t="shared" ref="BP14" si="219">IF((BS14-BM14-BN14-BO14)&gt;0,(ROUNDUP(((BS14-BM14-BN14-BO14)/3),0)),0)</f>
        <v>29</v>
      </c>
      <c r="BQ14" s="230">
        <f t="shared" ref="BQ14" si="220">IF((BS14-BM14-BN14-BO14-BP14)&gt;0,(ROUNDUP(((BS14-BM14-BN14-BO14-BP14)/2),0)),0)</f>
        <v>29</v>
      </c>
      <c r="BR14" s="230">
        <f t="shared" ref="BR14" si="221">IF((BS14-BM14-BN14-BO14-BP14-BQ14)&gt;0,(ROUNDUP(((BS14-BM14-BN14-BO14-BP14-BQ14)/1),0)),0)</f>
        <v>29</v>
      </c>
      <c r="BS14" s="225">
        <f>ROUND((VLOOKUP(A14,'PS - Cumulative pupils per year'!$A$3:$R$25,10,FALSE)),0)</f>
        <v>174</v>
      </c>
      <c r="BT14" s="227">
        <f t="shared" ref="BT14" si="222">ROUNDUP(BZ14/6,0)</f>
        <v>31</v>
      </c>
      <c r="BU14" s="227">
        <f t="shared" ref="BU14" si="223">IF((BZ14-BT14)&gt;0,(ROUNDUP(((BZ14-BT14)/5),0)),0)</f>
        <v>31</v>
      </c>
      <c r="BV14" s="227">
        <f t="shared" ref="BV14" si="224">IF((BZ14-BT14-BU14)&gt;0,(ROUNDUP(((BZ14-BT14-BU14)/4),0)),0)</f>
        <v>31</v>
      </c>
      <c r="BW14" s="227">
        <f t="shared" ref="BW14" si="225">IF((BZ14-BT14-BU14-BV14)&gt;0,(ROUNDUP(((BZ14-BT14-BU14-BV14)/3),0)),0)</f>
        <v>31</v>
      </c>
      <c r="BX14" s="227">
        <f t="shared" ref="BX14" si="226">IF((BZ14-BT14-BU14-BV14-BW14)&gt;0,(ROUNDUP(((BZ14-BT14-BU14-BV14-BW14)/2),0)),0)</f>
        <v>31</v>
      </c>
      <c r="BY14" s="227">
        <f t="shared" ref="BY14" si="227">IF((BZ14-BT14-BU14-BV14-BW14-BX14)&gt;0,(ROUNDUP(((BZ14-BT14-BU14-BV14-BW14-BX14)/1),0)),0)</f>
        <v>30</v>
      </c>
      <c r="BZ14" s="224">
        <f>ROUND((VLOOKUP(A14,'PS - Cumulative pupils per year'!$A$3:$R$25,11,FALSE)),0)</f>
        <v>185</v>
      </c>
      <c r="CA14" s="230">
        <f t="shared" ref="CA14" si="228">ROUNDUP(CG14/6,0)</f>
        <v>32</v>
      </c>
      <c r="CB14" s="230">
        <f t="shared" ref="CB14" si="229">IF((CG14-CA14)&gt;0,(ROUNDUP(((CG14-CA14)/5),0)),0)</f>
        <v>32</v>
      </c>
      <c r="CC14" s="230">
        <f t="shared" ref="CC14" si="230">IF((CG14-CA14-CB14)&gt;0,(ROUNDUP(((CG14-CA14-CB14)/4),0)),0)</f>
        <v>32</v>
      </c>
      <c r="CD14" s="230">
        <f t="shared" ref="CD14" si="231">IF((CG14-CA14-CB14-CC14)&gt;0,(ROUNDUP(((CG14-CA14-CB14-CC14)/3),0)),0)</f>
        <v>32</v>
      </c>
      <c r="CE14" s="230">
        <f t="shared" ref="CE14" si="232">IF((CG14-CA14-CB14-CC14-CD14)&gt;0,(ROUNDUP(((CG14-CA14-CB14-CC14-CD14)/2),0)),0)</f>
        <v>32</v>
      </c>
      <c r="CF14" s="230">
        <f t="shared" ref="CF14" si="233">IF((CG14-CA14-CB14-CC14-CD14-CE14)&gt;0,(ROUNDUP(((CG14-CA14-CB14-CC14-CD14-CE14)/1),0)),0)</f>
        <v>31</v>
      </c>
      <c r="CG14" s="228">
        <f>ROUND((VLOOKUP(A14,'PS - Cumulative pupils per year'!$A$3:$R$25,12,FALSE)),0)</f>
        <v>191</v>
      </c>
      <c r="CH14" s="227">
        <f t="shared" ref="CH14" si="234">ROUNDUP(CN14/6,0)</f>
        <v>33</v>
      </c>
      <c r="CI14" s="227">
        <f t="shared" ref="CI14" si="235">IF((CN14-CH14)&gt;0,(ROUNDUP(((CN14-CH14)/5),0)),0)</f>
        <v>33</v>
      </c>
      <c r="CJ14" s="227">
        <f t="shared" ref="CJ14" si="236">IF((CN14-CH14-CI14)&gt;0,(ROUNDUP(((CN14-CH14-CI14)/4),0)),0)</f>
        <v>33</v>
      </c>
      <c r="CK14" s="227">
        <f t="shared" ref="CK14" si="237">IF((CN14-CH14-CI14-CJ14)&gt;0,(ROUNDUP(((CN14-CH14-CI14-CJ14)/3),0)),0)</f>
        <v>33</v>
      </c>
      <c r="CL14" s="227">
        <f t="shared" ref="CL14" si="238">IF((CN14-CH14-CI14-CJ14-CK14)&gt;0,(ROUNDUP(((CN14-CH14-CI14-CJ14-CK14)/2),0)),0)</f>
        <v>33</v>
      </c>
      <c r="CM14" s="227">
        <f t="shared" ref="CM14" si="239">IF((CN14-CH14-CI14-CJ14-CK14-CL14)&gt;0,(ROUNDUP(((CN14-CH14-CI14-CJ14-CK14-CL14)/1),0)),0)</f>
        <v>32</v>
      </c>
      <c r="CN14" s="224">
        <f>ROUND((VLOOKUP(A14,'PS - Cumulative pupils per year'!$A$3:$R$25,13,FALSE)),0)</f>
        <v>197</v>
      </c>
      <c r="CO14" s="230">
        <f t="shared" ref="CO14" si="240">ROUNDUP(CU14/6,0)</f>
        <v>34</v>
      </c>
      <c r="CP14" s="230">
        <f t="shared" ref="CP14" si="241">IF((CU14-CO14)&gt;0,(ROUNDUP(((CU14-CO14)/5),0)),0)</f>
        <v>34</v>
      </c>
      <c r="CQ14" s="230">
        <f t="shared" ref="CQ14" si="242">IF((CU14-CO14-CP14)&gt;0,(ROUNDUP(((CU14-CO14-CP14)/4),0)),0)</f>
        <v>34</v>
      </c>
      <c r="CR14" s="230">
        <f t="shared" ref="CR14" si="243">IF((CU14-CO14-CP14-CQ14)&gt;0,(ROUNDUP(((CU14-CO14-CP14-CQ14)/3),0)),0)</f>
        <v>34</v>
      </c>
      <c r="CS14" s="230">
        <f t="shared" ref="CS14" si="244">IF((CU14-CO14-CP14-CQ14-CR14)&gt;0,(ROUNDUP(((CU14-CO14-CP14-CQ14-CR14)/2),0)),0)</f>
        <v>34</v>
      </c>
      <c r="CT14" s="230">
        <f t="shared" ref="CT14" si="245">IF((CU14-CO14-CP14-CQ14-CR14-CS14)&gt;0,(ROUNDUP(((CU14-CO14-CP14-CQ14-CR14-CS14)/1),0)),0)</f>
        <v>33</v>
      </c>
      <c r="CU14" s="228">
        <f>ROUND((VLOOKUP(A14,'PS - Cumulative pupils per year'!$A$3:$R$25,14,FALSE)),0)</f>
        <v>203</v>
      </c>
      <c r="CV14" s="227">
        <f t="shared" ref="CV14" si="246">ROUNDUP(DB14/6,0)</f>
        <v>35</v>
      </c>
      <c r="CW14" s="227">
        <f t="shared" ref="CW14" si="247">IF((DB14-CV14)&gt;0,(ROUNDUP(((DB14-CV14)/5),0)),0)</f>
        <v>35</v>
      </c>
      <c r="CX14" s="227">
        <f t="shared" ref="CX14" si="248">IF((DB14-CV14-CW14)&gt;0,(ROUNDUP(((DB14-CV14-CW14)/4),0)),0)</f>
        <v>35</v>
      </c>
      <c r="CY14" s="227">
        <f t="shared" ref="CY14" si="249">IF((DB14-CV14-CW14-CX14)&gt;0,(ROUNDUP(((DB14-CV14-CW14-CX14)/3),0)),0)</f>
        <v>35</v>
      </c>
      <c r="CZ14" s="227">
        <f t="shared" ref="CZ14" si="250">IF((DB14-CV14-CW14-CX14-CY14)&gt;0,(ROUNDUP(((DB14-CV14-CW14-CX14-CY14)/2),0)),0)</f>
        <v>35</v>
      </c>
      <c r="DA14" s="227">
        <f t="shared" ref="DA14" si="251">IF((DB14-CV14-CW14-CX14-CY14-CZ14)&gt;0,(ROUNDUP(((DB14-CV14-CW14-CX14-CY14-CZ14)/1),0)),0)</f>
        <v>34</v>
      </c>
      <c r="DB14" s="224">
        <f>ROUND((VLOOKUP(A14,'PS - Cumulative pupils per year'!$A$3:$R$25,15,FALSE)),0)</f>
        <v>209</v>
      </c>
    </row>
    <row r="15" spans="1:106" x14ac:dyDescent="0.2">
      <c r="A15" s="231" t="s">
        <v>103</v>
      </c>
      <c r="B15" s="227">
        <v>1</v>
      </c>
      <c r="C15" s="227">
        <v>1</v>
      </c>
      <c r="D15" s="227">
        <v>1</v>
      </c>
      <c r="E15" s="227">
        <v>1</v>
      </c>
      <c r="F15" s="227">
        <v>0</v>
      </c>
      <c r="G15" s="227">
        <v>0</v>
      </c>
      <c r="H15" s="224">
        <v>4</v>
      </c>
      <c r="I15" s="229">
        <f t="shared" si="0"/>
        <v>1</v>
      </c>
      <c r="J15" s="229">
        <f t="shared" si="1"/>
        <v>0</v>
      </c>
      <c r="K15" s="229">
        <f t="shared" si="2"/>
        <v>0</v>
      </c>
      <c r="L15" s="229">
        <f t="shared" si="3"/>
        <v>0</v>
      </c>
      <c r="M15" s="229">
        <f t="shared" si="4"/>
        <v>0</v>
      </c>
      <c r="N15" s="229">
        <f t="shared" si="5"/>
        <v>0</v>
      </c>
      <c r="O15" s="225">
        <f>ROUND((VLOOKUP(A15,'PS - Cumulative pupils per year'!$A$3:$R$25,2,FALSE)),0)</f>
        <v>1</v>
      </c>
      <c r="P15" s="227">
        <f t="shared" si="6"/>
        <v>1</v>
      </c>
      <c r="Q15" s="227">
        <f t="shared" si="7"/>
        <v>0</v>
      </c>
      <c r="R15" s="227">
        <f t="shared" si="8"/>
        <v>0</v>
      </c>
      <c r="S15" s="227">
        <f t="shared" si="9"/>
        <v>0</v>
      </c>
      <c r="T15" s="227">
        <f t="shared" si="10"/>
        <v>0</v>
      </c>
      <c r="U15" s="227">
        <f t="shared" si="11"/>
        <v>0</v>
      </c>
      <c r="V15" s="224">
        <f>ROUND((VLOOKUP(A15,'PS - Cumulative pupils per year'!$A$3:$R$25,3,FALSE)),0)</f>
        <v>1</v>
      </c>
      <c r="W15" s="230">
        <f t="shared" si="12"/>
        <v>1</v>
      </c>
      <c r="X15" s="230">
        <f t="shared" si="13"/>
        <v>1</v>
      </c>
      <c r="Y15" s="230">
        <f t="shared" si="14"/>
        <v>1</v>
      </c>
      <c r="Z15" s="230">
        <f t="shared" si="15"/>
        <v>1</v>
      </c>
      <c r="AA15" s="230">
        <f t="shared" si="16"/>
        <v>1</v>
      </c>
      <c r="AB15" s="230">
        <f t="shared" si="17"/>
        <v>0</v>
      </c>
      <c r="AC15" s="225">
        <f>ROUND((VLOOKUP(A15,'PS - Cumulative pupils per year'!$A$3:$R$25,4,FALSE)),0)</f>
        <v>5</v>
      </c>
      <c r="AD15" s="227">
        <f t="shared" si="18"/>
        <v>2</v>
      </c>
      <c r="AE15" s="227">
        <f t="shared" si="19"/>
        <v>2</v>
      </c>
      <c r="AF15" s="227">
        <f t="shared" si="20"/>
        <v>2</v>
      </c>
      <c r="AG15" s="227">
        <f t="shared" si="21"/>
        <v>1</v>
      </c>
      <c r="AH15" s="227">
        <f t="shared" si="22"/>
        <v>1</v>
      </c>
      <c r="AI15" s="227">
        <f t="shared" si="23"/>
        <v>1</v>
      </c>
      <c r="AJ15" s="224">
        <f>ROUND((VLOOKUP(A15,'PS - Cumulative pupils per year'!$A$3:$R$25,5,FALSE)),0)</f>
        <v>9</v>
      </c>
      <c r="AK15" s="230">
        <f t="shared" si="24"/>
        <v>2</v>
      </c>
      <c r="AL15" s="230">
        <f t="shared" si="25"/>
        <v>2</v>
      </c>
      <c r="AM15" s="230">
        <f t="shared" si="26"/>
        <v>2</v>
      </c>
      <c r="AN15" s="230">
        <f t="shared" si="27"/>
        <v>2</v>
      </c>
      <c r="AO15" s="230">
        <f t="shared" si="28"/>
        <v>2</v>
      </c>
      <c r="AP15" s="230">
        <f t="shared" si="29"/>
        <v>2</v>
      </c>
      <c r="AQ15" s="225">
        <f>ROUND((VLOOKUP(A15,'PS - Cumulative pupils per year'!$A$3:$R$25,6,FALSE)),0)</f>
        <v>12</v>
      </c>
      <c r="AR15" s="227">
        <f t="shared" si="30"/>
        <v>5</v>
      </c>
      <c r="AS15" s="227">
        <f t="shared" si="31"/>
        <v>5</v>
      </c>
      <c r="AT15" s="227">
        <f t="shared" si="32"/>
        <v>5</v>
      </c>
      <c r="AU15" s="227">
        <f t="shared" si="33"/>
        <v>4</v>
      </c>
      <c r="AV15" s="227">
        <f t="shared" si="34"/>
        <v>4</v>
      </c>
      <c r="AW15" s="227">
        <f t="shared" si="35"/>
        <v>4</v>
      </c>
      <c r="AX15" s="224">
        <f>ROUND((VLOOKUP(A15,'PS - Cumulative pupils per year'!$A$3:$R$25,7,FALSE)),0)</f>
        <v>27</v>
      </c>
      <c r="AY15" s="230">
        <f t="shared" si="36"/>
        <v>7</v>
      </c>
      <c r="AZ15" s="230">
        <f t="shared" si="37"/>
        <v>7</v>
      </c>
      <c r="BA15" s="230">
        <f t="shared" si="38"/>
        <v>6</v>
      </c>
      <c r="BB15" s="230">
        <f t="shared" si="39"/>
        <v>6</v>
      </c>
      <c r="BC15" s="230">
        <f t="shared" si="40"/>
        <v>6</v>
      </c>
      <c r="BD15" s="230">
        <f t="shared" si="41"/>
        <v>6</v>
      </c>
      <c r="BE15" s="225">
        <f>ROUND((VLOOKUP(A15,'PS - Cumulative pupils per year'!$A$3:$R$25,8,FALSE)),0)</f>
        <v>38</v>
      </c>
      <c r="BF15" s="227">
        <f t="shared" si="42"/>
        <v>8</v>
      </c>
      <c r="BG15" s="227">
        <f t="shared" si="43"/>
        <v>8</v>
      </c>
      <c r="BH15" s="227">
        <f t="shared" si="44"/>
        <v>8</v>
      </c>
      <c r="BI15" s="227">
        <f t="shared" si="45"/>
        <v>7</v>
      </c>
      <c r="BJ15" s="227">
        <f t="shared" si="46"/>
        <v>7</v>
      </c>
      <c r="BK15" s="227">
        <f t="shared" si="47"/>
        <v>7</v>
      </c>
      <c r="BL15" s="224">
        <f>ROUND((VLOOKUP(A15,'PS - Cumulative pupils per year'!$A$3:$R$25,9,FALSE)),0)</f>
        <v>45</v>
      </c>
      <c r="BM15" s="230">
        <f t="shared" si="48"/>
        <v>9</v>
      </c>
      <c r="BN15" s="230">
        <f t="shared" si="49"/>
        <v>9</v>
      </c>
      <c r="BO15" s="230">
        <f t="shared" si="50"/>
        <v>9</v>
      </c>
      <c r="BP15" s="230">
        <f t="shared" si="51"/>
        <v>8</v>
      </c>
      <c r="BQ15" s="230">
        <f t="shared" si="52"/>
        <v>8</v>
      </c>
      <c r="BR15" s="230">
        <f t="shared" si="53"/>
        <v>8</v>
      </c>
      <c r="BS15" s="225">
        <f>ROUND((VLOOKUP(A15,'PS - Cumulative pupils per year'!$A$3:$R$25,10,FALSE)),0)</f>
        <v>51</v>
      </c>
      <c r="BT15" s="227">
        <f t="shared" si="54"/>
        <v>10</v>
      </c>
      <c r="BU15" s="227">
        <f t="shared" si="55"/>
        <v>10</v>
      </c>
      <c r="BV15" s="227">
        <f t="shared" si="56"/>
        <v>9</v>
      </c>
      <c r="BW15" s="227">
        <f t="shared" si="57"/>
        <v>9</v>
      </c>
      <c r="BX15" s="227">
        <f t="shared" si="58"/>
        <v>9</v>
      </c>
      <c r="BY15" s="227">
        <f t="shared" si="59"/>
        <v>9</v>
      </c>
      <c r="BZ15" s="224">
        <f>ROUND((VLOOKUP(A15,'PS - Cumulative pupils per year'!$A$3:$R$25,11,FALSE)),0)</f>
        <v>56</v>
      </c>
      <c r="CA15" s="230">
        <f t="shared" si="60"/>
        <v>10</v>
      </c>
      <c r="CB15" s="230">
        <f t="shared" si="61"/>
        <v>10</v>
      </c>
      <c r="CC15" s="230">
        <f t="shared" si="62"/>
        <v>10</v>
      </c>
      <c r="CD15" s="230">
        <f t="shared" si="63"/>
        <v>9</v>
      </c>
      <c r="CE15" s="230">
        <f t="shared" si="64"/>
        <v>9</v>
      </c>
      <c r="CF15" s="230">
        <f t="shared" si="65"/>
        <v>9</v>
      </c>
      <c r="CG15" s="228">
        <f>ROUND((VLOOKUP(A15,'PS - Cumulative pupils per year'!$A$3:$R$25,12,FALSE)),0)</f>
        <v>57</v>
      </c>
      <c r="CH15" s="227">
        <f t="shared" si="66"/>
        <v>10</v>
      </c>
      <c r="CI15" s="227">
        <f t="shared" si="67"/>
        <v>10</v>
      </c>
      <c r="CJ15" s="227">
        <f t="shared" si="68"/>
        <v>10</v>
      </c>
      <c r="CK15" s="227">
        <f t="shared" si="69"/>
        <v>10</v>
      </c>
      <c r="CL15" s="227">
        <f t="shared" si="70"/>
        <v>9</v>
      </c>
      <c r="CM15" s="227">
        <f t="shared" si="71"/>
        <v>9</v>
      </c>
      <c r="CN15" s="224">
        <f>ROUND((VLOOKUP(A15,'PS - Cumulative pupils per year'!$A$3:$R$25,13,FALSE)),0)</f>
        <v>58</v>
      </c>
      <c r="CO15" s="230">
        <f t="shared" si="72"/>
        <v>10</v>
      </c>
      <c r="CP15" s="230">
        <f t="shared" si="73"/>
        <v>10</v>
      </c>
      <c r="CQ15" s="230">
        <f t="shared" si="74"/>
        <v>10</v>
      </c>
      <c r="CR15" s="230">
        <f t="shared" si="75"/>
        <v>10</v>
      </c>
      <c r="CS15" s="230">
        <f t="shared" si="76"/>
        <v>10</v>
      </c>
      <c r="CT15" s="230">
        <f t="shared" si="77"/>
        <v>9</v>
      </c>
      <c r="CU15" s="228">
        <f>ROUND((VLOOKUP(A15,'PS - Cumulative pupils per year'!$A$3:$R$25,14,FALSE)),0)</f>
        <v>59</v>
      </c>
      <c r="CV15" s="227">
        <f t="shared" si="78"/>
        <v>10</v>
      </c>
      <c r="CW15" s="227">
        <f t="shared" si="79"/>
        <v>10</v>
      </c>
      <c r="CX15" s="227">
        <f t="shared" si="80"/>
        <v>10</v>
      </c>
      <c r="CY15" s="227">
        <f t="shared" si="81"/>
        <v>10</v>
      </c>
      <c r="CZ15" s="227">
        <f t="shared" si="82"/>
        <v>10</v>
      </c>
      <c r="DA15" s="227">
        <f t="shared" si="83"/>
        <v>10</v>
      </c>
      <c r="DB15" s="224">
        <f>ROUND((VLOOKUP(A15,'PS - Cumulative pupils per year'!$A$3:$R$25,15,FALSE)),0)</f>
        <v>60</v>
      </c>
    </row>
    <row r="16" spans="1:106" x14ac:dyDescent="0.2">
      <c r="A16" s="231" t="s">
        <v>104</v>
      </c>
      <c r="B16" s="227">
        <v>1</v>
      </c>
      <c r="C16" s="227">
        <v>0</v>
      </c>
      <c r="D16" s="227">
        <v>0</v>
      </c>
      <c r="E16" s="227">
        <v>0</v>
      </c>
      <c r="F16" s="227">
        <v>0</v>
      </c>
      <c r="G16" s="227">
        <v>0</v>
      </c>
      <c r="H16" s="224">
        <v>1</v>
      </c>
      <c r="I16" s="229">
        <f t="shared" si="0"/>
        <v>1</v>
      </c>
      <c r="J16" s="229">
        <f t="shared" si="1"/>
        <v>1</v>
      </c>
      <c r="K16" s="229">
        <f t="shared" si="2"/>
        <v>0</v>
      </c>
      <c r="L16" s="229">
        <f t="shared" si="3"/>
        <v>0</v>
      </c>
      <c r="M16" s="229">
        <f t="shared" si="4"/>
        <v>0</v>
      </c>
      <c r="N16" s="229">
        <f t="shared" si="5"/>
        <v>0</v>
      </c>
      <c r="O16" s="225">
        <f>ROUND((VLOOKUP(A16,'PS - Cumulative pupils per year'!$A$3:$R$25,2,FALSE)),0)</f>
        <v>2</v>
      </c>
      <c r="P16" s="227">
        <f t="shared" si="6"/>
        <v>1</v>
      </c>
      <c r="Q16" s="227">
        <f t="shared" si="7"/>
        <v>1</v>
      </c>
      <c r="R16" s="227">
        <f t="shared" si="8"/>
        <v>1</v>
      </c>
      <c r="S16" s="227">
        <f t="shared" si="9"/>
        <v>1</v>
      </c>
      <c r="T16" s="227">
        <f t="shared" si="10"/>
        <v>1</v>
      </c>
      <c r="U16" s="227">
        <f t="shared" si="11"/>
        <v>1</v>
      </c>
      <c r="V16" s="224">
        <f>ROUND((VLOOKUP(A16,'PS - Cumulative pupils per year'!$A$3:$R$25,3,FALSE)),0)</f>
        <v>6</v>
      </c>
      <c r="W16" s="230">
        <f t="shared" si="12"/>
        <v>2</v>
      </c>
      <c r="X16" s="230">
        <f t="shared" si="13"/>
        <v>2</v>
      </c>
      <c r="Y16" s="230">
        <f t="shared" si="14"/>
        <v>2</v>
      </c>
      <c r="Z16" s="230">
        <f t="shared" si="15"/>
        <v>2</v>
      </c>
      <c r="AA16" s="230">
        <f t="shared" si="16"/>
        <v>2</v>
      </c>
      <c r="AB16" s="230">
        <f t="shared" si="17"/>
        <v>1</v>
      </c>
      <c r="AC16" s="225">
        <f>ROUND((VLOOKUP(A16,'PS - Cumulative pupils per year'!$A$3:$R$25,4,FALSE)),0)</f>
        <v>11</v>
      </c>
      <c r="AD16" s="227">
        <f t="shared" si="18"/>
        <v>3</v>
      </c>
      <c r="AE16" s="227">
        <f t="shared" si="19"/>
        <v>3</v>
      </c>
      <c r="AF16" s="227">
        <f t="shared" si="20"/>
        <v>3</v>
      </c>
      <c r="AG16" s="227">
        <f t="shared" si="21"/>
        <v>3</v>
      </c>
      <c r="AH16" s="227">
        <f t="shared" si="22"/>
        <v>2</v>
      </c>
      <c r="AI16" s="227">
        <f t="shared" si="23"/>
        <v>2</v>
      </c>
      <c r="AJ16" s="224">
        <f>ROUND((VLOOKUP(A16,'PS - Cumulative pupils per year'!$A$3:$R$25,5,FALSE)),0)</f>
        <v>16</v>
      </c>
      <c r="AK16" s="230">
        <f t="shared" si="24"/>
        <v>4</v>
      </c>
      <c r="AL16" s="230">
        <f t="shared" si="25"/>
        <v>4</v>
      </c>
      <c r="AM16" s="230">
        <f t="shared" si="26"/>
        <v>4</v>
      </c>
      <c r="AN16" s="230">
        <f t="shared" si="27"/>
        <v>3</v>
      </c>
      <c r="AO16" s="230">
        <f t="shared" si="28"/>
        <v>3</v>
      </c>
      <c r="AP16" s="230">
        <f t="shared" si="29"/>
        <v>3</v>
      </c>
      <c r="AQ16" s="225">
        <f>ROUND((VLOOKUP(A16,'PS - Cumulative pupils per year'!$A$3:$R$25,6,FALSE)),0)</f>
        <v>21</v>
      </c>
      <c r="AR16" s="227">
        <f t="shared" si="30"/>
        <v>5</v>
      </c>
      <c r="AS16" s="227">
        <f t="shared" si="31"/>
        <v>5</v>
      </c>
      <c r="AT16" s="227">
        <f t="shared" si="32"/>
        <v>5</v>
      </c>
      <c r="AU16" s="227">
        <f t="shared" si="33"/>
        <v>4</v>
      </c>
      <c r="AV16" s="227">
        <f t="shared" si="34"/>
        <v>4</v>
      </c>
      <c r="AW16" s="227">
        <f t="shared" si="35"/>
        <v>4</v>
      </c>
      <c r="AX16" s="224">
        <f>ROUND((VLOOKUP(A16,'PS - Cumulative pupils per year'!$A$3:$R$25,7,FALSE)),0)</f>
        <v>27</v>
      </c>
      <c r="AY16" s="230">
        <f t="shared" si="36"/>
        <v>6</v>
      </c>
      <c r="AZ16" s="230">
        <f t="shared" si="37"/>
        <v>6</v>
      </c>
      <c r="BA16" s="230">
        <f t="shared" si="38"/>
        <v>6</v>
      </c>
      <c r="BB16" s="230">
        <f t="shared" si="39"/>
        <v>5</v>
      </c>
      <c r="BC16" s="230">
        <f t="shared" si="40"/>
        <v>5</v>
      </c>
      <c r="BD16" s="230">
        <f t="shared" si="41"/>
        <v>5</v>
      </c>
      <c r="BE16" s="225">
        <f>ROUND((VLOOKUP(A16,'PS - Cumulative pupils per year'!$A$3:$R$25,8,FALSE)),0)</f>
        <v>33</v>
      </c>
      <c r="BF16" s="227">
        <f t="shared" si="42"/>
        <v>7</v>
      </c>
      <c r="BG16" s="227">
        <f t="shared" si="43"/>
        <v>7</v>
      </c>
      <c r="BH16" s="227">
        <f t="shared" si="44"/>
        <v>7</v>
      </c>
      <c r="BI16" s="227">
        <f t="shared" si="45"/>
        <v>6</v>
      </c>
      <c r="BJ16" s="227">
        <f t="shared" si="46"/>
        <v>6</v>
      </c>
      <c r="BK16" s="227">
        <f t="shared" si="47"/>
        <v>6</v>
      </c>
      <c r="BL16" s="224">
        <f>ROUND((VLOOKUP(A16,'PS - Cumulative pupils per year'!$A$3:$R$25,9,FALSE)),0)</f>
        <v>39</v>
      </c>
      <c r="BM16" s="230">
        <f t="shared" si="48"/>
        <v>8</v>
      </c>
      <c r="BN16" s="230">
        <f t="shared" si="49"/>
        <v>8</v>
      </c>
      <c r="BO16" s="230">
        <f t="shared" si="50"/>
        <v>8</v>
      </c>
      <c r="BP16" s="230">
        <f t="shared" si="51"/>
        <v>7</v>
      </c>
      <c r="BQ16" s="230">
        <f t="shared" si="52"/>
        <v>7</v>
      </c>
      <c r="BR16" s="230">
        <f t="shared" si="53"/>
        <v>7</v>
      </c>
      <c r="BS16" s="225">
        <f>ROUND((VLOOKUP(A16,'PS - Cumulative pupils per year'!$A$3:$R$25,10,FALSE)),0)</f>
        <v>45</v>
      </c>
      <c r="BT16" s="227">
        <f t="shared" si="54"/>
        <v>9</v>
      </c>
      <c r="BU16" s="227">
        <f t="shared" si="55"/>
        <v>8</v>
      </c>
      <c r="BV16" s="227">
        <f t="shared" si="56"/>
        <v>8</v>
      </c>
      <c r="BW16" s="227">
        <f t="shared" si="57"/>
        <v>8</v>
      </c>
      <c r="BX16" s="227">
        <f t="shared" si="58"/>
        <v>8</v>
      </c>
      <c r="BY16" s="227">
        <f t="shared" si="59"/>
        <v>8</v>
      </c>
      <c r="BZ16" s="224">
        <f>ROUND((VLOOKUP(A16,'PS - Cumulative pupils per year'!$A$3:$R$25,11,FALSE)),0)</f>
        <v>49</v>
      </c>
      <c r="CA16" s="230">
        <f t="shared" si="60"/>
        <v>9</v>
      </c>
      <c r="CB16" s="230">
        <f t="shared" si="61"/>
        <v>9</v>
      </c>
      <c r="CC16" s="230">
        <f t="shared" si="62"/>
        <v>9</v>
      </c>
      <c r="CD16" s="230">
        <f t="shared" si="63"/>
        <v>8</v>
      </c>
      <c r="CE16" s="230">
        <f t="shared" si="64"/>
        <v>8</v>
      </c>
      <c r="CF16" s="230">
        <f t="shared" si="65"/>
        <v>8</v>
      </c>
      <c r="CG16" s="228">
        <f>ROUND((VLOOKUP(A16,'PS - Cumulative pupils per year'!$A$3:$R$25,12,FALSE)),0)</f>
        <v>51</v>
      </c>
      <c r="CH16" s="227">
        <f t="shared" si="66"/>
        <v>9</v>
      </c>
      <c r="CI16" s="227">
        <f t="shared" si="67"/>
        <v>9</v>
      </c>
      <c r="CJ16" s="227">
        <f t="shared" si="68"/>
        <v>9</v>
      </c>
      <c r="CK16" s="227">
        <f t="shared" si="69"/>
        <v>9</v>
      </c>
      <c r="CL16" s="227">
        <f t="shared" si="70"/>
        <v>9</v>
      </c>
      <c r="CM16" s="227">
        <f t="shared" si="71"/>
        <v>8</v>
      </c>
      <c r="CN16" s="224">
        <f>ROUND((VLOOKUP(A16,'PS - Cumulative pupils per year'!$A$3:$R$25,13,FALSE)),0)</f>
        <v>53</v>
      </c>
      <c r="CO16" s="230">
        <f t="shared" si="72"/>
        <v>10</v>
      </c>
      <c r="CP16" s="230">
        <f t="shared" si="73"/>
        <v>9</v>
      </c>
      <c r="CQ16" s="230">
        <f t="shared" si="74"/>
        <v>9</v>
      </c>
      <c r="CR16" s="230">
        <f t="shared" si="75"/>
        <v>9</v>
      </c>
      <c r="CS16" s="230">
        <f t="shared" si="76"/>
        <v>9</v>
      </c>
      <c r="CT16" s="230">
        <f t="shared" si="77"/>
        <v>9</v>
      </c>
      <c r="CU16" s="228">
        <f>ROUND((VLOOKUP(A16,'PS - Cumulative pupils per year'!$A$3:$R$25,14,FALSE)),0)</f>
        <v>55</v>
      </c>
      <c r="CV16" s="227">
        <f t="shared" si="78"/>
        <v>10</v>
      </c>
      <c r="CW16" s="227">
        <f t="shared" si="79"/>
        <v>10</v>
      </c>
      <c r="CX16" s="227">
        <f t="shared" si="80"/>
        <v>10</v>
      </c>
      <c r="CY16" s="227">
        <f t="shared" si="81"/>
        <v>9</v>
      </c>
      <c r="CZ16" s="227">
        <f t="shared" si="82"/>
        <v>9</v>
      </c>
      <c r="DA16" s="227">
        <f t="shared" si="83"/>
        <v>9</v>
      </c>
      <c r="DB16" s="224">
        <f>ROUND((VLOOKUP(A16,'PS - Cumulative pupils per year'!$A$3:$R$25,15,FALSE)),0)</f>
        <v>57</v>
      </c>
    </row>
    <row r="17" spans="1:106" x14ac:dyDescent="0.2">
      <c r="A17" s="231" t="s">
        <v>105</v>
      </c>
      <c r="B17" s="227">
        <v>2</v>
      </c>
      <c r="C17" s="227">
        <v>1</v>
      </c>
      <c r="D17" s="227">
        <v>1</v>
      </c>
      <c r="E17" s="227">
        <v>1</v>
      </c>
      <c r="F17" s="227">
        <v>1</v>
      </c>
      <c r="G17" s="227">
        <v>1</v>
      </c>
      <c r="H17" s="224">
        <v>7</v>
      </c>
      <c r="I17" s="229">
        <f t="shared" si="0"/>
        <v>2</v>
      </c>
      <c r="J17" s="229">
        <f t="shared" si="1"/>
        <v>2</v>
      </c>
      <c r="K17" s="229">
        <f t="shared" si="2"/>
        <v>2</v>
      </c>
      <c r="L17" s="229">
        <f t="shared" si="3"/>
        <v>1</v>
      </c>
      <c r="M17" s="229">
        <f t="shared" si="4"/>
        <v>1</v>
      </c>
      <c r="N17" s="229">
        <f t="shared" si="5"/>
        <v>1</v>
      </c>
      <c r="O17" s="225">
        <f>ROUND((VLOOKUP(A17,'PS - Cumulative pupils per year'!$A$3:$R$25,2,FALSE)),0)</f>
        <v>9</v>
      </c>
      <c r="P17" s="227">
        <f t="shared" si="6"/>
        <v>5</v>
      </c>
      <c r="Q17" s="227">
        <f t="shared" si="7"/>
        <v>5</v>
      </c>
      <c r="R17" s="227">
        <f t="shared" si="8"/>
        <v>5</v>
      </c>
      <c r="S17" s="227">
        <f t="shared" si="9"/>
        <v>5</v>
      </c>
      <c r="T17" s="227">
        <f t="shared" si="10"/>
        <v>5</v>
      </c>
      <c r="U17" s="227">
        <f t="shared" si="11"/>
        <v>5</v>
      </c>
      <c r="V17" s="224">
        <f>ROUND((VLOOKUP(A17,'PS - Cumulative pupils per year'!$A$3:$R$25,3,FALSE)),0)</f>
        <v>30</v>
      </c>
      <c r="W17" s="230">
        <f t="shared" si="12"/>
        <v>10</v>
      </c>
      <c r="X17" s="230">
        <f t="shared" si="13"/>
        <v>10</v>
      </c>
      <c r="Y17" s="230">
        <f t="shared" si="14"/>
        <v>10</v>
      </c>
      <c r="Z17" s="230">
        <f t="shared" si="15"/>
        <v>10</v>
      </c>
      <c r="AA17" s="230">
        <f t="shared" si="16"/>
        <v>10</v>
      </c>
      <c r="AB17" s="230">
        <f t="shared" si="17"/>
        <v>10</v>
      </c>
      <c r="AC17" s="225">
        <f>ROUND((VLOOKUP(A17,'PS - Cumulative pupils per year'!$A$3:$R$25,4,FALSE)),0)</f>
        <v>60</v>
      </c>
      <c r="AD17" s="227">
        <f t="shared" si="18"/>
        <v>16</v>
      </c>
      <c r="AE17" s="227">
        <f t="shared" si="19"/>
        <v>16</v>
      </c>
      <c r="AF17" s="227">
        <f t="shared" si="20"/>
        <v>16</v>
      </c>
      <c r="AG17" s="227">
        <f t="shared" si="21"/>
        <v>16</v>
      </c>
      <c r="AH17" s="227">
        <f t="shared" si="22"/>
        <v>15</v>
      </c>
      <c r="AI17" s="227">
        <f t="shared" si="23"/>
        <v>15</v>
      </c>
      <c r="AJ17" s="224">
        <f>ROUND((VLOOKUP(A17,'PS - Cumulative pupils per year'!$A$3:$R$25,5,FALSE)),0)</f>
        <v>94</v>
      </c>
      <c r="AK17" s="230">
        <f t="shared" si="24"/>
        <v>21</v>
      </c>
      <c r="AL17" s="230">
        <f t="shared" si="25"/>
        <v>21</v>
      </c>
      <c r="AM17" s="230">
        <f t="shared" si="26"/>
        <v>21</v>
      </c>
      <c r="AN17" s="230">
        <f t="shared" si="27"/>
        <v>21</v>
      </c>
      <c r="AO17" s="230">
        <f t="shared" si="28"/>
        <v>21</v>
      </c>
      <c r="AP17" s="230">
        <f t="shared" si="29"/>
        <v>20</v>
      </c>
      <c r="AQ17" s="225">
        <f>ROUND((VLOOKUP(A17,'PS - Cumulative pupils per year'!$A$3:$R$25,6,FALSE)),0)</f>
        <v>125</v>
      </c>
      <c r="AR17" s="227">
        <f t="shared" si="30"/>
        <v>27</v>
      </c>
      <c r="AS17" s="227">
        <f t="shared" si="31"/>
        <v>27</v>
      </c>
      <c r="AT17" s="227">
        <f t="shared" si="32"/>
        <v>26</v>
      </c>
      <c r="AU17" s="227">
        <f t="shared" si="33"/>
        <v>26</v>
      </c>
      <c r="AV17" s="227">
        <f t="shared" si="34"/>
        <v>26</v>
      </c>
      <c r="AW17" s="227">
        <f t="shared" si="35"/>
        <v>26</v>
      </c>
      <c r="AX17" s="224">
        <f>ROUND((VLOOKUP(A17,'PS - Cumulative pupils per year'!$A$3:$R$25,7,FALSE)),0)</f>
        <v>158</v>
      </c>
      <c r="AY17" s="230">
        <f t="shared" si="36"/>
        <v>31</v>
      </c>
      <c r="AZ17" s="230">
        <f t="shared" si="37"/>
        <v>31</v>
      </c>
      <c r="BA17" s="230">
        <f t="shared" si="38"/>
        <v>31</v>
      </c>
      <c r="BB17" s="230">
        <f t="shared" si="39"/>
        <v>31</v>
      </c>
      <c r="BC17" s="230">
        <f t="shared" si="40"/>
        <v>31</v>
      </c>
      <c r="BD17" s="230">
        <f t="shared" si="41"/>
        <v>30</v>
      </c>
      <c r="BE17" s="225">
        <f>ROUND((VLOOKUP(A17,'PS - Cumulative pupils per year'!$A$3:$R$25,8,FALSE)),0)</f>
        <v>185</v>
      </c>
      <c r="BF17" s="227">
        <f t="shared" si="42"/>
        <v>35</v>
      </c>
      <c r="BG17" s="227">
        <f t="shared" si="43"/>
        <v>35</v>
      </c>
      <c r="BH17" s="227">
        <f t="shared" si="44"/>
        <v>35</v>
      </c>
      <c r="BI17" s="227">
        <f t="shared" si="45"/>
        <v>35</v>
      </c>
      <c r="BJ17" s="227">
        <f t="shared" si="46"/>
        <v>35</v>
      </c>
      <c r="BK17" s="227">
        <f t="shared" si="47"/>
        <v>35</v>
      </c>
      <c r="BL17" s="224">
        <f>ROUND((VLOOKUP(A17,'PS - Cumulative pupils per year'!$A$3:$R$25,9,FALSE)),0)</f>
        <v>210</v>
      </c>
      <c r="BM17" s="230">
        <f t="shared" si="48"/>
        <v>38</v>
      </c>
      <c r="BN17" s="230">
        <f t="shared" si="49"/>
        <v>38</v>
      </c>
      <c r="BO17" s="230">
        <f t="shared" si="50"/>
        <v>38</v>
      </c>
      <c r="BP17" s="230">
        <f t="shared" si="51"/>
        <v>38</v>
      </c>
      <c r="BQ17" s="230">
        <f t="shared" si="52"/>
        <v>37</v>
      </c>
      <c r="BR17" s="230">
        <f t="shared" si="53"/>
        <v>37</v>
      </c>
      <c r="BS17" s="225">
        <f>ROUND((VLOOKUP(A17,'PS - Cumulative pupils per year'!$A$3:$R$25,10,FALSE)),0)</f>
        <v>226</v>
      </c>
      <c r="BT17" s="227">
        <f t="shared" si="54"/>
        <v>38</v>
      </c>
      <c r="BU17" s="227">
        <f t="shared" si="55"/>
        <v>38</v>
      </c>
      <c r="BV17" s="227">
        <f t="shared" si="56"/>
        <v>38</v>
      </c>
      <c r="BW17" s="227">
        <f t="shared" si="57"/>
        <v>38</v>
      </c>
      <c r="BX17" s="227">
        <f t="shared" si="58"/>
        <v>37</v>
      </c>
      <c r="BY17" s="227">
        <f t="shared" si="59"/>
        <v>37</v>
      </c>
      <c r="BZ17" s="224">
        <f>ROUND((VLOOKUP(A17,'PS - Cumulative pupils per year'!$A$3:$R$25,11,FALSE)),0)</f>
        <v>226</v>
      </c>
      <c r="CA17" s="230">
        <f t="shared" si="60"/>
        <v>38</v>
      </c>
      <c r="CB17" s="230">
        <f t="shared" si="61"/>
        <v>38</v>
      </c>
      <c r="CC17" s="230">
        <f t="shared" si="62"/>
        <v>38</v>
      </c>
      <c r="CD17" s="230">
        <f t="shared" si="63"/>
        <v>38</v>
      </c>
      <c r="CE17" s="230">
        <f t="shared" si="64"/>
        <v>37</v>
      </c>
      <c r="CF17" s="230">
        <f t="shared" si="65"/>
        <v>37</v>
      </c>
      <c r="CG17" s="228">
        <f>ROUND((VLOOKUP(A17,'PS - Cumulative pupils per year'!$A$3:$R$25,12,FALSE)),0)</f>
        <v>226</v>
      </c>
      <c r="CH17" s="227">
        <f t="shared" si="66"/>
        <v>38</v>
      </c>
      <c r="CI17" s="227">
        <f t="shared" si="67"/>
        <v>38</v>
      </c>
      <c r="CJ17" s="227">
        <f t="shared" si="68"/>
        <v>38</v>
      </c>
      <c r="CK17" s="227">
        <f t="shared" si="69"/>
        <v>38</v>
      </c>
      <c r="CL17" s="227">
        <f t="shared" si="70"/>
        <v>37</v>
      </c>
      <c r="CM17" s="227">
        <f t="shared" si="71"/>
        <v>37</v>
      </c>
      <c r="CN17" s="224">
        <f>ROUND((VLOOKUP(A17,'PS - Cumulative pupils per year'!$A$3:$R$25,13,FALSE)),0)</f>
        <v>226</v>
      </c>
      <c r="CO17" s="230">
        <f t="shared" si="72"/>
        <v>38</v>
      </c>
      <c r="CP17" s="230">
        <f t="shared" si="73"/>
        <v>38</v>
      </c>
      <c r="CQ17" s="230">
        <f t="shared" si="74"/>
        <v>38</v>
      </c>
      <c r="CR17" s="230">
        <f t="shared" si="75"/>
        <v>38</v>
      </c>
      <c r="CS17" s="230">
        <f t="shared" si="76"/>
        <v>37</v>
      </c>
      <c r="CT17" s="230">
        <f t="shared" si="77"/>
        <v>37</v>
      </c>
      <c r="CU17" s="228">
        <f>ROUND((VLOOKUP(A17,'PS - Cumulative pupils per year'!$A$3:$R$25,14,FALSE)),0)</f>
        <v>226</v>
      </c>
      <c r="CV17" s="227">
        <f t="shared" si="78"/>
        <v>38</v>
      </c>
      <c r="CW17" s="227">
        <f t="shared" si="79"/>
        <v>38</v>
      </c>
      <c r="CX17" s="227">
        <f t="shared" si="80"/>
        <v>38</v>
      </c>
      <c r="CY17" s="227">
        <f t="shared" si="81"/>
        <v>38</v>
      </c>
      <c r="CZ17" s="227">
        <f t="shared" si="82"/>
        <v>37</v>
      </c>
      <c r="DA17" s="227">
        <f t="shared" si="83"/>
        <v>37</v>
      </c>
      <c r="DB17" s="224">
        <f>ROUND((VLOOKUP(A17,'PS - Cumulative pupils per year'!$A$3:$R$25,15,FALSE)),0)</f>
        <v>226</v>
      </c>
    </row>
    <row r="18" spans="1:106" x14ac:dyDescent="0.2">
      <c r="A18" s="231" t="s">
        <v>106</v>
      </c>
      <c r="B18" s="227">
        <v>2</v>
      </c>
      <c r="C18" s="227">
        <v>2</v>
      </c>
      <c r="D18" s="227">
        <v>1</v>
      </c>
      <c r="E18" s="227">
        <v>1</v>
      </c>
      <c r="F18" s="227">
        <v>1</v>
      </c>
      <c r="G18" s="227">
        <v>1</v>
      </c>
      <c r="H18" s="224">
        <v>8</v>
      </c>
      <c r="I18" s="229">
        <f t="shared" si="0"/>
        <v>2</v>
      </c>
      <c r="J18" s="229">
        <f t="shared" si="1"/>
        <v>2</v>
      </c>
      <c r="K18" s="229">
        <f t="shared" si="2"/>
        <v>2</v>
      </c>
      <c r="L18" s="229">
        <f t="shared" si="3"/>
        <v>1</v>
      </c>
      <c r="M18" s="229">
        <f t="shared" si="4"/>
        <v>1</v>
      </c>
      <c r="N18" s="229">
        <f t="shared" si="5"/>
        <v>1</v>
      </c>
      <c r="O18" s="225">
        <f>ROUND((VLOOKUP(A18,'PS - Cumulative pupils per year'!$A$3:$R$25,2,FALSE)),0)</f>
        <v>9</v>
      </c>
      <c r="P18" s="227">
        <f t="shared" si="6"/>
        <v>2</v>
      </c>
      <c r="Q18" s="227">
        <f t="shared" si="7"/>
        <v>2</v>
      </c>
      <c r="R18" s="227">
        <f t="shared" si="8"/>
        <v>2</v>
      </c>
      <c r="S18" s="227">
        <f t="shared" si="9"/>
        <v>2</v>
      </c>
      <c r="T18" s="227">
        <f t="shared" si="10"/>
        <v>2</v>
      </c>
      <c r="U18" s="227">
        <f t="shared" si="11"/>
        <v>1</v>
      </c>
      <c r="V18" s="224">
        <f>ROUND((VLOOKUP(A18,'PS - Cumulative pupils per year'!$A$3:$R$25,3,FALSE)),0)</f>
        <v>11</v>
      </c>
      <c r="W18" s="230">
        <f t="shared" si="12"/>
        <v>2</v>
      </c>
      <c r="X18" s="230">
        <f t="shared" si="13"/>
        <v>2</v>
      </c>
      <c r="Y18" s="230">
        <f t="shared" si="14"/>
        <v>2</v>
      </c>
      <c r="Z18" s="230">
        <f t="shared" si="15"/>
        <v>2</v>
      </c>
      <c r="AA18" s="230">
        <f t="shared" si="16"/>
        <v>2</v>
      </c>
      <c r="AB18" s="230">
        <f t="shared" si="17"/>
        <v>2</v>
      </c>
      <c r="AC18" s="225">
        <f>ROUND((VLOOKUP(A18,'PS - Cumulative pupils per year'!$A$3:$R$25,4,FALSE)),0)</f>
        <v>12</v>
      </c>
      <c r="AD18" s="227">
        <f t="shared" si="18"/>
        <v>3</v>
      </c>
      <c r="AE18" s="227">
        <f t="shared" si="19"/>
        <v>3</v>
      </c>
      <c r="AF18" s="227">
        <f t="shared" si="20"/>
        <v>3</v>
      </c>
      <c r="AG18" s="227">
        <f t="shared" si="21"/>
        <v>2</v>
      </c>
      <c r="AH18" s="227">
        <f t="shared" si="22"/>
        <v>2</v>
      </c>
      <c r="AI18" s="227">
        <f t="shared" si="23"/>
        <v>2</v>
      </c>
      <c r="AJ18" s="224">
        <f>ROUND((VLOOKUP(A18,'PS - Cumulative pupils per year'!$A$3:$R$25,5,FALSE)),0)</f>
        <v>15</v>
      </c>
      <c r="AK18" s="230">
        <f t="shared" si="24"/>
        <v>4</v>
      </c>
      <c r="AL18" s="230">
        <f t="shared" si="25"/>
        <v>4</v>
      </c>
      <c r="AM18" s="230">
        <f t="shared" si="26"/>
        <v>3</v>
      </c>
      <c r="AN18" s="230">
        <f t="shared" si="27"/>
        <v>3</v>
      </c>
      <c r="AO18" s="230">
        <f t="shared" si="28"/>
        <v>3</v>
      </c>
      <c r="AP18" s="230">
        <f t="shared" si="29"/>
        <v>3</v>
      </c>
      <c r="AQ18" s="225">
        <f>ROUND((VLOOKUP(A18,'PS - Cumulative pupils per year'!$A$3:$R$25,6,FALSE)),0)</f>
        <v>20</v>
      </c>
      <c r="AR18" s="227">
        <f t="shared" si="30"/>
        <v>5</v>
      </c>
      <c r="AS18" s="227">
        <f t="shared" si="31"/>
        <v>5</v>
      </c>
      <c r="AT18" s="227">
        <f t="shared" si="32"/>
        <v>4</v>
      </c>
      <c r="AU18" s="227">
        <f t="shared" si="33"/>
        <v>4</v>
      </c>
      <c r="AV18" s="227">
        <f t="shared" si="34"/>
        <v>4</v>
      </c>
      <c r="AW18" s="227">
        <f t="shared" si="35"/>
        <v>4</v>
      </c>
      <c r="AX18" s="224">
        <f>ROUND((VLOOKUP(A18,'PS - Cumulative pupils per year'!$A$3:$R$25,7,FALSE)),0)</f>
        <v>26</v>
      </c>
      <c r="AY18" s="230">
        <f t="shared" si="36"/>
        <v>6</v>
      </c>
      <c r="AZ18" s="230">
        <f t="shared" si="37"/>
        <v>5</v>
      </c>
      <c r="BA18" s="230">
        <f t="shared" si="38"/>
        <v>5</v>
      </c>
      <c r="BB18" s="230">
        <f t="shared" si="39"/>
        <v>5</v>
      </c>
      <c r="BC18" s="230">
        <f t="shared" si="40"/>
        <v>5</v>
      </c>
      <c r="BD18" s="230">
        <f t="shared" si="41"/>
        <v>5</v>
      </c>
      <c r="BE18" s="225">
        <f>ROUND((VLOOKUP(A18,'PS - Cumulative pupils per year'!$A$3:$R$25,8,FALSE)),0)</f>
        <v>31</v>
      </c>
      <c r="BF18" s="227">
        <f t="shared" si="42"/>
        <v>6</v>
      </c>
      <c r="BG18" s="227">
        <f t="shared" si="43"/>
        <v>6</v>
      </c>
      <c r="BH18" s="227">
        <f t="shared" si="44"/>
        <v>6</v>
      </c>
      <c r="BI18" s="227">
        <f t="shared" si="45"/>
        <v>6</v>
      </c>
      <c r="BJ18" s="227">
        <f t="shared" si="46"/>
        <v>6</v>
      </c>
      <c r="BK18" s="227">
        <f t="shared" si="47"/>
        <v>6</v>
      </c>
      <c r="BL18" s="224">
        <f>ROUND((VLOOKUP(A18,'PS - Cumulative pupils per year'!$A$3:$R$25,9,FALSE)),0)</f>
        <v>36</v>
      </c>
      <c r="BM18" s="230">
        <f t="shared" si="48"/>
        <v>7</v>
      </c>
      <c r="BN18" s="230">
        <f t="shared" si="49"/>
        <v>6</v>
      </c>
      <c r="BO18" s="230">
        <f t="shared" si="50"/>
        <v>6</v>
      </c>
      <c r="BP18" s="230">
        <f t="shared" si="51"/>
        <v>6</v>
      </c>
      <c r="BQ18" s="230">
        <f t="shared" si="52"/>
        <v>6</v>
      </c>
      <c r="BR18" s="230">
        <f t="shared" si="53"/>
        <v>6</v>
      </c>
      <c r="BS18" s="225">
        <f>ROUND((VLOOKUP(A18,'PS - Cumulative pupils per year'!$A$3:$R$25,10,FALSE)),0)</f>
        <v>37</v>
      </c>
      <c r="BT18" s="227">
        <f t="shared" si="54"/>
        <v>7</v>
      </c>
      <c r="BU18" s="227">
        <f t="shared" si="55"/>
        <v>6</v>
      </c>
      <c r="BV18" s="227">
        <f t="shared" si="56"/>
        <v>6</v>
      </c>
      <c r="BW18" s="227">
        <f t="shared" si="57"/>
        <v>6</v>
      </c>
      <c r="BX18" s="227">
        <f t="shared" si="58"/>
        <v>6</v>
      </c>
      <c r="BY18" s="227">
        <f t="shared" si="59"/>
        <v>6</v>
      </c>
      <c r="BZ18" s="224">
        <f>ROUND((VLOOKUP(A18,'PS - Cumulative pupils per year'!$A$3:$R$25,11,FALSE)),0)</f>
        <v>37</v>
      </c>
      <c r="CA18" s="230">
        <f t="shared" si="60"/>
        <v>7</v>
      </c>
      <c r="CB18" s="230">
        <f t="shared" si="61"/>
        <v>6</v>
      </c>
      <c r="CC18" s="230">
        <f t="shared" si="62"/>
        <v>6</v>
      </c>
      <c r="CD18" s="230">
        <f t="shared" si="63"/>
        <v>6</v>
      </c>
      <c r="CE18" s="230">
        <f t="shared" si="64"/>
        <v>6</v>
      </c>
      <c r="CF18" s="230">
        <f t="shared" si="65"/>
        <v>6</v>
      </c>
      <c r="CG18" s="228">
        <f>ROUND((VLOOKUP(A18,'PS - Cumulative pupils per year'!$A$3:$R$25,12,FALSE)),0)</f>
        <v>37</v>
      </c>
      <c r="CH18" s="227">
        <f t="shared" si="66"/>
        <v>7</v>
      </c>
      <c r="CI18" s="227">
        <f t="shared" si="67"/>
        <v>6</v>
      </c>
      <c r="CJ18" s="227">
        <f t="shared" si="68"/>
        <v>6</v>
      </c>
      <c r="CK18" s="227">
        <f t="shared" si="69"/>
        <v>6</v>
      </c>
      <c r="CL18" s="227">
        <f t="shared" si="70"/>
        <v>6</v>
      </c>
      <c r="CM18" s="227">
        <f t="shared" si="71"/>
        <v>6</v>
      </c>
      <c r="CN18" s="224">
        <f>ROUND((VLOOKUP(A18,'PS - Cumulative pupils per year'!$A$3:$R$25,13,FALSE)),0)</f>
        <v>37</v>
      </c>
      <c r="CO18" s="230">
        <f t="shared" si="72"/>
        <v>7</v>
      </c>
      <c r="CP18" s="230">
        <f t="shared" si="73"/>
        <v>6</v>
      </c>
      <c r="CQ18" s="230">
        <f t="shared" si="74"/>
        <v>6</v>
      </c>
      <c r="CR18" s="230">
        <f t="shared" si="75"/>
        <v>6</v>
      </c>
      <c r="CS18" s="230">
        <f t="shared" si="76"/>
        <v>6</v>
      </c>
      <c r="CT18" s="230">
        <f t="shared" si="77"/>
        <v>6</v>
      </c>
      <c r="CU18" s="228">
        <f>ROUND((VLOOKUP(A18,'PS - Cumulative pupils per year'!$A$3:$R$25,14,FALSE)),0)</f>
        <v>37</v>
      </c>
      <c r="CV18" s="227">
        <f t="shared" si="78"/>
        <v>7</v>
      </c>
      <c r="CW18" s="227">
        <f t="shared" si="79"/>
        <v>6</v>
      </c>
      <c r="CX18" s="227">
        <f t="shared" si="80"/>
        <v>6</v>
      </c>
      <c r="CY18" s="227">
        <f t="shared" si="81"/>
        <v>6</v>
      </c>
      <c r="CZ18" s="227">
        <f t="shared" si="82"/>
        <v>6</v>
      </c>
      <c r="DA18" s="227">
        <f t="shared" si="83"/>
        <v>6</v>
      </c>
      <c r="DB18" s="224">
        <f>ROUND((VLOOKUP(A18,'PS - Cumulative pupils per year'!$A$3:$R$25,15,FALSE)),0)</f>
        <v>37</v>
      </c>
    </row>
    <row r="19" spans="1:106" x14ac:dyDescent="0.2">
      <c r="A19" s="231" t="s">
        <v>107</v>
      </c>
      <c r="B19" s="227">
        <v>5</v>
      </c>
      <c r="C19" s="227">
        <v>4</v>
      </c>
      <c r="D19" s="227">
        <v>4</v>
      </c>
      <c r="E19" s="227">
        <v>4</v>
      </c>
      <c r="F19" s="227">
        <v>4</v>
      </c>
      <c r="G19" s="227">
        <v>4</v>
      </c>
      <c r="H19" s="224">
        <v>25</v>
      </c>
      <c r="I19" s="229">
        <f t="shared" si="0"/>
        <v>3</v>
      </c>
      <c r="J19" s="229">
        <f t="shared" si="1"/>
        <v>3</v>
      </c>
      <c r="K19" s="229">
        <f t="shared" si="2"/>
        <v>3</v>
      </c>
      <c r="L19" s="229">
        <f t="shared" si="3"/>
        <v>3</v>
      </c>
      <c r="M19" s="229">
        <f t="shared" si="4"/>
        <v>2</v>
      </c>
      <c r="N19" s="229">
        <f t="shared" si="5"/>
        <v>2</v>
      </c>
      <c r="O19" s="225">
        <f>ROUND((VLOOKUP(A19,'PS - Cumulative pupils per year'!$A$3:$R$25,2,FALSE)),0)</f>
        <v>16</v>
      </c>
      <c r="P19" s="227">
        <f t="shared" si="6"/>
        <v>3</v>
      </c>
      <c r="Q19" s="227">
        <f t="shared" si="7"/>
        <v>3</v>
      </c>
      <c r="R19" s="227">
        <f t="shared" si="8"/>
        <v>3</v>
      </c>
      <c r="S19" s="227">
        <f t="shared" si="9"/>
        <v>3</v>
      </c>
      <c r="T19" s="227">
        <f t="shared" si="10"/>
        <v>2</v>
      </c>
      <c r="U19" s="227">
        <f t="shared" si="11"/>
        <v>2</v>
      </c>
      <c r="V19" s="224">
        <f>ROUND((VLOOKUP(A19,'PS - Cumulative pupils per year'!$A$3:$R$25,3,FALSE)),0)</f>
        <v>16</v>
      </c>
      <c r="W19" s="230">
        <f t="shared" si="12"/>
        <v>5</v>
      </c>
      <c r="X19" s="230">
        <f t="shared" si="13"/>
        <v>5</v>
      </c>
      <c r="Y19" s="230">
        <f t="shared" si="14"/>
        <v>5</v>
      </c>
      <c r="Z19" s="230">
        <f t="shared" si="15"/>
        <v>5</v>
      </c>
      <c r="AA19" s="230">
        <f t="shared" si="16"/>
        <v>5</v>
      </c>
      <c r="AB19" s="230">
        <f t="shared" si="17"/>
        <v>4</v>
      </c>
      <c r="AC19" s="225">
        <f>ROUND((VLOOKUP(A19,'PS - Cumulative pupils per year'!$A$3:$R$25,4,FALSE)),0)</f>
        <v>29</v>
      </c>
      <c r="AD19" s="227">
        <f t="shared" si="18"/>
        <v>8</v>
      </c>
      <c r="AE19" s="227">
        <f t="shared" si="19"/>
        <v>8</v>
      </c>
      <c r="AF19" s="227">
        <f t="shared" si="20"/>
        <v>8</v>
      </c>
      <c r="AG19" s="227">
        <f t="shared" si="21"/>
        <v>8</v>
      </c>
      <c r="AH19" s="227">
        <f t="shared" si="22"/>
        <v>8</v>
      </c>
      <c r="AI19" s="227">
        <f t="shared" si="23"/>
        <v>7</v>
      </c>
      <c r="AJ19" s="224">
        <f>ROUND((VLOOKUP(A19,'PS - Cumulative pupils per year'!$A$3:$R$25,5,FALSE)),0)</f>
        <v>47</v>
      </c>
      <c r="AK19" s="230">
        <f t="shared" si="24"/>
        <v>11</v>
      </c>
      <c r="AL19" s="230">
        <f t="shared" si="25"/>
        <v>10</v>
      </c>
      <c r="AM19" s="230">
        <f t="shared" si="26"/>
        <v>10</v>
      </c>
      <c r="AN19" s="230">
        <f t="shared" si="27"/>
        <v>10</v>
      </c>
      <c r="AO19" s="230">
        <f t="shared" si="28"/>
        <v>10</v>
      </c>
      <c r="AP19" s="230">
        <f t="shared" si="29"/>
        <v>10</v>
      </c>
      <c r="AQ19" s="225">
        <f>ROUND((VLOOKUP(A19,'PS - Cumulative pupils per year'!$A$3:$R$25,6,FALSE)),0)</f>
        <v>61</v>
      </c>
      <c r="AR19" s="227">
        <f t="shared" si="30"/>
        <v>14</v>
      </c>
      <c r="AS19" s="227">
        <f t="shared" si="31"/>
        <v>14</v>
      </c>
      <c r="AT19" s="227">
        <f t="shared" si="32"/>
        <v>14</v>
      </c>
      <c r="AU19" s="227">
        <f t="shared" si="33"/>
        <v>14</v>
      </c>
      <c r="AV19" s="227">
        <f t="shared" si="34"/>
        <v>13</v>
      </c>
      <c r="AW19" s="227">
        <f t="shared" si="35"/>
        <v>13</v>
      </c>
      <c r="AX19" s="224">
        <f>ROUND((VLOOKUP(A19,'PS - Cumulative pupils per year'!$A$3:$R$25,7,FALSE)),0)</f>
        <v>82</v>
      </c>
      <c r="AY19" s="230">
        <f t="shared" si="36"/>
        <v>19</v>
      </c>
      <c r="AZ19" s="230">
        <f t="shared" si="37"/>
        <v>19</v>
      </c>
      <c r="BA19" s="230">
        <f t="shared" si="38"/>
        <v>19</v>
      </c>
      <c r="BB19" s="230">
        <f t="shared" si="39"/>
        <v>19</v>
      </c>
      <c r="BC19" s="230">
        <f t="shared" si="40"/>
        <v>19</v>
      </c>
      <c r="BD19" s="230">
        <f t="shared" si="41"/>
        <v>19</v>
      </c>
      <c r="BE19" s="225">
        <f>ROUND((VLOOKUP(A19,'PS - Cumulative pupils per year'!$A$3:$R$25,8,FALSE)),0)</f>
        <v>114</v>
      </c>
      <c r="BF19" s="227">
        <f t="shared" si="42"/>
        <v>25</v>
      </c>
      <c r="BG19" s="227">
        <f t="shared" si="43"/>
        <v>25</v>
      </c>
      <c r="BH19" s="227">
        <f t="shared" si="44"/>
        <v>24</v>
      </c>
      <c r="BI19" s="227">
        <f t="shared" si="45"/>
        <v>24</v>
      </c>
      <c r="BJ19" s="227">
        <f t="shared" si="46"/>
        <v>24</v>
      </c>
      <c r="BK19" s="227">
        <f t="shared" si="47"/>
        <v>24</v>
      </c>
      <c r="BL19" s="224">
        <f>ROUND((VLOOKUP(A19,'PS - Cumulative pupils per year'!$A$3:$R$25,9,FALSE)),0)</f>
        <v>146</v>
      </c>
      <c r="BM19" s="230">
        <f t="shared" si="48"/>
        <v>29</v>
      </c>
      <c r="BN19" s="230">
        <f t="shared" si="49"/>
        <v>29</v>
      </c>
      <c r="BO19" s="230">
        <f t="shared" si="50"/>
        <v>29</v>
      </c>
      <c r="BP19" s="230">
        <f t="shared" si="51"/>
        <v>29</v>
      </c>
      <c r="BQ19" s="230">
        <f t="shared" si="52"/>
        <v>28</v>
      </c>
      <c r="BR19" s="230">
        <f t="shared" si="53"/>
        <v>28</v>
      </c>
      <c r="BS19" s="225">
        <f>ROUND((VLOOKUP(A19,'PS - Cumulative pupils per year'!$A$3:$R$25,10,FALSE)),0)</f>
        <v>172</v>
      </c>
      <c r="BT19" s="227">
        <f t="shared" si="54"/>
        <v>33</v>
      </c>
      <c r="BU19" s="227">
        <f t="shared" si="55"/>
        <v>33</v>
      </c>
      <c r="BV19" s="227">
        <f t="shared" si="56"/>
        <v>32</v>
      </c>
      <c r="BW19" s="227">
        <f t="shared" si="57"/>
        <v>32</v>
      </c>
      <c r="BX19" s="227">
        <f t="shared" si="58"/>
        <v>32</v>
      </c>
      <c r="BY19" s="227">
        <f t="shared" si="59"/>
        <v>32</v>
      </c>
      <c r="BZ19" s="224">
        <f>ROUND((VLOOKUP(A19,'PS - Cumulative pupils per year'!$A$3:$R$25,11,FALSE)),0)</f>
        <v>194</v>
      </c>
      <c r="CA19" s="230">
        <f t="shared" si="60"/>
        <v>35</v>
      </c>
      <c r="CB19" s="230">
        <f t="shared" si="61"/>
        <v>35</v>
      </c>
      <c r="CC19" s="230">
        <f t="shared" si="62"/>
        <v>34</v>
      </c>
      <c r="CD19" s="230">
        <f t="shared" si="63"/>
        <v>34</v>
      </c>
      <c r="CE19" s="230">
        <f t="shared" si="64"/>
        <v>34</v>
      </c>
      <c r="CF19" s="230">
        <f t="shared" si="65"/>
        <v>34</v>
      </c>
      <c r="CG19" s="228">
        <f>ROUND((VLOOKUP(A19,'PS - Cumulative pupils per year'!$A$3:$R$25,12,FALSE)),0)</f>
        <v>206</v>
      </c>
      <c r="CH19" s="227">
        <f t="shared" si="66"/>
        <v>37</v>
      </c>
      <c r="CI19" s="227">
        <f t="shared" si="67"/>
        <v>37</v>
      </c>
      <c r="CJ19" s="227">
        <f t="shared" si="68"/>
        <v>36</v>
      </c>
      <c r="CK19" s="227">
        <f t="shared" si="69"/>
        <v>36</v>
      </c>
      <c r="CL19" s="227">
        <f t="shared" si="70"/>
        <v>36</v>
      </c>
      <c r="CM19" s="227">
        <f t="shared" si="71"/>
        <v>36</v>
      </c>
      <c r="CN19" s="224">
        <f>ROUND((VLOOKUP(A19,'PS - Cumulative pupils per year'!$A$3:$R$25,13,FALSE)),0)</f>
        <v>218</v>
      </c>
      <c r="CO19" s="230">
        <f t="shared" si="72"/>
        <v>39</v>
      </c>
      <c r="CP19" s="230">
        <f t="shared" si="73"/>
        <v>39</v>
      </c>
      <c r="CQ19" s="230">
        <f t="shared" si="74"/>
        <v>38</v>
      </c>
      <c r="CR19" s="230">
        <f t="shared" si="75"/>
        <v>38</v>
      </c>
      <c r="CS19" s="230">
        <f t="shared" si="76"/>
        <v>38</v>
      </c>
      <c r="CT19" s="230">
        <f t="shared" si="77"/>
        <v>38</v>
      </c>
      <c r="CU19" s="228">
        <f>ROUND((VLOOKUP(A19,'PS - Cumulative pupils per year'!$A$3:$R$25,14,FALSE)),0)</f>
        <v>230</v>
      </c>
      <c r="CV19" s="227">
        <f t="shared" si="78"/>
        <v>41</v>
      </c>
      <c r="CW19" s="227">
        <f t="shared" si="79"/>
        <v>41</v>
      </c>
      <c r="CX19" s="227">
        <f t="shared" si="80"/>
        <v>40</v>
      </c>
      <c r="CY19" s="227">
        <f t="shared" si="81"/>
        <v>40</v>
      </c>
      <c r="CZ19" s="227">
        <f t="shared" si="82"/>
        <v>40</v>
      </c>
      <c r="DA19" s="227">
        <f t="shared" si="83"/>
        <v>40</v>
      </c>
      <c r="DB19" s="224">
        <f>ROUND((VLOOKUP(A19,'PS - Cumulative pupils per year'!$A$3:$R$25,15,FALSE)),0)</f>
        <v>242</v>
      </c>
    </row>
    <row r="20" spans="1:106" x14ac:dyDescent="0.2">
      <c r="A20" s="231" t="s">
        <v>108</v>
      </c>
      <c r="B20" s="227">
        <v>3</v>
      </c>
      <c r="C20" s="227">
        <v>2</v>
      </c>
      <c r="D20" s="227">
        <v>2</v>
      </c>
      <c r="E20" s="227">
        <v>2</v>
      </c>
      <c r="F20" s="227">
        <v>2</v>
      </c>
      <c r="G20" s="227">
        <v>2</v>
      </c>
      <c r="H20" s="224">
        <v>13</v>
      </c>
      <c r="I20" s="229">
        <f t="shared" ref="I20:I21" si="252">ROUNDUP(O20/6,0)</f>
        <v>3</v>
      </c>
      <c r="J20" s="229">
        <f t="shared" ref="J20:J21" si="253">IF((O20-I20)&gt;0,(ROUNDUP(((O20-I20)/5),0)),0)</f>
        <v>2</v>
      </c>
      <c r="K20" s="229">
        <f t="shared" ref="K20:K21" si="254">IF((O20-I20-J20)&gt;0,(ROUNDUP(((O20-I20-J20)/4),0)),0)</f>
        <v>2</v>
      </c>
      <c r="L20" s="229">
        <f t="shared" ref="L20:L21" si="255">IF((O20-I20-J20-K20)&gt;0,(ROUNDUP(((O20-I20-J20-K20)/3),0)),0)</f>
        <v>2</v>
      </c>
      <c r="M20" s="229">
        <f t="shared" ref="M20:M21" si="256">IF((O20-I20-J20-K20-L20)&gt;0,(ROUNDUP(((O20-I20-J20-K20-L20)/2),0)),0)</f>
        <v>2</v>
      </c>
      <c r="N20" s="229">
        <f t="shared" ref="N20:N21" si="257">IF((O20-I20-J20-K20-L20-M20)&gt;0,(ROUNDUP(((O20-I20-J20-K20-L20-M20)/1),0)),0)</f>
        <v>2</v>
      </c>
      <c r="O20" s="225">
        <f>ROUND((VLOOKUP(A20,'PS - Cumulative pupils per year'!$A$3:$R$25,2,FALSE)),0)</f>
        <v>13</v>
      </c>
      <c r="P20" s="227">
        <f t="shared" ref="P20:P21" si="258">ROUNDUP(V20/6,0)</f>
        <v>4</v>
      </c>
      <c r="Q20" s="227">
        <f t="shared" ref="Q20:Q21" si="259">IF((V20-P20)&gt;0,(ROUNDUP(((V20-P20)/5),0)),0)</f>
        <v>4</v>
      </c>
      <c r="R20" s="227">
        <f t="shared" ref="R20:R21" si="260">IF((V20-P20-Q20)&gt;0,(ROUNDUP(((V20-P20-Q20)/4),0)),0)</f>
        <v>3</v>
      </c>
      <c r="S20" s="227">
        <f t="shared" ref="S20:S21" si="261">IF((V20-P20-Q20-R20)&gt;0,(ROUNDUP(((V20-P20-Q20-R20)/3),0)),0)</f>
        <v>3</v>
      </c>
      <c r="T20" s="227">
        <f t="shared" ref="T20:T21" si="262">IF((V20-P20-Q20-R20-S20)&gt;0,(ROUNDUP(((V20-P20-Q20-R20-S20)/2),0)),0)</f>
        <v>3</v>
      </c>
      <c r="U20" s="227">
        <f t="shared" ref="U20:U21" si="263">IF((V20-P20-Q20-R20-S20-T20)&gt;0,(ROUNDUP(((V20-P20-Q20-R20-S20-T20)/1),0)),0)</f>
        <v>3</v>
      </c>
      <c r="V20" s="224">
        <f>ROUND((VLOOKUP(A20,'PS - Cumulative pupils per year'!$A$3:$R$25,3,FALSE)),0)</f>
        <v>20</v>
      </c>
      <c r="W20" s="230">
        <f t="shared" ref="W20:W21" si="264">ROUNDUP(AC20/6,0)</f>
        <v>6</v>
      </c>
      <c r="X20" s="230">
        <f t="shared" ref="X20:X21" si="265">IF((AC20-W20)&gt;0,(ROUNDUP(((AC20-W20)/5),0)),0)</f>
        <v>5</v>
      </c>
      <c r="Y20" s="230">
        <f t="shared" ref="Y20:Y21" si="266">IF((AC20-W20-X20)&gt;0,(ROUNDUP(((AC20-W20-X20)/4),0)),0)</f>
        <v>5</v>
      </c>
      <c r="Z20" s="230">
        <f t="shared" ref="Z20:Z21" si="267">IF((AC20-W20-X20-Y20)&gt;0,(ROUNDUP(((AC20-W20-X20-Y20)/3),0)),0)</f>
        <v>5</v>
      </c>
      <c r="AA20" s="230">
        <f t="shared" ref="AA20:AA21" si="268">IF((AC20-W20-X20-Y20-Z20)&gt;0,(ROUNDUP(((AC20-W20-X20-Y20-Z20)/2),0)),0)</f>
        <v>5</v>
      </c>
      <c r="AB20" s="230">
        <f t="shared" ref="AB20:AB21" si="269">IF((AC20-W20-X20-Y20-Z20-AA20)&gt;0,(ROUNDUP(((AC20-W20-X20-Y20-Z20-AA20)/1),0)),0)</f>
        <v>5</v>
      </c>
      <c r="AC20" s="225">
        <f>ROUND((VLOOKUP(A20,'PS - Cumulative pupils per year'!$A$3:$R$25,4,FALSE)),0)</f>
        <v>31</v>
      </c>
      <c r="AD20" s="227">
        <f t="shared" ref="AD20:AD21" si="270">ROUNDUP(AJ20/6,0)</f>
        <v>8</v>
      </c>
      <c r="AE20" s="227">
        <f t="shared" ref="AE20:AE21" si="271">IF((AJ20-AD20)&gt;0,(ROUNDUP(((AJ20-AD20)/5),0)),0)</f>
        <v>8</v>
      </c>
      <c r="AF20" s="227">
        <f t="shared" ref="AF20:AF21" si="272">IF((AJ20-AD20-AE20)&gt;0,(ROUNDUP(((AJ20-AD20-AE20)/4),0)),0)</f>
        <v>8</v>
      </c>
      <c r="AG20" s="227">
        <f t="shared" ref="AG20:AG21" si="273">IF((AJ20-AD20-AE20-AF20)&gt;0,(ROUNDUP(((AJ20-AD20-AE20-AF20)/3),0)),0)</f>
        <v>8</v>
      </c>
      <c r="AH20" s="227">
        <f t="shared" ref="AH20:AH21" si="274">IF((AJ20-AD20-AE20-AF20-AG20)&gt;0,(ROUNDUP(((AJ20-AD20-AE20-AF20-AG20)/2),0)),0)</f>
        <v>8</v>
      </c>
      <c r="AI20" s="227">
        <f t="shared" ref="AI20:AI21" si="275">IF((AJ20-AD20-AE20-AF20-AG20-AH20)&gt;0,(ROUNDUP(((AJ20-AD20-AE20-AF20-AG20-AH20)/1),0)),0)</f>
        <v>7</v>
      </c>
      <c r="AJ20" s="224">
        <f>ROUND((VLOOKUP(A20,'PS - Cumulative pupils per year'!$A$3:$R$25,5,FALSE)),0)</f>
        <v>47</v>
      </c>
      <c r="AK20" s="230">
        <f t="shared" ref="AK20:AK21" si="276">ROUNDUP(AQ20/6,0)</f>
        <v>11</v>
      </c>
      <c r="AL20" s="230">
        <f t="shared" ref="AL20:AL21" si="277">IF((AQ20-AK20)&gt;0,(ROUNDUP(((AQ20-AK20)/5),0)),0)</f>
        <v>11</v>
      </c>
      <c r="AM20" s="230">
        <f t="shared" ref="AM20:AM21" si="278">IF((AQ20-AK20-AL20)&gt;0,(ROUNDUP(((AQ20-AK20-AL20)/4),0)),0)</f>
        <v>11</v>
      </c>
      <c r="AN20" s="230">
        <f t="shared" ref="AN20:AN21" si="279">IF((AQ20-AK20-AL20-AM20)&gt;0,(ROUNDUP(((AQ20-AK20-AL20-AM20)/3),0)),0)</f>
        <v>11</v>
      </c>
      <c r="AO20" s="230">
        <f t="shared" ref="AO20:AO21" si="280">IF((AQ20-AK20-AL20-AM20-AN20)&gt;0,(ROUNDUP(((AQ20-AK20-AL20-AM20-AN20)/2),0)),0)</f>
        <v>10</v>
      </c>
      <c r="AP20" s="230">
        <f t="shared" ref="AP20:AP21" si="281">IF((AQ20-AK20-AL20-AM20-AN20-AO20)&gt;0,(ROUNDUP(((AQ20-AK20-AL20-AM20-AN20-AO20)/1),0)),0)</f>
        <v>10</v>
      </c>
      <c r="AQ20" s="225">
        <f>ROUND((VLOOKUP(A20,'PS - Cumulative pupils per year'!$A$3:$R$25,6,FALSE)),0)</f>
        <v>64</v>
      </c>
      <c r="AR20" s="227">
        <f t="shared" ref="AR20:AR21" si="282">ROUNDUP(AX20/6,0)</f>
        <v>14</v>
      </c>
      <c r="AS20" s="227">
        <f t="shared" ref="AS20:AS21" si="283">IF((AX20-AR20)&gt;0,(ROUNDUP(((AX20-AR20)/5),0)),0)</f>
        <v>14</v>
      </c>
      <c r="AT20" s="227">
        <f t="shared" ref="AT20:AT21" si="284">IF((AX20-AR20-AS20)&gt;0,(ROUNDUP(((AX20-AR20-AS20)/4),0)),0)</f>
        <v>14</v>
      </c>
      <c r="AU20" s="227">
        <f t="shared" ref="AU20:AU21" si="285">IF((AX20-AR20-AS20-AT20)&gt;0,(ROUNDUP(((AX20-AR20-AS20-AT20)/3),0)),0)</f>
        <v>14</v>
      </c>
      <c r="AV20" s="227">
        <f t="shared" ref="AV20:AV21" si="286">IF((AX20-AR20-AS20-AT20-AU20)&gt;0,(ROUNDUP(((AX20-AR20-AS20-AT20-AU20)/2),0)),0)</f>
        <v>13</v>
      </c>
      <c r="AW20" s="227">
        <f t="shared" ref="AW20:AW21" si="287">IF((AX20-AR20-AS20-AT20-AU20-AV20)&gt;0,(ROUNDUP(((AX20-AR20-AS20-AT20-AU20-AV20)/1),0)),0)</f>
        <v>13</v>
      </c>
      <c r="AX20" s="224">
        <f>ROUND((VLOOKUP(A20,'PS - Cumulative pupils per year'!$A$3:$R$25,7,FALSE)),0)</f>
        <v>82</v>
      </c>
      <c r="AY20" s="230">
        <f t="shared" ref="AY20:AY21" si="288">ROUNDUP(BE20/6,0)</f>
        <v>17</v>
      </c>
      <c r="AZ20" s="230">
        <f t="shared" ref="AZ20:AZ21" si="289">IF((BE20-AY20)&gt;0,(ROUNDUP(((BE20-AY20)/5),0)),0)</f>
        <v>17</v>
      </c>
      <c r="BA20" s="230">
        <f t="shared" ref="BA20:BA21" si="290">IF((BE20-AY20-AZ20)&gt;0,(ROUNDUP(((BE20-AY20-AZ20)/4),0)),0)</f>
        <v>17</v>
      </c>
      <c r="BB20" s="230">
        <f t="shared" ref="BB20:BB21" si="291">IF((BE20-AY20-AZ20-BA20)&gt;0,(ROUNDUP(((BE20-AY20-AZ20-BA20)/3),0)),0)</f>
        <v>16</v>
      </c>
      <c r="BC20" s="230">
        <f t="shared" ref="BC20:BC21" si="292">IF((BE20-AY20-AZ20-BA20-BB20)&gt;0,(ROUNDUP(((BE20-AY20-AZ20-BA20-BB20)/2),0)),0)</f>
        <v>16</v>
      </c>
      <c r="BD20" s="230">
        <f t="shared" ref="BD20:BD21" si="293">IF((BE20-AY20-AZ20-BA20-BB20-BC20)&gt;0,(ROUNDUP(((BE20-AY20-AZ20-BA20-BB20-BC20)/1),0)),0)</f>
        <v>16</v>
      </c>
      <c r="BE20" s="225">
        <f>ROUND((VLOOKUP(A20,'PS - Cumulative pupils per year'!$A$3:$R$25,8,FALSE)),0)</f>
        <v>99</v>
      </c>
      <c r="BF20" s="227">
        <f t="shared" ref="BF20:BF21" si="294">ROUNDUP(BL20/6,0)</f>
        <v>20</v>
      </c>
      <c r="BG20" s="227">
        <f t="shared" ref="BG20:BG21" si="295">IF((BL20-BF20)&gt;0,(ROUNDUP(((BL20-BF20)/5),0)),0)</f>
        <v>19</v>
      </c>
      <c r="BH20" s="227">
        <f t="shared" ref="BH20:BH21" si="296">IF((BL20-BF20-BG20)&gt;0,(ROUNDUP(((BL20-BF20-BG20)/4),0)),0)</f>
        <v>19</v>
      </c>
      <c r="BI20" s="227">
        <f t="shared" ref="BI20:BI21" si="297">IF((BL20-BF20-BG20-BH20)&gt;0,(ROUNDUP(((BL20-BF20-BG20-BH20)/3),0)),0)</f>
        <v>19</v>
      </c>
      <c r="BJ20" s="227">
        <f t="shared" ref="BJ20:BJ21" si="298">IF((BL20-BF20-BG20-BH20-BI20)&gt;0,(ROUNDUP(((BL20-BF20-BG20-BH20-BI20)/2),0)),0)</f>
        <v>19</v>
      </c>
      <c r="BK20" s="227">
        <f t="shared" ref="BK20:BK21" si="299">IF((BL20-BF20-BG20-BH20-BI20-BJ20)&gt;0,(ROUNDUP(((BL20-BF20-BG20-BH20-BI20-BJ20)/1),0)),0)</f>
        <v>19</v>
      </c>
      <c r="BL20" s="224">
        <f>ROUND((VLOOKUP(A20,'PS - Cumulative pupils per year'!$A$3:$R$25,9,FALSE)),0)</f>
        <v>115</v>
      </c>
      <c r="BM20" s="230">
        <f t="shared" ref="BM20:BM21" si="300">ROUNDUP(BS20/6,0)</f>
        <v>22</v>
      </c>
      <c r="BN20" s="230">
        <f t="shared" ref="BN20:BN21" si="301">IF((BS20-BM20)&gt;0,(ROUNDUP(((BS20-BM20)/5),0)),0)</f>
        <v>22</v>
      </c>
      <c r="BO20" s="230">
        <f t="shared" ref="BO20:BO21" si="302">IF((BS20-BM20-BN20)&gt;0,(ROUNDUP(((BS20-BM20-BN20)/4),0)),0)</f>
        <v>22</v>
      </c>
      <c r="BP20" s="230">
        <f t="shared" ref="BP20:BP21" si="303">IF((BS20-BM20-BN20-BO20)&gt;0,(ROUNDUP(((BS20-BM20-BN20-BO20)/3),0)),0)</f>
        <v>21</v>
      </c>
      <c r="BQ20" s="230">
        <f t="shared" ref="BQ20:BQ21" si="304">IF((BS20-BM20-BN20-BO20-BP20)&gt;0,(ROUNDUP(((BS20-BM20-BN20-BO20-BP20)/2),0)),0)</f>
        <v>21</v>
      </c>
      <c r="BR20" s="230">
        <f t="shared" ref="BR20:BR21" si="305">IF((BS20-BM20-BN20-BO20-BP20-BQ20)&gt;0,(ROUNDUP(((BS20-BM20-BN20-BO20-BP20-BQ20)/1),0)),0)</f>
        <v>21</v>
      </c>
      <c r="BS20" s="225">
        <f>ROUND((VLOOKUP(A20,'PS - Cumulative pupils per year'!$A$3:$R$25,10,FALSE)),0)</f>
        <v>129</v>
      </c>
      <c r="BT20" s="227">
        <f t="shared" ref="BT20:BT21" si="306">ROUNDUP(BZ20/6,0)</f>
        <v>24</v>
      </c>
      <c r="BU20" s="227">
        <f t="shared" ref="BU20:BU21" si="307">IF((BZ20-BT20)&gt;0,(ROUNDUP(((BZ20-BT20)/5),0)),0)</f>
        <v>24</v>
      </c>
      <c r="BV20" s="227">
        <f t="shared" ref="BV20:BV21" si="308">IF((BZ20-BT20-BU20)&gt;0,(ROUNDUP(((BZ20-BT20-BU20)/4),0)),0)</f>
        <v>24</v>
      </c>
      <c r="BW20" s="227">
        <f t="shared" ref="BW20:BW21" si="309">IF((BZ20-BT20-BU20-BV20)&gt;0,(ROUNDUP(((BZ20-BT20-BU20-BV20)/3),0)),0)</f>
        <v>24</v>
      </c>
      <c r="BX20" s="227">
        <f t="shared" ref="BX20:BX21" si="310">IF((BZ20-BT20-BU20-BV20-BW20)&gt;0,(ROUNDUP(((BZ20-BT20-BU20-BV20-BW20)/2),0)),0)</f>
        <v>23</v>
      </c>
      <c r="BY20" s="227">
        <f t="shared" ref="BY20:BY21" si="311">IF((BZ20-BT20-BU20-BV20-BW20-BX20)&gt;0,(ROUNDUP(((BZ20-BT20-BU20-BV20-BW20-BX20)/1),0)),0)</f>
        <v>23</v>
      </c>
      <c r="BZ20" s="224">
        <f>ROUND((VLOOKUP(A20,'PS - Cumulative pupils per year'!$A$3:$R$25,11,FALSE)),0)</f>
        <v>142</v>
      </c>
      <c r="CA20" s="230">
        <f t="shared" ref="CA20:CA21" si="312">ROUNDUP(CG20/6,0)</f>
        <v>26</v>
      </c>
      <c r="CB20" s="230">
        <f t="shared" ref="CB20:CB21" si="313">IF((CG20-CA20)&gt;0,(ROUNDUP(((CG20-CA20)/5),0)),0)</f>
        <v>26</v>
      </c>
      <c r="CC20" s="230">
        <f t="shared" ref="CC20:CC21" si="314">IF((CG20-CA20-CB20)&gt;0,(ROUNDUP(((CG20-CA20-CB20)/4),0)),0)</f>
        <v>26</v>
      </c>
      <c r="CD20" s="230">
        <f t="shared" ref="CD20:CD21" si="315">IF((CG20-CA20-CB20-CC20)&gt;0,(ROUNDUP(((CG20-CA20-CB20-CC20)/3),0)),0)</f>
        <v>25</v>
      </c>
      <c r="CE20" s="230">
        <f t="shared" ref="CE20:CE21" si="316">IF((CG20-CA20-CB20-CC20-CD20)&gt;0,(ROUNDUP(((CG20-CA20-CB20-CC20-CD20)/2),0)),0)</f>
        <v>25</v>
      </c>
      <c r="CF20" s="230">
        <f t="shared" ref="CF20:CF21" si="317">IF((CG20-CA20-CB20-CC20-CD20-CE20)&gt;0,(ROUNDUP(((CG20-CA20-CB20-CC20-CD20-CE20)/1),0)),0)</f>
        <v>25</v>
      </c>
      <c r="CG20" s="228">
        <f>ROUND((VLOOKUP(A20,'PS - Cumulative pupils per year'!$A$3:$R$25,12,FALSE)),0)</f>
        <v>153</v>
      </c>
      <c r="CH20" s="227">
        <f t="shared" ref="CH20:CH21" si="318">ROUNDUP(CN20/6,0)</f>
        <v>27</v>
      </c>
      <c r="CI20" s="227">
        <f t="shared" ref="CI20:CI21" si="319">IF((CN20-CH20)&gt;0,(ROUNDUP(((CN20-CH20)/5),0)),0)</f>
        <v>27</v>
      </c>
      <c r="CJ20" s="227">
        <f t="shared" ref="CJ20:CJ21" si="320">IF((CN20-CH20-CI20)&gt;0,(ROUNDUP(((CN20-CH20-CI20)/4),0)),0)</f>
        <v>27</v>
      </c>
      <c r="CK20" s="227">
        <f t="shared" ref="CK20:CK21" si="321">IF((CN20-CH20-CI20-CJ20)&gt;0,(ROUNDUP(((CN20-CH20-CI20-CJ20)/3),0)),0)</f>
        <v>26</v>
      </c>
      <c r="CL20" s="227">
        <f t="shared" ref="CL20:CL21" si="322">IF((CN20-CH20-CI20-CJ20-CK20)&gt;0,(ROUNDUP(((CN20-CH20-CI20-CJ20-CK20)/2),0)),0)</f>
        <v>26</v>
      </c>
      <c r="CM20" s="227">
        <f t="shared" ref="CM20:CM21" si="323">IF((CN20-CH20-CI20-CJ20-CK20-CL20)&gt;0,(ROUNDUP(((CN20-CH20-CI20-CJ20-CK20-CL20)/1),0)),0)</f>
        <v>26</v>
      </c>
      <c r="CN20" s="224">
        <f>ROUND((VLOOKUP(A20,'PS - Cumulative pupils per year'!$A$3:$R$25,13,FALSE)),0)</f>
        <v>159</v>
      </c>
      <c r="CO20" s="230">
        <f t="shared" ref="CO20:CO21" si="324">ROUNDUP(CU20/6,0)</f>
        <v>28</v>
      </c>
      <c r="CP20" s="230">
        <f t="shared" ref="CP20:CP21" si="325">IF((CU20-CO20)&gt;0,(ROUNDUP(((CU20-CO20)/5),0)),0)</f>
        <v>28</v>
      </c>
      <c r="CQ20" s="230">
        <f t="shared" ref="CQ20:CQ21" si="326">IF((CU20-CO20-CP20)&gt;0,(ROUNDUP(((CU20-CO20-CP20)/4),0)),0)</f>
        <v>28</v>
      </c>
      <c r="CR20" s="230">
        <f t="shared" ref="CR20:CR21" si="327">IF((CU20-CO20-CP20-CQ20)&gt;0,(ROUNDUP(((CU20-CO20-CP20-CQ20)/3),0)),0)</f>
        <v>27</v>
      </c>
      <c r="CS20" s="230">
        <f t="shared" ref="CS20:CS21" si="328">IF((CU20-CO20-CP20-CQ20-CR20)&gt;0,(ROUNDUP(((CU20-CO20-CP20-CQ20-CR20)/2),0)),0)</f>
        <v>27</v>
      </c>
      <c r="CT20" s="230">
        <f t="shared" ref="CT20:CT21" si="329">IF((CU20-CO20-CP20-CQ20-CR20-CS20)&gt;0,(ROUNDUP(((CU20-CO20-CP20-CQ20-CR20-CS20)/1),0)),0)</f>
        <v>27</v>
      </c>
      <c r="CU20" s="228">
        <f>ROUND((VLOOKUP(A20,'PS - Cumulative pupils per year'!$A$3:$R$25,14,FALSE)),0)</f>
        <v>165</v>
      </c>
      <c r="CV20" s="227">
        <f t="shared" ref="CV20:CV21" si="330">ROUNDUP(DB20/6,0)</f>
        <v>29</v>
      </c>
      <c r="CW20" s="227">
        <f t="shared" ref="CW20:CW21" si="331">IF((DB20-CV20)&gt;0,(ROUNDUP(((DB20-CV20)/5),0)),0)</f>
        <v>29</v>
      </c>
      <c r="CX20" s="227">
        <f t="shared" ref="CX20:CX21" si="332">IF((DB20-CV20-CW20)&gt;0,(ROUNDUP(((DB20-CV20-CW20)/4),0)),0)</f>
        <v>29</v>
      </c>
      <c r="CY20" s="227">
        <f t="shared" ref="CY20:CY21" si="333">IF((DB20-CV20-CW20-CX20)&gt;0,(ROUNDUP(((DB20-CV20-CW20-CX20)/3),0)),0)</f>
        <v>28</v>
      </c>
      <c r="CZ20" s="227">
        <f t="shared" ref="CZ20:CZ21" si="334">IF((DB20-CV20-CW20-CX20-CY20)&gt;0,(ROUNDUP(((DB20-CV20-CW20-CX20-CY20)/2),0)),0)</f>
        <v>28</v>
      </c>
      <c r="DA20" s="227">
        <f t="shared" ref="DA20:DA21" si="335">IF((DB20-CV20-CW20-CX20-CY20-CZ20)&gt;0,(ROUNDUP(((DB20-CV20-CW20-CX20-CY20-CZ20)/1),0)),0)</f>
        <v>28</v>
      </c>
      <c r="DB20" s="224">
        <f>ROUND((VLOOKUP(A20,'PS - Cumulative pupils per year'!$A$3:$R$25,15,FALSE)),0)</f>
        <v>171</v>
      </c>
    </row>
    <row r="21" spans="1:106" x14ac:dyDescent="0.2">
      <c r="A21" s="231" t="s">
        <v>109</v>
      </c>
      <c r="B21" s="227">
        <v>1</v>
      </c>
      <c r="C21" s="227">
        <v>1</v>
      </c>
      <c r="D21" s="227">
        <v>1</v>
      </c>
      <c r="E21" s="227">
        <v>0</v>
      </c>
      <c r="F21" s="227">
        <v>0</v>
      </c>
      <c r="G21" s="227">
        <v>0</v>
      </c>
      <c r="H21" s="224">
        <v>3</v>
      </c>
      <c r="I21" s="229">
        <f t="shared" si="252"/>
        <v>1</v>
      </c>
      <c r="J21" s="229">
        <f t="shared" si="253"/>
        <v>1</v>
      </c>
      <c r="K21" s="229">
        <f t="shared" si="254"/>
        <v>0</v>
      </c>
      <c r="L21" s="229">
        <f t="shared" si="255"/>
        <v>0</v>
      </c>
      <c r="M21" s="229">
        <f t="shared" si="256"/>
        <v>0</v>
      </c>
      <c r="N21" s="229">
        <f t="shared" si="257"/>
        <v>0</v>
      </c>
      <c r="O21" s="225">
        <f>ROUND((VLOOKUP(A21,'PS - Cumulative pupils per year'!$A$3:$R$25,2,FALSE)),0)</f>
        <v>2</v>
      </c>
      <c r="P21" s="227">
        <f t="shared" si="258"/>
        <v>1</v>
      </c>
      <c r="Q21" s="227">
        <f t="shared" si="259"/>
        <v>1</v>
      </c>
      <c r="R21" s="227">
        <f t="shared" si="260"/>
        <v>1</v>
      </c>
      <c r="S21" s="227">
        <f t="shared" si="261"/>
        <v>1</v>
      </c>
      <c r="T21" s="227">
        <f t="shared" si="262"/>
        <v>1</v>
      </c>
      <c r="U21" s="227">
        <f t="shared" si="263"/>
        <v>1</v>
      </c>
      <c r="V21" s="224">
        <f>ROUND((VLOOKUP(A21,'PS - Cumulative pupils per year'!$A$3:$R$25,3,FALSE)),0)</f>
        <v>6</v>
      </c>
      <c r="W21" s="230">
        <f t="shared" si="264"/>
        <v>2</v>
      </c>
      <c r="X21" s="230">
        <f t="shared" si="265"/>
        <v>2</v>
      </c>
      <c r="Y21" s="230">
        <f t="shared" si="266"/>
        <v>2</v>
      </c>
      <c r="Z21" s="230">
        <f t="shared" si="267"/>
        <v>1</v>
      </c>
      <c r="AA21" s="230">
        <f t="shared" si="268"/>
        <v>1</v>
      </c>
      <c r="AB21" s="230">
        <f t="shared" si="269"/>
        <v>1</v>
      </c>
      <c r="AC21" s="225">
        <f>ROUND((VLOOKUP(A21,'PS - Cumulative pupils per year'!$A$3:$R$25,4,FALSE)),0)</f>
        <v>9</v>
      </c>
      <c r="AD21" s="227">
        <f t="shared" si="270"/>
        <v>2</v>
      </c>
      <c r="AE21" s="227">
        <f t="shared" si="271"/>
        <v>2</v>
      </c>
      <c r="AF21" s="227">
        <f t="shared" si="272"/>
        <v>2</v>
      </c>
      <c r="AG21" s="227">
        <f t="shared" si="273"/>
        <v>2</v>
      </c>
      <c r="AH21" s="227">
        <f t="shared" si="274"/>
        <v>2</v>
      </c>
      <c r="AI21" s="227">
        <f t="shared" si="275"/>
        <v>1</v>
      </c>
      <c r="AJ21" s="224">
        <f>ROUND((VLOOKUP(A21,'PS - Cumulative pupils per year'!$A$3:$R$25,5,FALSE)),0)</f>
        <v>11</v>
      </c>
      <c r="AK21" s="230">
        <f t="shared" si="276"/>
        <v>2</v>
      </c>
      <c r="AL21" s="230">
        <f t="shared" si="277"/>
        <v>2</v>
      </c>
      <c r="AM21" s="230">
        <f t="shared" si="278"/>
        <v>2</v>
      </c>
      <c r="AN21" s="230">
        <f t="shared" si="279"/>
        <v>2</v>
      </c>
      <c r="AO21" s="230">
        <f t="shared" si="280"/>
        <v>2</v>
      </c>
      <c r="AP21" s="230">
        <f t="shared" si="281"/>
        <v>2</v>
      </c>
      <c r="AQ21" s="225">
        <f>ROUND((VLOOKUP(A21,'PS - Cumulative pupils per year'!$A$3:$R$25,6,FALSE)),0)</f>
        <v>12</v>
      </c>
      <c r="AR21" s="227">
        <f t="shared" si="282"/>
        <v>3</v>
      </c>
      <c r="AS21" s="227">
        <f t="shared" si="283"/>
        <v>3</v>
      </c>
      <c r="AT21" s="227">
        <f t="shared" si="284"/>
        <v>3</v>
      </c>
      <c r="AU21" s="227">
        <f t="shared" si="285"/>
        <v>3</v>
      </c>
      <c r="AV21" s="227">
        <f t="shared" si="286"/>
        <v>3</v>
      </c>
      <c r="AW21" s="227">
        <f t="shared" si="287"/>
        <v>3</v>
      </c>
      <c r="AX21" s="224">
        <f>ROUND((VLOOKUP(A21,'PS - Cumulative pupils per year'!$A$3:$R$25,7,FALSE)),0)</f>
        <v>18</v>
      </c>
      <c r="AY21" s="230">
        <f t="shared" si="288"/>
        <v>4</v>
      </c>
      <c r="AZ21" s="230">
        <f t="shared" si="289"/>
        <v>4</v>
      </c>
      <c r="BA21" s="230">
        <f t="shared" si="290"/>
        <v>4</v>
      </c>
      <c r="BB21" s="230">
        <f t="shared" si="291"/>
        <v>4</v>
      </c>
      <c r="BC21" s="230">
        <f t="shared" si="292"/>
        <v>4</v>
      </c>
      <c r="BD21" s="230">
        <f t="shared" si="293"/>
        <v>3</v>
      </c>
      <c r="BE21" s="225">
        <f>ROUND((VLOOKUP(A21,'PS - Cumulative pupils per year'!$A$3:$R$25,8,FALSE)),0)</f>
        <v>23</v>
      </c>
      <c r="BF21" s="227">
        <f t="shared" si="294"/>
        <v>5</v>
      </c>
      <c r="BG21" s="227">
        <f t="shared" si="295"/>
        <v>5</v>
      </c>
      <c r="BH21" s="227">
        <f t="shared" si="296"/>
        <v>5</v>
      </c>
      <c r="BI21" s="227">
        <f t="shared" si="297"/>
        <v>4</v>
      </c>
      <c r="BJ21" s="227">
        <f t="shared" si="298"/>
        <v>4</v>
      </c>
      <c r="BK21" s="227">
        <f t="shared" si="299"/>
        <v>4</v>
      </c>
      <c r="BL21" s="224">
        <f>ROUND((VLOOKUP(A21,'PS - Cumulative pupils per year'!$A$3:$R$25,9,FALSE)),0)</f>
        <v>27</v>
      </c>
      <c r="BM21" s="230">
        <f t="shared" si="300"/>
        <v>6</v>
      </c>
      <c r="BN21" s="230">
        <f t="shared" si="301"/>
        <v>5</v>
      </c>
      <c r="BO21" s="230">
        <f t="shared" si="302"/>
        <v>5</v>
      </c>
      <c r="BP21" s="230">
        <f t="shared" si="303"/>
        <v>5</v>
      </c>
      <c r="BQ21" s="230">
        <f t="shared" si="304"/>
        <v>5</v>
      </c>
      <c r="BR21" s="230">
        <f t="shared" si="305"/>
        <v>5</v>
      </c>
      <c r="BS21" s="225">
        <f>ROUND((VLOOKUP(A21,'PS - Cumulative pupils per year'!$A$3:$R$25,10,FALSE)),0)</f>
        <v>31</v>
      </c>
      <c r="BT21" s="227">
        <f t="shared" si="306"/>
        <v>6</v>
      </c>
      <c r="BU21" s="227">
        <f t="shared" si="307"/>
        <v>6</v>
      </c>
      <c r="BV21" s="227">
        <f t="shared" si="308"/>
        <v>6</v>
      </c>
      <c r="BW21" s="227">
        <f t="shared" si="309"/>
        <v>6</v>
      </c>
      <c r="BX21" s="227">
        <f t="shared" si="310"/>
        <v>6</v>
      </c>
      <c r="BY21" s="227">
        <f t="shared" si="311"/>
        <v>6</v>
      </c>
      <c r="BZ21" s="224">
        <f>ROUND((VLOOKUP(A21,'PS - Cumulative pupils per year'!$A$3:$R$25,11,FALSE)),0)</f>
        <v>36</v>
      </c>
      <c r="CA21" s="230">
        <f t="shared" si="312"/>
        <v>7</v>
      </c>
      <c r="CB21" s="230">
        <f t="shared" si="313"/>
        <v>6</v>
      </c>
      <c r="CC21" s="230">
        <f t="shared" si="314"/>
        <v>6</v>
      </c>
      <c r="CD21" s="230">
        <f t="shared" si="315"/>
        <v>6</v>
      </c>
      <c r="CE21" s="230">
        <f t="shared" si="316"/>
        <v>6</v>
      </c>
      <c r="CF21" s="230">
        <f t="shared" si="317"/>
        <v>6</v>
      </c>
      <c r="CG21" s="228">
        <f>ROUND((VLOOKUP(A21,'PS - Cumulative pupils per year'!$A$3:$R$25,12,FALSE)),0)</f>
        <v>37</v>
      </c>
      <c r="CH21" s="227">
        <f t="shared" si="318"/>
        <v>7</v>
      </c>
      <c r="CI21" s="227">
        <f t="shared" si="319"/>
        <v>7</v>
      </c>
      <c r="CJ21" s="227">
        <f t="shared" si="320"/>
        <v>6</v>
      </c>
      <c r="CK21" s="227">
        <f t="shared" si="321"/>
        <v>6</v>
      </c>
      <c r="CL21" s="227">
        <f t="shared" si="322"/>
        <v>6</v>
      </c>
      <c r="CM21" s="227">
        <f t="shared" si="323"/>
        <v>6</v>
      </c>
      <c r="CN21" s="224">
        <f>ROUND((VLOOKUP(A21,'PS - Cumulative pupils per year'!$A$3:$R$25,13,FALSE)),0)</f>
        <v>38</v>
      </c>
      <c r="CO21" s="230">
        <f t="shared" si="324"/>
        <v>7</v>
      </c>
      <c r="CP21" s="230">
        <f t="shared" si="325"/>
        <v>7</v>
      </c>
      <c r="CQ21" s="230">
        <f t="shared" si="326"/>
        <v>7</v>
      </c>
      <c r="CR21" s="230">
        <f t="shared" si="327"/>
        <v>6</v>
      </c>
      <c r="CS21" s="230">
        <f t="shared" si="328"/>
        <v>6</v>
      </c>
      <c r="CT21" s="230">
        <f t="shared" si="329"/>
        <v>6</v>
      </c>
      <c r="CU21" s="228">
        <f>ROUND((VLOOKUP(A21,'PS - Cumulative pupils per year'!$A$3:$R$25,14,FALSE)),0)</f>
        <v>39</v>
      </c>
      <c r="CV21" s="227">
        <f t="shared" si="330"/>
        <v>7</v>
      </c>
      <c r="CW21" s="227">
        <f t="shared" si="331"/>
        <v>7</v>
      </c>
      <c r="CX21" s="227">
        <f t="shared" si="332"/>
        <v>7</v>
      </c>
      <c r="CY21" s="227">
        <f t="shared" si="333"/>
        <v>7</v>
      </c>
      <c r="CZ21" s="227">
        <f t="shared" si="334"/>
        <v>6</v>
      </c>
      <c r="DA21" s="227">
        <f t="shared" si="335"/>
        <v>6</v>
      </c>
      <c r="DB21" s="224">
        <f>ROUND((VLOOKUP(A21,'PS - Cumulative pupils per year'!$A$3:$R$25,15,FALSE)),0)</f>
        <v>40</v>
      </c>
    </row>
    <row r="22" spans="1:106" x14ac:dyDescent="0.2">
      <c r="A22" s="231" t="s">
        <v>110</v>
      </c>
      <c r="B22" s="227">
        <v>1</v>
      </c>
      <c r="C22" s="227">
        <v>1</v>
      </c>
      <c r="D22" s="227">
        <v>0</v>
      </c>
      <c r="E22" s="227">
        <v>0</v>
      </c>
      <c r="F22" s="227">
        <v>0</v>
      </c>
      <c r="G22" s="227">
        <v>0</v>
      </c>
      <c r="H22" s="224">
        <v>2</v>
      </c>
      <c r="I22" s="229">
        <f t="shared" si="0"/>
        <v>1</v>
      </c>
      <c r="J22" s="229">
        <f t="shared" si="1"/>
        <v>0</v>
      </c>
      <c r="K22" s="229">
        <f t="shared" si="2"/>
        <v>0</v>
      </c>
      <c r="L22" s="229">
        <f t="shared" si="3"/>
        <v>0</v>
      </c>
      <c r="M22" s="229">
        <f t="shared" si="4"/>
        <v>0</v>
      </c>
      <c r="N22" s="229">
        <f t="shared" si="5"/>
        <v>0</v>
      </c>
      <c r="O22" s="225">
        <f>ROUND((VLOOKUP(A22,'PS - Cumulative pupils per year'!$A$3:$R$25,2,FALSE)),0)</f>
        <v>1</v>
      </c>
      <c r="P22" s="227">
        <f t="shared" si="6"/>
        <v>1</v>
      </c>
      <c r="Q22" s="227">
        <f t="shared" si="7"/>
        <v>0</v>
      </c>
      <c r="R22" s="227">
        <f t="shared" si="8"/>
        <v>0</v>
      </c>
      <c r="S22" s="227">
        <f t="shared" si="9"/>
        <v>0</v>
      </c>
      <c r="T22" s="227">
        <f t="shared" si="10"/>
        <v>0</v>
      </c>
      <c r="U22" s="227">
        <f t="shared" si="11"/>
        <v>0</v>
      </c>
      <c r="V22" s="224">
        <f>ROUND((VLOOKUP(A22,'PS - Cumulative pupils per year'!$A$3:$R$25,3,FALSE)),0)</f>
        <v>1</v>
      </c>
      <c r="W22" s="230">
        <f t="shared" si="12"/>
        <v>1</v>
      </c>
      <c r="X22" s="230">
        <f t="shared" si="13"/>
        <v>1</v>
      </c>
      <c r="Y22" s="230">
        <f t="shared" si="14"/>
        <v>1</v>
      </c>
      <c r="Z22" s="230">
        <f t="shared" si="15"/>
        <v>0</v>
      </c>
      <c r="AA22" s="230">
        <f t="shared" si="16"/>
        <v>0</v>
      </c>
      <c r="AB22" s="230">
        <f t="shared" si="17"/>
        <v>0</v>
      </c>
      <c r="AC22" s="225">
        <f>ROUND((VLOOKUP(A22,'PS - Cumulative pupils per year'!$A$3:$R$25,4,FALSE)),0)</f>
        <v>3</v>
      </c>
      <c r="AD22" s="227">
        <f t="shared" si="18"/>
        <v>2</v>
      </c>
      <c r="AE22" s="227">
        <f t="shared" si="19"/>
        <v>1</v>
      </c>
      <c r="AF22" s="227">
        <f t="shared" si="20"/>
        <v>1</v>
      </c>
      <c r="AG22" s="227">
        <f t="shared" si="21"/>
        <v>1</v>
      </c>
      <c r="AH22" s="227">
        <f t="shared" si="22"/>
        <v>1</v>
      </c>
      <c r="AI22" s="227">
        <f t="shared" si="23"/>
        <v>1</v>
      </c>
      <c r="AJ22" s="224">
        <f>ROUND((VLOOKUP(A22,'PS - Cumulative pupils per year'!$A$3:$R$25,5,FALSE)),0)</f>
        <v>7</v>
      </c>
      <c r="AK22" s="230">
        <f t="shared" si="24"/>
        <v>3</v>
      </c>
      <c r="AL22" s="230">
        <f t="shared" si="25"/>
        <v>3</v>
      </c>
      <c r="AM22" s="230">
        <f t="shared" si="26"/>
        <v>3</v>
      </c>
      <c r="AN22" s="230">
        <f t="shared" si="27"/>
        <v>3</v>
      </c>
      <c r="AO22" s="230">
        <f t="shared" si="28"/>
        <v>2</v>
      </c>
      <c r="AP22" s="230">
        <f t="shared" si="29"/>
        <v>2</v>
      </c>
      <c r="AQ22" s="225">
        <f>ROUND((VLOOKUP(A22,'PS - Cumulative pupils per year'!$A$3:$R$25,6,FALSE)),0)</f>
        <v>16</v>
      </c>
      <c r="AR22" s="227">
        <f t="shared" si="30"/>
        <v>4</v>
      </c>
      <c r="AS22" s="227">
        <f t="shared" si="31"/>
        <v>4</v>
      </c>
      <c r="AT22" s="227">
        <f t="shared" si="32"/>
        <v>4</v>
      </c>
      <c r="AU22" s="227">
        <f t="shared" si="33"/>
        <v>4</v>
      </c>
      <c r="AV22" s="227">
        <f t="shared" si="34"/>
        <v>4</v>
      </c>
      <c r="AW22" s="227">
        <f t="shared" si="35"/>
        <v>4</v>
      </c>
      <c r="AX22" s="224">
        <f>ROUND((VLOOKUP(A22,'PS - Cumulative pupils per year'!$A$3:$R$25,7,FALSE)),0)</f>
        <v>24</v>
      </c>
      <c r="AY22" s="230">
        <f t="shared" si="36"/>
        <v>6</v>
      </c>
      <c r="AZ22" s="230">
        <f t="shared" si="37"/>
        <v>6</v>
      </c>
      <c r="BA22" s="230">
        <f t="shared" si="38"/>
        <v>6</v>
      </c>
      <c r="BB22" s="230">
        <f t="shared" si="39"/>
        <v>5</v>
      </c>
      <c r="BC22" s="230">
        <f t="shared" si="40"/>
        <v>5</v>
      </c>
      <c r="BD22" s="230">
        <f t="shared" si="41"/>
        <v>5</v>
      </c>
      <c r="BE22" s="225">
        <f>ROUND((VLOOKUP(A22,'PS - Cumulative pupils per year'!$A$3:$R$25,8,FALSE)),0)</f>
        <v>33</v>
      </c>
      <c r="BF22" s="227">
        <f t="shared" si="42"/>
        <v>7</v>
      </c>
      <c r="BG22" s="227">
        <f t="shared" si="43"/>
        <v>7</v>
      </c>
      <c r="BH22" s="227">
        <f t="shared" si="44"/>
        <v>7</v>
      </c>
      <c r="BI22" s="227">
        <f t="shared" si="45"/>
        <v>7</v>
      </c>
      <c r="BJ22" s="227">
        <f t="shared" si="46"/>
        <v>7</v>
      </c>
      <c r="BK22" s="227">
        <f t="shared" si="47"/>
        <v>6</v>
      </c>
      <c r="BL22" s="224">
        <f>ROUND((VLOOKUP(A22,'PS - Cumulative pupils per year'!$A$3:$R$25,9,FALSE)),0)</f>
        <v>41</v>
      </c>
      <c r="BM22" s="230">
        <f t="shared" si="48"/>
        <v>9</v>
      </c>
      <c r="BN22" s="230">
        <f t="shared" si="49"/>
        <v>8</v>
      </c>
      <c r="BO22" s="230">
        <f t="shared" si="50"/>
        <v>8</v>
      </c>
      <c r="BP22" s="230">
        <f t="shared" si="51"/>
        <v>8</v>
      </c>
      <c r="BQ22" s="230">
        <f t="shared" si="52"/>
        <v>8</v>
      </c>
      <c r="BR22" s="230">
        <f t="shared" si="53"/>
        <v>8</v>
      </c>
      <c r="BS22" s="225">
        <f>ROUND((VLOOKUP(A22,'PS - Cumulative pupils per year'!$A$3:$R$25,10,FALSE)),0)</f>
        <v>49</v>
      </c>
      <c r="BT22" s="227">
        <f t="shared" si="54"/>
        <v>10</v>
      </c>
      <c r="BU22" s="227">
        <f t="shared" si="55"/>
        <v>10</v>
      </c>
      <c r="BV22" s="227">
        <f t="shared" si="56"/>
        <v>9</v>
      </c>
      <c r="BW22" s="227">
        <f t="shared" si="57"/>
        <v>9</v>
      </c>
      <c r="BX22" s="227">
        <f t="shared" si="58"/>
        <v>9</v>
      </c>
      <c r="BY22" s="227">
        <f t="shared" si="59"/>
        <v>9</v>
      </c>
      <c r="BZ22" s="224">
        <f>ROUND((VLOOKUP(A22,'PS - Cumulative pupils per year'!$A$3:$R$25,11,FALSE)),0)</f>
        <v>56</v>
      </c>
      <c r="CA22" s="230">
        <f t="shared" si="60"/>
        <v>10</v>
      </c>
      <c r="CB22" s="230">
        <f t="shared" si="61"/>
        <v>10</v>
      </c>
      <c r="CC22" s="230">
        <f t="shared" si="62"/>
        <v>9</v>
      </c>
      <c r="CD22" s="230">
        <f t="shared" si="63"/>
        <v>9</v>
      </c>
      <c r="CE22" s="230">
        <f t="shared" si="64"/>
        <v>9</v>
      </c>
      <c r="CF22" s="230">
        <f t="shared" si="65"/>
        <v>9</v>
      </c>
      <c r="CG22" s="228">
        <f>ROUND((VLOOKUP(A22,'PS - Cumulative pupils per year'!$A$3:$R$25,12,FALSE)),0)</f>
        <v>56</v>
      </c>
      <c r="CH22" s="227">
        <f t="shared" si="66"/>
        <v>10</v>
      </c>
      <c r="CI22" s="227">
        <f t="shared" si="67"/>
        <v>10</v>
      </c>
      <c r="CJ22" s="227">
        <f t="shared" si="68"/>
        <v>9</v>
      </c>
      <c r="CK22" s="227">
        <f t="shared" si="69"/>
        <v>9</v>
      </c>
      <c r="CL22" s="227">
        <f t="shared" si="70"/>
        <v>9</v>
      </c>
      <c r="CM22" s="227">
        <f t="shared" si="71"/>
        <v>9</v>
      </c>
      <c r="CN22" s="224">
        <f>ROUND((VLOOKUP(A22,'PS - Cumulative pupils per year'!$A$3:$R$25,13,FALSE)),0)</f>
        <v>56</v>
      </c>
      <c r="CO22" s="230">
        <f t="shared" si="72"/>
        <v>10</v>
      </c>
      <c r="CP22" s="230">
        <f t="shared" si="73"/>
        <v>10</v>
      </c>
      <c r="CQ22" s="230">
        <f t="shared" si="74"/>
        <v>9</v>
      </c>
      <c r="CR22" s="230">
        <f t="shared" si="75"/>
        <v>9</v>
      </c>
      <c r="CS22" s="230">
        <f t="shared" si="76"/>
        <v>9</v>
      </c>
      <c r="CT22" s="230">
        <f t="shared" si="77"/>
        <v>9</v>
      </c>
      <c r="CU22" s="228">
        <f>ROUND((VLOOKUP(A22,'PS - Cumulative pupils per year'!$A$3:$R$25,14,FALSE)),0)</f>
        <v>56</v>
      </c>
      <c r="CV22" s="227">
        <f t="shared" si="78"/>
        <v>10</v>
      </c>
      <c r="CW22" s="227">
        <f t="shared" si="79"/>
        <v>10</v>
      </c>
      <c r="CX22" s="227">
        <f t="shared" si="80"/>
        <v>9</v>
      </c>
      <c r="CY22" s="227">
        <f t="shared" si="81"/>
        <v>9</v>
      </c>
      <c r="CZ22" s="227">
        <f t="shared" si="82"/>
        <v>9</v>
      </c>
      <c r="DA22" s="227">
        <f t="shared" si="83"/>
        <v>9</v>
      </c>
      <c r="DB22" s="224">
        <f>ROUND((VLOOKUP(A22,'PS - Cumulative pupils per year'!$A$3:$R$25,15,FALSE)),0)</f>
        <v>56</v>
      </c>
    </row>
    <row r="23" spans="1:106" x14ac:dyDescent="0.2">
      <c r="A23" s="231" t="s">
        <v>111</v>
      </c>
      <c r="B23" s="227">
        <v>1</v>
      </c>
      <c r="C23" s="227">
        <v>1</v>
      </c>
      <c r="D23" s="227">
        <v>1</v>
      </c>
      <c r="E23" s="227">
        <v>0</v>
      </c>
      <c r="F23" s="227">
        <v>0</v>
      </c>
      <c r="G23" s="227">
        <v>0</v>
      </c>
      <c r="H23" s="224">
        <v>3</v>
      </c>
      <c r="I23" s="229">
        <f t="shared" si="0"/>
        <v>1</v>
      </c>
      <c r="J23" s="229">
        <f t="shared" si="1"/>
        <v>1</v>
      </c>
      <c r="K23" s="229">
        <f t="shared" si="2"/>
        <v>1</v>
      </c>
      <c r="L23" s="229">
        <f t="shared" si="3"/>
        <v>0</v>
      </c>
      <c r="M23" s="229">
        <f t="shared" si="4"/>
        <v>0</v>
      </c>
      <c r="N23" s="229">
        <f t="shared" si="5"/>
        <v>0</v>
      </c>
      <c r="O23" s="225">
        <f>ROUND((VLOOKUP(A23,'PS - Cumulative pupils per year'!$A$3:$R$25,2,FALSE)),0)</f>
        <v>3</v>
      </c>
      <c r="P23" s="227">
        <f t="shared" si="6"/>
        <v>2</v>
      </c>
      <c r="Q23" s="227">
        <f t="shared" si="7"/>
        <v>1</v>
      </c>
      <c r="R23" s="227">
        <f t="shared" si="8"/>
        <v>1</v>
      </c>
      <c r="S23" s="227">
        <f t="shared" si="9"/>
        <v>1</v>
      </c>
      <c r="T23" s="227">
        <f t="shared" si="10"/>
        <v>1</v>
      </c>
      <c r="U23" s="227">
        <f t="shared" si="11"/>
        <v>1</v>
      </c>
      <c r="V23" s="224">
        <f>ROUND((VLOOKUP(A23,'PS - Cumulative pupils per year'!$A$3:$R$25,3,FALSE)),0)</f>
        <v>7</v>
      </c>
      <c r="W23" s="230">
        <f t="shared" si="12"/>
        <v>3</v>
      </c>
      <c r="X23" s="230">
        <f t="shared" si="13"/>
        <v>2</v>
      </c>
      <c r="Y23" s="230">
        <f t="shared" si="14"/>
        <v>2</v>
      </c>
      <c r="Z23" s="230">
        <f t="shared" si="15"/>
        <v>2</v>
      </c>
      <c r="AA23" s="230">
        <f t="shared" si="16"/>
        <v>2</v>
      </c>
      <c r="AB23" s="230">
        <f t="shared" si="17"/>
        <v>2</v>
      </c>
      <c r="AC23" s="225">
        <f>ROUND((VLOOKUP(A23,'PS - Cumulative pupils per year'!$A$3:$R$25,4,FALSE)),0)</f>
        <v>13</v>
      </c>
      <c r="AD23" s="227">
        <f t="shared" si="18"/>
        <v>3</v>
      </c>
      <c r="AE23" s="227">
        <f t="shared" si="19"/>
        <v>3</v>
      </c>
      <c r="AF23" s="227">
        <f t="shared" si="20"/>
        <v>3</v>
      </c>
      <c r="AG23" s="227">
        <f t="shared" si="21"/>
        <v>3</v>
      </c>
      <c r="AH23" s="227">
        <f t="shared" si="22"/>
        <v>3</v>
      </c>
      <c r="AI23" s="227">
        <f t="shared" si="23"/>
        <v>3</v>
      </c>
      <c r="AJ23" s="224">
        <f>ROUND((VLOOKUP(A23,'PS - Cumulative pupils per year'!$A$3:$R$25,5,FALSE)),0)</f>
        <v>18</v>
      </c>
      <c r="AK23" s="230">
        <f t="shared" si="24"/>
        <v>5</v>
      </c>
      <c r="AL23" s="230">
        <f t="shared" si="25"/>
        <v>4</v>
      </c>
      <c r="AM23" s="230">
        <f t="shared" si="26"/>
        <v>4</v>
      </c>
      <c r="AN23" s="230">
        <f t="shared" si="27"/>
        <v>4</v>
      </c>
      <c r="AO23" s="230">
        <f t="shared" si="28"/>
        <v>4</v>
      </c>
      <c r="AP23" s="230">
        <f t="shared" si="29"/>
        <v>4</v>
      </c>
      <c r="AQ23" s="225">
        <f>ROUND((VLOOKUP(A23,'PS - Cumulative pupils per year'!$A$3:$R$25,6,FALSE)),0)</f>
        <v>25</v>
      </c>
      <c r="AR23" s="227">
        <f t="shared" si="30"/>
        <v>7</v>
      </c>
      <c r="AS23" s="227">
        <f t="shared" si="31"/>
        <v>6</v>
      </c>
      <c r="AT23" s="227">
        <f t="shared" si="32"/>
        <v>6</v>
      </c>
      <c r="AU23" s="227">
        <f t="shared" si="33"/>
        <v>6</v>
      </c>
      <c r="AV23" s="227">
        <f t="shared" si="34"/>
        <v>6</v>
      </c>
      <c r="AW23" s="227">
        <f t="shared" si="35"/>
        <v>6</v>
      </c>
      <c r="AX23" s="224">
        <f>ROUND((VLOOKUP(A23,'PS - Cumulative pupils per year'!$A$3:$R$25,7,FALSE)),0)</f>
        <v>37</v>
      </c>
      <c r="AY23" s="230">
        <f t="shared" si="36"/>
        <v>9</v>
      </c>
      <c r="AZ23" s="230">
        <f t="shared" si="37"/>
        <v>9</v>
      </c>
      <c r="BA23" s="230">
        <f t="shared" si="38"/>
        <v>9</v>
      </c>
      <c r="BB23" s="230">
        <f t="shared" si="39"/>
        <v>8</v>
      </c>
      <c r="BC23" s="230">
        <f t="shared" si="40"/>
        <v>8</v>
      </c>
      <c r="BD23" s="230">
        <f t="shared" si="41"/>
        <v>8</v>
      </c>
      <c r="BE23" s="225">
        <f>ROUND((VLOOKUP(A23,'PS - Cumulative pupils per year'!$A$3:$R$25,8,FALSE)),0)</f>
        <v>51</v>
      </c>
      <c r="BF23" s="227">
        <f t="shared" si="42"/>
        <v>12</v>
      </c>
      <c r="BG23" s="227">
        <f t="shared" si="43"/>
        <v>11</v>
      </c>
      <c r="BH23" s="227">
        <f t="shared" si="44"/>
        <v>11</v>
      </c>
      <c r="BI23" s="227">
        <f t="shared" si="45"/>
        <v>11</v>
      </c>
      <c r="BJ23" s="227">
        <f t="shared" si="46"/>
        <v>11</v>
      </c>
      <c r="BK23" s="227">
        <f t="shared" si="47"/>
        <v>11</v>
      </c>
      <c r="BL23" s="224">
        <f>ROUND((VLOOKUP(A23,'PS - Cumulative pupils per year'!$A$3:$R$25,9,FALSE)),0)</f>
        <v>67</v>
      </c>
      <c r="BM23" s="230">
        <f t="shared" si="48"/>
        <v>14</v>
      </c>
      <c r="BN23" s="230">
        <f t="shared" si="49"/>
        <v>14</v>
      </c>
      <c r="BO23" s="230">
        <f t="shared" si="50"/>
        <v>14</v>
      </c>
      <c r="BP23" s="230">
        <f t="shared" si="51"/>
        <v>13</v>
      </c>
      <c r="BQ23" s="230">
        <f t="shared" si="52"/>
        <v>13</v>
      </c>
      <c r="BR23" s="230">
        <f t="shared" si="53"/>
        <v>13</v>
      </c>
      <c r="BS23" s="225">
        <f>ROUND((VLOOKUP(A23,'PS - Cumulative pupils per year'!$A$3:$R$25,10,FALSE)),0)</f>
        <v>81</v>
      </c>
      <c r="BT23" s="227">
        <f t="shared" si="54"/>
        <v>16</v>
      </c>
      <c r="BU23" s="227">
        <f t="shared" si="55"/>
        <v>16</v>
      </c>
      <c r="BV23" s="227">
        <f t="shared" si="56"/>
        <v>16</v>
      </c>
      <c r="BW23" s="227">
        <f t="shared" si="57"/>
        <v>16</v>
      </c>
      <c r="BX23" s="227">
        <f t="shared" si="58"/>
        <v>16</v>
      </c>
      <c r="BY23" s="227">
        <f t="shared" si="59"/>
        <v>16</v>
      </c>
      <c r="BZ23" s="224">
        <f>ROUND((VLOOKUP(A23,'PS - Cumulative pupils per year'!$A$3:$R$25,11,FALSE)),0)</f>
        <v>96</v>
      </c>
      <c r="CA23" s="230">
        <f t="shared" si="60"/>
        <v>19</v>
      </c>
      <c r="CB23" s="230">
        <f t="shared" si="61"/>
        <v>19</v>
      </c>
      <c r="CC23" s="230">
        <f t="shared" si="62"/>
        <v>18</v>
      </c>
      <c r="CD23" s="230">
        <f t="shared" si="63"/>
        <v>18</v>
      </c>
      <c r="CE23" s="230">
        <f t="shared" si="64"/>
        <v>18</v>
      </c>
      <c r="CF23" s="230">
        <f t="shared" si="65"/>
        <v>18</v>
      </c>
      <c r="CG23" s="228">
        <f>ROUND((VLOOKUP(A23,'PS - Cumulative pupils per year'!$A$3:$R$25,12,FALSE)),0)</f>
        <v>110</v>
      </c>
      <c r="CH23" s="227">
        <f t="shared" si="66"/>
        <v>21</v>
      </c>
      <c r="CI23" s="227">
        <f t="shared" si="67"/>
        <v>21</v>
      </c>
      <c r="CJ23" s="227">
        <f t="shared" si="68"/>
        <v>21</v>
      </c>
      <c r="CK23" s="227">
        <f t="shared" si="69"/>
        <v>21</v>
      </c>
      <c r="CL23" s="227">
        <f t="shared" si="70"/>
        <v>20</v>
      </c>
      <c r="CM23" s="227">
        <f t="shared" si="71"/>
        <v>20</v>
      </c>
      <c r="CN23" s="224">
        <f>ROUND((VLOOKUP(A23,'PS - Cumulative pupils per year'!$A$3:$R$25,13,FALSE)),0)</f>
        <v>124</v>
      </c>
      <c r="CO23" s="230">
        <f t="shared" si="72"/>
        <v>23</v>
      </c>
      <c r="CP23" s="230">
        <f t="shared" si="73"/>
        <v>23</v>
      </c>
      <c r="CQ23" s="230">
        <f t="shared" si="74"/>
        <v>23</v>
      </c>
      <c r="CR23" s="230">
        <f t="shared" si="75"/>
        <v>23</v>
      </c>
      <c r="CS23" s="230">
        <f t="shared" si="76"/>
        <v>23</v>
      </c>
      <c r="CT23" s="230">
        <f t="shared" si="77"/>
        <v>23</v>
      </c>
      <c r="CU23" s="228">
        <f>ROUND((VLOOKUP(A23,'PS - Cumulative pupils per year'!$A$3:$R$25,14,FALSE)),0)</f>
        <v>138</v>
      </c>
      <c r="CV23" s="227">
        <f t="shared" si="78"/>
        <v>26</v>
      </c>
      <c r="CW23" s="227">
        <f t="shared" si="79"/>
        <v>26</v>
      </c>
      <c r="CX23" s="227">
        <f t="shared" si="80"/>
        <v>25</v>
      </c>
      <c r="CY23" s="227">
        <f t="shared" si="81"/>
        <v>25</v>
      </c>
      <c r="CZ23" s="227">
        <f t="shared" si="82"/>
        <v>25</v>
      </c>
      <c r="DA23" s="227">
        <f t="shared" si="83"/>
        <v>25</v>
      </c>
      <c r="DB23" s="224">
        <f>ROUND((VLOOKUP(A23,'PS - Cumulative pupils per year'!$A$3:$R$25,15,FALSE)),0)</f>
        <v>152</v>
      </c>
    </row>
    <row r="24" spans="1:106" x14ac:dyDescent="0.2">
      <c r="A24" s="231" t="s">
        <v>112</v>
      </c>
      <c r="B24" s="227">
        <v>2</v>
      </c>
      <c r="C24" s="227">
        <v>1</v>
      </c>
      <c r="D24" s="227">
        <v>1</v>
      </c>
      <c r="E24" s="227">
        <v>1</v>
      </c>
      <c r="F24" s="227">
        <v>1</v>
      </c>
      <c r="G24" s="227">
        <v>1</v>
      </c>
      <c r="H24" s="224">
        <v>7</v>
      </c>
      <c r="I24" s="229">
        <f t="shared" si="0"/>
        <v>1</v>
      </c>
      <c r="J24" s="229">
        <f t="shared" si="1"/>
        <v>1</v>
      </c>
      <c r="K24" s="229">
        <f t="shared" si="2"/>
        <v>0</v>
      </c>
      <c r="L24" s="229">
        <f t="shared" si="3"/>
        <v>0</v>
      </c>
      <c r="M24" s="229">
        <f t="shared" si="4"/>
        <v>0</v>
      </c>
      <c r="N24" s="229">
        <f t="shared" si="5"/>
        <v>0</v>
      </c>
      <c r="O24" s="225">
        <f>ROUND((VLOOKUP(A24,'PS - Cumulative pupils per year'!$A$3:$R$25,2,FALSE)),0)</f>
        <v>2</v>
      </c>
      <c r="P24" s="227">
        <f t="shared" si="6"/>
        <v>1</v>
      </c>
      <c r="Q24" s="227">
        <f t="shared" si="7"/>
        <v>1</v>
      </c>
      <c r="R24" s="227">
        <f t="shared" si="8"/>
        <v>1</v>
      </c>
      <c r="S24" s="227">
        <f t="shared" si="9"/>
        <v>1</v>
      </c>
      <c r="T24" s="227">
        <f t="shared" si="10"/>
        <v>1</v>
      </c>
      <c r="U24" s="227">
        <f t="shared" si="11"/>
        <v>1</v>
      </c>
      <c r="V24" s="224">
        <f>ROUND((VLOOKUP(A24,'PS - Cumulative pupils per year'!$A$3:$R$25,3,FALSE)),0)</f>
        <v>6</v>
      </c>
      <c r="W24" s="230">
        <f t="shared" si="12"/>
        <v>2</v>
      </c>
      <c r="X24" s="230">
        <f t="shared" si="13"/>
        <v>2</v>
      </c>
      <c r="Y24" s="230">
        <f t="shared" si="14"/>
        <v>2</v>
      </c>
      <c r="Z24" s="230">
        <f t="shared" si="15"/>
        <v>1</v>
      </c>
      <c r="AA24" s="230">
        <f t="shared" si="16"/>
        <v>1</v>
      </c>
      <c r="AB24" s="230">
        <f t="shared" si="17"/>
        <v>1</v>
      </c>
      <c r="AC24" s="225">
        <f>ROUND((VLOOKUP(A24,'PS - Cumulative pupils per year'!$A$3:$R$25,4,FALSE)),0)</f>
        <v>9</v>
      </c>
      <c r="AD24" s="227">
        <f t="shared" si="18"/>
        <v>3</v>
      </c>
      <c r="AE24" s="227">
        <f t="shared" si="19"/>
        <v>3</v>
      </c>
      <c r="AF24" s="227">
        <f t="shared" si="20"/>
        <v>2</v>
      </c>
      <c r="AG24" s="227">
        <f t="shared" si="21"/>
        <v>2</v>
      </c>
      <c r="AH24" s="227">
        <f t="shared" si="22"/>
        <v>2</v>
      </c>
      <c r="AI24" s="227">
        <f t="shared" si="23"/>
        <v>2</v>
      </c>
      <c r="AJ24" s="224">
        <f>ROUND((VLOOKUP(A24,'PS - Cumulative pupils per year'!$A$3:$R$25,5,FALSE)),0)</f>
        <v>14</v>
      </c>
      <c r="AK24" s="230">
        <f t="shared" si="24"/>
        <v>3</v>
      </c>
      <c r="AL24" s="230">
        <f t="shared" si="25"/>
        <v>3</v>
      </c>
      <c r="AM24" s="230">
        <f t="shared" si="26"/>
        <v>3</v>
      </c>
      <c r="AN24" s="230">
        <f t="shared" si="27"/>
        <v>3</v>
      </c>
      <c r="AO24" s="230">
        <f t="shared" si="28"/>
        <v>3</v>
      </c>
      <c r="AP24" s="230">
        <f t="shared" si="29"/>
        <v>2</v>
      </c>
      <c r="AQ24" s="225">
        <f>ROUND((VLOOKUP(A24,'PS - Cumulative pupils per year'!$A$3:$R$25,6,FALSE)),0)</f>
        <v>17</v>
      </c>
      <c r="AR24" s="227">
        <f t="shared" si="30"/>
        <v>4</v>
      </c>
      <c r="AS24" s="227">
        <f t="shared" si="31"/>
        <v>4</v>
      </c>
      <c r="AT24" s="227">
        <f t="shared" si="32"/>
        <v>4</v>
      </c>
      <c r="AU24" s="227">
        <f t="shared" si="33"/>
        <v>4</v>
      </c>
      <c r="AV24" s="227">
        <f t="shared" si="34"/>
        <v>3</v>
      </c>
      <c r="AW24" s="227">
        <f t="shared" si="35"/>
        <v>3</v>
      </c>
      <c r="AX24" s="224">
        <f>ROUND((VLOOKUP(A24,'PS - Cumulative pupils per year'!$A$3:$R$25,7,FALSE)),0)</f>
        <v>22</v>
      </c>
      <c r="AY24" s="230">
        <f t="shared" si="36"/>
        <v>5</v>
      </c>
      <c r="AZ24" s="230">
        <f t="shared" si="37"/>
        <v>4</v>
      </c>
      <c r="BA24" s="230">
        <f t="shared" si="38"/>
        <v>4</v>
      </c>
      <c r="BB24" s="230">
        <f t="shared" si="39"/>
        <v>4</v>
      </c>
      <c r="BC24" s="230">
        <f t="shared" si="40"/>
        <v>4</v>
      </c>
      <c r="BD24" s="230">
        <f t="shared" si="41"/>
        <v>4</v>
      </c>
      <c r="BE24" s="225">
        <f>ROUND((VLOOKUP(A24,'PS - Cumulative pupils per year'!$A$3:$R$25,8,FALSE)),0)</f>
        <v>25</v>
      </c>
      <c r="BF24" s="227">
        <f t="shared" si="42"/>
        <v>5</v>
      </c>
      <c r="BG24" s="227">
        <f t="shared" si="43"/>
        <v>5</v>
      </c>
      <c r="BH24" s="227">
        <f t="shared" si="44"/>
        <v>5</v>
      </c>
      <c r="BI24" s="227">
        <f t="shared" si="45"/>
        <v>5</v>
      </c>
      <c r="BJ24" s="227">
        <f t="shared" si="46"/>
        <v>5</v>
      </c>
      <c r="BK24" s="227">
        <f t="shared" si="47"/>
        <v>5</v>
      </c>
      <c r="BL24" s="224">
        <f>ROUND((VLOOKUP(A24,'PS - Cumulative pupils per year'!$A$3:$R$25,9,FALSE)),0)</f>
        <v>30</v>
      </c>
      <c r="BM24" s="230">
        <f t="shared" si="48"/>
        <v>6</v>
      </c>
      <c r="BN24" s="230">
        <f t="shared" si="49"/>
        <v>6</v>
      </c>
      <c r="BO24" s="230">
        <f t="shared" si="50"/>
        <v>6</v>
      </c>
      <c r="BP24" s="230">
        <f t="shared" si="51"/>
        <v>6</v>
      </c>
      <c r="BQ24" s="230">
        <f t="shared" si="52"/>
        <v>6</v>
      </c>
      <c r="BR24" s="230">
        <f t="shared" si="53"/>
        <v>5</v>
      </c>
      <c r="BS24" s="225">
        <f>ROUND((VLOOKUP(A24,'PS - Cumulative pupils per year'!$A$3:$R$25,10,FALSE)),0)</f>
        <v>35</v>
      </c>
      <c r="BT24" s="227">
        <f t="shared" si="54"/>
        <v>7</v>
      </c>
      <c r="BU24" s="227">
        <f t="shared" si="55"/>
        <v>6</v>
      </c>
      <c r="BV24" s="227">
        <f t="shared" si="56"/>
        <v>6</v>
      </c>
      <c r="BW24" s="227">
        <f t="shared" si="57"/>
        <v>6</v>
      </c>
      <c r="BX24" s="227">
        <f t="shared" si="58"/>
        <v>6</v>
      </c>
      <c r="BY24" s="227">
        <f t="shared" si="59"/>
        <v>6</v>
      </c>
      <c r="BZ24" s="224">
        <f>ROUND((VLOOKUP(A24,'PS - Cumulative pupils per year'!$A$3:$R$25,11,FALSE)),0)</f>
        <v>37</v>
      </c>
      <c r="CA24" s="230">
        <f t="shared" si="60"/>
        <v>7</v>
      </c>
      <c r="CB24" s="230">
        <f t="shared" si="61"/>
        <v>6</v>
      </c>
      <c r="CC24" s="230">
        <f t="shared" si="62"/>
        <v>6</v>
      </c>
      <c r="CD24" s="230">
        <f t="shared" si="63"/>
        <v>6</v>
      </c>
      <c r="CE24" s="230">
        <f t="shared" si="64"/>
        <v>6</v>
      </c>
      <c r="CF24" s="230">
        <f t="shared" si="65"/>
        <v>6</v>
      </c>
      <c r="CG24" s="228">
        <f>ROUND((VLOOKUP(A24,'PS - Cumulative pupils per year'!$A$3:$R$25,12,FALSE)),0)</f>
        <v>37</v>
      </c>
      <c r="CH24" s="227">
        <f t="shared" si="66"/>
        <v>7</v>
      </c>
      <c r="CI24" s="227">
        <f t="shared" si="67"/>
        <v>7</v>
      </c>
      <c r="CJ24" s="227">
        <f t="shared" si="68"/>
        <v>6</v>
      </c>
      <c r="CK24" s="227">
        <f t="shared" si="69"/>
        <v>6</v>
      </c>
      <c r="CL24" s="227">
        <f t="shared" si="70"/>
        <v>6</v>
      </c>
      <c r="CM24" s="227">
        <f t="shared" si="71"/>
        <v>6</v>
      </c>
      <c r="CN24" s="224">
        <f>ROUND((VLOOKUP(A24,'PS - Cumulative pupils per year'!$A$3:$R$25,13,FALSE)),0)</f>
        <v>38</v>
      </c>
      <c r="CO24" s="230">
        <f t="shared" si="72"/>
        <v>7</v>
      </c>
      <c r="CP24" s="230">
        <f t="shared" si="73"/>
        <v>7</v>
      </c>
      <c r="CQ24" s="230">
        <f t="shared" si="74"/>
        <v>6</v>
      </c>
      <c r="CR24" s="230">
        <f t="shared" si="75"/>
        <v>6</v>
      </c>
      <c r="CS24" s="230">
        <f t="shared" si="76"/>
        <v>6</v>
      </c>
      <c r="CT24" s="230">
        <f t="shared" si="77"/>
        <v>6</v>
      </c>
      <c r="CU24" s="228">
        <f>ROUND((VLOOKUP(A24,'PS - Cumulative pupils per year'!$A$3:$R$25,14,FALSE)),0)</f>
        <v>38</v>
      </c>
      <c r="CV24" s="227">
        <f t="shared" si="78"/>
        <v>7</v>
      </c>
      <c r="CW24" s="227">
        <f t="shared" si="79"/>
        <v>7</v>
      </c>
      <c r="CX24" s="227">
        <f t="shared" si="80"/>
        <v>6</v>
      </c>
      <c r="CY24" s="227">
        <f t="shared" si="81"/>
        <v>6</v>
      </c>
      <c r="CZ24" s="227">
        <f t="shared" si="82"/>
        <v>6</v>
      </c>
      <c r="DA24" s="227">
        <f t="shared" si="83"/>
        <v>6</v>
      </c>
      <c r="DB24" s="224">
        <f>ROUND((VLOOKUP(A24,'PS - Cumulative pupils per year'!$A$3:$R$25,15,FALSE)),0)</f>
        <v>38</v>
      </c>
    </row>
    <row r="25" spans="1:106" x14ac:dyDescent="0.2">
      <c r="A25" s="231" t="s">
        <v>113</v>
      </c>
      <c r="B25" s="227">
        <v>0</v>
      </c>
      <c r="C25" s="227">
        <v>0</v>
      </c>
      <c r="D25" s="227">
        <v>0</v>
      </c>
      <c r="E25" s="227">
        <v>0</v>
      </c>
      <c r="F25" s="227">
        <v>0</v>
      </c>
      <c r="G25" s="227">
        <v>0</v>
      </c>
      <c r="H25" s="224">
        <v>0</v>
      </c>
      <c r="I25" s="229">
        <f t="shared" si="0"/>
        <v>1</v>
      </c>
      <c r="J25" s="229">
        <f t="shared" si="1"/>
        <v>1</v>
      </c>
      <c r="K25" s="229">
        <f t="shared" si="2"/>
        <v>1</v>
      </c>
      <c r="L25" s="229">
        <f t="shared" si="3"/>
        <v>0</v>
      </c>
      <c r="M25" s="229">
        <f t="shared" si="4"/>
        <v>0</v>
      </c>
      <c r="N25" s="229">
        <f t="shared" si="5"/>
        <v>0</v>
      </c>
      <c r="O25" s="225">
        <f>ROUND((VLOOKUP(A25,'PS - Cumulative pupils per year'!$A$3:$R$25,2,FALSE)),0)</f>
        <v>3</v>
      </c>
      <c r="P25" s="227">
        <f t="shared" si="6"/>
        <v>2</v>
      </c>
      <c r="Q25" s="227">
        <f t="shared" si="7"/>
        <v>1</v>
      </c>
      <c r="R25" s="227">
        <f t="shared" si="8"/>
        <v>1</v>
      </c>
      <c r="S25" s="227">
        <f t="shared" si="9"/>
        <v>1</v>
      </c>
      <c r="T25" s="227">
        <f t="shared" si="10"/>
        <v>1</v>
      </c>
      <c r="U25" s="227">
        <f t="shared" si="11"/>
        <v>1</v>
      </c>
      <c r="V25" s="224">
        <f>ROUND((VLOOKUP(A25,'PS - Cumulative pupils per year'!$A$3:$R$25,3,FALSE)),0)</f>
        <v>7</v>
      </c>
      <c r="W25" s="230">
        <f t="shared" si="12"/>
        <v>2</v>
      </c>
      <c r="X25" s="230">
        <f t="shared" si="13"/>
        <v>1</v>
      </c>
      <c r="Y25" s="230">
        <f t="shared" si="14"/>
        <v>1</v>
      </c>
      <c r="Z25" s="230">
        <f t="shared" si="15"/>
        <v>1</v>
      </c>
      <c r="AA25" s="230">
        <f t="shared" si="16"/>
        <v>1</v>
      </c>
      <c r="AB25" s="230">
        <f t="shared" si="17"/>
        <v>1</v>
      </c>
      <c r="AC25" s="225">
        <f>ROUND((VLOOKUP(A25,'PS - Cumulative pupils per year'!$A$3:$R$25,4,FALSE)),0)</f>
        <v>7</v>
      </c>
      <c r="AD25" s="227">
        <f t="shared" si="18"/>
        <v>2</v>
      </c>
      <c r="AE25" s="227">
        <f t="shared" si="19"/>
        <v>1</v>
      </c>
      <c r="AF25" s="227">
        <f t="shared" si="20"/>
        <v>1</v>
      </c>
      <c r="AG25" s="227">
        <f t="shared" si="21"/>
        <v>1</v>
      </c>
      <c r="AH25" s="227">
        <f t="shared" si="22"/>
        <v>1</v>
      </c>
      <c r="AI25" s="227">
        <f t="shared" si="23"/>
        <v>1</v>
      </c>
      <c r="AJ25" s="224">
        <f>ROUND((VLOOKUP(A25,'PS - Cumulative pupils per year'!$A$3:$R$25,5,FALSE)),0)</f>
        <v>7</v>
      </c>
      <c r="AK25" s="230">
        <f t="shared" si="24"/>
        <v>2</v>
      </c>
      <c r="AL25" s="230">
        <f t="shared" si="25"/>
        <v>1</v>
      </c>
      <c r="AM25" s="230">
        <f t="shared" si="26"/>
        <v>1</v>
      </c>
      <c r="AN25" s="230">
        <f t="shared" si="27"/>
        <v>1</v>
      </c>
      <c r="AO25" s="230">
        <f t="shared" si="28"/>
        <v>1</v>
      </c>
      <c r="AP25" s="230">
        <f t="shared" si="29"/>
        <v>1</v>
      </c>
      <c r="AQ25" s="225">
        <f>ROUND((VLOOKUP(A25,'PS - Cumulative pupils per year'!$A$3:$R$25,6,FALSE)),0)</f>
        <v>7</v>
      </c>
      <c r="AR25" s="227">
        <f t="shared" si="30"/>
        <v>2</v>
      </c>
      <c r="AS25" s="227">
        <f t="shared" si="31"/>
        <v>1</v>
      </c>
      <c r="AT25" s="227">
        <f t="shared" si="32"/>
        <v>1</v>
      </c>
      <c r="AU25" s="227">
        <f t="shared" si="33"/>
        <v>1</v>
      </c>
      <c r="AV25" s="227">
        <f t="shared" si="34"/>
        <v>1</v>
      </c>
      <c r="AW25" s="227">
        <f t="shared" si="35"/>
        <v>1</v>
      </c>
      <c r="AX25" s="224">
        <f>ROUND((VLOOKUP(A25,'PS - Cumulative pupils per year'!$A$3:$R$25,7,FALSE)),0)</f>
        <v>7</v>
      </c>
      <c r="AY25" s="230">
        <f t="shared" si="36"/>
        <v>2</v>
      </c>
      <c r="AZ25" s="230">
        <f t="shared" si="37"/>
        <v>1</v>
      </c>
      <c r="BA25" s="230">
        <f t="shared" si="38"/>
        <v>1</v>
      </c>
      <c r="BB25" s="230">
        <f t="shared" si="39"/>
        <v>1</v>
      </c>
      <c r="BC25" s="230">
        <f t="shared" si="40"/>
        <v>1</v>
      </c>
      <c r="BD25" s="230">
        <f t="shared" si="41"/>
        <v>1</v>
      </c>
      <c r="BE25" s="225">
        <f>ROUND((VLOOKUP(A25,'PS - Cumulative pupils per year'!$A$3:$R$25,8,FALSE)),0)</f>
        <v>7</v>
      </c>
      <c r="BF25" s="227">
        <f t="shared" si="42"/>
        <v>2</v>
      </c>
      <c r="BG25" s="227">
        <f t="shared" si="43"/>
        <v>1</v>
      </c>
      <c r="BH25" s="227">
        <f t="shared" si="44"/>
        <v>1</v>
      </c>
      <c r="BI25" s="227">
        <f t="shared" si="45"/>
        <v>1</v>
      </c>
      <c r="BJ25" s="227">
        <f t="shared" si="46"/>
        <v>1</v>
      </c>
      <c r="BK25" s="227">
        <f t="shared" si="47"/>
        <v>1</v>
      </c>
      <c r="BL25" s="224">
        <f>ROUND((VLOOKUP(A25,'PS - Cumulative pupils per year'!$A$3:$R$25,9,FALSE)),0)</f>
        <v>7</v>
      </c>
      <c r="BM25" s="230">
        <f t="shared" si="48"/>
        <v>2</v>
      </c>
      <c r="BN25" s="230">
        <f t="shared" si="49"/>
        <v>1</v>
      </c>
      <c r="BO25" s="230">
        <f t="shared" si="50"/>
        <v>1</v>
      </c>
      <c r="BP25" s="230">
        <f t="shared" si="51"/>
        <v>1</v>
      </c>
      <c r="BQ25" s="230">
        <f t="shared" si="52"/>
        <v>1</v>
      </c>
      <c r="BR25" s="230">
        <f t="shared" si="53"/>
        <v>1</v>
      </c>
      <c r="BS25" s="225">
        <f>ROUND((VLOOKUP(A25,'PS - Cumulative pupils per year'!$A$3:$R$25,10,FALSE)),0)</f>
        <v>7</v>
      </c>
      <c r="BT25" s="227">
        <f t="shared" si="54"/>
        <v>2</v>
      </c>
      <c r="BU25" s="227">
        <f t="shared" si="55"/>
        <v>1</v>
      </c>
      <c r="BV25" s="227">
        <f t="shared" si="56"/>
        <v>1</v>
      </c>
      <c r="BW25" s="227">
        <f t="shared" si="57"/>
        <v>1</v>
      </c>
      <c r="BX25" s="227">
        <f t="shared" si="58"/>
        <v>1</v>
      </c>
      <c r="BY25" s="227">
        <f t="shared" si="59"/>
        <v>1</v>
      </c>
      <c r="BZ25" s="224">
        <f>ROUND((VLOOKUP(A25,'PS - Cumulative pupils per year'!$A$3:$R$25,11,FALSE)),0)</f>
        <v>7</v>
      </c>
      <c r="CA25" s="230">
        <f t="shared" si="60"/>
        <v>2</v>
      </c>
      <c r="CB25" s="230">
        <f t="shared" si="61"/>
        <v>1</v>
      </c>
      <c r="CC25" s="230">
        <f t="shared" si="62"/>
        <v>1</v>
      </c>
      <c r="CD25" s="230">
        <f t="shared" si="63"/>
        <v>1</v>
      </c>
      <c r="CE25" s="230">
        <f t="shared" si="64"/>
        <v>1</v>
      </c>
      <c r="CF25" s="230">
        <f t="shared" si="65"/>
        <v>1</v>
      </c>
      <c r="CG25" s="228">
        <f>ROUND((VLOOKUP(A25,'PS - Cumulative pupils per year'!$A$3:$R$25,12,FALSE)),0)</f>
        <v>7</v>
      </c>
      <c r="CH25" s="227">
        <f t="shared" si="66"/>
        <v>2</v>
      </c>
      <c r="CI25" s="227">
        <f t="shared" si="67"/>
        <v>1</v>
      </c>
      <c r="CJ25" s="227">
        <f t="shared" si="68"/>
        <v>1</v>
      </c>
      <c r="CK25" s="227">
        <f t="shared" si="69"/>
        <v>1</v>
      </c>
      <c r="CL25" s="227">
        <f t="shared" si="70"/>
        <v>1</v>
      </c>
      <c r="CM25" s="227">
        <f t="shared" si="71"/>
        <v>1</v>
      </c>
      <c r="CN25" s="224">
        <f>ROUND((VLOOKUP(A25,'PS - Cumulative pupils per year'!$A$3:$R$25,13,FALSE)),0)</f>
        <v>7</v>
      </c>
      <c r="CO25" s="230">
        <f t="shared" si="72"/>
        <v>2</v>
      </c>
      <c r="CP25" s="230">
        <f t="shared" si="73"/>
        <v>1</v>
      </c>
      <c r="CQ25" s="230">
        <f t="shared" si="74"/>
        <v>1</v>
      </c>
      <c r="CR25" s="230">
        <f t="shared" si="75"/>
        <v>1</v>
      </c>
      <c r="CS25" s="230">
        <f t="shared" si="76"/>
        <v>1</v>
      </c>
      <c r="CT25" s="230">
        <f t="shared" si="77"/>
        <v>1</v>
      </c>
      <c r="CU25" s="228">
        <f>ROUND((VLOOKUP(A25,'PS - Cumulative pupils per year'!$A$3:$R$25,14,FALSE)),0)</f>
        <v>7</v>
      </c>
      <c r="CV25" s="227">
        <f t="shared" si="78"/>
        <v>2</v>
      </c>
      <c r="CW25" s="227">
        <f t="shared" si="79"/>
        <v>1</v>
      </c>
      <c r="CX25" s="227">
        <f t="shared" si="80"/>
        <v>1</v>
      </c>
      <c r="CY25" s="227">
        <f t="shared" si="81"/>
        <v>1</v>
      </c>
      <c r="CZ25" s="227">
        <f t="shared" si="82"/>
        <v>1</v>
      </c>
      <c r="DA25" s="227">
        <f t="shared" si="83"/>
        <v>1</v>
      </c>
      <c r="DB25" s="224">
        <f>ROUND((VLOOKUP(A25,'PS - Cumulative pupils per year'!$A$3:$R$25,15,FALSE)),0)</f>
        <v>7</v>
      </c>
    </row>
    <row r="26" spans="1:106" x14ac:dyDescent="0.2">
      <c r="A26" s="225" t="s">
        <v>138</v>
      </c>
      <c r="B26" s="224">
        <v>87</v>
      </c>
      <c r="C26" s="224">
        <v>81</v>
      </c>
      <c r="D26" s="224">
        <v>67</v>
      </c>
      <c r="E26" s="224">
        <v>61</v>
      </c>
      <c r="F26" s="224">
        <v>53</v>
      </c>
      <c r="G26" s="224">
        <v>45</v>
      </c>
      <c r="H26" s="224">
        <v>438</v>
      </c>
      <c r="I26" s="225">
        <v>87</v>
      </c>
      <c r="J26" s="225">
        <v>81</v>
      </c>
      <c r="K26" s="225">
        <v>67</v>
      </c>
      <c r="L26" s="225">
        <v>61</v>
      </c>
      <c r="M26" s="225">
        <v>53</v>
      </c>
      <c r="N26" s="225">
        <v>45</v>
      </c>
      <c r="O26" s="225">
        <v>438</v>
      </c>
      <c r="P26" s="224">
        <v>137</v>
      </c>
      <c r="Q26" s="224">
        <v>126</v>
      </c>
      <c r="R26" s="224">
        <v>112</v>
      </c>
      <c r="S26" s="224">
        <v>100</v>
      </c>
      <c r="T26" s="224">
        <v>94</v>
      </c>
      <c r="U26" s="224">
        <v>88</v>
      </c>
      <c r="V26" s="224">
        <v>739</v>
      </c>
      <c r="W26" s="226">
        <v>184</v>
      </c>
      <c r="X26" s="226">
        <v>172</v>
      </c>
      <c r="Y26" s="225">
        <v>163</v>
      </c>
      <c r="Z26" s="225">
        <v>154</v>
      </c>
      <c r="AA26" s="225">
        <v>146</v>
      </c>
      <c r="AB26" s="225">
        <v>138</v>
      </c>
      <c r="AC26" s="225">
        <v>1086</v>
      </c>
      <c r="AD26" s="224">
        <v>249</v>
      </c>
      <c r="AE26" s="224">
        <v>240</v>
      </c>
      <c r="AF26" s="224">
        <v>224</v>
      </c>
      <c r="AG26" s="224">
        <v>215</v>
      </c>
      <c r="AH26" s="224">
        <v>204</v>
      </c>
      <c r="AI26" s="224">
        <v>197</v>
      </c>
      <c r="AJ26" s="224">
        <v>1522</v>
      </c>
      <c r="AK26" s="225">
        <v>290</v>
      </c>
      <c r="AL26" s="225">
        <v>282</v>
      </c>
      <c r="AM26" s="225">
        <v>272</v>
      </c>
      <c r="AN26" s="225">
        <v>268</v>
      </c>
      <c r="AO26" s="225">
        <v>257</v>
      </c>
      <c r="AP26" s="225">
        <v>249</v>
      </c>
      <c r="AQ26" s="225">
        <v>1862</v>
      </c>
      <c r="AR26" s="224">
        <v>333</v>
      </c>
      <c r="AS26" s="224">
        <v>327</v>
      </c>
      <c r="AT26" s="224">
        <v>315</v>
      </c>
      <c r="AU26" s="224">
        <v>304</v>
      </c>
      <c r="AV26" s="224">
        <v>294</v>
      </c>
      <c r="AW26" s="224">
        <v>288</v>
      </c>
      <c r="AX26" s="224">
        <v>2140</v>
      </c>
      <c r="AY26" s="225">
        <v>290</v>
      </c>
      <c r="AZ26" s="225">
        <v>282</v>
      </c>
      <c r="BA26" s="225">
        <v>272</v>
      </c>
      <c r="BB26" s="225">
        <v>268</v>
      </c>
      <c r="BC26" s="225">
        <v>257</v>
      </c>
      <c r="BD26" s="225">
        <v>249</v>
      </c>
      <c r="BE26" s="225">
        <v>1862</v>
      </c>
      <c r="BF26" s="224">
        <v>392</v>
      </c>
      <c r="BG26" s="224">
        <v>383</v>
      </c>
      <c r="BH26" s="224">
        <v>371</v>
      </c>
      <c r="BI26" s="224">
        <v>363</v>
      </c>
      <c r="BJ26" s="224">
        <v>356</v>
      </c>
      <c r="BK26" s="224">
        <v>346</v>
      </c>
      <c r="BL26" s="224">
        <v>2551</v>
      </c>
      <c r="BM26" s="225">
        <v>411</v>
      </c>
      <c r="BN26" s="225">
        <v>403</v>
      </c>
      <c r="BO26" s="225">
        <v>393</v>
      </c>
      <c r="BP26" s="225">
        <v>386</v>
      </c>
      <c r="BQ26" s="225">
        <v>376</v>
      </c>
      <c r="BR26" s="225">
        <v>361</v>
      </c>
      <c r="BS26" s="225">
        <v>2687</v>
      </c>
      <c r="BT26" s="224">
        <v>411</v>
      </c>
      <c r="BU26" s="224">
        <v>403</v>
      </c>
      <c r="BV26" s="224">
        <v>393</v>
      </c>
      <c r="BW26" s="224">
        <v>386</v>
      </c>
      <c r="BX26" s="224">
        <v>376</v>
      </c>
      <c r="BY26" s="224">
        <v>361</v>
      </c>
      <c r="BZ26" s="224">
        <v>2687</v>
      </c>
      <c r="CA26" s="225">
        <v>290</v>
      </c>
      <c r="CB26" s="225">
        <v>282</v>
      </c>
      <c r="CC26" s="225">
        <v>272</v>
      </c>
      <c r="CD26" s="225">
        <v>268</v>
      </c>
      <c r="CE26" s="225">
        <v>257</v>
      </c>
      <c r="CF26" s="225">
        <v>249</v>
      </c>
      <c r="CG26" s="225">
        <v>1862</v>
      </c>
      <c r="CH26" s="224">
        <v>392</v>
      </c>
      <c r="CI26" s="224">
        <v>383</v>
      </c>
      <c r="CJ26" s="224">
        <v>371</v>
      </c>
      <c r="CK26" s="224">
        <v>363</v>
      </c>
      <c r="CL26" s="224">
        <v>356</v>
      </c>
      <c r="CM26" s="224">
        <v>346</v>
      </c>
      <c r="CN26" s="224">
        <v>2551</v>
      </c>
      <c r="CO26" s="225">
        <v>411</v>
      </c>
      <c r="CP26" s="225">
        <v>403</v>
      </c>
      <c r="CQ26" s="225">
        <v>393</v>
      </c>
      <c r="CR26" s="225">
        <v>386</v>
      </c>
      <c r="CS26" s="225">
        <v>376</v>
      </c>
      <c r="CT26" s="225">
        <v>361</v>
      </c>
      <c r="CU26" s="225">
        <v>2687</v>
      </c>
      <c r="CV26" s="224">
        <v>411</v>
      </c>
      <c r="CW26" s="224">
        <v>403</v>
      </c>
      <c r="CX26" s="224">
        <v>393</v>
      </c>
      <c r="CY26" s="224">
        <v>386</v>
      </c>
      <c r="CZ26" s="224">
        <v>376</v>
      </c>
      <c r="DA26" s="224">
        <v>361</v>
      </c>
      <c r="DB26" s="224">
        <v>2687</v>
      </c>
    </row>
    <row r="27" spans="1:106" x14ac:dyDescent="0.2">
      <c r="I27" s="222"/>
      <c r="O27" s="221"/>
    </row>
    <row r="28" spans="1:106" x14ac:dyDescent="0.2">
      <c r="I28" s="222"/>
      <c r="O28" s="221"/>
    </row>
    <row r="31" spans="1:106" x14ac:dyDescent="0.2">
      <c r="O31" s="221"/>
    </row>
  </sheetData>
  <mergeCells count="15">
    <mergeCell ref="AR1:AX1"/>
    <mergeCell ref="W1:AC1"/>
    <mergeCell ref="AD1:AJ1"/>
    <mergeCell ref="AK1:AQ1"/>
    <mergeCell ref="B1:H1"/>
    <mergeCell ref="I1:O1"/>
    <mergeCell ref="P1:V1"/>
    <mergeCell ref="CA1:CG1"/>
    <mergeCell ref="CH1:CN1"/>
    <mergeCell ref="CO1:CU1"/>
    <mergeCell ref="CV1:DB1"/>
    <mergeCell ref="AY1:BE1"/>
    <mergeCell ref="BF1:BL1"/>
    <mergeCell ref="BM1:BS1"/>
    <mergeCell ref="BT1:BZ1"/>
  </mergeCells>
  <pageMargins left="0.75" right="0.75" top="1" bottom="1" header="0.5" footer="0.5"/>
  <pageSetup paperSize="9"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S25"/>
  <sheetViews>
    <sheetView workbookViewId="0"/>
  </sheetViews>
  <sheetFormatPr defaultRowHeight="15" x14ac:dyDescent="0.25"/>
  <cols>
    <col min="1" max="1" width="34.42578125" bestFit="1" customWidth="1"/>
    <col min="18" max="18" width="12.140625" bestFit="1" customWidth="1"/>
  </cols>
  <sheetData>
    <row r="1" spans="1:19" x14ac:dyDescent="0.25">
      <c r="A1" s="179" t="s">
        <v>371</v>
      </c>
      <c r="B1" s="232" t="s">
        <v>147</v>
      </c>
      <c r="C1" s="232" t="s">
        <v>148</v>
      </c>
      <c r="D1" s="232" t="s">
        <v>149</v>
      </c>
      <c r="E1" s="232" t="s">
        <v>150</v>
      </c>
      <c r="F1" s="232" t="s">
        <v>151</v>
      </c>
      <c r="G1" s="232" t="s">
        <v>152</v>
      </c>
      <c r="H1" s="232" t="s">
        <v>153</v>
      </c>
      <c r="I1" s="232" t="s">
        <v>155</v>
      </c>
      <c r="J1" s="232" t="s">
        <v>372</v>
      </c>
      <c r="K1" s="232" t="s">
        <v>373</v>
      </c>
      <c r="L1" s="232" t="s">
        <v>374</v>
      </c>
      <c r="M1" s="232" t="s">
        <v>375</v>
      </c>
      <c r="N1" s="232" t="s">
        <v>376</v>
      </c>
      <c r="O1" s="232" t="s">
        <v>377</v>
      </c>
      <c r="P1" s="232" t="s">
        <v>378</v>
      </c>
      <c r="Q1" s="357" t="s">
        <v>399</v>
      </c>
      <c r="R1" s="232" t="s">
        <v>405</v>
      </c>
    </row>
    <row r="2" spans="1:19" x14ac:dyDescent="0.25">
      <c r="A2" s="179" t="s">
        <v>379</v>
      </c>
      <c r="B2" s="232" t="s">
        <v>148</v>
      </c>
      <c r="C2" s="232" t="s">
        <v>149</v>
      </c>
      <c r="D2" s="232" t="s">
        <v>150</v>
      </c>
      <c r="E2" s="232" t="s">
        <v>151</v>
      </c>
      <c r="F2" s="232" t="s">
        <v>152</v>
      </c>
      <c r="G2" s="232" t="s">
        <v>153</v>
      </c>
      <c r="H2" s="232" t="s">
        <v>155</v>
      </c>
      <c r="I2" s="232" t="s">
        <v>372</v>
      </c>
      <c r="J2" s="232" t="s">
        <v>373</v>
      </c>
      <c r="K2" s="232" t="s">
        <v>374</v>
      </c>
      <c r="L2" s="232" t="s">
        <v>375</v>
      </c>
      <c r="M2" s="232" t="s">
        <v>376</v>
      </c>
      <c r="N2" s="232" t="s">
        <v>377</v>
      </c>
      <c r="O2" s="232" t="s">
        <v>378</v>
      </c>
      <c r="P2" s="356" t="s">
        <v>399</v>
      </c>
      <c r="Q2" s="358" t="s">
        <v>406</v>
      </c>
    </row>
    <row r="3" spans="1:19" x14ac:dyDescent="0.25">
      <c r="A3" s="233" t="s">
        <v>97</v>
      </c>
      <c r="B3" s="109">
        <v>10.185999870300293</v>
      </c>
      <c r="C3" s="109">
        <v>17.482000350952148</v>
      </c>
      <c r="D3" s="109">
        <v>22.568000793457031</v>
      </c>
      <c r="E3" s="109">
        <v>28.333999633789063</v>
      </c>
      <c r="F3" s="109">
        <v>28.333999633789063</v>
      </c>
      <c r="G3" s="109">
        <v>28.333999633789063</v>
      </c>
      <c r="H3" s="109">
        <v>28.333999633789063</v>
      </c>
      <c r="I3" s="109">
        <v>28.333999633789063</v>
      </c>
      <c r="J3" s="109">
        <v>28.333999633789063</v>
      </c>
      <c r="K3" s="109">
        <v>28.333999633789063</v>
      </c>
      <c r="L3" s="109">
        <v>28.333999633789063</v>
      </c>
      <c r="M3" s="109">
        <v>28.333999633789102</v>
      </c>
      <c r="N3" s="109">
        <v>28.333999633789102</v>
      </c>
      <c r="O3" s="109">
        <v>28.333999633789102</v>
      </c>
      <c r="P3" s="109">
        <v>28.333999633789102</v>
      </c>
      <c r="Q3" s="109">
        <v>28.333999633789102</v>
      </c>
      <c r="R3" s="109">
        <v>28.333999633789102</v>
      </c>
    </row>
    <row r="4" spans="1:19" x14ac:dyDescent="0.25">
      <c r="A4" s="233" t="s">
        <v>92</v>
      </c>
      <c r="B4" s="109">
        <v>2.5675861835479736</v>
      </c>
      <c r="C4" s="109">
        <v>6.0027585029602051</v>
      </c>
      <c r="D4" s="109">
        <v>10.269930839538574</v>
      </c>
      <c r="E4" s="109">
        <v>11.644000053405762</v>
      </c>
      <c r="F4" s="109">
        <v>11.644000053405762</v>
      </c>
      <c r="G4" s="109">
        <v>12.215999603271484</v>
      </c>
      <c r="H4" s="109">
        <v>12.215999603271484</v>
      </c>
      <c r="I4" s="109">
        <v>12.215999603271484</v>
      </c>
      <c r="J4" s="109">
        <v>12.215999603271484</v>
      </c>
      <c r="K4" s="109">
        <v>12.215999603271484</v>
      </c>
      <c r="L4" s="109">
        <v>12.215999603271484</v>
      </c>
      <c r="M4" s="109">
        <v>12.2159996032715</v>
      </c>
      <c r="N4" s="109">
        <v>12.2159996032715</v>
      </c>
      <c r="O4" s="109">
        <v>12.2159996032715</v>
      </c>
      <c r="P4" s="109">
        <v>12.2159996032715</v>
      </c>
      <c r="Q4" s="109">
        <v>12.2159996032715</v>
      </c>
      <c r="R4" s="109">
        <v>12.2159996032715</v>
      </c>
    </row>
    <row r="5" spans="1:19" x14ac:dyDescent="0.25">
      <c r="A5" s="233" t="s">
        <v>93</v>
      </c>
      <c r="B5" s="109">
        <v>0</v>
      </c>
      <c r="C5" s="109">
        <v>7.6136002540588379</v>
      </c>
      <c r="D5" s="109">
        <v>19.00984001159668</v>
      </c>
      <c r="E5" s="109">
        <v>26.956001281738281</v>
      </c>
      <c r="F5" s="109">
        <v>28.906002044677734</v>
      </c>
      <c r="G5" s="109">
        <v>40.190017700195313</v>
      </c>
      <c r="H5" s="109">
        <v>56.270095825195313</v>
      </c>
      <c r="I5" s="109">
        <v>71.658378601074219</v>
      </c>
      <c r="J5" s="109">
        <v>84.658749341964722</v>
      </c>
      <c r="K5" s="109">
        <v>106.30600666999817</v>
      </c>
      <c r="L5" s="109">
        <v>112.30600666999817</v>
      </c>
      <c r="M5" s="109">
        <v>118.30600666999817</v>
      </c>
      <c r="N5" s="109">
        <v>124.30600666999817</v>
      </c>
      <c r="O5" s="109">
        <v>130.30600666999817</v>
      </c>
      <c r="P5" s="109">
        <v>136.30600666999817</v>
      </c>
      <c r="Q5" s="109">
        <v>136.30600666999817</v>
      </c>
      <c r="R5" s="109">
        <v>136.30600666999817</v>
      </c>
    </row>
    <row r="6" spans="1:19" x14ac:dyDescent="0.25">
      <c r="A6" s="233" t="s">
        <v>98</v>
      </c>
      <c r="B6" s="109">
        <v>60.261760711669922</v>
      </c>
      <c r="C6" s="109">
        <v>116.35166549682617</v>
      </c>
      <c r="D6" s="109">
        <v>168.22251129150391</v>
      </c>
      <c r="E6" s="109">
        <v>217.40316772460938</v>
      </c>
      <c r="F6" s="109">
        <v>271.71076965332031</v>
      </c>
      <c r="G6" s="109">
        <v>319.29375457763672</v>
      </c>
      <c r="H6" s="109">
        <v>359.26837158203125</v>
      </c>
      <c r="I6" s="109">
        <v>406.17668151855469</v>
      </c>
      <c r="J6" s="109">
        <v>450.95100402832031</v>
      </c>
      <c r="K6" s="109">
        <v>488.94131469726563</v>
      </c>
      <c r="L6" s="109">
        <v>505.94131469726563</v>
      </c>
      <c r="M6" s="109">
        <v>522.94131469726563</v>
      </c>
      <c r="N6" s="109">
        <v>539.94131469726563</v>
      </c>
      <c r="O6" s="109">
        <v>556.94131469726563</v>
      </c>
      <c r="P6" s="109">
        <v>576</v>
      </c>
      <c r="Q6" s="109">
        <v>576</v>
      </c>
      <c r="R6" s="109">
        <v>576</v>
      </c>
    </row>
    <row r="7" spans="1:19" x14ac:dyDescent="0.25">
      <c r="A7" s="233" t="s">
        <v>94</v>
      </c>
      <c r="B7" s="109">
        <v>2.9740002155303955</v>
      </c>
      <c r="C7" s="109">
        <v>7.1761214733123779</v>
      </c>
      <c r="D7" s="109">
        <v>28.883999586105347</v>
      </c>
      <c r="E7" s="109">
        <v>69.679875135421753</v>
      </c>
      <c r="F7" s="109">
        <v>121.45090556144714</v>
      </c>
      <c r="G7" s="109">
        <v>160.22454524040222</v>
      </c>
      <c r="H7" s="109">
        <v>188.95999978585678</v>
      </c>
      <c r="I7" s="109">
        <v>214.74599978585678</v>
      </c>
      <c r="J7" s="109">
        <v>238.41399978585679</v>
      </c>
      <c r="K7" s="109">
        <v>259.41399978585679</v>
      </c>
      <c r="L7" s="109">
        <v>280.41399978585679</v>
      </c>
      <c r="M7" s="109">
        <v>301.41399978585679</v>
      </c>
      <c r="N7" s="109">
        <v>322.41399978585679</v>
      </c>
      <c r="O7" s="109">
        <v>343.41399978585679</v>
      </c>
      <c r="P7" s="109">
        <v>364.41399978585679</v>
      </c>
      <c r="Q7" s="109">
        <v>368</v>
      </c>
      <c r="R7" s="109">
        <v>368</v>
      </c>
    </row>
    <row r="8" spans="1:19" x14ac:dyDescent="0.25">
      <c r="A8" s="233" t="s">
        <v>95</v>
      </c>
      <c r="B8" s="109">
        <v>12.016000747680664</v>
      </c>
      <c r="C8" s="109">
        <v>12.016000747680664</v>
      </c>
      <c r="D8" s="109">
        <v>16.785058975219727</v>
      </c>
      <c r="E8" s="109">
        <v>26.4739990234375</v>
      </c>
      <c r="F8" s="109">
        <v>35.013999938964844</v>
      </c>
      <c r="G8" s="109">
        <v>51.657230377197266</v>
      </c>
      <c r="H8" s="109">
        <v>68.638458251953125</v>
      </c>
      <c r="I8" s="109">
        <v>83.9296875</v>
      </c>
      <c r="J8" s="109">
        <v>99.525833129882813</v>
      </c>
      <c r="K8" s="109">
        <v>111.56214904785156</v>
      </c>
      <c r="L8" s="109">
        <v>115.56214904785156</v>
      </c>
      <c r="M8" s="109">
        <v>119.56214904785156</v>
      </c>
      <c r="N8" s="109">
        <v>123.56214904785156</v>
      </c>
      <c r="O8" s="109">
        <v>127.56214904785156</v>
      </c>
      <c r="P8" s="109">
        <v>131</v>
      </c>
      <c r="Q8" s="109">
        <v>131</v>
      </c>
      <c r="R8" s="109">
        <v>131</v>
      </c>
    </row>
    <row r="9" spans="1:19" x14ac:dyDescent="0.25">
      <c r="A9" s="343" t="s">
        <v>99</v>
      </c>
      <c r="B9" s="109">
        <v>9.5269460678100586</v>
      </c>
      <c r="C9" s="109">
        <v>16.101892471313477</v>
      </c>
      <c r="D9" s="109">
        <v>21.608837127685547</v>
      </c>
      <c r="E9" s="109">
        <v>28.668123245239258</v>
      </c>
      <c r="F9" s="109">
        <v>39.515022277832031</v>
      </c>
      <c r="G9" s="109">
        <v>46.559703826904297</v>
      </c>
      <c r="H9" s="109">
        <v>53.604385375976563</v>
      </c>
      <c r="I9" s="109">
        <v>55.436000823974609</v>
      </c>
      <c r="J9" s="109">
        <v>55.436000823974609</v>
      </c>
      <c r="K9" s="109">
        <v>55.436000823974609</v>
      </c>
      <c r="L9" s="109">
        <v>55.436000823974609</v>
      </c>
      <c r="M9" s="109">
        <v>55.436000823974609</v>
      </c>
      <c r="N9" s="109">
        <v>55.436000823974609</v>
      </c>
      <c r="O9" s="109">
        <v>55.436000823974609</v>
      </c>
      <c r="P9" s="109">
        <v>55.436000823974609</v>
      </c>
      <c r="Q9" s="109">
        <v>55.436000823974609</v>
      </c>
      <c r="R9" s="109">
        <v>55.436000823974609</v>
      </c>
      <c r="S9" s="109"/>
    </row>
    <row r="10" spans="1:19" x14ac:dyDescent="0.25">
      <c r="A10" s="233" t="s">
        <v>96</v>
      </c>
      <c r="B10" s="109">
        <v>11.142307281494141</v>
      </c>
      <c r="C10" s="109">
        <v>19.376613616943359</v>
      </c>
      <c r="D10" s="109">
        <v>30.441997528076172</v>
      </c>
      <c r="E10" s="109">
        <v>37.071998596191406</v>
      </c>
      <c r="F10" s="109">
        <v>40.113998413085938</v>
      </c>
      <c r="G10" s="109">
        <v>43.623996734619141</v>
      </c>
      <c r="H10" s="109">
        <v>46.353996276855469</v>
      </c>
      <c r="I10" s="109">
        <v>47.341995239257813</v>
      </c>
      <c r="J10" s="109">
        <v>48.199996948242188</v>
      </c>
      <c r="K10" s="109">
        <v>48.199996948242188</v>
      </c>
      <c r="L10" s="109">
        <v>48.199996948242188</v>
      </c>
      <c r="M10" s="109">
        <v>48.199996948242188</v>
      </c>
      <c r="N10" s="109">
        <v>48.199996948242188</v>
      </c>
      <c r="O10" s="109">
        <v>48.199996948242188</v>
      </c>
      <c r="P10" s="109">
        <v>48.199996948242188</v>
      </c>
      <c r="Q10" s="109">
        <v>48.199996948242188</v>
      </c>
      <c r="R10" s="109">
        <v>48.199996948242188</v>
      </c>
    </row>
    <row r="11" spans="1:19" x14ac:dyDescent="0.25">
      <c r="A11" s="233" t="s">
        <v>314</v>
      </c>
      <c r="B11" s="109">
        <v>1.0199999809265137</v>
      </c>
      <c r="C11" s="109">
        <v>2.380000114440918</v>
      </c>
      <c r="D11" s="109">
        <v>2.380000114440918</v>
      </c>
      <c r="E11" s="109">
        <v>2.380000114440918</v>
      </c>
      <c r="F11" s="109">
        <v>2.380000114440918</v>
      </c>
      <c r="G11" s="109">
        <v>3.4720001220703125</v>
      </c>
      <c r="H11" s="109">
        <v>4.7720003128051758</v>
      </c>
      <c r="I11" s="109">
        <v>4.7720003128051758</v>
      </c>
      <c r="J11" s="109">
        <v>5.3440003395080566</v>
      </c>
      <c r="K11" s="109">
        <v>5.3440003395080566</v>
      </c>
      <c r="L11" s="109">
        <v>5.3440003395080566</v>
      </c>
      <c r="M11" s="109">
        <v>5.3440003395080566</v>
      </c>
      <c r="N11" s="109">
        <v>5.3440003395080566</v>
      </c>
      <c r="O11" s="109">
        <v>5.3440003395080566</v>
      </c>
      <c r="P11" s="109">
        <v>5.3440003395080566</v>
      </c>
      <c r="Q11" s="109">
        <v>5.3440003395080566</v>
      </c>
      <c r="R11" s="109">
        <v>5.3440003395080566</v>
      </c>
    </row>
    <row r="12" spans="1:19" x14ac:dyDescent="0.25">
      <c r="A12" s="233" t="s">
        <v>100</v>
      </c>
      <c r="B12" s="109">
        <v>18.564285278320313</v>
      </c>
      <c r="C12" s="109">
        <v>32.108001708984375</v>
      </c>
      <c r="D12" s="109">
        <v>32.108001708984375</v>
      </c>
      <c r="E12" s="109">
        <v>32.108001708984375</v>
      </c>
      <c r="F12" s="109">
        <v>32.108001708984375</v>
      </c>
      <c r="G12" s="109">
        <v>34.848003387451172</v>
      </c>
      <c r="H12" s="109">
        <v>37.588005065917969</v>
      </c>
      <c r="I12" s="109">
        <v>40.328006744384766</v>
      </c>
      <c r="J12" s="109">
        <v>43.068008422851563</v>
      </c>
      <c r="K12" s="109">
        <v>45.808010101318359</v>
      </c>
      <c r="L12" s="109">
        <v>46.808010101318359</v>
      </c>
      <c r="M12" s="109">
        <v>48.808010101318359</v>
      </c>
      <c r="N12" s="109">
        <v>49.808010101318359</v>
      </c>
      <c r="O12" s="109">
        <v>50.808010101318359</v>
      </c>
      <c r="P12" s="109">
        <v>52.658008575439453</v>
      </c>
      <c r="Q12" s="109">
        <v>52.658008575439453</v>
      </c>
      <c r="R12" s="109">
        <v>52.658008575439453</v>
      </c>
    </row>
    <row r="13" spans="1:19" x14ac:dyDescent="0.25">
      <c r="A13" s="233" t="s">
        <v>101</v>
      </c>
      <c r="B13" s="109">
        <v>31.482219696044922</v>
      </c>
      <c r="C13" s="109">
        <v>58.738437652587891</v>
      </c>
      <c r="D13" s="109">
        <v>84.441215515136719</v>
      </c>
      <c r="E13" s="109">
        <v>102.56474304199219</v>
      </c>
      <c r="F13" s="109">
        <v>109.91592407226563</v>
      </c>
      <c r="G13" s="109">
        <v>128.11613464355469</v>
      </c>
      <c r="H13" s="109">
        <v>146.71563720703125</v>
      </c>
      <c r="I13" s="109">
        <v>165.31513977050781</v>
      </c>
      <c r="J13" s="109">
        <v>183.91464233398438</v>
      </c>
      <c r="K13" s="109">
        <v>195.76182556152344</v>
      </c>
      <c r="L13" s="109">
        <v>199.76182556152344</v>
      </c>
      <c r="M13" s="109">
        <v>203.76182556152344</v>
      </c>
      <c r="N13" s="109">
        <v>207.76182556152344</v>
      </c>
      <c r="O13" s="109">
        <v>211.76182556152344</v>
      </c>
      <c r="P13" s="109">
        <v>215.31597900390625</v>
      </c>
      <c r="Q13" s="109">
        <v>215.31597900390625</v>
      </c>
      <c r="R13" s="109">
        <v>215.31597900390625</v>
      </c>
    </row>
    <row r="14" spans="1:19" x14ac:dyDescent="0.25">
      <c r="A14" s="234" t="s">
        <v>102</v>
      </c>
      <c r="B14" s="109">
        <v>19.850910186767578</v>
      </c>
      <c r="C14" s="109">
        <v>39.511787414550781</v>
      </c>
      <c r="D14" s="109">
        <v>60.83123779296875</v>
      </c>
      <c r="E14" s="109">
        <v>80.961082458496094</v>
      </c>
      <c r="F14" s="109">
        <v>99.968582153320313</v>
      </c>
      <c r="G14" s="109">
        <v>120.35259246826172</v>
      </c>
      <c r="H14" s="109">
        <v>138.94729614257813</v>
      </c>
      <c r="I14" s="109">
        <v>158.11122131347656</v>
      </c>
      <c r="J14" s="109">
        <v>174.23478698730469</v>
      </c>
      <c r="K14" s="109">
        <v>184.91253662109375</v>
      </c>
      <c r="L14" s="109">
        <v>190.91253662109375</v>
      </c>
      <c r="M14" s="109">
        <v>196.91253662109375</v>
      </c>
      <c r="N14" s="109">
        <v>202.91253662109375</v>
      </c>
      <c r="O14" s="109">
        <v>208.91253662109375</v>
      </c>
      <c r="P14" s="109">
        <v>212.77603149414063</v>
      </c>
      <c r="Q14" s="109">
        <v>212.77603149414063</v>
      </c>
      <c r="R14" s="109">
        <v>212.77603149414063</v>
      </c>
    </row>
    <row r="15" spans="1:19" x14ac:dyDescent="0.25">
      <c r="A15" s="233" t="s">
        <v>103</v>
      </c>
      <c r="B15" s="109">
        <v>0.71799999475479126</v>
      </c>
      <c r="C15" s="109">
        <v>1.4459999799728394</v>
      </c>
      <c r="D15" s="109">
        <v>4.7550415992736816</v>
      </c>
      <c r="E15" s="109">
        <v>9.0861797332763672</v>
      </c>
      <c r="F15" s="109">
        <v>12.117317199707031</v>
      </c>
      <c r="G15" s="109">
        <v>27.423999786376953</v>
      </c>
      <c r="H15" s="109">
        <v>37.893997192382813</v>
      </c>
      <c r="I15" s="109">
        <v>44.673995971679688</v>
      </c>
      <c r="J15" s="109">
        <v>50.699996948242188</v>
      </c>
      <c r="K15" s="109">
        <v>56.179996490478516</v>
      </c>
      <c r="L15" s="109">
        <v>57.179996490478516</v>
      </c>
      <c r="M15" s="109">
        <v>58.179996490478516</v>
      </c>
      <c r="N15" s="109">
        <v>59.179996490478516</v>
      </c>
      <c r="O15" s="109">
        <v>60.179996490478516</v>
      </c>
      <c r="P15" s="109">
        <v>61.659996032714844</v>
      </c>
      <c r="Q15" s="109">
        <v>61.659996032714844</v>
      </c>
      <c r="R15" s="109">
        <v>61.659996032714844</v>
      </c>
    </row>
    <row r="16" spans="1:19" x14ac:dyDescent="0.25">
      <c r="A16" s="234" t="s">
        <v>104</v>
      </c>
      <c r="B16" s="109">
        <v>2.3400001525878906</v>
      </c>
      <c r="C16" s="109">
        <v>5.7200002670288086</v>
      </c>
      <c r="D16" s="109">
        <v>11.076000213623047</v>
      </c>
      <c r="E16" s="109">
        <v>16.252067565917969</v>
      </c>
      <c r="F16" s="109">
        <v>21.416584014892578</v>
      </c>
      <c r="G16" s="109">
        <v>27.075099945068359</v>
      </c>
      <c r="H16" s="109">
        <v>32.941616058349609</v>
      </c>
      <c r="I16" s="109">
        <v>38.808132171630859</v>
      </c>
      <c r="J16" s="109">
        <v>45.075996398925781</v>
      </c>
      <c r="K16" s="109">
        <v>48.975997924804688</v>
      </c>
      <c r="L16" s="109">
        <v>50.975997924804688</v>
      </c>
      <c r="M16" s="109">
        <v>52.975997924804688</v>
      </c>
      <c r="N16" s="109">
        <v>54.975997924804688</v>
      </c>
      <c r="O16" s="109">
        <v>56.975997924804688</v>
      </c>
      <c r="P16" s="109">
        <v>58.049995422363281</v>
      </c>
      <c r="Q16" s="109">
        <v>58.049995422363281</v>
      </c>
      <c r="R16" s="109">
        <v>58.049995422363281</v>
      </c>
    </row>
    <row r="17" spans="1:18" x14ac:dyDescent="0.25">
      <c r="A17" s="233" t="s">
        <v>105</v>
      </c>
      <c r="B17" s="109">
        <v>9.4432363510131836</v>
      </c>
      <c r="C17" s="109">
        <v>30.382228851318359</v>
      </c>
      <c r="D17" s="109">
        <v>59.792640686035156</v>
      </c>
      <c r="E17" s="109">
        <v>93.81341552734375</v>
      </c>
      <c r="F17" s="109">
        <v>125.34806060791016</v>
      </c>
      <c r="G17" s="109">
        <v>157.58697509765625</v>
      </c>
      <c r="H17" s="109">
        <v>184.88589477539063</v>
      </c>
      <c r="I17" s="109">
        <v>209.9483642578125</v>
      </c>
      <c r="J17" s="109">
        <v>226.09999084472656</v>
      </c>
      <c r="K17" s="109">
        <v>226.09999084472656</v>
      </c>
      <c r="L17" s="109">
        <v>226.09999084472656</v>
      </c>
      <c r="M17" s="109">
        <v>226.09999084472699</v>
      </c>
      <c r="N17" s="109">
        <v>226.09999084472699</v>
      </c>
      <c r="O17" s="109">
        <v>226.09999084472699</v>
      </c>
      <c r="P17" s="109">
        <v>226.09999084472656</v>
      </c>
      <c r="Q17" s="109">
        <v>226.09999084472656</v>
      </c>
      <c r="R17" s="109">
        <v>226.09999084472656</v>
      </c>
    </row>
    <row r="18" spans="1:18" x14ac:dyDescent="0.25">
      <c r="A18" s="233" t="s">
        <v>106</v>
      </c>
      <c r="B18" s="109">
        <v>8.5833683013916016</v>
      </c>
      <c r="C18" s="109">
        <v>11.166000366210938</v>
      </c>
      <c r="D18" s="109">
        <v>12.445053100585938</v>
      </c>
      <c r="E18" s="109">
        <v>15.003158569335938</v>
      </c>
      <c r="F18" s="109">
        <v>20.119369506835938</v>
      </c>
      <c r="G18" s="109">
        <v>25.807579040527344</v>
      </c>
      <c r="H18" s="109">
        <v>30.923789978027344</v>
      </c>
      <c r="I18" s="109">
        <v>36.040000915527344</v>
      </c>
      <c r="J18" s="109">
        <v>36.889999389648438</v>
      </c>
      <c r="K18" s="109">
        <v>36.889999389648438</v>
      </c>
      <c r="L18" s="109">
        <v>36.889999389648438</v>
      </c>
      <c r="M18" s="109">
        <v>36.889999389648402</v>
      </c>
      <c r="N18" s="109">
        <v>36.889999389648402</v>
      </c>
      <c r="O18" s="109">
        <v>36.889999389648402</v>
      </c>
      <c r="P18" s="109">
        <v>36.889999389648438</v>
      </c>
      <c r="Q18" s="109">
        <v>36.889999389648438</v>
      </c>
      <c r="R18" s="109">
        <v>36.889999389648438</v>
      </c>
    </row>
    <row r="19" spans="1:18" x14ac:dyDescent="0.25">
      <c r="A19" s="233" t="s">
        <v>107</v>
      </c>
      <c r="B19" s="109">
        <v>15.781999588012695</v>
      </c>
      <c r="C19" s="109">
        <v>15.781999588012695</v>
      </c>
      <c r="D19" s="109">
        <v>29.135078430175781</v>
      </c>
      <c r="E19" s="109">
        <v>47.058158874511719</v>
      </c>
      <c r="F19" s="109">
        <v>60.971237182617188</v>
      </c>
      <c r="G19" s="109">
        <v>81.944320678710938</v>
      </c>
      <c r="H19" s="109">
        <v>114.21340179443359</v>
      </c>
      <c r="I19" s="109">
        <v>146.48248291015625</v>
      </c>
      <c r="J19" s="109">
        <v>171.87001037597656</v>
      </c>
      <c r="K19" s="109">
        <v>194.49000549316406</v>
      </c>
      <c r="L19" s="109">
        <v>206.49000549316406</v>
      </c>
      <c r="M19" s="109">
        <v>218.49000549316406</v>
      </c>
      <c r="N19" s="109">
        <v>230.49000549316406</v>
      </c>
      <c r="O19" s="109">
        <v>242.49000549316406</v>
      </c>
      <c r="P19" s="109">
        <v>255.40800476074219</v>
      </c>
      <c r="Q19" s="109">
        <v>255.40800476074219</v>
      </c>
      <c r="R19" s="109">
        <v>255.40800476074219</v>
      </c>
    </row>
    <row r="20" spans="1:18" x14ac:dyDescent="0.25">
      <c r="A20" s="233" t="s">
        <v>108</v>
      </c>
      <c r="B20" s="109">
        <v>12.907594680786133</v>
      </c>
      <c r="C20" s="109">
        <v>20.149341583251953</v>
      </c>
      <c r="D20" s="109">
        <v>30.760804176330566</v>
      </c>
      <c r="E20" s="109">
        <v>47.16478443145752</v>
      </c>
      <c r="F20" s="109">
        <v>64.058009147644043</v>
      </c>
      <c r="G20" s="109">
        <v>81.503708839416504</v>
      </c>
      <c r="H20" s="109">
        <v>99.012239897741424</v>
      </c>
      <c r="I20" s="109">
        <v>115.07962180498102</v>
      </c>
      <c r="J20" s="109">
        <v>129.44132218573816</v>
      </c>
      <c r="K20" s="109">
        <v>142.04452438522944</v>
      </c>
      <c r="L20" s="109">
        <v>153</v>
      </c>
      <c r="M20" s="109">
        <v>159</v>
      </c>
      <c r="N20" s="109">
        <v>165</v>
      </c>
      <c r="O20" s="109">
        <v>171</v>
      </c>
      <c r="P20" s="109">
        <v>178</v>
      </c>
      <c r="Q20" s="109">
        <v>179.71400451660156</v>
      </c>
      <c r="R20" s="109">
        <v>179.71400451660156</v>
      </c>
    </row>
    <row r="21" spans="1:18" x14ac:dyDescent="0.25">
      <c r="A21" s="233" t="s">
        <v>109</v>
      </c>
      <c r="B21" s="109">
        <v>2.4907588958740234</v>
      </c>
      <c r="C21" s="109">
        <v>5.5522761344909668</v>
      </c>
      <c r="D21" s="109">
        <v>8.9903984069824219</v>
      </c>
      <c r="E21" s="109">
        <v>11.189449310302734</v>
      </c>
      <c r="F21" s="109">
        <v>12.43929386138916</v>
      </c>
      <c r="G21" s="109">
        <v>17.791458129882813</v>
      </c>
      <c r="H21" s="109">
        <v>22.939815521240234</v>
      </c>
      <c r="I21" s="109">
        <v>27.271320343017578</v>
      </c>
      <c r="J21" s="109">
        <v>31.174226760864258</v>
      </c>
      <c r="K21" s="109">
        <v>36.032001495361328</v>
      </c>
      <c r="L21" s="109">
        <v>37.032001495361328</v>
      </c>
      <c r="M21" s="109">
        <v>38.032001495361328</v>
      </c>
      <c r="N21" s="109">
        <v>39.032001495361328</v>
      </c>
      <c r="O21" s="109">
        <v>40.032001495361328</v>
      </c>
      <c r="P21" s="109">
        <v>40.472000122070313</v>
      </c>
      <c r="Q21" s="109">
        <v>40.472000122070313</v>
      </c>
      <c r="R21" s="109">
        <v>40.472000122070313</v>
      </c>
    </row>
    <row r="22" spans="1:18" x14ac:dyDescent="0.25">
      <c r="A22" s="233" t="s">
        <v>110</v>
      </c>
      <c r="B22" s="109">
        <v>1.1440000534057617</v>
      </c>
      <c r="C22" s="109">
        <v>1.1440000534057617</v>
      </c>
      <c r="D22" s="109">
        <v>3.2372927665710449</v>
      </c>
      <c r="E22" s="109">
        <v>7.4238781929016113</v>
      </c>
      <c r="F22" s="109">
        <v>15.797048568725586</v>
      </c>
      <c r="G22" s="109">
        <v>24.170219421386719</v>
      </c>
      <c r="H22" s="109">
        <v>32.543388366699219</v>
      </c>
      <c r="I22" s="109">
        <v>40.916557312011719</v>
      </c>
      <c r="J22" s="109">
        <v>49.289726257324219</v>
      </c>
      <c r="K22" s="109">
        <v>56.071994781494141</v>
      </c>
      <c r="L22" s="109">
        <v>56.071994781494141</v>
      </c>
      <c r="M22" s="109">
        <v>56.071994781494098</v>
      </c>
      <c r="N22" s="109">
        <v>56.071994781494098</v>
      </c>
      <c r="O22" s="109">
        <v>56.071994781494098</v>
      </c>
      <c r="P22" s="109">
        <v>56.071994781494141</v>
      </c>
      <c r="Q22" s="109">
        <v>56.071994781494141</v>
      </c>
      <c r="R22" s="109">
        <v>56.071994781494141</v>
      </c>
    </row>
    <row r="23" spans="1:18" x14ac:dyDescent="0.25">
      <c r="A23" s="233" t="s">
        <v>111</v>
      </c>
      <c r="B23" s="109">
        <v>2.929999828338623</v>
      </c>
      <c r="C23" s="109">
        <v>6.5959997177124023</v>
      </c>
      <c r="D23" s="109">
        <v>12.520000457763672</v>
      </c>
      <c r="E23" s="109">
        <v>18.131999969482422</v>
      </c>
      <c r="F23" s="109">
        <v>24.731999158859253</v>
      </c>
      <c r="G23" s="109">
        <v>36.734975814819336</v>
      </c>
      <c r="H23" s="109">
        <v>51.259951591491699</v>
      </c>
      <c r="I23" s="109">
        <v>66.616928100585938</v>
      </c>
      <c r="J23" s="109">
        <v>81.193904876708984</v>
      </c>
      <c r="K23" s="109">
        <v>96.027999877929688</v>
      </c>
      <c r="L23" s="109">
        <v>110.02799987792969</v>
      </c>
      <c r="M23" s="109">
        <v>124.02799987792969</v>
      </c>
      <c r="N23" s="109">
        <v>138.02799987792969</v>
      </c>
      <c r="O23" s="109">
        <v>152.02799987792969</v>
      </c>
      <c r="P23" s="109">
        <v>167.26599884033203</v>
      </c>
      <c r="Q23" s="109">
        <v>167.26599884033203</v>
      </c>
      <c r="R23" s="109">
        <v>167.26599884033203</v>
      </c>
    </row>
    <row r="24" spans="1:18" x14ac:dyDescent="0.25">
      <c r="A24" s="233" t="s">
        <v>112</v>
      </c>
      <c r="B24" s="109">
        <v>2.0183999538421631</v>
      </c>
      <c r="C24" s="109">
        <v>5.6163997650146484</v>
      </c>
      <c r="D24" s="109">
        <v>9.2404003143310547</v>
      </c>
      <c r="E24" s="109">
        <v>13.836000442504883</v>
      </c>
      <c r="F24" s="109">
        <v>17.16400146484375</v>
      </c>
      <c r="G24" s="109">
        <v>21.68800163269043</v>
      </c>
      <c r="H24" s="109">
        <v>25.068000793457031</v>
      </c>
      <c r="I24" s="109">
        <v>30.13800048828125</v>
      </c>
      <c r="J24" s="109">
        <v>34.687999725341797</v>
      </c>
      <c r="K24" s="109">
        <v>36.767997741699219</v>
      </c>
      <c r="L24" s="109">
        <v>36.767997741699219</v>
      </c>
      <c r="M24" s="109">
        <v>37.547996520996094</v>
      </c>
      <c r="N24" s="109">
        <v>37.547996520996094</v>
      </c>
      <c r="O24" s="109">
        <v>37.547996520996094</v>
      </c>
      <c r="P24" s="109">
        <v>37.547996520996094</v>
      </c>
      <c r="Q24" s="109">
        <v>37.547996520996094</v>
      </c>
      <c r="R24" s="109">
        <v>37.547996520996094</v>
      </c>
    </row>
    <row r="25" spans="1:18" x14ac:dyDescent="0.25">
      <c r="A25" s="233" t="s">
        <v>113</v>
      </c>
      <c r="B25" s="109">
        <v>2.8304324150085449</v>
      </c>
      <c r="C25" s="109">
        <v>6.9019999504089355</v>
      </c>
      <c r="D25" s="109">
        <v>7.4219999313354492</v>
      </c>
      <c r="E25" s="109">
        <v>7.4219999313354492</v>
      </c>
      <c r="F25" s="109">
        <v>7.4219999313354492</v>
      </c>
      <c r="G25" s="109">
        <v>7.4219999313354492</v>
      </c>
      <c r="H25" s="109">
        <v>7.4219999313354492</v>
      </c>
      <c r="I25" s="109">
        <v>7.4219999313354492</v>
      </c>
      <c r="J25" s="109">
        <v>7.4219999313354492</v>
      </c>
      <c r="K25" s="109">
        <v>7.4219999313354492</v>
      </c>
      <c r="L25" s="109">
        <v>7.4219999313354492</v>
      </c>
      <c r="M25" s="109">
        <v>7.4219999313354501</v>
      </c>
      <c r="N25" s="109">
        <v>7.4219999313354501</v>
      </c>
      <c r="O25" s="109">
        <v>7.4219999313354501</v>
      </c>
      <c r="P25" s="109">
        <v>7.4219999313354501</v>
      </c>
      <c r="Q25" s="109">
        <v>7.4219999313354501</v>
      </c>
      <c r="R25" s="109">
        <v>7.4219999313354501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W14"/>
  <sheetViews>
    <sheetView workbookViewId="0">
      <selection activeCell="B9" sqref="B9"/>
    </sheetView>
  </sheetViews>
  <sheetFormatPr defaultRowHeight="15" x14ac:dyDescent="0.25"/>
  <cols>
    <col min="1" max="1" width="47.7109375" style="290" bestFit="1" customWidth="1"/>
    <col min="2" max="16384" width="9.140625" style="290"/>
  </cols>
  <sheetData>
    <row r="2" spans="1:23" x14ac:dyDescent="0.25">
      <c r="A2" s="288" t="s">
        <v>368</v>
      </c>
      <c r="B2" s="289">
        <v>2010</v>
      </c>
      <c r="C2" s="289">
        <v>2011</v>
      </c>
      <c r="D2" s="289">
        <v>2012</v>
      </c>
      <c r="E2" s="289">
        <v>2013</v>
      </c>
      <c r="F2" s="289">
        <v>2014</v>
      </c>
      <c r="G2" s="289">
        <v>2015</v>
      </c>
      <c r="H2" s="289">
        <v>2016</v>
      </c>
      <c r="I2" s="289">
        <v>2017</v>
      </c>
      <c r="J2" s="289">
        <v>2018</v>
      </c>
      <c r="K2" s="289">
        <v>2019</v>
      </c>
      <c r="L2" s="289">
        <v>2020</v>
      </c>
      <c r="M2" s="289">
        <v>2021</v>
      </c>
      <c r="N2" s="289">
        <v>2022</v>
      </c>
      <c r="O2" s="289">
        <v>2023</v>
      </c>
      <c r="P2" s="289">
        <v>2024</v>
      </c>
      <c r="Q2" s="289">
        <v>2025</v>
      </c>
      <c r="R2" s="289">
        <v>2026</v>
      </c>
      <c r="S2" s="289">
        <v>2027</v>
      </c>
      <c r="T2" s="289">
        <v>2028</v>
      </c>
      <c r="U2" s="289">
        <v>2029</v>
      </c>
      <c r="V2" s="289">
        <v>2030</v>
      </c>
    </row>
    <row r="3" spans="1:23" x14ac:dyDescent="0.25">
      <c r="A3" s="291" t="s">
        <v>395</v>
      </c>
      <c r="B3" s="292"/>
      <c r="C3" s="292"/>
      <c r="D3" s="292"/>
      <c r="E3" s="292"/>
      <c r="F3" s="292"/>
      <c r="G3" s="292"/>
      <c r="H3" s="292">
        <v>18145</v>
      </c>
      <c r="I3" s="293">
        <v>18488</v>
      </c>
      <c r="J3" s="293">
        <v>19026</v>
      </c>
      <c r="K3" s="293">
        <v>19704</v>
      </c>
      <c r="L3" s="293">
        <v>20664</v>
      </c>
      <c r="M3" s="293">
        <v>21550</v>
      </c>
      <c r="N3" s="293">
        <v>22499</v>
      </c>
      <c r="O3" s="293">
        <v>22982</v>
      </c>
      <c r="P3" s="293">
        <v>23456</v>
      </c>
      <c r="Q3" s="293">
        <v>23836</v>
      </c>
      <c r="R3" s="293">
        <v>24093</v>
      </c>
      <c r="S3" s="293">
        <v>24350</v>
      </c>
      <c r="T3" s="293">
        <v>24606</v>
      </c>
      <c r="U3" s="293">
        <v>24994</v>
      </c>
      <c r="V3" s="293">
        <v>25285</v>
      </c>
    </row>
    <row r="4" spans="1:23" x14ac:dyDescent="0.25">
      <c r="A4" s="294" t="s">
        <v>396</v>
      </c>
      <c r="B4" s="292">
        <v>18964</v>
      </c>
      <c r="C4" s="292">
        <v>18721</v>
      </c>
      <c r="D4" s="292">
        <v>18514</v>
      </c>
      <c r="E4" s="292">
        <v>18366</v>
      </c>
      <c r="F4" s="292">
        <v>18279</v>
      </c>
      <c r="G4" s="292">
        <v>18163</v>
      </c>
      <c r="H4" s="292">
        <v>18145</v>
      </c>
    </row>
    <row r="5" spans="1:23" x14ac:dyDescent="0.25">
      <c r="A5" s="291" t="s">
        <v>397</v>
      </c>
      <c r="B5" s="293">
        <v>22165</v>
      </c>
      <c r="C5" s="293">
        <v>22165</v>
      </c>
      <c r="D5" s="293">
        <v>22165</v>
      </c>
      <c r="E5" s="293">
        <v>22165</v>
      </c>
      <c r="F5" s="293">
        <v>22165</v>
      </c>
      <c r="G5" s="293">
        <v>22165</v>
      </c>
      <c r="H5" s="293">
        <v>22165</v>
      </c>
      <c r="I5" s="293">
        <v>22165</v>
      </c>
      <c r="J5" s="293">
        <v>22165</v>
      </c>
      <c r="K5" s="293">
        <v>22165</v>
      </c>
      <c r="L5" s="293">
        <v>22165</v>
      </c>
      <c r="M5" s="293">
        <v>22165</v>
      </c>
      <c r="N5" s="293">
        <v>22165</v>
      </c>
      <c r="O5" s="293">
        <v>22165</v>
      </c>
      <c r="P5" s="293">
        <v>22165</v>
      </c>
      <c r="Q5" s="293">
        <v>22165</v>
      </c>
      <c r="R5" s="293">
        <v>22165</v>
      </c>
      <c r="S5" s="293">
        <v>22165</v>
      </c>
      <c r="T5" s="293">
        <v>22165</v>
      </c>
      <c r="U5" s="293">
        <v>22165</v>
      </c>
      <c r="V5" s="293">
        <v>22165</v>
      </c>
    </row>
    <row r="6" spans="1:23" x14ac:dyDescent="0.25">
      <c r="A6" s="295" t="s">
        <v>398</v>
      </c>
      <c r="B6" s="296"/>
      <c r="C6" s="296"/>
      <c r="D6" s="296"/>
      <c r="E6" s="296"/>
      <c r="F6" s="297">
        <f>SUM(F7:F13)</f>
        <v>25423</v>
      </c>
      <c r="G6" s="297">
        <f t="shared" ref="G6:V6" si="0">SUM(G7:G13)</f>
        <v>25372</v>
      </c>
      <c r="H6" s="297">
        <f t="shared" si="0"/>
        <v>25113</v>
      </c>
      <c r="I6" s="297">
        <f t="shared" si="0"/>
        <v>25025</v>
      </c>
      <c r="J6" s="297">
        <f t="shared" si="0"/>
        <v>25329</v>
      </c>
      <c r="K6" s="297">
        <f t="shared" si="0"/>
        <v>25986</v>
      </c>
      <c r="L6" s="297">
        <f t="shared" si="0"/>
        <v>27054</v>
      </c>
      <c r="M6" s="297">
        <f t="shared" si="0"/>
        <v>28229</v>
      </c>
      <c r="N6" s="297">
        <f t="shared" si="0"/>
        <v>29093</v>
      </c>
      <c r="O6" s="297">
        <f t="shared" si="0"/>
        <v>30303</v>
      </c>
      <c r="P6" s="297">
        <f t="shared" si="0"/>
        <v>31021</v>
      </c>
      <c r="Q6" s="297">
        <f t="shared" si="0"/>
        <v>31526</v>
      </c>
      <c r="R6" s="297">
        <f t="shared" si="0"/>
        <v>31611</v>
      </c>
      <c r="S6" s="297">
        <f t="shared" si="0"/>
        <v>31441</v>
      </c>
      <c r="T6" s="297">
        <f t="shared" si="0"/>
        <v>31531</v>
      </c>
      <c r="U6" s="297">
        <f t="shared" si="0"/>
        <v>31111</v>
      </c>
      <c r="V6" s="297">
        <f t="shared" si="0"/>
        <v>30982</v>
      </c>
    </row>
    <row r="7" spans="1:23" x14ac:dyDescent="0.25">
      <c r="F7" s="298">
        <v>4036</v>
      </c>
      <c r="G7" s="298">
        <v>4008</v>
      </c>
      <c r="H7" s="298">
        <v>4056</v>
      </c>
      <c r="I7" s="298">
        <v>4245</v>
      </c>
      <c r="J7" s="298">
        <v>4476</v>
      </c>
      <c r="K7" s="298">
        <v>4643</v>
      </c>
      <c r="L7" s="298">
        <v>5098</v>
      </c>
      <c r="M7" s="298">
        <v>5196</v>
      </c>
      <c r="N7" s="298">
        <v>4954</v>
      </c>
      <c r="O7" s="298">
        <v>5484</v>
      </c>
      <c r="P7" s="298">
        <v>5220</v>
      </c>
      <c r="Q7" s="298">
        <v>5163</v>
      </c>
      <c r="R7" s="298">
        <v>5184</v>
      </c>
      <c r="S7" s="298">
        <v>5026</v>
      </c>
      <c r="T7" s="298">
        <v>5054</v>
      </c>
      <c r="U7" s="298">
        <v>5054</v>
      </c>
      <c r="V7" s="298">
        <v>5098</v>
      </c>
    </row>
    <row r="8" spans="1:23" x14ac:dyDescent="0.25">
      <c r="F8" s="298">
        <v>3966</v>
      </c>
      <c r="G8" s="298">
        <v>4059</v>
      </c>
      <c r="H8" s="298">
        <v>4025</v>
      </c>
      <c r="I8" s="298">
        <v>4076</v>
      </c>
      <c r="J8" s="298">
        <v>4260</v>
      </c>
      <c r="K8" s="298">
        <v>4481</v>
      </c>
      <c r="L8" s="298">
        <v>4652</v>
      </c>
      <c r="M8" s="298">
        <v>5103</v>
      </c>
      <c r="N8" s="298">
        <v>5201</v>
      </c>
      <c r="O8" s="298">
        <v>4960</v>
      </c>
      <c r="P8" s="298">
        <v>5483</v>
      </c>
      <c r="Q8" s="298">
        <v>5225</v>
      </c>
      <c r="R8" s="298">
        <v>5167</v>
      </c>
      <c r="S8" s="298">
        <v>5187</v>
      </c>
      <c r="T8" s="298">
        <v>5030</v>
      </c>
      <c r="U8" s="298">
        <v>5058</v>
      </c>
      <c r="V8" s="298">
        <v>5058</v>
      </c>
      <c r="W8" s="298"/>
    </row>
    <row r="9" spans="1:23" x14ac:dyDescent="0.25">
      <c r="F9" s="298">
        <v>4201</v>
      </c>
      <c r="G9" s="298">
        <v>3995</v>
      </c>
      <c r="H9" s="298">
        <v>4077</v>
      </c>
      <c r="I9" s="298">
        <v>4050</v>
      </c>
      <c r="J9" s="298">
        <v>4105</v>
      </c>
      <c r="K9" s="298">
        <v>4283</v>
      </c>
      <c r="L9" s="298">
        <v>4503</v>
      </c>
      <c r="M9" s="298">
        <v>4673</v>
      </c>
      <c r="N9" s="298">
        <v>5119</v>
      </c>
      <c r="O9" s="298">
        <v>5216</v>
      </c>
      <c r="P9" s="298">
        <v>4976</v>
      </c>
      <c r="Q9" s="298">
        <v>5497</v>
      </c>
      <c r="R9" s="298">
        <v>5241</v>
      </c>
      <c r="S9" s="298">
        <v>5184</v>
      </c>
      <c r="T9" s="298">
        <v>5201</v>
      </c>
      <c r="U9" s="298">
        <v>5045</v>
      </c>
      <c r="V9" s="298">
        <v>5073</v>
      </c>
      <c r="W9" s="298"/>
    </row>
    <row r="10" spans="1:23" x14ac:dyDescent="0.25">
      <c r="F10" s="298">
        <v>4336</v>
      </c>
      <c r="G10" s="298">
        <v>4241</v>
      </c>
      <c r="H10" s="298">
        <v>4024</v>
      </c>
      <c r="I10" s="298">
        <v>4102</v>
      </c>
      <c r="J10" s="298">
        <v>4076</v>
      </c>
      <c r="K10" s="298">
        <v>4134</v>
      </c>
      <c r="L10" s="298">
        <v>4311</v>
      </c>
      <c r="M10" s="298">
        <v>4529</v>
      </c>
      <c r="N10" s="298">
        <v>4698</v>
      </c>
      <c r="O10" s="298">
        <v>5137</v>
      </c>
      <c r="P10" s="298">
        <v>5234</v>
      </c>
      <c r="Q10" s="298">
        <v>4997</v>
      </c>
      <c r="R10" s="298">
        <v>5515</v>
      </c>
      <c r="S10" s="298">
        <v>5259</v>
      </c>
      <c r="T10" s="298">
        <v>5203</v>
      </c>
      <c r="U10" s="298">
        <v>5220</v>
      </c>
      <c r="V10" s="298">
        <v>5063</v>
      </c>
      <c r="W10" s="298"/>
    </row>
    <row r="11" spans="1:23" x14ac:dyDescent="0.25">
      <c r="F11" s="298">
        <v>4377</v>
      </c>
      <c r="G11" s="298">
        <v>4402</v>
      </c>
      <c r="H11" s="298">
        <v>4293</v>
      </c>
      <c r="I11" s="298">
        <v>4077</v>
      </c>
      <c r="J11" s="298">
        <v>4148</v>
      </c>
      <c r="K11" s="298">
        <v>4119</v>
      </c>
      <c r="L11" s="298">
        <v>4181</v>
      </c>
      <c r="M11" s="298">
        <v>4359</v>
      </c>
      <c r="N11" s="298">
        <v>4577</v>
      </c>
      <c r="O11" s="298">
        <v>4745</v>
      </c>
      <c r="P11" s="298">
        <v>5181</v>
      </c>
      <c r="Q11" s="298">
        <v>5279</v>
      </c>
      <c r="R11" s="298">
        <v>5043</v>
      </c>
      <c r="S11" s="298">
        <v>5559</v>
      </c>
      <c r="T11" s="298">
        <v>5304</v>
      </c>
      <c r="U11" s="298">
        <v>5247</v>
      </c>
      <c r="V11" s="298">
        <v>5264</v>
      </c>
      <c r="W11" s="298"/>
    </row>
    <row r="12" spans="1:23" x14ac:dyDescent="0.25">
      <c r="F12" s="298">
        <v>4507</v>
      </c>
      <c r="G12" s="298">
        <v>4667</v>
      </c>
      <c r="H12" s="298">
        <v>4638</v>
      </c>
      <c r="I12" s="298">
        <v>4475</v>
      </c>
      <c r="J12" s="298">
        <v>4264</v>
      </c>
      <c r="K12" s="298">
        <v>4326</v>
      </c>
      <c r="L12" s="298">
        <v>4309</v>
      </c>
      <c r="M12" s="298">
        <v>4369</v>
      </c>
      <c r="N12" s="298">
        <v>4544</v>
      </c>
      <c r="O12" s="298">
        <v>4761</v>
      </c>
      <c r="P12" s="298">
        <v>4927</v>
      </c>
      <c r="Q12" s="298">
        <v>5365</v>
      </c>
      <c r="R12" s="298">
        <v>5461</v>
      </c>
      <c r="S12" s="298">
        <v>5226</v>
      </c>
      <c r="T12" s="298">
        <v>5739</v>
      </c>
      <c r="U12" s="298">
        <v>5487</v>
      </c>
      <c r="V12" s="298">
        <v>5426</v>
      </c>
      <c r="W12" s="298"/>
    </row>
    <row r="13" spans="1:23" x14ac:dyDescent="0.25">
      <c r="F13" s="298"/>
      <c r="G13" s="298"/>
      <c r="H13" s="298"/>
      <c r="I13" s="298"/>
      <c r="J13" s="298"/>
      <c r="K13" s="298"/>
      <c r="L13" s="298"/>
      <c r="M13" s="298"/>
      <c r="N13" s="298"/>
      <c r="O13" s="298"/>
      <c r="P13" s="298"/>
      <c r="Q13" s="298"/>
      <c r="R13" s="298"/>
      <c r="S13" s="298"/>
      <c r="T13" s="298"/>
      <c r="U13" s="298"/>
      <c r="V13" s="298"/>
      <c r="W13" s="298"/>
    </row>
    <row r="14" spans="1:23" x14ac:dyDescent="0.25">
      <c r="W14" s="298"/>
    </row>
  </sheetData>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P100"/>
  <sheetViews>
    <sheetView workbookViewId="0">
      <selection activeCell="A2" sqref="A2"/>
    </sheetView>
  </sheetViews>
  <sheetFormatPr defaultRowHeight="12.75" x14ac:dyDescent="0.2"/>
  <cols>
    <col min="1" max="1" width="32" style="4" customWidth="1"/>
    <col min="2" max="2" width="42.7109375" style="4" customWidth="1"/>
    <col min="3" max="4" width="6.85546875" style="2" customWidth="1"/>
    <col min="5" max="6" width="5.5703125" style="2" customWidth="1"/>
    <col min="7" max="7" width="6.5703125" style="2" customWidth="1"/>
    <col min="8" max="8" width="6" style="2" customWidth="1"/>
    <col min="9" max="9" width="6.28515625" style="2" customWidth="1"/>
    <col min="10" max="10" width="5.5703125" style="2" customWidth="1"/>
    <col min="11" max="11" width="5.28515625" style="2" customWidth="1"/>
    <col min="12" max="12" width="6.28515625" style="2" customWidth="1"/>
    <col min="13" max="13" width="5.5703125" style="1" customWidth="1"/>
    <col min="14" max="16" width="5.5703125" style="1" bestFit="1" customWidth="1"/>
    <col min="17" max="16384" width="9.140625" style="1"/>
  </cols>
  <sheetData>
    <row r="1" spans="1:16" x14ac:dyDescent="0.2">
      <c r="A1" s="12" t="s">
        <v>128</v>
      </c>
      <c r="B1" s="13"/>
      <c r="C1" s="13"/>
      <c r="D1" s="13"/>
      <c r="E1" s="14"/>
      <c r="F1" s="1"/>
      <c r="G1" s="1"/>
      <c r="H1" s="1"/>
      <c r="I1" s="1"/>
      <c r="J1" s="1"/>
      <c r="K1" s="1"/>
      <c r="L1" s="1"/>
    </row>
    <row r="2" spans="1:16" x14ac:dyDescent="0.2">
      <c r="A2" s="12"/>
      <c r="B2" s="13"/>
      <c r="C2" s="13"/>
      <c r="D2" s="13"/>
      <c r="E2" s="14"/>
      <c r="F2" s="1"/>
      <c r="G2" s="1"/>
      <c r="H2" s="1"/>
      <c r="I2" s="1"/>
      <c r="J2" s="1"/>
      <c r="K2" s="1"/>
      <c r="L2" s="1"/>
    </row>
    <row r="3" spans="1:16" x14ac:dyDescent="0.2">
      <c r="A3" s="16"/>
      <c r="B3" s="17"/>
      <c r="C3" s="15">
        <f>'[2]Catchment Projections'!AS$3</f>
        <v>2019</v>
      </c>
      <c r="D3" s="15">
        <f>'[2]Catchment Projections'!AT$3</f>
        <v>2020</v>
      </c>
      <c r="E3" s="15">
        <f>'[2]Catchment Projections'!AU$3</f>
        <v>2021</v>
      </c>
      <c r="F3" s="15">
        <f>'[2]Catchment Projections'!AV$3</f>
        <v>2022</v>
      </c>
      <c r="G3" s="15">
        <f>'[2]Catchment Projections'!AW$3</f>
        <v>2023</v>
      </c>
      <c r="H3" s="15">
        <f>'[2]Catchment Projections'!AX$3</f>
        <v>2024</v>
      </c>
      <c r="I3" s="15">
        <f>'[2]Catchment Projections'!AY$3</f>
        <v>2025</v>
      </c>
      <c r="J3" s="15">
        <f>'[2]Catchment Projections'!AZ$3</f>
        <v>2026</v>
      </c>
      <c r="K3" s="15">
        <f>'[2]Catchment Projections'!BA$3</f>
        <v>2027</v>
      </c>
      <c r="L3" s="15">
        <f>'[2]Catchment Projections'!BB$3</f>
        <v>2028</v>
      </c>
      <c r="M3" s="15">
        <f>'[2]Catchment Projections'!BC$3</f>
        <v>2029</v>
      </c>
      <c r="N3" s="15">
        <f>'[2]Catchment Projections'!BD$3</f>
        <v>2030</v>
      </c>
      <c r="O3" s="15">
        <f>'[2]Catchment Projections'!BE$3</f>
        <v>2031</v>
      </c>
      <c r="P3" s="15">
        <f>'[2]Catchment Projections'!BF$3</f>
        <v>2032</v>
      </c>
    </row>
    <row r="4" spans="1:16" ht="28.5" customHeight="1" x14ac:dyDescent="0.2">
      <c r="A4" s="10" t="s">
        <v>2</v>
      </c>
      <c r="B4" s="11" t="s">
        <v>3</v>
      </c>
      <c r="C4" s="9" t="s">
        <v>1</v>
      </c>
      <c r="D4" s="9" t="s">
        <v>1</v>
      </c>
      <c r="E4" s="9" t="s">
        <v>1</v>
      </c>
      <c r="F4" s="9" t="s">
        <v>1</v>
      </c>
      <c r="G4" s="9" t="s">
        <v>1</v>
      </c>
      <c r="H4" s="9" t="s">
        <v>1</v>
      </c>
      <c r="I4" s="9" t="s">
        <v>1</v>
      </c>
      <c r="J4" s="9" t="s">
        <v>1</v>
      </c>
      <c r="K4" s="9" t="s">
        <v>1</v>
      </c>
      <c r="L4" s="9" t="s">
        <v>1</v>
      </c>
      <c r="M4" s="9" t="s">
        <v>1</v>
      </c>
      <c r="N4" s="9" t="s">
        <v>1</v>
      </c>
      <c r="O4" s="9" t="s">
        <v>1</v>
      </c>
      <c r="P4" s="9" t="s">
        <v>1</v>
      </c>
    </row>
    <row r="5" spans="1:16" ht="12.75" customHeight="1" x14ac:dyDescent="0.2">
      <c r="A5" s="299" t="s">
        <v>29</v>
      </c>
      <c r="B5" s="300" t="s">
        <v>97</v>
      </c>
      <c r="C5" s="7">
        <f>VLOOKUP($A5,'[1]Catchment Projections'!$A$1:$BZ$90,45,FALSE)</f>
        <v>73</v>
      </c>
      <c r="D5" s="7">
        <f>VLOOKUP($A5,'[1]Catchment Projections'!$A$1:$BZ$90,46,FALSE)</f>
        <v>52</v>
      </c>
      <c r="E5" s="7">
        <f>VLOOKUP($A5,'[1]Catchment Projections'!$A$1:$BZ$90,47,FALSE)</f>
        <v>42</v>
      </c>
      <c r="F5" s="7">
        <f>VLOOKUP($A5,'[1]Catchment Projections'!$A$1:$BZ$90,48,FALSE)</f>
        <v>49</v>
      </c>
      <c r="G5" s="7">
        <f>VLOOKUP($A5,'[1]Catchment Projections'!$A$1:$BZ$90,49,FALSE)</f>
        <v>48</v>
      </c>
      <c r="H5" s="7">
        <f>VLOOKUP($A5,'[1]Catchment Projections'!$A$1:$BZ$90,50,FALSE)</f>
        <v>49</v>
      </c>
      <c r="I5" s="7">
        <f>VLOOKUP($A5,'[1]Catchment Projections'!$A$1:$BZ$90,51,FALSE)</f>
        <v>49</v>
      </c>
      <c r="J5" s="7">
        <f>VLOOKUP($A5,'[1]Catchment Projections'!$A$1:$BZ$90,52,FALSE)</f>
        <v>50</v>
      </c>
      <c r="K5" s="7">
        <f>VLOOKUP($A5,'[1]Catchment Projections'!$A$1:$BZ$90,53,FALSE)</f>
        <v>50</v>
      </c>
      <c r="L5" s="7">
        <f>VLOOKUP($A5,'[1]Catchment Projections'!$A$1:$BZ$90,54,FALSE)</f>
        <v>50</v>
      </c>
      <c r="M5" s="7">
        <f>VLOOKUP($A5,'[1]Catchment Projections'!$A$1:$BZ$90,55,FALSE)</f>
        <v>51</v>
      </c>
      <c r="N5" s="7">
        <f>VLOOKUP($A5,'[1]Catchment Projections'!$A$1:$BZ$90,56,FALSE)</f>
        <v>51</v>
      </c>
      <c r="O5" s="7">
        <f>VLOOKUP($A5,'[1]Catchment Projections'!$A$1:$BZ$90,57,FALSE)</f>
        <v>51</v>
      </c>
      <c r="P5" s="7">
        <f>VLOOKUP($A5,'[1]Catchment Projections'!$A$1:$BZ$90,58,FALSE)</f>
        <v>51</v>
      </c>
    </row>
    <row r="6" spans="1:16" ht="12.75" customHeight="1" x14ac:dyDescent="0.2">
      <c r="A6" s="299" t="s">
        <v>64</v>
      </c>
      <c r="B6" s="300" t="s">
        <v>97</v>
      </c>
      <c r="C6" s="7">
        <f>VLOOKUP($A6,'[1]Catchment Projections'!$A$1:$BZ$90,45,FALSE)</f>
        <v>51</v>
      </c>
      <c r="D6" s="7">
        <f>VLOOKUP($A6,'[1]Catchment Projections'!$A$1:$BZ$90,46,FALSE)</f>
        <v>46</v>
      </c>
      <c r="E6" s="7">
        <f>VLOOKUP($A6,'[1]Catchment Projections'!$A$1:$BZ$90,47,FALSE)</f>
        <v>44</v>
      </c>
      <c r="F6" s="7">
        <f>VLOOKUP($A6,'[1]Catchment Projections'!$A$1:$BZ$90,48,FALSE)</f>
        <v>44</v>
      </c>
      <c r="G6" s="7">
        <f>VLOOKUP($A6,'[1]Catchment Projections'!$A$1:$BZ$90,49,FALSE)</f>
        <v>45</v>
      </c>
      <c r="H6" s="7">
        <f>VLOOKUP($A6,'[1]Catchment Projections'!$A$1:$BZ$90,50,FALSE)</f>
        <v>46</v>
      </c>
      <c r="I6" s="7">
        <f>VLOOKUP($A6,'[1]Catchment Projections'!$A$1:$BZ$90,51,FALSE)</f>
        <v>47</v>
      </c>
      <c r="J6" s="7">
        <f>VLOOKUP($A6,'[1]Catchment Projections'!$A$1:$BZ$90,52,FALSE)</f>
        <v>47</v>
      </c>
      <c r="K6" s="7">
        <f>VLOOKUP($A6,'[1]Catchment Projections'!$A$1:$BZ$90,53,FALSE)</f>
        <v>47</v>
      </c>
      <c r="L6" s="7">
        <f>VLOOKUP($A6,'[1]Catchment Projections'!$A$1:$BZ$90,54,FALSE)</f>
        <v>48</v>
      </c>
      <c r="M6" s="7">
        <f>VLOOKUP($A6,'[1]Catchment Projections'!$A$1:$BZ$90,55,FALSE)</f>
        <v>48</v>
      </c>
      <c r="N6" s="7">
        <f>VLOOKUP($A6,'[1]Catchment Projections'!$A$1:$BZ$90,56,FALSE)</f>
        <v>48</v>
      </c>
      <c r="O6" s="7">
        <f>VLOOKUP($A6,'[1]Catchment Projections'!$A$1:$BZ$90,57,FALSE)</f>
        <v>48</v>
      </c>
      <c r="P6" s="7">
        <f>VLOOKUP($A6,'[1]Catchment Projections'!$A$1:$BZ$90,58,FALSE)</f>
        <v>48</v>
      </c>
    </row>
    <row r="7" spans="1:16" ht="12.75" customHeight="1" x14ac:dyDescent="0.2">
      <c r="A7" s="302" t="s">
        <v>11</v>
      </c>
      <c r="B7" s="303" t="s">
        <v>92</v>
      </c>
      <c r="C7" s="7">
        <f>VLOOKUP($A7,'[1]Catchment Projections'!$A$1:$BZ$90,45,FALSE)</f>
        <v>86</v>
      </c>
      <c r="D7" s="7">
        <f>VLOOKUP($A7,'[1]Catchment Projections'!$A$1:$BZ$90,46,FALSE)</f>
        <v>71</v>
      </c>
      <c r="E7" s="7">
        <f>VLOOKUP($A7,'[1]Catchment Projections'!$A$1:$BZ$90,47,FALSE)</f>
        <v>73</v>
      </c>
      <c r="F7" s="7">
        <f>VLOOKUP($A7,'[1]Catchment Projections'!$A$1:$BZ$90,48,FALSE)</f>
        <v>86</v>
      </c>
      <c r="G7" s="7">
        <f>VLOOKUP($A7,'[1]Catchment Projections'!$A$1:$BZ$90,49,FALSE)</f>
        <v>77</v>
      </c>
      <c r="H7" s="7">
        <f>VLOOKUP($A7,'[1]Catchment Projections'!$A$1:$BZ$90,50,FALSE)</f>
        <v>79</v>
      </c>
      <c r="I7" s="7">
        <f>VLOOKUP($A7,'[1]Catchment Projections'!$A$1:$BZ$90,51,FALSE)</f>
        <v>80</v>
      </c>
      <c r="J7" s="7">
        <f>VLOOKUP($A7,'[1]Catchment Projections'!$A$1:$BZ$90,52,FALSE)</f>
        <v>80</v>
      </c>
      <c r="K7" s="7">
        <f>VLOOKUP($A7,'[1]Catchment Projections'!$A$1:$BZ$90,53,FALSE)</f>
        <v>81</v>
      </c>
      <c r="L7" s="7">
        <f>VLOOKUP($A7,'[1]Catchment Projections'!$A$1:$BZ$90,54,FALSE)</f>
        <v>82</v>
      </c>
      <c r="M7" s="7">
        <f>VLOOKUP($A7,'[1]Catchment Projections'!$A$1:$BZ$90,55,FALSE)</f>
        <v>82</v>
      </c>
      <c r="N7" s="7">
        <f>VLOOKUP($A7,'[1]Catchment Projections'!$A$1:$BZ$90,56,FALSE)</f>
        <v>82</v>
      </c>
      <c r="O7" s="7">
        <f>VLOOKUP($A7,'[1]Catchment Projections'!$A$1:$BZ$90,57,FALSE)</f>
        <v>82</v>
      </c>
      <c r="P7" s="7">
        <f>VLOOKUP($A7,'[1]Catchment Projections'!$A$1:$BZ$90,58,FALSE)</f>
        <v>82</v>
      </c>
    </row>
    <row r="8" spans="1:16" ht="12.75" customHeight="1" x14ac:dyDescent="0.2">
      <c r="A8" s="302" t="s">
        <v>12</v>
      </c>
      <c r="B8" s="303" t="s">
        <v>92</v>
      </c>
      <c r="C8" s="7">
        <f>VLOOKUP($A8,'[1]Catchment Projections'!$A$1:$BZ$90,45,FALSE)</f>
        <v>58</v>
      </c>
      <c r="D8" s="7">
        <f>VLOOKUP($A8,'[1]Catchment Projections'!$A$1:$BZ$90,46,FALSE)</f>
        <v>112</v>
      </c>
      <c r="E8" s="7">
        <f>VLOOKUP($A8,'[1]Catchment Projections'!$A$1:$BZ$90,47,FALSE)</f>
        <v>44</v>
      </c>
      <c r="F8" s="7">
        <f>VLOOKUP($A8,'[1]Catchment Projections'!$A$1:$BZ$90,48,FALSE)</f>
        <v>54</v>
      </c>
      <c r="G8" s="7">
        <f>VLOOKUP($A8,'[1]Catchment Projections'!$A$1:$BZ$90,49,FALSE)</f>
        <v>54</v>
      </c>
      <c r="H8" s="7">
        <f>VLOOKUP($A8,'[1]Catchment Projections'!$A$1:$BZ$90,50,FALSE)</f>
        <v>55</v>
      </c>
      <c r="I8" s="7">
        <f>VLOOKUP($A8,'[1]Catchment Projections'!$A$1:$BZ$90,51,FALSE)</f>
        <v>56</v>
      </c>
      <c r="J8" s="7">
        <f>VLOOKUP($A8,'[1]Catchment Projections'!$A$1:$BZ$90,52,FALSE)</f>
        <v>56</v>
      </c>
      <c r="K8" s="7">
        <f>VLOOKUP($A8,'[1]Catchment Projections'!$A$1:$BZ$90,53,FALSE)</f>
        <v>57</v>
      </c>
      <c r="L8" s="7">
        <f>VLOOKUP($A8,'[1]Catchment Projections'!$A$1:$BZ$90,54,FALSE)</f>
        <v>57</v>
      </c>
      <c r="M8" s="7">
        <f>VLOOKUP($A8,'[1]Catchment Projections'!$A$1:$BZ$90,55,FALSE)</f>
        <v>57</v>
      </c>
      <c r="N8" s="7">
        <f>VLOOKUP($A8,'[1]Catchment Projections'!$A$1:$BZ$90,56,FALSE)</f>
        <v>57</v>
      </c>
      <c r="O8" s="7">
        <f>VLOOKUP($A8,'[1]Catchment Projections'!$A$1:$BZ$90,57,FALSE)</f>
        <v>57</v>
      </c>
      <c r="P8" s="7">
        <f>VLOOKUP($A8,'[1]Catchment Projections'!$A$1:$BZ$90,58,FALSE)</f>
        <v>57</v>
      </c>
    </row>
    <row r="9" spans="1:16" ht="12.75" customHeight="1" x14ac:dyDescent="0.2">
      <c r="A9" s="302" t="s">
        <v>69</v>
      </c>
      <c r="B9" s="303" t="s">
        <v>92</v>
      </c>
      <c r="C9" s="7">
        <f>VLOOKUP($A9,'[1]Catchment Projections'!$A$1:$BZ$90,45,FALSE)</f>
        <v>87</v>
      </c>
      <c r="D9" s="7">
        <f>VLOOKUP($A9,'[1]Catchment Projections'!$A$1:$BZ$90,46,FALSE)</f>
        <v>86</v>
      </c>
      <c r="E9" s="7">
        <f>VLOOKUP($A9,'[1]Catchment Projections'!$A$1:$BZ$90,47,FALSE)</f>
        <v>105</v>
      </c>
      <c r="F9" s="7">
        <f>VLOOKUP($A9,'[1]Catchment Projections'!$A$1:$BZ$90,48,FALSE)</f>
        <v>82</v>
      </c>
      <c r="G9" s="7">
        <f>VLOOKUP($A9,'[1]Catchment Projections'!$A$1:$BZ$90,49,FALSE)</f>
        <v>92</v>
      </c>
      <c r="H9" s="7">
        <f>VLOOKUP($A9,'[1]Catchment Projections'!$A$1:$BZ$90,50,FALSE)</f>
        <v>93</v>
      </c>
      <c r="I9" s="7">
        <f>VLOOKUP($A9,'[1]Catchment Projections'!$A$1:$BZ$90,51,FALSE)</f>
        <v>94</v>
      </c>
      <c r="J9" s="7">
        <f>VLOOKUP($A9,'[1]Catchment Projections'!$A$1:$BZ$90,52,FALSE)</f>
        <v>95</v>
      </c>
      <c r="K9" s="7">
        <f>VLOOKUP($A9,'[1]Catchment Projections'!$A$1:$BZ$90,53,FALSE)</f>
        <v>96</v>
      </c>
      <c r="L9" s="7">
        <f>VLOOKUP($A9,'[1]Catchment Projections'!$A$1:$BZ$90,54,FALSE)</f>
        <v>96</v>
      </c>
      <c r="M9" s="7">
        <f>VLOOKUP($A9,'[1]Catchment Projections'!$A$1:$BZ$90,55,FALSE)</f>
        <v>96</v>
      </c>
      <c r="N9" s="7">
        <f>VLOOKUP($A9,'[1]Catchment Projections'!$A$1:$BZ$90,56,FALSE)</f>
        <v>97</v>
      </c>
      <c r="O9" s="7">
        <f>VLOOKUP($A9,'[1]Catchment Projections'!$A$1:$BZ$90,57,FALSE)</f>
        <v>97</v>
      </c>
      <c r="P9" s="7">
        <f>VLOOKUP($A9,'[1]Catchment Projections'!$A$1:$BZ$90,58,FALSE)</f>
        <v>97</v>
      </c>
    </row>
    <row r="10" spans="1:16" ht="12.75" customHeight="1" x14ac:dyDescent="0.2">
      <c r="A10" s="304" t="s">
        <v>33</v>
      </c>
      <c r="B10" s="305" t="s">
        <v>93</v>
      </c>
      <c r="C10" s="7">
        <f>VLOOKUP($A10,'[1]Catchment Projections'!$A$1:$BZ$90,45,FALSE)</f>
        <v>54</v>
      </c>
      <c r="D10" s="7">
        <f>VLOOKUP($A10,'[1]Catchment Projections'!$A$1:$BZ$90,46,FALSE)</f>
        <v>63</v>
      </c>
      <c r="E10" s="7">
        <f>VLOOKUP($A10,'[1]Catchment Projections'!$A$1:$BZ$90,47,FALSE)</f>
        <v>49</v>
      </c>
      <c r="F10" s="7">
        <f>VLOOKUP($A10,'[1]Catchment Projections'!$A$1:$BZ$90,48,FALSE)</f>
        <v>43</v>
      </c>
      <c r="G10" s="7">
        <f>VLOOKUP($A10,'[1]Catchment Projections'!$A$1:$BZ$90,49,FALSE)</f>
        <v>53</v>
      </c>
      <c r="H10" s="7">
        <f>VLOOKUP($A10,'[1]Catchment Projections'!$A$1:$BZ$90,50,FALSE)</f>
        <v>54</v>
      </c>
      <c r="I10" s="7">
        <f>VLOOKUP($A10,'[1]Catchment Projections'!$A$1:$BZ$90,51,FALSE)</f>
        <v>54</v>
      </c>
      <c r="J10" s="7">
        <f>VLOOKUP($A10,'[1]Catchment Projections'!$A$1:$BZ$90,52,FALSE)</f>
        <v>55</v>
      </c>
      <c r="K10" s="7">
        <f>VLOOKUP($A10,'[1]Catchment Projections'!$A$1:$BZ$90,53,FALSE)</f>
        <v>55</v>
      </c>
      <c r="L10" s="7">
        <f>VLOOKUP($A10,'[1]Catchment Projections'!$A$1:$BZ$90,54,FALSE)</f>
        <v>55</v>
      </c>
      <c r="M10" s="7">
        <f>VLOOKUP($A10,'[1]Catchment Projections'!$A$1:$BZ$90,55,FALSE)</f>
        <v>55</v>
      </c>
      <c r="N10" s="7">
        <f>VLOOKUP($A10,'[1]Catchment Projections'!$A$1:$BZ$90,56,FALSE)</f>
        <v>55</v>
      </c>
      <c r="O10" s="7">
        <f>VLOOKUP($A10,'[1]Catchment Projections'!$A$1:$BZ$90,57,FALSE)</f>
        <v>55</v>
      </c>
      <c r="P10" s="7">
        <f>VLOOKUP($A10,'[1]Catchment Projections'!$A$1:$BZ$90,58,FALSE)</f>
        <v>55</v>
      </c>
    </row>
    <row r="11" spans="1:16" ht="12.75" customHeight="1" x14ac:dyDescent="0.2">
      <c r="A11" s="304" t="s">
        <v>34</v>
      </c>
      <c r="B11" s="305" t="s">
        <v>93</v>
      </c>
      <c r="C11" s="7">
        <f>VLOOKUP($A11,'[1]Catchment Projections'!$A$1:$BZ$90,45,FALSE)</f>
        <v>79</v>
      </c>
      <c r="D11" s="7">
        <f>VLOOKUP($A11,'[1]Catchment Projections'!$A$1:$BZ$90,46,FALSE)</f>
        <v>79</v>
      </c>
      <c r="E11" s="7">
        <f>VLOOKUP($A11,'[1]Catchment Projections'!$A$1:$BZ$90,47,FALSE)</f>
        <v>71</v>
      </c>
      <c r="F11" s="7">
        <f>VLOOKUP($A11,'[1]Catchment Projections'!$A$1:$BZ$90,48,FALSE)</f>
        <v>73</v>
      </c>
      <c r="G11" s="7">
        <f>VLOOKUP($A11,'[1]Catchment Projections'!$A$1:$BZ$90,49,FALSE)</f>
        <v>76</v>
      </c>
      <c r="H11" s="7">
        <f>VLOOKUP($A11,'[1]Catchment Projections'!$A$1:$BZ$90,50,FALSE)</f>
        <v>77</v>
      </c>
      <c r="I11" s="7">
        <f>VLOOKUP($A11,'[1]Catchment Projections'!$A$1:$BZ$90,51,FALSE)</f>
        <v>78</v>
      </c>
      <c r="J11" s="7">
        <f>VLOOKUP($A11,'[1]Catchment Projections'!$A$1:$BZ$90,52,FALSE)</f>
        <v>78</v>
      </c>
      <c r="K11" s="7">
        <f>VLOOKUP($A11,'[1]Catchment Projections'!$A$1:$BZ$90,53,FALSE)</f>
        <v>79</v>
      </c>
      <c r="L11" s="7">
        <f>VLOOKUP($A11,'[1]Catchment Projections'!$A$1:$BZ$90,54,FALSE)</f>
        <v>79</v>
      </c>
      <c r="M11" s="7">
        <f>VLOOKUP($A11,'[1]Catchment Projections'!$A$1:$BZ$90,55,FALSE)</f>
        <v>80</v>
      </c>
      <c r="N11" s="7">
        <f>VLOOKUP($A11,'[1]Catchment Projections'!$A$1:$BZ$90,56,FALSE)</f>
        <v>80</v>
      </c>
      <c r="O11" s="7">
        <f>VLOOKUP($A11,'[1]Catchment Projections'!$A$1:$BZ$90,57,FALSE)</f>
        <v>80</v>
      </c>
      <c r="P11" s="7">
        <f>VLOOKUP($A11,'[1]Catchment Projections'!$A$1:$BZ$90,58,FALSE)</f>
        <v>80</v>
      </c>
    </row>
    <row r="12" spans="1:16" ht="12.75" customHeight="1" x14ac:dyDescent="0.2">
      <c r="A12" s="304" t="s">
        <v>40</v>
      </c>
      <c r="B12" s="305" t="s">
        <v>93</v>
      </c>
      <c r="C12" s="7">
        <f>VLOOKUP($A12,'[1]Catchment Projections'!$A$1:$BZ$90,45,FALSE)</f>
        <v>84</v>
      </c>
      <c r="D12" s="7">
        <f>VLOOKUP($A12,'[1]Catchment Projections'!$A$1:$BZ$90,46,FALSE)</f>
        <v>93</v>
      </c>
      <c r="E12" s="7">
        <f>VLOOKUP($A12,'[1]Catchment Projections'!$A$1:$BZ$90,47,FALSE)</f>
        <v>99</v>
      </c>
      <c r="F12" s="7">
        <f>VLOOKUP($A12,'[1]Catchment Projections'!$A$1:$BZ$90,48,FALSE)</f>
        <v>95</v>
      </c>
      <c r="G12" s="7">
        <f>VLOOKUP($A12,'[1]Catchment Projections'!$A$1:$BZ$90,49,FALSE)</f>
        <v>97</v>
      </c>
      <c r="H12" s="7">
        <f>VLOOKUP($A12,'[1]Catchment Projections'!$A$1:$BZ$90,50,FALSE)</f>
        <v>99</v>
      </c>
      <c r="I12" s="7">
        <f>VLOOKUP($A12,'[1]Catchment Projections'!$A$1:$BZ$90,51,FALSE)</f>
        <v>99</v>
      </c>
      <c r="J12" s="7">
        <f>VLOOKUP($A12,'[1]Catchment Projections'!$A$1:$BZ$90,52,FALSE)</f>
        <v>100</v>
      </c>
      <c r="K12" s="7">
        <f>VLOOKUP($A12,'[1]Catchment Projections'!$A$1:$BZ$90,53,FALSE)</f>
        <v>101</v>
      </c>
      <c r="L12" s="7">
        <f>VLOOKUP($A12,'[1]Catchment Projections'!$A$1:$BZ$90,54,FALSE)</f>
        <v>102</v>
      </c>
      <c r="M12" s="7">
        <f>VLOOKUP($A12,'[1]Catchment Projections'!$A$1:$BZ$90,55,FALSE)</f>
        <v>102</v>
      </c>
      <c r="N12" s="7">
        <f>VLOOKUP($A12,'[1]Catchment Projections'!$A$1:$BZ$90,56,FALSE)</f>
        <v>103</v>
      </c>
      <c r="O12" s="7">
        <f>VLOOKUP($A12,'[1]Catchment Projections'!$A$1:$BZ$90,57,FALSE)</f>
        <v>103</v>
      </c>
      <c r="P12" s="7">
        <f>VLOOKUP($A12,'[1]Catchment Projections'!$A$1:$BZ$90,58,FALSE)</f>
        <v>103</v>
      </c>
    </row>
    <row r="13" spans="1:16" ht="12.75" customHeight="1" x14ac:dyDescent="0.2">
      <c r="A13" s="304" t="s">
        <v>84</v>
      </c>
      <c r="B13" s="305" t="s">
        <v>93</v>
      </c>
      <c r="C13" s="7">
        <f>VLOOKUP($A13,'[1]Catchment Projections'!$A$1:$BZ$90,45,FALSE)</f>
        <v>36</v>
      </c>
      <c r="D13" s="7">
        <f>VLOOKUP($A13,'[1]Catchment Projections'!$A$1:$BZ$90,46,FALSE)</f>
        <v>29</v>
      </c>
      <c r="E13" s="7">
        <f>VLOOKUP($A13,'[1]Catchment Projections'!$A$1:$BZ$90,47,FALSE)</f>
        <v>33</v>
      </c>
      <c r="F13" s="7">
        <f>VLOOKUP($A13,'[1]Catchment Projections'!$A$1:$BZ$90,48,FALSE)</f>
        <v>25</v>
      </c>
      <c r="G13" s="7">
        <f>VLOOKUP($A13,'[1]Catchment Projections'!$A$1:$BZ$90,49,FALSE)</f>
        <v>29</v>
      </c>
      <c r="H13" s="7">
        <f>VLOOKUP($A13,'[1]Catchment Projections'!$A$1:$BZ$90,50,FALSE)</f>
        <v>29</v>
      </c>
      <c r="I13" s="7">
        <f>VLOOKUP($A13,'[1]Catchment Projections'!$A$1:$BZ$90,51,FALSE)</f>
        <v>30</v>
      </c>
      <c r="J13" s="7">
        <f>VLOOKUP($A13,'[1]Catchment Projections'!$A$1:$BZ$90,52,FALSE)</f>
        <v>30</v>
      </c>
      <c r="K13" s="7">
        <f>VLOOKUP($A13,'[1]Catchment Projections'!$A$1:$BZ$90,53,FALSE)</f>
        <v>30</v>
      </c>
      <c r="L13" s="7">
        <f>VLOOKUP($A13,'[1]Catchment Projections'!$A$1:$BZ$90,54,FALSE)</f>
        <v>31</v>
      </c>
      <c r="M13" s="7">
        <f>VLOOKUP($A13,'[1]Catchment Projections'!$A$1:$BZ$90,55,FALSE)</f>
        <v>31</v>
      </c>
      <c r="N13" s="7">
        <f>VLOOKUP($A13,'[1]Catchment Projections'!$A$1:$BZ$90,56,FALSE)</f>
        <v>31</v>
      </c>
      <c r="O13" s="7">
        <f>VLOOKUP($A13,'[1]Catchment Projections'!$A$1:$BZ$90,57,FALSE)</f>
        <v>31</v>
      </c>
      <c r="P13" s="7">
        <f>VLOOKUP($A13,'[1]Catchment Projections'!$A$1:$BZ$90,58,FALSE)</f>
        <v>31</v>
      </c>
    </row>
    <row r="14" spans="1:16" ht="12.75" customHeight="1" x14ac:dyDescent="0.2">
      <c r="A14" s="306" t="s">
        <v>15</v>
      </c>
      <c r="B14" s="307" t="s">
        <v>98</v>
      </c>
      <c r="C14" s="7">
        <f>VLOOKUP($A14,'[1]Catchment Projections'!$A$1:$BZ$90,45,FALSE)</f>
        <v>51</v>
      </c>
      <c r="D14" s="7">
        <f>VLOOKUP($A14,'[1]Catchment Projections'!$A$1:$BZ$90,46,FALSE)</f>
        <v>60</v>
      </c>
      <c r="E14" s="7">
        <f>VLOOKUP($A14,'[1]Catchment Projections'!$A$1:$BZ$90,47,FALSE)</f>
        <v>80</v>
      </c>
      <c r="F14" s="7">
        <f>VLOOKUP($A14,'[1]Catchment Projections'!$A$1:$BZ$90,48,FALSE)</f>
        <v>73</v>
      </c>
      <c r="G14" s="7">
        <f>VLOOKUP($A14,'[1]Catchment Projections'!$A$1:$BZ$90,49,FALSE)</f>
        <v>72</v>
      </c>
      <c r="H14" s="7">
        <f>VLOOKUP($A14,'[1]Catchment Projections'!$A$1:$BZ$90,50,FALSE)</f>
        <v>73</v>
      </c>
      <c r="I14" s="7">
        <f>VLOOKUP($A14,'[1]Catchment Projections'!$A$1:$BZ$90,51,FALSE)</f>
        <v>73</v>
      </c>
      <c r="J14" s="7">
        <f>VLOOKUP($A14,'[1]Catchment Projections'!$A$1:$BZ$90,52,FALSE)</f>
        <v>74</v>
      </c>
      <c r="K14" s="7">
        <f>VLOOKUP($A14,'[1]Catchment Projections'!$A$1:$BZ$90,53,FALSE)</f>
        <v>75</v>
      </c>
      <c r="L14" s="7">
        <f>VLOOKUP($A14,'[1]Catchment Projections'!$A$1:$BZ$90,54,FALSE)</f>
        <v>75</v>
      </c>
      <c r="M14" s="7">
        <f>VLOOKUP($A14,'[1]Catchment Projections'!$A$1:$BZ$90,55,FALSE)</f>
        <v>76</v>
      </c>
      <c r="N14" s="7">
        <f>VLOOKUP($A14,'[1]Catchment Projections'!$A$1:$BZ$90,56,FALSE)</f>
        <v>76</v>
      </c>
      <c r="O14" s="7">
        <f>VLOOKUP($A14,'[1]Catchment Projections'!$A$1:$BZ$90,57,FALSE)</f>
        <v>76</v>
      </c>
      <c r="P14" s="7">
        <f>VLOOKUP($A14,'[1]Catchment Projections'!$A$1:$BZ$90,58,FALSE)</f>
        <v>76</v>
      </c>
    </row>
    <row r="15" spans="1:16" ht="12.75" customHeight="1" x14ac:dyDescent="0.2">
      <c r="A15" s="306" t="s">
        <v>55</v>
      </c>
      <c r="B15" s="307" t="s">
        <v>98</v>
      </c>
      <c r="C15" s="7">
        <f>VLOOKUP($A15,'[1]Catchment Projections'!$A$1:$BZ$90,45,FALSE)</f>
        <v>7</v>
      </c>
      <c r="D15" s="7">
        <f>VLOOKUP($A15,'[1]Catchment Projections'!$A$1:$BZ$90,46,FALSE)</f>
        <v>17</v>
      </c>
      <c r="E15" s="7">
        <f>VLOOKUP($A15,'[1]Catchment Projections'!$A$1:$BZ$90,47,FALSE)</f>
        <v>12</v>
      </c>
      <c r="F15" s="7">
        <f>VLOOKUP($A15,'[1]Catchment Projections'!$A$1:$BZ$90,48,FALSE)</f>
        <v>17</v>
      </c>
      <c r="G15" s="7">
        <f>VLOOKUP($A15,'[1]Catchment Projections'!$A$1:$BZ$90,49,FALSE)</f>
        <v>15</v>
      </c>
      <c r="H15" s="7">
        <f>VLOOKUP($A15,'[1]Catchment Projections'!$A$1:$BZ$90,50,FALSE)</f>
        <v>16</v>
      </c>
      <c r="I15" s="7">
        <f>VLOOKUP($A15,'[1]Catchment Projections'!$A$1:$BZ$90,51,FALSE)</f>
        <v>16</v>
      </c>
      <c r="J15" s="7">
        <f>VLOOKUP($A15,'[1]Catchment Projections'!$A$1:$BZ$90,52,FALSE)</f>
        <v>16</v>
      </c>
      <c r="K15" s="7">
        <f>VLOOKUP($A15,'[1]Catchment Projections'!$A$1:$BZ$90,53,FALSE)</f>
        <v>16</v>
      </c>
      <c r="L15" s="7">
        <f>VLOOKUP($A15,'[1]Catchment Projections'!$A$1:$BZ$90,54,FALSE)</f>
        <v>16</v>
      </c>
      <c r="M15" s="7">
        <f>VLOOKUP($A15,'[1]Catchment Projections'!$A$1:$BZ$90,55,FALSE)</f>
        <v>16</v>
      </c>
      <c r="N15" s="7">
        <f>VLOOKUP($A15,'[1]Catchment Projections'!$A$1:$BZ$90,56,FALSE)</f>
        <v>16</v>
      </c>
      <c r="O15" s="7">
        <f>VLOOKUP($A15,'[1]Catchment Projections'!$A$1:$BZ$90,57,FALSE)</f>
        <v>16</v>
      </c>
      <c r="P15" s="7">
        <f>VLOOKUP($A15,'[1]Catchment Projections'!$A$1:$BZ$90,58,FALSE)</f>
        <v>16</v>
      </c>
    </row>
    <row r="16" spans="1:16" ht="12.75" customHeight="1" x14ac:dyDescent="0.2">
      <c r="A16" s="306" t="s">
        <v>56</v>
      </c>
      <c r="B16" s="307" t="s">
        <v>98</v>
      </c>
      <c r="C16" s="7">
        <f>VLOOKUP($A16,'[1]Catchment Projections'!$A$1:$BZ$90,45,FALSE)</f>
        <v>67</v>
      </c>
      <c r="D16" s="7">
        <f>VLOOKUP($A16,'[1]Catchment Projections'!$A$1:$BZ$90,46,FALSE)</f>
        <v>60</v>
      </c>
      <c r="E16" s="7">
        <f>VLOOKUP($A16,'[1]Catchment Projections'!$A$1:$BZ$90,47,FALSE)</f>
        <v>62</v>
      </c>
      <c r="F16" s="7">
        <f>VLOOKUP($A16,'[1]Catchment Projections'!$A$1:$BZ$90,48,FALSE)</f>
        <v>77</v>
      </c>
      <c r="G16" s="7">
        <f>VLOOKUP($A16,'[1]Catchment Projections'!$A$1:$BZ$90,49,FALSE)</f>
        <v>67</v>
      </c>
      <c r="H16" s="7">
        <f>VLOOKUP($A16,'[1]Catchment Projections'!$A$1:$BZ$90,50,FALSE)</f>
        <v>68</v>
      </c>
      <c r="I16" s="7">
        <f>VLOOKUP($A16,'[1]Catchment Projections'!$A$1:$BZ$90,51,FALSE)</f>
        <v>69</v>
      </c>
      <c r="J16" s="7">
        <f>VLOOKUP($A16,'[1]Catchment Projections'!$A$1:$BZ$90,52,FALSE)</f>
        <v>70</v>
      </c>
      <c r="K16" s="7">
        <f>VLOOKUP($A16,'[1]Catchment Projections'!$A$1:$BZ$90,53,FALSE)</f>
        <v>70</v>
      </c>
      <c r="L16" s="7">
        <f>VLOOKUP($A16,'[1]Catchment Projections'!$A$1:$BZ$90,54,FALSE)</f>
        <v>70</v>
      </c>
      <c r="M16" s="7">
        <f>VLOOKUP($A16,'[1]Catchment Projections'!$A$1:$BZ$90,55,FALSE)</f>
        <v>70</v>
      </c>
      <c r="N16" s="7">
        <f>VLOOKUP($A16,'[1]Catchment Projections'!$A$1:$BZ$90,56,FALSE)</f>
        <v>71</v>
      </c>
      <c r="O16" s="7">
        <f>VLOOKUP($A16,'[1]Catchment Projections'!$A$1:$BZ$90,57,FALSE)</f>
        <v>71</v>
      </c>
      <c r="P16" s="7">
        <f>VLOOKUP($A16,'[1]Catchment Projections'!$A$1:$BZ$90,58,FALSE)</f>
        <v>71</v>
      </c>
    </row>
    <row r="17" spans="1:16" ht="12.75" customHeight="1" x14ac:dyDescent="0.2">
      <c r="A17" s="308" t="s">
        <v>19</v>
      </c>
      <c r="B17" s="309" t="s">
        <v>94</v>
      </c>
      <c r="C17" s="7">
        <f>VLOOKUP($A17,'[1]Catchment Projections'!$A$1:$BZ$90,45,FALSE)</f>
        <v>65</v>
      </c>
      <c r="D17" s="7">
        <f>VLOOKUP($A17,'[1]Catchment Projections'!$A$1:$BZ$90,46,FALSE)</f>
        <v>76</v>
      </c>
      <c r="E17" s="7">
        <f>VLOOKUP($A17,'[1]Catchment Projections'!$A$1:$BZ$90,47,FALSE)</f>
        <v>66</v>
      </c>
      <c r="F17" s="7">
        <f>VLOOKUP($A17,'[1]Catchment Projections'!$A$1:$BZ$90,48,FALSE)</f>
        <v>62</v>
      </c>
      <c r="G17" s="7">
        <f>VLOOKUP($A17,'[1]Catchment Projections'!$A$1:$BZ$90,49,FALSE)</f>
        <v>69</v>
      </c>
      <c r="H17" s="7">
        <f>VLOOKUP($A17,'[1]Catchment Projections'!$A$1:$BZ$90,50,FALSE)</f>
        <v>70</v>
      </c>
      <c r="I17" s="7">
        <f>VLOOKUP($A17,'[1]Catchment Projections'!$A$1:$BZ$90,51,FALSE)</f>
        <v>71</v>
      </c>
      <c r="J17" s="7">
        <f>VLOOKUP($A17,'[1]Catchment Projections'!$A$1:$BZ$90,52,FALSE)</f>
        <v>71</v>
      </c>
      <c r="K17" s="7">
        <f>VLOOKUP($A17,'[1]Catchment Projections'!$A$1:$BZ$90,53,FALSE)</f>
        <v>72</v>
      </c>
      <c r="L17" s="7">
        <f>VLOOKUP($A17,'[1]Catchment Projections'!$A$1:$BZ$90,54,FALSE)</f>
        <v>72</v>
      </c>
      <c r="M17" s="7">
        <f>VLOOKUP($A17,'[1]Catchment Projections'!$A$1:$BZ$90,55,FALSE)</f>
        <v>72</v>
      </c>
      <c r="N17" s="7">
        <f>VLOOKUP($A17,'[1]Catchment Projections'!$A$1:$BZ$90,56,FALSE)</f>
        <v>72</v>
      </c>
      <c r="O17" s="7">
        <f>VLOOKUP($A17,'[1]Catchment Projections'!$A$1:$BZ$90,57,FALSE)</f>
        <v>72</v>
      </c>
      <c r="P17" s="7">
        <f>VLOOKUP($A17,'[1]Catchment Projections'!$A$1:$BZ$90,58,FALSE)</f>
        <v>72</v>
      </c>
    </row>
    <row r="18" spans="1:16" ht="12.75" customHeight="1" x14ac:dyDescent="0.2">
      <c r="A18" s="308" t="s">
        <v>31</v>
      </c>
      <c r="B18" s="309" t="s">
        <v>94</v>
      </c>
      <c r="C18" s="7">
        <f>VLOOKUP($A18,'[1]Catchment Projections'!$A$1:$BZ$90,45,FALSE)</f>
        <v>67</v>
      </c>
      <c r="D18" s="7">
        <f>VLOOKUP($A18,'[1]Catchment Projections'!$A$1:$BZ$90,46,FALSE)</f>
        <v>61</v>
      </c>
      <c r="E18" s="7">
        <f>VLOOKUP($A18,'[1]Catchment Projections'!$A$1:$BZ$90,47,FALSE)</f>
        <v>48</v>
      </c>
      <c r="F18" s="7">
        <f>VLOOKUP($A18,'[1]Catchment Projections'!$A$1:$BZ$90,48,FALSE)</f>
        <v>69</v>
      </c>
      <c r="G18" s="7">
        <f>VLOOKUP($A18,'[1]Catchment Projections'!$A$1:$BZ$90,49,FALSE)</f>
        <v>60</v>
      </c>
      <c r="H18" s="7">
        <f>VLOOKUP($A18,'[1]Catchment Projections'!$A$1:$BZ$90,50,FALSE)</f>
        <v>61</v>
      </c>
      <c r="I18" s="7">
        <f>VLOOKUP($A18,'[1]Catchment Projections'!$A$1:$BZ$90,51,FALSE)</f>
        <v>62</v>
      </c>
      <c r="J18" s="7">
        <f>VLOOKUP($A18,'[1]Catchment Projections'!$A$1:$BZ$90,52,FALSE)</f>
        <v>63</v>
      </c>
      <c r="K18" s="7">
        <f>VLOOKUP($A18,'[1]Catchment Projections'!$A$1:$BZ$90,53,FALSE)</f>
        <v>63</v>
      </c>
      <c r="L18" s="7">
        <f>VLOOKUP($A18,'[1]Catchment Projections'!$A$1:$BZ$90,54,FALSE)</f>
        <v>63</v>
      </c>
      <c r="M18" s="7">
        <f>VLOOKUP($A18,'[1]Catchment Projections'!$A$1:$BZ$90,55,FALSE)</f>
        <v>64</v>
      </c>
      <c r="N18" s="7">
        <f>VLOOKUP($A18,'[1]Catchment Projections'!$A$1:$BZ$90,56,FALSE)</f>
        <v>64</v>
      </c>
      <c r="O18" s="7">
        <f>VLOOKUP($A18,'[1]Catchment Projections'!$A$1:$BZ$90,57,FALSE)</f>
        <v>64</v>
      </c>
      <c r="P18" s="7">
        <f>VLOOKUP($A18,'[1]Catchment Projections'!$A$1:$BZ$90,58,FALSE)</f>
        <v>64</v>
      </c>
    </row>
    <row r="19" spans="1:16" ht="12.75" customHeight="1" x14ac:dyDescent="0.2">
      <c r="A19" s="308" t="s">
        <v>36</v>
      </c>
      <c r="B19" s="309" t="s">
        <v>94</v>
      </c>
      <c r="C19" s="7">
        <f>VLOOKUP($A19,'[1]Catchment Projections'!$A$1:$BZ$90,45,FALSE)</f>
        <v>41</v>
      </c>
      <c r="D19" s="7">
        <f>VLOOKUP($A19,'[1]Catchment Projections'!$A$1:$BZ$90,46,FALSE)</f>
        <v>56</v>
      </c>
      <c r="E19" s="7">
        <f>VLOOKUP($A19,'[1]Catchment Projections'!$A$1:$BZ$90,47,FALSE)</f>
        <v>46</v>
      </c>
      <c r="F19" s="7">
        <f>VLOOKUP($A19,'[1]Catchment Projections'!$A$1:$BZ$90,48,FALSE)</f>
        <v>42</v>
      </c>
      <c r="G19" s="7">
        <f>VLOOKUP($A19,'[1]Catchment Projections'!$A$1:$BZ$90,49,FALSE)</f>
        <v>49</v>
      </c>
      <c r="H19" s="7">
        <f>VLOOKUP($A19,'[1]Catchment Projections'!$A$1:$BZ$90,50,FALSE)</f>
        <v>49</v>
      </c>
      <c r="I19" s="7">
        <f>VLOOKUP($A19,'[1]Catchment Projections'!$A$1:$BZ$90,51,FALSE)</f>
        <v>49</v>
      </c>
      <c r="J19" s="7">
        <f>VLOOKUP($A19,'[1]Catchment Projections'!$A$1:$BZ$90,52,FALSE)</f>
        <v>50</v>
      </c>
      <c r="K19" s="7">
        <f>VLOOKUP($A19,'[1]Catchment Projections'!$A$1:$BZ$90,53,FALSE)</f>
        <v>50</v>
      </c>
      <c r="L19" s="7">
        <f>VLOOKUP($A19,'[1]Catchment Projections'!$A$1:$BZ$90,54,FALSE)</f>
        <v>51</v>
      </c>
      <c r="M19" s="7">
        <f>VLOOKUP($A19,'[1]Catchment Projections'!$A$1:$BZ$90,55,FALSE)</f>
        <v>51</v>
      </c>
      <c r="N19" s="7">
        <f>VLOOKUP($A19,'[1]Catchment Projections'!$A$1:$BZ$90,56,FALSE)</f>
        <v>51</v>
      </c>
      <c r="O19" s="7">
        <f>VLOOKUP($A19,'[1]Catchment Projections'!$A$1:$BZ$90,57,FALSE)</f>
        <v>51</v>
      </c>
      <c r="P19" s="7">
        <f>VLOOKUP($A19,'[1]Catchment Projections'!$A$1:$BZ$90,58,FALSE)</f>
        <v>51</v>
      </c>
    </row>
    <row r="20" spans="1:16" ht="12.75" customHeight="1" x14ac:dyDescent="0.2">
      <c r="A20" s="308" t="s">
        <v>43</v>
      </c>
      <c r="B20" s="309" t="s">
        <v>94</v>
      </c>
      <c r="C20" s="7">
        <f>VLOOKUP($A20,'[1]Catchment Projections'!$A$1:$BZ$90,45,FALSE)</f>
        <v>14</v>
      </c>
      <c r="D20" s="7">
        <f>VLOOKUP($A20,'[1]Catchment Projections'!$A$1:$BZ$90,46,FALSE)</f>
        <v>7</v>
      </c>
      <c r="E20" s="7">
        <f>VLOOKUP($A20,'[1]Catchment Projections'!$A$1:$BZ$90,47,FALSE)</f>
        <v>16</v>
      </c>
      <c r="F20" s="7">
        <f>VLOOKUP($A20,'[1]Catchment Projections'!$A$1:$BZ$90,48,FALSE)</f>
        <v>14</v>
      </c>
      <c r="G20" s="7">
        <f>VLOOKUP($A20,'[1]Catchment Projections'!$A$1:$BZ$90,49,FALSE)</f>
        <v>13</v>
      </c>
      <c r="H20" s="7">
        <f>VLOOKUP($A20,'[1]Catchment Projections'!$A$1:$BZ$90,50,FALSE)</f>
        <v>13</v>
      </c>
      <c r="I20" s="7">
        <f>VLOOKUP($A20,'[1]Catchment Projections'!$A$1:$BZ$90,51,FALSE)</f>
        <v>13</v>
      </c>
      <c r="J20" s="7">
        <f>VLOOKUP($A20,'[1]Catchment Projections'!$A$1:$BZ$90,52,FALSE)</f>
        <v>13</v>
      </c>
      <c r="K20" s="7">
        <f>VLOOKUP($A20,'[1]Catchment Projections'!$A$1:$BZ$90,53,FALSE)</f>
        <v>13</v>
      </c>
      <c r="L20" s="7">
        <f>VLOOKUP($A20,'[1]Catchment Projections'!$A$1:$BZ$90,54,FALSE)</f>
        <v>13</v>
      </c>
      <c r="M20" s="7">
        <f>VLOOKUP($A20,'[1]Catchment Projections'!$A$1:$BZ$90,55,FALSE)</f>
        <v>13</v>
      </c>
      <c r="N20" s="7">
        <f>VLOOKUP($A20,'[1]Catchment Projections'!$A$1:$BZ$90,56,FALSE)</f>
        <v>13</v>
      </c>
      <c r="O20" s="7">
        <f>VLOOKUP($A20,'[1]Catchment Projections'!$A$1:$BZ$90,57,FALSE)</f>
        <v>13</v>
      </c>
      <c r="P20" s="7">
        <f>VLOOKUP($A20,'[1]Catchment Projections'!$A$1:$BZ$90,58,FALSE)</f>
        <v>13</v>
      </c>
    </row>
    <row r="21" spans="1:16" ht="12.75" customHeight="1" x14ac:dyDescent="0.2">
      <c r="A21" s="308" t="s">
        <v>65</v>
      </c>
      <c r="B21" s="309" t="s">
        <v>94</v>
      </c>
      <c r="C21" s="7">
        <f>VLOOKUP($A21,'[1]Catchment Projections'!$A$1:$BZ$90,45,FALSE)</f>
        <v>32</v>
      </c>
      <c r="D21" s="7">
        <f>VLOOKUP($A21,'[1]Catchment Projections'!$A$1:$BZ$90,46,FALSE)</f>
        <v>27</v>
      </c>
      <c r="E21" s="7">
        <f>VLOOKUP($A21,'[1]Catchment Projections'!$A$1:$BZ$90,47,FALSE)</f>
        <v>35</v>
      </c>
      <c r="F21" s="7">
        <f>VLOOKUP($A21,'[1]Catchment Projections'!$A$1:$BZ$90,48,FALSE)</f>
        <v>20</v>
      </c>
      <c r="G21" s="7">
        <f>VLOOKUP($A21,'[1]Catchment Projections'!$A$1:$BZ$90,49,FALSE)</f>
        <v>28</v>
      </c>
      <c r="H21" s="7">
        <f>VLOOKUP($A21,'[1]Catchment Projections'!$A$1:$BZ$90,50,FALSE)</f>
        <v>28</v>
      </c>
      <c r="I21" s="7">
        <f>VLOOKUP($A21,'[1]Catchment Projections'!$A$1:$BZ$90,51,FALSE)</f>
        <v>28</v>
      </c>
      <c r="J21" s="7">
        <f>VLOOKUP($A21,'[1]Catchment Projections'!$A$1:$BZ$90,52,FALSE)</f>
        <v>29</v>
      </c>
      <c r="K21" s="7">
        <f>VLOOKUP($A21,'[1]Catchment Projections'!$A$1:$BZ$90,53,FALSE)</f>
        <v>29</v>
      </c>
      <c r="L21" s="7">
        <f>VLOOKUP($A21,'[1]Catchment Projections'!$A$1:$BZ$90,54,FALSE)</f>
        <v>29</v>
      </c>
      <c r="M21" s="7">
        <f>VLOOKUP($A21,'[1]Catchment Projections'!$A$1:$BZ$90,55,FALSE)</f>
        <v>29</v>
      </c>
      <c r="N21" s="7">
        <f>VLOOKUP($A21,'[1]Catchment Projections'!$A$1:$BZ$90,56,FALSE)</f>
        <v>29</v>
      </c>
      <c r="O21" s="7">
        <f>VLOOKUP($A21,'[1]Catchment Projections'!$A$1:$BZ$90,57,FALSE)</f>
        <v>29</v>
      </c>
      <c r="P21" s="7">
        <f>VLOOKUP($A21,'[1]Catchment Projections'!$A$1:$BZ$90,58,FALSE)</f>
        <v>29</v>
      </c>
    </row>
    <row r="22" spans="1:16" ht="12.75" customHeight="1" x14ac:dyDescent="0.2">
      <c r="A22" s="310" t="s">
        <v>23</v>
      </c>
      <c r="B22" s="311" t="s">
        <v>95</v>
      </c>
      <c r="C22" s="7">
        <f>VLOOKUP($A22,'[1]Catchment Projections'!$A$1:$BZ$90,45,FALSE)</f>
        <v>65</v>
      </c>
      <c r="D22" s="7">
        <f>VLOOKUP($A22,'[1]Catchment Projections'!$A$1:$BZ$90,46,FALSE)</f>
        <v>60</v>
      </c>
      <c r="E22" s="7">
        <f>VLOOKUP($A22,'[1]Catchment Projections'!$A$1:$BZ$90,47,FALSE)</f>
        <v>69</v>
      </c>
      <c r="F22" s="7">
        <f>VLOOKUP($A22,'[1]Catchment Projections'!$A$1:$BZ$90,48,FALSE)</f>
        <v>81</v>
      </c>
      <c r="G22" s="7">
        <f>VLOOKUP($A22,'[1]Catchment Projections'!$A$1:$BZ$90,49,FALSE)</f>
        <v>71</v>
      </c>
      <c r="H22" s="7">
        <f>VLOOKUP($A22,'[1]Catchment Projections'!$A$1:$BZ$90,50,FALSE)</f>
        <v>72</v>
      </c>
      <c r="I22" s="7">
        <f>VLOOKUP($A22,'[1]Catchment Projections'!$A$1:$BZ$90,51,FALSE)</f>
        <v>73</v>
      </c>
      <c r="J22" s="7">
        <f>VLOOKUP($A22,'[1]Catchment Projections'!$A$1:$BZ$90,52,FALSE)</f>
        <v>74</v>
      </c>
      <c r="K22" s="7">
        <f>VLOOKUP($A22,'[1]Catchment Projections'!$A$1:$BZ$90,53,FALSE)</f>
        <v>74</v>
      </c>
      <c r="L22" s="7">
        <f>VLOOKUP($A22,'[1]Catchment Projections'!$A$1:$BZ$90,54,FALSE)</f>
        <v>74</v>
      </c>
      <c r="M22" s="7">
        <f>VLOOKUP($A22,'[1]Catchment Projections'!$A$1:$BZ$90,55,FALSE)</f>
        <v>74</v>
      </c>
      <c r="N22" s="7">
        <f>VLOOKUP($A22,'[1]Catchment Projections'!$A$1:$BZ$90,56,FALSE)</f>
        <v>74</v>
      </c>
      <c r="O22" s="7">
        <f>VLOOKUP($A22,'[1]Catchment Projections'!$A$1:$BZ$90,57,FALSE)</f>
        <v>74</v>
      </c>
      <c r="P22" s="7">
        <f>VLOOKUP($A22,'[1]Catchment Projections'!$A$1:$BZ$90,58,FALSE)</f>
        <v>74</v>
      </c>
    </row>
    <row r="23" spans="1:16" ht="12.75" customHeight="1" x14ac:dyDescent="0.2">
      <c r="A23" s="310" t="s">
        <v>35</v>
      </c>
      <c r="B23" s="311" t="s">
        <v>95</v>
      </c>
      <c r="C23" s="7">
        <f>VLOOKUP($A23,'[1]Catchment Projections'!$A$1:$BZ$90,45,FALSE)</f>
        <v>82</v>
      </c>
      <c r="D23" s="7">
        <f>VLOOKUP($A23,'[1]Catchment Projections'!$A$1:$BZ$90,46,FALSE)</f>
        <v>85</v>
      </c>
      <c r="E23" s="7">
        <f>VLOOKUP($A23,'[1]Catchment Projections'!$A$1:$BZ$90,47,FALSE)</f>
        <v>72</v>
      </c>
      <c r="F23" s="7">
        <f>VLOOKUP($A23,'[1]Catchment Projections'!$A$1:$BZ$90,48,FALSE)</f>
        <v>82</v>
      </c>
      <c r="G23" s="7">
        <f>VLOOKUP($A23,'[1]Catchment Projections'!$A$1:$BZ$90,49,FALSE)</f>
        <v>80</v>
      </c>
      <c r="H23" s="7">
        <f>VLOOKUP($A23,'[1]Catchment Projections'!$A$1:$BZ$90,50,FALSE)</f>
        <v>82</v>
      </c>
      <c r="I23" s="7">
        <f>VLOOKUP($A23,'[1]Catchment Projections'!$A$1:$BZ$90,51,FALSE)</f>
        <v>83</v>
      </c>
      <c r="J23" s="7">
        <f>VLOOKUP($A23,'[1]Catchment Projections'!$A$1:$BZ$90,52,FALSE)</f>
        <v>84</v>
      </c>
      <c r="K23" s="7">
        <f>VLOOKUP($A23,'[1]Catchment Projections'!$A$1:$BZ$90,53,FALSE)</f>
        <v>85</v>
      </c>
      <c r="L23" s="7">
        <f>VLOOKUP($A23,'[1]Catchment Projections'!$A$1:$BZ$90,54,FALSE)</f>
        <v>85</v>
      </c>
      <c r="M23" s="7">
        <f>VLOOKUP($A23,'[1]Catchment Projections'!$A$1:$BZ$90,55,FALSE)</f>
        <v>85</v>
      </c>
      <c r="N23" s="7">
        <f>VLOOKUP($A23,'[1]Catchment Projections'!$A$1:$BZ$90,56,FALSE)</f>
        <v>85</v>
      </c>
      <c r="O23" s="7">
        <f>VLOOKUP($A23,'[1]Catchment Projections'!$A$1:$BZ$90,57,FALSE)</f>
        <v>85</v>
      </c>
      <c r="P23" s="7">
        <f>VLOOKUP($A23,'[1]Catchment Projections'!$A$1:$BZ$90,58,FALSE)</f>
        <v>85</v>
      </c>
    </row>
    <row r="24" spans="1:16" ht="12.75" customHeight="1" x14ac:dyDescent="0.2">
      <c r="A24" s="310" t="s">
        <v>60</v>
      </c>
      <c r="B24" s="311" t="s">
        <v>95</v>
      </c>
      <c r="C24" s="7">
        <f>VLOOKUP($A24,'[1]Catchment Projections'!$A$1:$BZ$90,45,FALSE)</f>
        <v>32</v>
      </c>
      <c r="D24" s="7">
        <f>VLOOKUP($A24,'[1]Catchment Projections'!$A$1:$BZ$90,46,FALSE)</f>
        <v>45</v>
      </c>
      <c r="E24" s="7">
        <f>VLOOKUP($A24,'[1]Catchment Projections'!$A$1:$BZ$90,47,FALSE)</f>
        <v>35</v>
      </c>
      <c r="F24" s="7">
        <f>VLOOKUP($A24,'[1]Catchment Projections'!$A$1:$BZ$90,48,FALSE)</f>
        <v>43</v>
      </c>
      <c r="G24" s="7">
        <f>VLOOKUP($A24,'[1]Catchment Projections'!$A$1:$BZ$90,49,FALSE)</f>
        <v>41</v>
      </c>
      <c r="H24" s="7">
        <f>VLOOKUP($A24,'[1]Catchment Projections'!$A$1:$BZ$90,50,FALSE)</f>
        <v>42</v>
      </c>
      <c r="I24" s="7">
        <f>VLOOKUP($A24,'[1]Catchment Projections'!$A$1:$BZ$90,51,FALSE)</f>
        <v>43</v>
      </c>
      <c r="J24" s="7">
        <f>VLOOKUP($A24,'[1]Catchment Projections'!$A$1:$BZ$90,52,FALSE)</f>
        <v>43</v>
      </c>
      <c r="K24" s="7">
        <f>VLOOKUP($A24,'[1]Catchment Projections'!$A$1:$BZ$90,53,FALSE)</f>
        <v>43</v>
      </c>
      <c r="L24" s="7">
        <f>VLOOKUP($A24,'[1]Catchment Projections'!$A$1:$BZ$90,54,FALSE)</f>
        <v>43</v>
      </c>
      <c r="M24" s="7">
        <f>VLOOKUP($A24,'[1]Catchment Projections'!$A$1:$BZ$90,55,FALSE)</f>
        <v>43</v>
      </c>
      <c r="N24" s="7">
        <f>VLOOKUP($A24,'[1]Catchment Projections'!$A$1:$BZ$90,56,FALSE)</f>
        <v>43</v>
      </c>
      <c r="O24" s="7">
        <f>VLOOKUP($A24,'[1]Catchment Projections'!$A$1:$BZ$90,57,FALSE)</f>
        <v>43</v>
      </c>
      <c r="P24" s="7">
        <f>VLOOKUP($A24,'[1]Catchment Projections'!$A$1:$BZ$90,58,FALSE)</f>
        <v>43</v>
      </c>
    </row>
    <row r="25" spans="1:16" ht="12.75" customHeight="1" x14ac:dyDescent="0.2">
      <c r="A25" s="312" t="s">
        <v>25</v>
      </c>
      <c r="B25" s="313" t="s">
        <v>99</v>
      </c>
      <c r="C25" s="7">
        <f>VLOOKUP($A25,'[1]Catchment Projections'!$A$1:$BZ$90,45,FALSE)</f>
        <v>91</v>
      </c>
      <c r="D25" s="7">
        <f>VLOOKUP($A25,'[1]Catchment Projections'!$A$1:$BZ$90,46,FALSE)</f>
        <v>98</v>
      </c>
      <c r="E25" s="7">
        <f>VLOOKUP($A25,'[1]Catchment Projections'!$A$1:$BZ$90,47,FALSE)</f>
        <v>87</v>
      </c>
      <c r="F25" s="7">
        <f>VLOOKUP($A25,'[1]Catchment Projections'!$A$1:$BZ$90,48,FALSE)</f>
        <v>83</v>
      </c>
      <c r="G25" s="7">
        <f>VLOOKUP($A25,'[1]Catchment Projections'!$A$1:$BZ$90,49,FALSE)</f>
        <v>90</v>
      </c>
      <c r="H25" s="7">
        <f>VLOOKUP($A25,'[1]Catchment Projections'!$A$1:$BZ$90,50,FALSE)</f>
        <v>91</v>
      </c>
      <c r="I25" s="7">
        <f>VLOOKUP($A25,'[1]Catchment Projections'!$A$1:$BZ$90,51,FALSE)</f>
        <v>92</v>
      </c>
      <c r="J25" s="7">
        <f>VLOOKUP($A25,'[1]Catchment Projections'!$A$1:$BZ$90,52,FALSE)</f>
        <v>93</v>
      </c>
      <c r="K25" s="7">
        <f>VLOOKUP($A25,'[1]Catchment Projections'!$A$1:$BZ$90,53,FALSE)</f>
        <v>94</v>
      </c>
      <c r="L25" s="7">
        <f>VLOOKUP($A25,'[1]Catchment Projections'!$A$1:$BZ$90,54,FALSE)</f>
        <v>94</v>
      </c>
      <c r="M25" s="7">
        <f>VLOOKUP($A25,'[1]Catchment Projections'!$A$1:$BZ$90,55,FALSE)</f>
        <v>95</v>
      </c>
      <c r="N25" s="7">
        <f>VLOOKUP($A25,'[1]Catchment Projections'!$A$1:$BZ$90,56,FALSE)</f>
        <v>95</v>
      </c>
      <c r="O25" s="7">
        <f>VLOOKUP($A25,'[1]Catchment Projections'!$A$1:$BZ$90,57,FALSE)</f>
        <v>95</v>
      </c>
      <c r="P25" s="7">
        <f>VLOOKUP($A25,'[1]Catchment Projections'!$A$1:$BZ$90,58,FALSE)</f>
        <v>95</v>
      </c>
    </row>
    <row r="26" spans="1:16" ht="12.75" customHeight="1" x14ac:dyDescent="0.2">
      <c r="A26" s="312" t="s">
        <v>46</v>
      </c>
      <c r="B26" s="313" t="s">
        <v>99</v>
      </c>
      <c r="C26" s="7">
        <f>VLOOKUP($A26,'[1]Catchment Projections'!$A$1:$BZ$90,45,FALSE)</f>
        <v>71</v>
      </c>
      <c r="D26" s="7">
        <f>VLOOKUP($A26,'[1]Catchment Projections'!$A$1:$BZ$90,46,FALSE)</f>
        <v>50</v>
      </c>
      <c r="E26" s="7">
        <f>VLOOKUP($A26,'[1]Catchment Projections'!$A$1:$BZ$90,47,FALSE)</f>
        <v>44</v>
      </c>
      <c r="F26" s="7">
        <f>VLOOKUP($A26,'[1]Catchment Projections'!$A$1:$BZ$90,48,FALSE)</f>
        <v>65</v>
      </c>
      <c r="G26" s="7">
        <f>VLOOKUP($A26,'[1]Catchment Projections'!$A$1:$BZ$90,49,FALSE)</f>
        <v>54</v>
      </c>
      <c r="H26" s="7">
        <f>VLOOKUP($A26,'[1]Catchment Projections'!$A$1:$BZ$90,50,FALSE)</f>
        <v>54</v>
      </c>
      <c r="I26" s="7">
        <f>VLOOKUP($A26,'[1]Catchment Projections'!$A$1:$BZ$90,51,FALSE)</f>
        <v>55</v>
      </c>
      <c r="J26" s="7">
        <f>VLOOKUP($A26,'[1]Catchment Projections'!$A$1:$BZ$90,52,FALSE)</f>
        <v>56</v>
      </c>
      <c r="K26" s="7">
        <f>VLOOKUP($A26,'[1]Catchment Projections'!$A$1:$BZ$90,53,FALSE)</f>
        <v>56</v>
      </c>
      <c r="L26" s="7">
        <f>VLOOKUP($A26,'[1]Catchment Projections'!$A$1:$BZ$90,54,FALSE)</f>
        <v>56</v>
      </c>
      <c r="M26" s="7">
        <f>VLOOKUP($A26,'[1]Catchment Projections'!$A$1:$BZ$90,55,FALSE)</f>
        <v>56</v>
      </c>
      <c r="N26" s="7">
        <f>VLOOKUP($A26,'[1]Catchment Projections'!$A$1:$BZ$90,56,FALSE)</f>
        <v>57</v>
      </c>
      <c r="O26" s="7">
        <f>VLOOKUP($A26,'[1]Catchment Projections'!$A$1:$BZ$90,57,FALSE)</f>
        <v>57</v>
      </c>
      <c r="P26" s="7">
        <f>VLOOKUP($A26,'[1]Catchment Projections'!$A$1:$BZ$90,58,FALSE)</f>
        <v>57</v>
      </c>
    </row>
    <row r="27" spans="1:16" ht="12.75" customHeight="1" x14ac:dyDescent="0.2">
      <c r="A27" s="312" t="s">
        <v>54</v>
      </c>
      <c r="B27" s="313" t="s">
        <v>99</v>
      </c>
      <c r="C27" s="7">
        <f>VLOOKUP($A27,'[1]Catchment Projections'!$A$1:$BZ$90,45,FALSE)</f>
        <v>18</v>
      </c>
      <c r="D27" s="7">
        <f>VLOOKUP($A27,'[1]Catchment Projections'!$A$1:$BZ$90,46,FALSE)</f>
        <v>15</v>
      </c>
      <c r="E27" s="7">
        <f>VLOOKUP($A27,'[1]Catchment Projections'!$A$1:$BZ$90,47,FALSE)</f>
        <v>15</v>
      </c>
      <c r="F27" s="7">
        <f>VLOOKUP($A27,'[1]Catchment Projections'!$A$1:$BZ$90,48,FALSE)</f>
        <v>21</v>
      </c>
      <c r="G27" s="7">
        <f>VLOOKUP($A27,'[1]Catchment Projections'!$A$1:$BZ$90,49,FALSE)</f>
        <v>17</v>
      </c>
      <c r="H27" s="7">
        <f>VLOOKUP($A27,'[1]Catchment Projections'!$A$1:$BZ$90,50,FALSE)</f>
        <v>17</v>
      </c>
      <c r="I27" s="7">
        <f>VLOOKUP($A27,'[1]Catchment Projections'!$A$1:$BZ$90,51,FALSE)</f>
        <v>18</v>
      </c>
      <c r="J27" s="7">
        <f>VLOOKUP($A27,'[1]Catchment Projections'!$A$1:$BZ$90,52,FALSE)</f>
        <v>18</v>
      </c>
      <c r="K27" s="7">
        <f>VLOOKUP($A27,'[1]Catchment Projections'!$A$1:$BZ$90,53,FALSE)</f>
        <v>18</v>
      </c>
      <c r="L27" s="7">
        <f>VLOOKUP($A27,'[1]Catchment Projections'!$A$1:$BZ$90,54,FALSE)</f>
        <v>18</v>
      </c>
      <c r="M27" s="7">
        <f>VLOOKUP($A27,'[1]Catchment Projections'!$A$1:$BZ$90,55,FALSE)</f>
        <v>18</v>
      </c>
      <c r="N27" s="7">
        <f>VLOOKUP($A27,'[1]Catchment Projections'!$A$1:$BZ$90,56,FALSE)</f>
        <v>18</v>
      </c>
      <c r="O27" s="7">
        <f>VLOOKUP($A27,'[1]Catchment Projections'!$A$1:$BZ$90,57,FALSE)</f>
        <v>18</v>
      </c>
      <c r="P27" s="7">
        <f>VLOOKUP($A27,'[1]Catchment Projections'!$A$1:$BZ$90,58,FALSE)</f>
        <v>18</v>
      </c>
    </row>
    <row r="28" spans="1:16" ht="12.75" customHeight="1" x14ac:dyDescent="0.2">
      <c r="A28" s="301" t="s">
        <v>4</v>
      </c>
      <c r="B28" s="315" t="s">
        <v>96</v>
      </c>
      <c r="C28" s="7">
        <f>VLOOKUP($A28,'[1]Catchment Projections'!$A$1:$BZ$90,45,FALSE)</f>
        <v>20</v>
      </c>
      <c r="D28" s="7">
        <f>VLOOKUP($A28,'[1]Catchment Projections'!$A$1:$BZ$90,46,FALSE)</f>
        <v>19</v>
      </c>
      <c r="E28" s="7">
        <f>VLOOKUP($A28,'[1]Catchment Projections'!$A$1:$BZ$90,47,FALSE)</f>
        <v>21</v>
      </c>
      <c r="F28" s="7">
        <f>VLOOKUP($A28,'[1]Catchment Projections'!$A$1:$BZ$90,48,FALSE)</f>
        <v>17</v>
      </c>
      <c r="G28" s="7">
        <f>VLOOKUP($A28,'[1]Catchment Projections'!$A$1:$BZ$90,49,FALSE)</f>
        <v>19</v>
      </c>
      <c r="H28" s="7">
        <f>VLOOKUP($A28,'[1]Catchment Projections'!$A$1:$BZ$90,50,FALSE)</f>
        <v>19</v>
      </c>
      <c r="I28" s="7">
        <f>VLOOKUP($A28,'[1]Catchment Projections'!$A$1:$BZ$90,51,FALSE)</f>
        <v>20</v>
      </c>
      <c r="J28" s="7">
        <f>VLOOKUP($A28,'[1]Catchment Projections'!$A$1:$BZ$90,52,FALSE)</f>
        <v>20</v>
      </c>
      <c r="K28" s="7">
        <f>VLOOKUP($A28,'[1]Catchment Projections'!$A$1:$BZ$90,53,FALSE)</f>
        <v>20</v>
      </c>
      <c r="L28" s="7">
        <f>VLOOKUP($A28,'[1]Catchment Projections'!$A$1:$BZ$90,54,FALSE)</f>
        <v>20</v>
      </c>
      <c r="M28" s="7">
        <f>VLOOKUP($A28,'[1]Catchment Projections'!$A$1:$BZ$90,55,FALSE)</f>
        <v>20</v>
      </c>
      <c r="N28" s="7">
        <f>VLOOKUP($A28,'[1]Catchment Projections'!$A$1:$BZ$90,56,FALSE)</f>
        <v>20</v>
      </c>
      <c r="O28" s="7">
        <f>VLOOKUP($A28,'[1]Catchment Projections'!$A$1:$BZ$90,57,FALSE)</f>
        <v>20</v>
      </c>
      <c r="P28" s="7">
        <f>VLOOKUP($A28,'[1]Catchment Projections'!$A$1:$BZ$90,58,FALSE)</f>
        <v>20</v>
      </c>
    </row>
    <row r="29" spans="1:16" ht="12.75" customHeight="1" x14ac:dyDescent="0.2">
      <c r="A29" s="301" t="s">
        <v>9</v>
      </c>
      <c r="B29" s="315" t="s">
        <v>96</v>
      </c>
      <c r="C29" s="7">
        <f>VLOOKUP($A29,'[1]Catchment Projections'!$A$1:$BZ$90,45,FALSE)</f>
        <v>61</v>
      </c>
      <c r="D29" s="7">
        <f>VLOOKUP($A29,'[1]Catchment Projections'!$A$1:$BZ$90,46,FALSE)</f>
        <v>66</v>
      </c>
      <c r="E29" s="7">
        <f>VLOOKUP($A29,'[1]Catchment Projections'!$A$1:$BZ$90,47,FALSE)</f>
        <v>59</v>
      </c>
      <c r="F29" s="7">
        <f>VLOOKUP($A29,'[1]Catchment Projections'!$A$1:$BZ$90,48,FALSE)</f>
        <v>65</v>
      </c>
      <c r="G29" s="7">
        <f>VLOOKUP($A29,'[1]Catchment Projections'!$A$1:$BZ$90,49,FALSE)</f>
        <v>64</v>
      </c>
      <c r="H29" s="7">
        <f>VLOOKUP($A29,'[1]Catchment Projections'!$A$1:$BZ$90,50,FALSE)</f>
        <v>65</v>
      </c>
      <c r="I29" s="7">
        <f>VLOOKUP($A29,'[1]Catchment Projections'!$A$1:$BZ$90,51,FALSE)</f>
        <v>66</v>
      </c>
      <c r="J29" s="7">
        <f>VLOOKUP($A29,'[1]Catchment Projections'!$A$1:$BZ$90,52,FALSE)</f>
        <v>66</v>
      </c>
      <c r="K29" s="7">
        <f>VLOOKUP($A29,'[1]Catchment Projections'!$A$1:$BZ$90,53,FALSE)</f>
        <v>67</v>
      </c>
      <c r="L29" s="7">
        <f>VLOOKUP($A29,'[1]Catchment Projections'!$A$1:$BZ$90,54,FALSE)</f>
        <v>67</v>
      </c>
      <c r="M29" s="7">
        <f>VLOOKUP($A29,'[1]Catchment Projections'!$A$1:$BZ$90,55,FALSE)</f>
        <v>67</v>
      </c>
      <c r="N29" s="7">
        <f>VLOOKUP($A29,'[1]Catchment Projections'!$A$1:$BZ$90,56,FALSE)</f>
        <v>68</v>
      </c>
      <c r="O29" s="7">
        <f>VLOOKUP($A29,'[1]Catchment Projections'!$A$1:$BZ$90,57,FALSE)</f>
        <v>68</v>
      </c>
      <c r="P29" s="7">
        <f>VLOOKUP($A29,'[1]Catchment Projections'!$A$1:$BZ$90,58,FALSE)</f>
        <v>68</v>
      </c>
    </row>
    <row r="30" spans="1:16" ht="12.75" customHeight="1" x14ac:dyDescent="0.2">
      <c r="A30" s="301" t="s">
        <v>49</v>
      </c>
      <c r="B30" s="315" t="s">
        <v>96</v>
      </c>
      <c r="C30" s="7">
        <f>VLOOKUP($A30,'[1]Catchment Projections'!$A$1:$BZ$90,45,FALSE)</f>
        <v>40</v>
      </c>
      <c r="D30" s="7">
        <f>VLOOKUP($A30,'[1]Catchment Projections'!$A$1:$BZ$90,46,FALSE)</f>
        <v>32</v>
      </c>
      <c r="E30" s="7">
        <f>VLOOKUP($A30,'[1]Catchment Projections'!$A$1:$BZ$90,47,FALSE)</f>
        <v>37</v>
      </c>
      <c r="F30" s="7">
        <f>VLOOKUP($A30,'[1]Catchment Projections'!$A$1:$BZ$90,48,FALSE)</f>
        <v>29</v>
      </c>
      <c r="G30" s="7">
        <f>VLOOKUP($A30,'[1]Catchment Projections'!$A$1:$BZ$90,49,FALSE)</f>
        <v>33</v>
      </c>
      <c r="H30" s="7">
        <f>VLOOKUP($A30,'[1]Catchment Projections'!$A$1:$BZ$90,50,FALSE)</f>
        <v>34</v>
      </c>
      <c r="I30" s="7">
        <f>VLOOKUP($A30,'[1]Catchment Projections'!$A$1:$BZ$90,51,FALSE)</f>
        <v>34</v>
      </c>
      <c r="J30" s="7">
        <f>VLOOKUP($A30,'[1]Catchment Projections'!$A$1:$BZ$90,52,FALSE)</f>
        <v>35</v>
      </c>
      <c r="K30" s="7">
        <f>VLOOKUP($A30,'[1]Catchment Projections'!$A$1:$BZ$90,53,FALSE)</f>
        <v>35</v>
      </c>
      <c r="L30" s="7">
        <f>VLOOKUP($A30,'[1]Catchment Projections'!$A$1:$BZ$90,54,FALSE)</f>
        <v>35</v>
      </c>
      <c r="M30" s="7">
        <f>VLOOKUP($A30,'[1]Catchment Projections'!$A$1:$BZ$90,55,FALSE)</f>
        <v>35</v>
      </c>
      <c r="N30" s="7">
        <f>VLOOKUP($A30,'[1]Catchment Projections'!$A$1:$BZ$90,56,FALSE)</f>
        <v>35</v>
      </c>
      <c r="O30" s="7">
        <f>VLOOKUP($A30,'[1]Catchment Projections'!$A$1:$BZ$90,57,FALSE)</f>
        <v>35</v>
      </c>
      <c r="P30" s="7">
        <f>VLOOKUP($A30,'[1]Catchment Projections'!$A$1:$BZ$90,58,FALSE)</f>
        <v>35</v>
      </c>
    </row>
    <row r="31" spans="1:16" ht="12.75" customHeight="1" x14ac:dyDescent="0.2">
      <c r="A31" s="314" t="s">
        <v>7</v>
      </c>
      <c r="B31" s="345" t="s">
        <v>314</v>
      </c>
      <c r="C31" s="7">
        <f>VLOOKUP($A31,'[1]Catchment Projections'!$A$1:$BZ$90,45,FALSE)</f>
        <v>59</v>
      </c>
      <c r="D31" s="7">
        <f>VLOOKUP($A31,'[1]Catchment Projections'!$A$1:$BZ$90,46,FALSE)</f>
        <v>63</v>
      </c>
      <c r="E31" s="7">
        <f>VLOOKUP($A31,'[1]Catchment Projections'!$A$1:$BZ$90,47,FALSE)</f>
        <v>72</v>
      </c>
      <c r="F31" s="7">
        <f>VLOOKUP($A31,'[1]Catchment Projections'!$A$1:$BZ$90,48,FALSE)</f>
        <v>51</v>
      </c>
      <c r="G31" s="7">
        <f>VLOOKUP($A31,'[1]Catchment Projections'!$A$1:$BZ$90,49,FALSE)</f>
        <v>63</v>
      </c>
      <c r="H31" s="7">
        <f>VLOOKUP($A31,'[1]Catchment Projections'!$A$1:$BZ$90,50,FALSE)</f>
        <v>64</v>
      </c>
      <c r="I31" s="7">
        <f>VLOOKUP($A31,'[1]Catchment Projections'!$A$1:$BZ$90,51,FALSE)</f>
        <v>64</v>
      </c>
      <c r="J31" s="7">
        <f>VLOOKUP($A31,'[1]Catchment Projections'!$A$1:$BZ$90,52,FALSE)</f>
        <v>65</v>
      </c>
      <c r="K31" s="7">
        <f>VLOOKUP($A31,'[1]Catchment Projections'!$A$1:$BZ$90,53,FALSE)</f>
        <v>65</v>
      </c>
      <c r="L31" s="7">
        <f>VLOOKUP($A31,'[1]Catchment Projections'!$A$1:$BZ$90,54,FALSE)</f>
        <v>66</v>
      </c>
      <c r="M31" s="7">
        <f>VLOOKUP($A31,'[1]Catchment Projections'!$A$1:$BZ$90,55,FALSE)</f>
        <v>66</v>
      </c>
      <c r="N31" s="7">
        <f>VLOOKUP($A31,'[1]Catchment Projections'!$A$1:$BZ$90,56,FALSE)</f>
        <v>66</v>
      </c>
      <c r="O31" s="7">
        <f>VLOOKUP($A31,'[1]Catchment Projections'!$A$1:$BZ$90,57,FALSE)</f>
        <v>66</v>
      </c>
      <c r="P31" s="7">
        <f>VLOOKUP($A31,'[1]Catchment Projections'!$A$1:$BZ$90,58,FALSE)</f>
        <v>66</v>
      </c>
    </row>
    <row r="32" spans="1:16" ht="12.75" customHeight="1" x14ac:dyDescent="0.2">
      <c r="A32" s="314" t="s">
        <v>18</v>
      </c>
      <c r="B32" s="345" t="s">
        <v>314</v>
      </c>
      <c r="C32" s="7">
        <f>VLOOKUP($A32,'[1]Catchment Projections'!$A$1:$BZ$90,45,FALSE)</f>
        <v>17</v>
      </c>
      <c r="D32" s="7">
        <f>VLOOKUP($A32,'[1]Catchment Projections'!$A$1:$BZ$90,46,FALSE)</f>
        <v>16</v>
      </c>
      <c r="E32" s="7">
        <f>VLOOKUP($A32,'[1]Catchment Projections'!$A$1:$BZ$90,47,FALSE)</f>
        <v>25</v>
      </c>
      <c r="F32" s="7">
        <f>VLOOKUP($A32,'[1]Catchment Projections'!$A$1:$BZ$90,48,FALSE)</f>
        <v>16</v>
      </c>
      <c r="G32" s="7">
        <f>VLOOKUP($A32,'[1]Catchment Projections'!$A$1:$BZ$90,49,FALSE)</f>
        <v>19</v>
      </c>
      <c r="H32" s="7">
        <f>VLOOKUP($A32,'[1]Catchment Projections'!$A$1:$BZ$90,50,FALSE)</f>
        <v>19</v>
      </c>
      <c r="I32" s="7">
        <f>VLOOKUP($A32,'[1]Catchment Projections'!$A$1:$BZ$90,51,FALSE)</f>
        <v>20</v>
      </c>
      <c r="J32" s="7">
        <f>VLOOKUP($A32,'[1]Catchment Projections'!$A$1:$BZ$90,52,FALSE)</f>
        <v>20</v>
      </c>
      <c r="K32" s="7">
        <f>VLOOKUP($A32,'[1]Catchment Projections'!$A$1:$BZ$90,53,FALSE)</f>
        <v>20</v>
      </c>
      <c r="L32" s="7">
        <f>VLOOKUP($A32,'[1]Catchment Projections'!$A$1:$BZ$90,54,FALSE)</f>
        <v>20</v>
      </c>
      <c r="M32" s="7">
        <f>VLOOKUP($A32,'[1]Catchment Projections'!$A$1:$BZ$90,55,FALSE)</f>
        <v>20</v>
      </c>
      <c r="N32" s="7">
        <f>VLOOKUP($A32,'[1]Catchment Projections'!$A$1:$BZ$90,56,FALSE)</f>
        <v>20</v>
      </c>
      <c r="O32" s="7">
        <f>VLOOKUP($A32,'[1]Catchment Projections'!$A$1:$BZ$90,57,FALSE)</f>
        <v>20</v>
      </c>
      <c r="P32" s="7">
        <f>VLOOKUP($A32,'[1]Catchment Projections'!$A$1:$BZ$90,58,FALSE)</f>
        <v>20</v>
      </c>
    </row>
    <row r="33" spans="1:16" ht="12.75" customHeight="1" x14ac:dyDescent="0.2">
      <c r="A33" s="314" t="s">
        <v>51</v>
      </c>
      <c r="B33" s="345" t="s">
        <v>314</v>
      </c>
      <c r="C33" s="7">
        <f>VLOOKUP($A33,'[1]Catchment Projections'!$A$1:$BZ$90,45,FALSE)</f>
        <v>37</v>
      </c>
      <c r="D33" s="7">
        <f>VLOOKUP($A33,'[1]Catchment Projections'!$A$1:$BZ$90,46,FALSE)</f>
        <v>21</v>
      </c>
      <c r="E33" s="7">
        <f>VLOOKUP($A33,'[1]Catchment Projections'!$A$1:$BZ$90,47,FALSE)</f>
        <v>24</v>
      </c>
      <c r="F33" s="7">
        <f>VLOOKUP($A33,'[1]Catchment Projections'!$A$1:$BZ$90,48,FALSE)</f>
        <v>26</v>
      </c>
      <c r="G33" s="7">
        <f>VLOOKUP($A33,'[1]Catchment Projections'!$A$1:$BZ$90,49,FALSE)</f>
        <v>24</v>
      </c>
      <c r="H33" s="7">
        <f>VLOOKUP($A33,'[1]Catchment Projections'!$A$1:$BZ$90,50,FALSE)</f>
        <v>24</v>
      </c>
      <c r="I33" s="7">
        <f>VLOOKUP($A33,'[1]Catchment Projections'!$A$1:$BZ$90,51,FALSE)</f>
        <v>25</v>
      </c>
      <c r="J33" s="7">
        <f>VLOOKUP($A33,'[1]Catchment Projections'!$A$1:$BZ$90,52,FALSE)</f>
        <v>25</v>
      </c>
      <c r="K33" s="7">
        <f>VLOOKUP($A33,'[1]Catchment Projections'!$A$1:$BZ$90,53,FALSE)</f>
        <v>25</v>
      </c>
      <c r="L33" s="7">
        <f>VLOOKUP($A33,'[1]Catchment Projections'!$A$1:$BZ$90,54,FALSE)</f>
        <v>25</v>
      </c>
      <c r="M33" s="7">
        <f>VLOOKUP($A33,'[1]Catchment Projections'!$A$1:$BZ$90,55,FALSE)</f>
        <v>25</v>
      </c>
      <c r="N33" s="7">
        <f>VLOOKUP($A33,'[1]Catchment Projections'!$A$1:$BZ$90,56,FALSE)</f>
        <v>25</v>
      </c>
      <c r="O33" s="7">
        <f>VLOOKUP($A33,'[1]Catchment Projections'!$A$1:$BZ$90,57,FALSE)</f>
        <v>25</v>
      </c>
      <c r="P33" s="7">
        <f>VLOOKUP($A33,'[1]Catchment Projections'!$A$1:$BZ$90,58,FALSE)</f>
        <v>25</v>
      </c>
    </row>
    <row r="34" spans="1:16" ht="12.75" customHeight="1" x14ac:dyDescent="0.2">
      <c r="A34" s="314" t="s">
        <v>57</v>
      </c>
      <c r="B34" s="345" t="s">
        <v>314</v>
      </c>
      <c r="C34" s="7">
        <f>VLOOKUP($A34,'[1]Catchment Projections'!$A$1:$BZ$90,45,FALSE)</f>
        <v>57</v>
      </c>
      <c r="D34" s="7">
        <f>VLOOKUP($A34,'[1]Catchment Projections'!$A$1:$BZ$90,46,FALSE)</f>
        <v>57</v>
      </c>
      <c r="E34" s="7">
        <f>VLOOKUP($A34,'[1]Catchment Projections'!$A$1:$BZ$90,47,FALSE)</f>
        <v>63</v>
      </c>
      <c r="F34" s="7">
        <f>VLOOKUP($A34,'[1]Catchment Projections'!$A$1:$BZ$90,48,FALSE)</f>
        <v>51</v>
      </c>
      <c r="G34" s="7">
        <f>VLOOKUP($A34,'[1]Catchment Projections'!$A$1:$BZ$90,49,FALSE)</f>
        <v>57</v>
      </c>
      <c r="H34" s="7">
        <f>VLOOKUP($A34,'[1]Catchment Projections'!$A$1:$BZ$90,50,FALSE)</f>
        <v>58</v>
      </c>
      <c r="I34" s="7">
        <f>VLOOKUP($A34,'[1]Catchment Projections'!$A$1:$BZ$90,51,FALSE)</f>
        <v>59</v>
      </c>
      <c r="J34" s="7">
        <f>VLOOKUP($A34,'[1]Catchment Projections'!$A$1:$BZ$90,52,FALSE)</f>
        <v>59</v>
      </c>
      <c r="K34" s="7">
        <f>VLOOKUP($A34,'[1]Catchment Projections'!$A$1:$BZ$90,53,FALSE)</f>
        <v>60</v>
      </c>
      <c r="L34" s="7">
        <f>VLOOKUP($A34,'[1]Catchment Projections'!$A$1:$BZ$90,54,FALSE)</f>
        <v>60</v>
      </c>
      <c r="M34" s="7">
        <f>VLOOKUP($A34,'[1]Catchment Projections'!$A$1:$BZ$90,55,FALSE)</f>
        <v>60</v>
      </c>
      <c r="N34" s="7">
        <f>VLOOKUP($A34,'[1]Catchment Projections'!$A$1:$BZ$90,56,FALSE)</f>
        <v>61</v>
      </c>
      <c r="O34" s="7">
        <f>VLOOKUP($A34,'[1]Catchment Projections'!$A$1:$BZ$90,57,FALSE)</f>
        <v>61</v>
      </c>
      <c r="P34" s="7">
        <f>VLOOKUP($A34,'[1]Catchment Projections'!$A$1:$BZ$90,58,FALSE)</f>
        <v>61</v>
      </c>
    </row>
    <row r="35" spans="1:16" ht="12.75" customHeight="1" x14ac:dyDescent="0.2">
      <c r="A35" s="314" t="s">
        <v>59</v>
      </c>
      <c r="B35" s="345" t="s">
        <v>314</v>
      </c>
      <c r="C35" s="7">
        <f>VLOOKUP($A35,'[1]Catchment Projections'!$A$1:$BZ$90,45,FALSE)</f>
        <v>67</v>
      </c>
      <c r="D35" s="7">
        <f>VLOOKUP($A35,'[1]Catchment Projections'!$A$1:$BZ$90,46,FALSE)</f>
        <v>75</v>
      </c>
      <c r="E35" s="7">
        <f>VLOOKUP($A35,'[1]Catchment Projections'!$A$1:$BZ$90,47,FALSE)</f>
        <v>77</v>
      </c>
      <c r="F35" s="7">
        <f>VLOOKUP($A35,'[1]Catchment Projections'!$A$1:$BZ$90,48,FALSE)</f>
        <v>64</v>
      </c>
      <c r="G35" s="7">
        <f>VLOOKUP($A35,'[1]Catchment Projections'!$A$1:$BZ$90,49,FALSE)</f>
        <v>73</v>
      </c>
      <c r="H35" s="7">
        <f>VLOOKUP($A35,'[1]Catchment Projections'!$A$1:$BZ$90,50,FALSE)</f>
        <v>75</v>
      </c>
      <c r="I35" s="7">
        <f>VLOOKUP($A35,'[1]Catchment Projections'!$A$1:$BZ$90,51,FALSE)</f>
        <v>75</v>
      </c>
      <c r="J35" s="7">
        <f>VLOOKUP($A35,'[1]Catchment Projections'!$A$1:$BZ$90,52,FALSE)</f>
        <v>76</v>
      </c>
      <c r="K35" s="7">
        <f>VLOOKUP($A35,'[1]Catchment Projections'!$A$1:$BZ$90,53,FALSE)</f>
        <v>76</v>
      </c>
      <c r="L35" s="7">
        <f>VLOOKUP($A35,'[1]Catchment Projections'!$A$1:$BZ$90,54,FALSE)</f>
        <v>77</v>
      </c>
      <c r="M35" s="7">
        <f>VLOOKUP($A35,'[1]Catchment Projections'!$A$1:$BZ$90,55,FALSE)</f>
        <v>77</v>
      </c>
      <c r="N35" s="7">
        <f>VLOOKUP($A35,'[1]Catchment Projections'!$A$1:$BZ$90,56,FALSE)</f>
        <v>77</v>
      </c>
      <c r="O35" s="7">
        <f>VLOOKUP($A35,'[1]Catchment Projections'!$A$1:$BZ$90,57,FALSE)</f>
        <v>77</v>
      </c>
      <c r="P35" s="7">
        <f>VLOOKUP($A35,'[1]Catchment Projections'!$A$1:$BZ$90,58,FALSE)</f>
        <v>77</v>
      </c>
    </row>
    <row r="36" spans="1:16" ht="12.75" customHeight="1" x14ac:dyDescent="0.2">
      <c r="A36" s="318" t="s">
        <v>8</v>
      </c>
      <c r="B36" s="319" t="s">
        <v>100</v>
      </c>
      <c r="C36" s="7">
        <f>VLOOKUP($A36,'[1]Catchment Projections'!$A$1:$BZ$90,45,FALSE)</f>
        <v>27</v>
      </c>
      <c r="D36" s="7">
        <f>VLOOKUP($A36,'[1]Catchment Projections'!$A$1:$BZ$90,46,FALSE)</f>
        <v>23</v>
      </c>
      <c r="E36" s="7">
        <f>VLOOKUP($A36,'[1]Catchment Projections'!$A$1:$BZ$90,47,FALSE)</f>
        <v>35</v>
      </c>
      <c r="F36" s="7">
        <f>VLOOKUP($A36,'[1]Catchment Projections'!$A$1:$BZ$90,48,FALSE)</f>
        <v>28</v>
      </c>
      <c r="G36" s="7">
        <f>VLOOKUP($A36,'[1]Catchment Projections'!$A$1:$BZ$90,49,FALSE)</f>
        <v>29</v>
      </c>
      <c r="H36" s="7">
        <f>VLOOKUP($A36,'[1]Catchment Projections'!$A$1:$BZ$90,50,FALSE)</f>
        <v>30</v>
      </c>
      <c r="I36" s="7">
        <f>VLOOKUP($A36,'[1]Catchment Projections'!$A$1:$BZ$90,51,FALSE)</f>
        <v>30</v>
      </c>
      <c r="J36" s="7">
        <f>VLOOKUP($A36,'[1]Catchment Projections'!$A$1:$BZ$90,52,FALSE)</f>
        <v>30</v>
      </c>
      <c r="K36" s="7">
        <f>VLOOKUP($A36,'[1]Catchment Projections'!$A$1:$BZ$90,53,FALSE)</f>
        <v>30</v>
      </c>
      <c r="L36" s="7">
        <f>VLOOKUP($A36,'[1]Catchment Projections'!$A$1:$BZ$90,54,FALSE)</f>
        <v>30</v>
      </c>
      <c r="M36" s="7">
        <f>VLOOKUP($A36,'[1]Catchment Projections'!$A$1:$BZ$90,55,FALSE)</f>
        <v>30</v>
      </c>
      <c r="N36" s="7">
        <f>VLOOKUP($A36,'[1]Catchment Projections'!$A$1:$BZ$90,56,FALSE)</f>
        <v>30</v>
      </c>
      <c r="O36" s="7">
        <f>VLOOKUP($A36,'[1]Catchment Projections'!$A$1:$BZ$90,57,FALSE)</f>
        <v>30</v>
      </c>
      <c r="P36" s="7">
        <f>VLOOKUP($A36,'[1]Catchment Projections'!$A$1:$BZ$90,58,FALSE)</f>
        <v>30</v>
      </c>
    </row>
    <row r="37" spans="1:16" s="8" customFormat="1" ht="12.75" customHeight="1" x14ac:dyDescent="0.2">
      <c r="A37" s="318" t="s">
        <v>14</v>
      </c>
      <c r="B37" s="319" t="s">
        <v>100</v>
      </c>
      <c r="C37" s="7">
        <f>VLOOKUP($A37,'[1]Catchment Projections'!$A$1:$BZ$90,45,FALSE)</f>
        <v>61</v>
      </c>
      <c r="D37" s="7">
        <f>VLOOKUP($A37,'[1]Catchment Projections'!$A$1:$BZ$90,46,FALSE)</f>
        <v>48</v>
      </c>
      <c r="E37" s="7">
        <f>VLOOKUP($A37,'[1]Catchment Projections'!$A$1:$BZ$90,47,FALSE)</f>
        <v>48</v>
      </c>
      <c r="F37" s="7">
        <f>VLOOKUP($A37,'[1]Catchment Projections'!$A$1:$BZ$90,48,FALSE)</f>
        <v>54</v>
      </c>
      <c r="G37" s="7">
        <f>VLOOKUP($A37,'[1]Catchment Projections'!$A$1:$BZ$90,49,FALSE)</f>
        <v>50</v>
      </c>
      <c r="H37" s="7">
        <f>VLOOKUP($A37,'[1]Catchment Projections'!$A$1:$BZ$90,50,FALSE)</f>
        <v>51</v>
      </c>
      <c r="I37" s="7">
        <f>VLOOKUP($A37,'[1]Catchment Projections'!$A$1:$BZ$90,51,FALSE)</f>
        <v>52</v>
      </c>
      <c r="J37" s="7">
        <f>VLOOKUP($A37,'[1]Catchment Projections'!$A$1:$BZ$90,52,FALSE)</f>
        <v>52</v>
      </c>
      <c r="K37" s="7">
        <f>VLOOKUP($A37,'[1]Catchment Projections'!$A$1:$BZ$90,53,FALSE)</f>
        <v>52</v>
      </c>
      <c r="L37" s="7">
        <f>VLOOKUP($A37,'[1]Catchment Projections'!$A$1:$BZ$90,54,FALSE)</f>
        <v>53</v>
      </c>
      <c r="M37" s="7">
        <f>VLOOKUP($A37,'[1]Catchment Projections'!$A$1:$BZ$90,55,FALSE)</f>
        <v>53</v>
      </c>
      <c r="N37" s="7">
        <f>VLOOKUP($A37,'[1]Catchment Projections'!$A$1:$BZ$90,56,FALSE)</f>
        <v>53</v>
      </c>
      <c r="O37" s="7">
        <f>VLOOKUP($A37,'[1]Catchment Projections'!$A$1:$BZ$90,57,FALSE)</f>
        <v>53</v>
      </c>
      <c r="P37" s="7">
        <f>VLOOKUP($A37,'[1]Catchment Projections'!$A$1:$BZ$90,58,FALSE)</f>
        <v>53</v>
      </c>
    </row>
    <row r="38" spans="1:16" ht="12.75" customHeight="1" x14ac:dyDescent="0.2">
      <c r="A38" s="318" t="s">
        <v>41</v>
      </c>
      <c r="B38" s="319" t="s">
        <v>100</v>
      </c>
      <c r="C38" s="7">
        <f>VLOOKUP($A38,'[1]Catchment Projections'!$A$1:$BZ$90,45,FALSE)</f>
        <v>64</v>
      </c>
      <c r="D38" s="7">
        <f>VLOOKUP($A38,'[1]Catchment Projections'!$A$1:$BZ$90,46,FALSE)</f>
        <v>67</v>
      </c>
      <c r="E38" s="7">
        <f>VLOOKUP($A38,'[1]Catchment Projections'!$A$1:$BZ$90,47,FALSE)</f>
        <v>66</v>
      </c>
      <c r="F38" s="7">
        <f>VLOOKUP($A38,'[1]Catchment Projections'!$A$1:$BZ$90,48,FALSE)</f>
        <v>73</v>
      </c>
      <c r="G38" s="7">
        <f>VLOOKUP($A38,'[1]Catchment Projections'!$A$1:$BZ$90,49,FALSE)</f>
        <v>69</v>
      </c>
      <c r="H38" s="7">
        <f>VLOOKUP($A38,'[1]Catchment Projections'!$A$1:$BZ$90,50,FALSE)</f>
        <v>70</v>
      </c>
      <c r="I38" s="7">
        <f>VLOOKUP($A38,'[1]Catchment Projections'!$A$1:$BZ$90,51,FALSE)</f>
        <v>71</v>
      </c>
      <c r="J38" s="7">
        <f>VLOOKUP($A38,'[1]Catchment Projections'!$A$1:$BZ$90,52,FALSE)</f>
        <v>72</v>
      </c>
      <c r="K38" s="7">
        <f>VLOOKUP($A38,'[1]Catchment Projections'!$A$1:$BZ$90,53,FALSE)</f>
        <v>73</v>
      </c>
      <c r="L38" s="7">
        <f>VLOOKUP($A38,'[1]Catchment Projections'!$A$1:$BZ$90,54,FALSE)</f>
        <v>73</v>
      </c>
      <c r="M38" s="7">
        <f>VLOOKUP($A38,'[1]Catchment Projections'!$A$1:$BZ$90,55,FALSE)</f>
        <v>73</v>
      </c>
      <c r="N38" s="7">
        <f>VLOOKUP($A38,'[1]Catchment Projections'!$A$1:$BZ$90,56,FALSE)</f>
        <v>73</v>
      </c>
      <c r="O38" s="7">
        <f>VLOOKUP($A38,'[1]Catchment Projections'!$A$1:$BZ$90,57,FALSE)</f>
        <v>73</v>
      </c>
      <c r="P38" s="7">
        <f>VLOOKUP($A38,'[1]Catchment Projections'!$A$1:$BZ$90,58,FALSE)</f>
        <v>73</v>
      </c>
    </row>
    <row r="39" spans="1:16" ht="12.75" customHeight="1" x14ac:dyDescent="0.2">
      <c r="A39" s="318" t="s">
        <v>53</v>
      </c>
      <c r="B39" s="319" t="s">
        <v>100</v>
      </c>
      <c r="C39" s="7">
        <f>VLOOKUP($A39,'[1]Catchment Projections'!$A$1:$BZ$90,45,FALSE)</f>
        <v>55</v>
      </c>
      <c r="D39" s="7">
        <f>VLOOKUP($A39,'[1]Catchment Projections'!$A$1:$BZ$90,46,FALSE)</f>
        <v>45</v>
      </c>
      <c r="E39" s="7">
        <f>VLOOKUP($A39,'[1]Catchment Projections'!$A$1:$BZ$90,47,FALSE)</f>
        <v>33</v>
      </c>
      <c r="F39" s="7">
        <f>VLOOKUP($A39,'[1]Catchment Projections'!$A$1:$BZ$90,48,FALSE)</f>
        <v>49</v>
      </c>
      <c r="G39" s="7">
        <f>VLOOKUP($A39,'[1]Catchment Projections'!$A$1:$BZ$90,49,FALSE)</f>
        <v>43</v>
      </c>
      <c r="H39" s="7">
        <f>VLOOKUP($A39,'[1]Catchment Projections'!$A$1:$BZ$90,50,FALSE)</f>
        <v>43</v>
      </c>
      <c r="I39" s="7">
        <f>VLOOKUP($A39,'[1]Catchment Projections'!$A$1:$BZ$90,51,FALSE)</f>
        <v>43</v>
      </c>
      <c r="J39" s="7">
        <f>VLOOKUP($A39,'[1]Catchment Projections'!$A$1:$BZ$90,52,FALSE)</f>
        <v>44</v>
      </c>
      <c r="K39" s="7">
        <f>VLOOKUP($A39,'[1]Catchment Projections'!$A$1:$BZ$90,53,FALSE)</f>
        <v>44</v>
      </c>
      <c r="L39" s="7">
        <f>VLOOKUP($A39,'[1]Catchment Projections'!$A$1:$BZ$90,54,FALSE)</f>
        <v>45</v>
      </c>
      <c r="M39" s="7">
        <f>VLOOKUP($A39,'[1]Catchment Projections'!$A$1:$BZ$90,55,FALSE)</f>
        <v>45</v>
      </c>
      <c r="N39" s="7">
        <f>VLOOKUP($A39,'[1]Catchment Projections'!$A$1:$BZ$90,56,FALSE)</f>
        <v>45</v>
      </c>
      <c r="O39" s="7">
        <f>VLOOKUP($A39,'[1]Catchment Projections'!$A$1:$BZ$90,57,FALSE)</f>
        <v>45</v>
      </c>
      <c r="P39" s="7">
        <f>VLOOKUP($A39,'[1]Catchment Projections'!$A$1:$BZ$90,58,FALSE)</f>
        <v>45</v>
      </c>
    </row>
    <row r="40" spans="1:16" ht="12.75" customHeight="1" x14ac:dyDescent="0.2">
      <c r="A40" s="320" t="s">
        <v>39</v>
      </c>
      <c r="B40" s="321" t="s">
        <v>101</v>
      </c>
      <c r="C40" s="7">
        <f>VLOOKUP($A40,'[1]Catchment Projections'!$A$1:$BZ$90,45,FALSE)</f>
        <v>79</v>
      </c>
      <c r="D40" s="7">
        <f>VLOOKUP($A40,'[1]Catchment Projections'!$A$1:$BZ$90,46,FALSE)</f>
        <v>70</v>
      </c>
      <c r="E40" s="7">
        <f>VLOOKUP($A40,'[1]Catchment Projections'!$A$1:$BZ$90,47,FALSE)</f>
        <v>88</v>
      </c>
      <c r="F40" s="7">
        <f>VLOOKUP($A40,'[1]Catchment Projections'!$A$1:$BZ$90,48,FALSE)</f>
        <v>73</v>
      </c>
      <c r="G40" s="7">
        <f>VLOOKUP($A40,'[1]Catchment Projections'!$A$1:$BZ$90,49,FALSE)</f>
        <v>79</v>
      </c>
      <c r="H40" s="7">
        <f>VLOOKUP($A40,'[1]Catchment Projections'!$A$1:$BZ$90,50,FALSE)</f>
        <v>79</v>
      </c>
      <c r="I40" s="7">
        <f>VLOOKUP($A40,'[1]Catchment Projections'!$A$1:$BZ$90,51,FALSE)</f>
        <v>80</v>
      </c>
      <c r="J40" s="7">
        <f>VLOOKUP($A40,'[1]Catchment Projections'!$A$1:$BZ$90,52,FALSE)</f>
        <v>81</v>
      </c>
      <c r="K40" s="7">
        <f>VLOOKUP($A40,'[1]Catchment Projections'!$A$1:$BZ$90,53,FALSE)</f>
        <v>82</v>
      </c>
      <c r="L40" s="7">
        <f>VLOOKUP($A40,'[1]Catchment Projections'!$A$1:$BZ$90,54,FALSE)</f>
        <v>82</v>
      </c>
      <c r="M40" s="7">
        <f>VLOOKUP($A40,'[1]Catchment Projections'!$A$1:$BZ$90,55,FALSE)</f>
        <v>82</v>
      </c>
      <c r="N40" s="7">
        <f>VLOOKUP($A40,'[1]Catchment Projections'!$A$1:$BZ$90,56,FALSE)</f>
        <v>82</v>
      </c>
      <c r="O40" s="7">
        <f>VLOOKUP($A40,'[1]Catchment Projections'!$A$1:$BZ$90,57,FALSE)</f>
        <v>82</v>
      </c>
      <c r="P40" s="7">
        <f>VLOOKUP($A40,'[1]Catchment Projections'!$A$1:$BZ$90,58,FALSE)</f>
        <v>82</v>
      </c>
    </row>
    <row r="41" spans="1:16" ht="12.75" customHeight="1" x14ac:dyDescent="0.2">
      <c r="A41" s="322" t="s">
        <v>70</v>
      </c>
      <c r="B41" s="323" t="s">
        <v>102</v>
      </c>
      <c r="C41" s="18">
        <f>VLOOKUP($A41,'[1]Catchment Projections'!$A$1:$BZ$90,45,FALSE)</f>
        <v>28</v>
      </c>
      <c r="D41" s="18">
        <f>VLOOKUP($A41,'[1]Catchment Projections'!$A$1:$BZ$90,46,FALSE)</f>
        <v>28</v>
      </c>
      <c r="E41" s="18">
        <f>VLOOKUP($A41,'[1]Catchment Projections'!$A$1:$BZ$90,47,FALSE)</f>
        <v>32</v>
      </c>
      <c r="F41" s="18">
        <f>VLOOKUP($A41,'[1]Catchment Projections'!$A$1:$BZ$90,48,FALSE)</f>
        <v>27</v>
      </c>
      <c r="G41" s="18">
        <f>VLOOKUP($A41,'[1]Catchment Projections'!$A$1:$BZ$90,49,FALSE)</f>
        <v>29</v>
      </c>
      <c r="H41" s="18">
        <f>VLOOKUP($A41,'[1]Catchment Projections'!$A$1:$BZ$90,50,FALSE)</f>
        <v>30</v>
      </c>
      <c r="I41" s="18">
        <f>VLOOKUP($A41,'[1]Catchment Projections'!$A$1:$BZ$90,51,FALSE)</f>
        <v>30</v>
      </c>
      <c r="J41" s="18">
        <f>VLOOKUP($A41,'[1]Catchment Projections'!$A$1:$BZ$90,52,FALSE)</f>
        <v>30</v>
      </c>
      <c r="K41" s="18">
        <f>VLOOKUP($A41,'[1]Catchment Projections'!$A$1:$BZ$90,53,FALSE)</f>
        <v>30</v>
      </c>
      <c r="L41" s="18">
        <f>VLOOKUP($A41,'[1]Catchment Projections'!$A$1:$BZ$90,54,FALSE)</f>
        <v>31</v>
      </c>
      <c r="M41" s="18">
        <f>VLOOKUP($A41,'[1]Catchment Projections'!$A$1:$BZ$90,55,FALSE)</f>
        <v>31</v>
      </c>
      <c r="N41" s="18">
        <f>VLOOKUP($A41,'[1]Catchment Projections'!$A$1:$BZ$90,56,FALSE)</f>
        <v>31</v>
      </c>
      <c r="O41" s="18">
        <f>VLOOKUP($A41,'[1]Catchment Projections'!$A$1:$BZ$90,57,FALSE)</f>
        <v>31</v>
      </c>
      <c r="P41" s="18">
        <f>VLOOKUP($A41,'[1]Catchment Projections'!$A$1:$BZ$90,58,FALSE)</f>
        <v>31</v>
      </c>
    </row>
    <row r="42" spans="1:16" ht="12.75" customHeight="1" x14ac:dyDescent="0.2">
      <c r="A42" s="322" t="s">
        <v>73</v>
      </c>
      <c r="B42" s="323" t="s">
        <v>102</v>
      </c>
      <c r="C42" s="18">
        <f>VLOOKUP($A42,'[1]Catchment Projections'!$A$1:$BZ$90,45,FALSE)</f>
        <v>41</v>
      </c>
      <c r="D42" s="18">
        <f>VLOOKUP($A42,'[1]Catchment Projections'!$A$1:$BZ$90,46,FALSE)</f>
        <v>42</v>
      </c>
      <c r="E42" s="18">
        <f>VLOOKUP($A42,'[1]Catchment Projections'!$A$1:$BZ$90,47,FALSE)</f>
        <v>46</v>
      </c>
      <c r="F42" s="18">
        <f>VLOOKUP($A42,'[1]Catchment Projections'!$A$1:$BZ$90,48,FALSE)</f>
        <v>48</v>
      </c>
      <c r="G42" s="18">
        <f>VLOOKUP($A42,'[1]Catchment Projections'!$A$1:$BZ$90,49,FALSE)</f>
        <v>46</v>
      </c>
      <c r="H42" s="18">
        <f>VLOOKUP($A42,'[1]Catchment Projections'!$A$1:$BZ$90,50,FALSE)</f>
        <v>46</v>
      </c>
      <c r="I42" s="18">
        <f>VLOOKUP($A42,'[1]Catchment Projections'!$A$1:$BZ$90,51,FALSE)</f>
        <v>47</v>
      </c>
      <c r="J42" s="18">
        <f>VLOOKUP($A42,'[1]Catchment Projections'!$A$1:$BZ$90,52,FALSE)</f>
        <v>47</v>
      </c>
      <c r="K42" s="18">
        <f>VLOOKUP($A42,'[1]Catchment Projections'!$A$1:$BZ$90,53,FALSE)</f>
        <v>48</v>
      </c>
      <c r="L42" s="18">
        <f>VLOOKUP($A42,'[1]Catchment Projections'!$A$1:$BZ$90,54,FALSE)</f>
        <v>48</v>
      </c>
      <c r="M42" s="18">
        <f>VLOOKUP($A42,'[1]Catchment Projections'!$A$1:$BZ$90,55,FALSE)</f>
        <v>48</v>
      </c>
      <c r="N42" s="18">
        <f>VLOOKUP($A42,'[1]Catchment Projections'!$A$1:$BZ$90,56,FALSE)</f>
        <v>48</v>
      </c>
      <c r="O42" s="18">
        <f>VLOOKUP($A42,'[1]Catchment Projections'!$A$1:$BZ$90,57,FALSE)</f>
        <v>48</v>
      </c>
      <c r="P42" s="18">
        <f>VLOOKUP($A42,'[1]Catchment Projections'!$A$1:$BZ$90,58,FALSE)</f>
        <v>48</v>
      </c>
    </row>
    <row r="43" spans="1:16" ht="12.75" customHeight="1" x14ac:dyDescent="0.2">
      <c r="A43" s="322" t="s">
        <v>74</v>
      </c>
      <c r="B43" s="323" t="s">
        <v>102</v>
      </c>
      <c r="C43" s="18">
        <f>VLOOKUP($A43,'[1]Catchment Projections'!$A$1:$BZ$90,45,FALSE)</f>
        <v>37</v>
      </c>
      <c r="D43" s="18">
        <f>VLOOKUP($A43,'[1]Catchment Projections'!$A$1:$BZ$90,46,FALSE)</f>
        <v>37</v>
      </c>
      <c r="E43" s="18">
        <f>VLOOKUP($A43,'[1]Catchment Projections'!$A$1:$BZ$90,47,FALSE)</f>
        <v>36</v>
      </c>
      <c r="F43" s="18">
        <f>VLOOKUP($A43,'[1]Catchment Projections'!$A$1:$BZ$90,48,FALSE)</f>
        <v>37</v>
      </c>
      <c r="G43" s="18">
        <f>VLOOKUP($A43,'[1]Catchment Projections'!$A$1:$BZ$90,49,FALSE)</f>
        <v>37</v>
      </c>
      <c r="H43" s="18">
        <f>VLOOKUP($A43,'[1]Catchment Projections'!$A$1:$BZ$90,50,FALSE)</f>
        <v>38</v>
      </c>
      <c r="I43" s="18">
        <f>VLOOKUP($A43,'[1]Catchment Projections'!$A$1:$BZ$90,51,FALSE)</f>
        <v>38</v>
      </c>
      <c r="J43" s="18">
        <f>VLOOKUP($A43,'[1]Catchment Projections'!$A$1:$BZ$90,52,FALSE)</f>
        <v>38</v>
      </c>
      <c r="K43" s="18">
        <f>VLOOKUP($A43,'[1]Catchment Projections'!$A$1:$BZ$90,53,FALSE)</f>
        <v>39</v>
      </c>
      <c r="L43" s="18">
        <f>VLOOKUP($A43,'[1]Catchment Projections'!$A$1:$BZ$90,54,FALSE)</f>
        <v>39</v>
      </c>
      <c r="M43" s="18">
        <f>VLOOKUP($A43,'[1]Catchment Projections'!$A$1:$BZ$90,55,FALSE)</f>
        <v>39</v>
      </c>
      <c r="N43" s="18">
        <f>VLOOKUP($A43,'[1]Catchment Projections'!$A$1:$BZ$90,56,FALSE)</f>
        <v>39</v>
      </c>
      <c r="O43" s="18">
        <f>VLOOKUP($A43,'[1]Catchment Projections'!$A$1:$BZ$90,57,FALSE)</f>
        <v>39</v>
      </c>
      <c r="P43" s="18">
        <f>VLOOKUP($A43,'[1]Catchment Projections'!$A$1:$BZ$90,58,FALSE)</f>
        <v>39</v>
      </c>
    </row>
    <row r="44" spans="1:16" s="8" customFormat="1" ht="12.75" customHeight="1" x14ac:dyDescent="0.2">
      <c r="A44" s="322" t="s">
        <v>75</v>
      </c>
      <c r="B44" s="323" t="s">
        <v>102</v>
      </c>
      <c r="C44" s="18">
        <f>VLOOKUP($A44,'[1]Catchment Projections'!$A$1:$BZ$90,45,FALSE)</f>
        <v>44</v>
      </c>
      <c r="D44" s="18">
        <f>VLOOKUP($A44,'[1]Catchment Projections'!$A$1:$BZ$90,46,FALSE)</f>
        <v>43</v>
      </c>
      <c r="E44" s="18">
        <f>VLOOKUP($A44,'[1]Catchment Projections'!$A$1:$BZ$90,47,FALSE)</f>
        <v>48</v>
      </c>
      <c r="F44" s="18">
        <f>VLOOKUP($A44,'[1]Catchment Projections'!$A$1:$BZ$90,48,FALSE)</f>
        <v>46</v>
      </c>
      <c r="G44" s="18">
        <f>VLOOKUP($A44,'[1]Catchment Projections'!$A$1:$BZ$90,49,FALSE)</f>
        <v>46</v>
      </c>
      <c r="H44" s="18">
        <f>VLOOKUP($A44,'[1]Catchment Projections'!$A$1:$BZ$90,50,FALSE)</f>
        <v>47</v>
      </c>
      <c r="I44" s="18">
        <f>VLOOKUP($A44,'[1]Catchment Projections'!$A$1:$BZ$90,51,FALSE)</f>
        <v>48</v>
      </c>
      <c r="J44" s="18">
        <f>VLOOKUP($A44,'[1]Catchment Projections'!$A$1:$BZ$90,52,FALSE)</f>
        <v>48</v>
      </c>
      <c r="K44" s="18">
        <f>VLOOKUP($A44,'[1]Catchment Projections'!$A$1:$BZ$90,53,FALSE)</f>
        <v>48</v>
      </c>
      <c r="L44" s="18">
        <f>VLOOKUP($A44,'[1]Catchment Projections'!$A$1:$BZ$90,54,FALSE)</f>
        <v>49</v>
      </c>
      <c r="M44" s="18">
        <f>VLOOKUP($A44,'[1]Catchment Projections'!$A$1:$BZ$90,55,FALSE)</f>
        <v>49</v>
      </c>
      <c r="N44" s="18">
        <f>VLOOKUP($A44,'[1]Catchment Projections'!$A$1:$BZ$90,56,FALSE)</f>
        <v>49</v>
      </c>
      <c r="O44" s="18">
        <f>VLOOKUP($A44,'[1]Catchment Projections'!$A$1:$BZ$90,57,FALSE)</f>
        <v>49</v>
      </c>
      <c r="P44" s="18">
        <f>VLOOKUP($A44,'[1]Catchment Projections'!$A$1:$BZ$90,58,FALSE)</f>
        <v>49</v>
      </c>
    </row>
    <row r="45" spans="1:16" ht="12.75" customHeight="1" x14ac:dyDescent="0.2">
      <c r="A45" s="322" t="s">
        <v>80</v>
      </c>
      <c r="B45" s="323" t="s">
        <v>102</v>
      </c>
      <c r="C45" s="18">
        <f>VLOOKUP($A45,'[1]Catchment Projections'!$A$1:$BZ$90,45,FALSE)</f>
        <v>50</v>
      </c>
      <c r="D45" s="18">
        <f>VLOOKUP($A45,'[1]Catchment Projections'!$A$1:$BZ$90,46,FALSE)</f>
        <v>42</v>
      </c>
      <c r="E45" s="18">
        <f>VLOOKUP($A45,'[1]Catchment Projections'!$A$1:$BZ$90,47,FALSE)</f>
        <v>43</v>
      </c>
      <c r="F45" s="18">
        <f>VLOOKUP($A45,'[1]Catchment Projections'!$A$1:$BZ$90,48,FALSE)</f>
        <v>44</v>
      </c>
      <c r="G45" s="18">
        <f>VLOOKUP($A45,'[1]Catchment Projections'!$A$1:$BZ$90,49,FALSE)</f>
        <v>44</v>
      </c>
      <c r="H45" s="18">
        <f>VLOOKUP($A45,'[1]Catchment Projections'!$A$1:$BZ$90,50,FALSE)</f>
        <v>45</v>
      </c>
      <c r="I45" s="18">
        <f>VLOOKUP($A45,'[1]Catchment Projections'!$A$1:$BZ$90,51,FALSE)</f>
        <v>45</v>
      </c>
      <c r="J45" s="18">
        <f>VLOOKUP($A45,'[1]Catchment Projections'!$A$1:$BZ$90,52,FALSE)</f>
        <v>45</v>
      </c>
      <c r="K45" s="18">
        <f>VLOOKUP($A45,'[1]Catchment Projections'!$A$1:$BZ$90,53,FALSE)</f>
        <v>46</v>
      </c>
      <c r="L45" s="18">
        <f>VLOOKUP($A45,'[1]Catchment Projections'!$A$1:$BZ$90,54,FALSE)</f>
        <v>46</v>
      </c>
      <c r="M45" s="18">
        <f>VLOOKUP($A45,'[1]Catchment Projections'!$A$1:$BZ$90,55,FALSE)</f>
        <v>46</v>
      </c>
      <c r="N45" s="18">
        <f>VLOOKUP($A45,'[1]Catchment Projections'!$A$1:$BZ$90,56,FALSE)</f>
        <v>46</v>
      </c>
      <c r="O45" s="18">
        <f>VLOOKUP($A45,'[1]Catchment Projections'!$A$1:$BZ$90,57,FALSE)</f>
        <v>46</v>
      </c>
      <c r="P45" s="18">
        <f>VLOOKUP($A45,'[1]Catchment Projections'!$A$1:$BZ$90,58,FALSE)</f>
        <v>46</v>
      </c>
    </row>
    <row r="46" spans="1:16" ht="12.75" customHeight="1" x14ac:dyDescent="0.2">
      <c r="A46" s="322" t="s">
        <v>81</v>
      </c>
      <c r="B46" s="323" t="s">
        <v>102</v>
      </c>
      <c r="C46" s="18">
        <f>VLOOKUP($A46,'[1]Catchment Projections'!$A$1:$BZ$90,45,FALSE)</f>
        <v>42</v>
      </c>
      <c r="D46" s="18">
        <f>VLOOKUP($A46,'[1]Catchment Projections'!$A$1:$BZ$90,46,FALSE)</f>
        <v>37</v>
      </c>
      <c r="E46" s="18">
        <f>VLOOKUP($A46,'[1]Catchment Projections'!$A$1:$BZ$90,47,FALSE)</f>
        <v>41</v>
      </c>
      <c r="F46" s="18">
        <f>VLOOKUP($A46,'[1]Catchment Projections'!$A$1:$BZ$90,48,FALSE)</f>
        <v>32</v>
      </c>
      <c r="G46" s="18">
        <f>VLOOKUP($A46,'[1]Catchment Projections'!$A$1:$BZ$90,49,FALSE)</f>
        <v>37</v>
      </c>
      <c r="H46" s="18">
        <f>VLOOKUP($A46,'[1]Catchment Projections'!$A$1:$BZ$90,50,FALSE)</f>
        <v>38</v>
      </c>
      <c r="I46" s="18">
        <f>VLOOKUP($A46,'[1]Catchment Projections'!$A$1:$BZ$90,51,FALSE)</f>
        <v>38</v>
      </c>
      <c r="J46" s="18">
        <f>VLOOKUP($A46,'[1]Catchment Projections'!$A$1:$BZ$90,52,FALSE)</f>
        <v>38</v>
      </c>
      <c r="K46" s="18">
        <f>VLOOKUP($A46,'[1]Catchment Projections'!$A$1:$BZ$90,53,FALSE)</f>
        <v>39</v>
      </c>
      <c r="L46" s="18">
        <f>VLOOKUP($A46,'[1]Catchment Projections'!$A$1:$BZ$90,54,FALSE)</f>
        <v>39</v>
      </c>
      <c r="M46" s="18">
        <f>VLOOKUP($A46,'[1]Catchment Projections'!$A$1:$BZ$90,55,FALSE)</f>
        <v>39</v>
      </c>
      <c r="N46" s="18">
        <f>VLOOKUP($A46,'[1]Catchment Projections'!$A$1:$BZ$90,56,FALSE)</f>
        <v>39</v>
      </c>
      <c r="O46" s="18">
        <f>VLOOKUP($A46,'[1]Catchment Projections'!$A$1:$BZ$90,57,FALSE)</f>
        <v>39</v>
      </c>
      <c r="P46" s="18">
        <f>VLOOKUP($A46,'[1]Catchment Projections'!$A$1:$BZ$90,58,FALSE)</f>
        <v>39</v>
      </c>
    </row>
    <row r="47" spans="1:16" ht="12.75" customHeight="1" x14ac:dyDescent="0.2">
      <c r="A47" s="326" t="s">
        <v>91</v>
      </c>
      <c r="B47" s="327" t="s">
        <v>103</v>
      </c>
      <c r="C47" s="342">
        <v>60</v>
      </c>
      <c r="D47" s="342">
        <v>60</v>
      </c>
      <c r="E47" s="342">
        <v>60</v>
      </c>
      <c r="F47" s="342">
        <v>60</v>
      </c>
      <c r="G47" s="342">
        <v>60</v>
      </c>
      <c r="H47" s="342">
        <v>60</v>
      </c>
      <c r="I47" s="342">
        <v>60</v>
      </c>
      <c r="J47" s="342">
        <v>60</v>
      </c>
      <c r="K47" s="342">
        <v>60</v>
      </c>
      <c r="L47" s="342">
        <v>60</v>
      </c>
      <c r="M47" s="342">
        <v>60</v>
      </c>
      <c r="N47" s="342">
        <v>60</v>
      </c>
      <c r="O47" s="342">
        <v>60</v>
      </c>
      <c r="P47" s="342">
        <v>60</v>
      </c>
    </row>
    <row r="48" spans="1:16" ht="12.75" customHeight="1" x14ac:dyDescent="0.2">
      <c r="A48" s="326" t="s">
        <v>45</v>
      </c>
      <c r="B48" s="327" t="s">
        <v>103</v>
      </c>
      <c r="C48" s="7">
        <f>VLOOKUP($A48,'[1]Catchment Projections'!$A$1:$BZ$90,45,FALSE)</f>
        <v>92</v>
      </c>
      <c r="D48" s="7">
        <f>VLOOKUP($A48,'[1]Catchment Projections'!$A$1:$BZ$90,46,FALSE)</f>
        <v>89</v>
      </c>
      <c r="E48" s="7">
        <f>VLOOKUP($A48,'[1]Catchment Projections'!$A$1:$BZ$90,47,FALSE)</f>
        <v>58</v>
      </c>
      <c r="F48" s="7">
        <f>VLOOKUP($A48,'[1]Catchment Projections'!$A$1:$BZ$90,48,FALSE)</f>
        <v>62</v>
      </c>
      <c r="G48" s="7">
        <f>VLOOKUP($A48,'[1]Catchment Projections'!$A$1:$BZ$90,49,FALSE)</f>
        <v>71</v>
      </c>
      <c r="H48" s="7">
        <f>VLOOKUP($A48,'[1]Catchment Projections'!$A$1:$BZ$90,50,FALSE)</f>
        <v>72</v>
      </c>
      <c r="I48" s="7">
        <f>VLOOKUP($A48,'[1]Catchment Projections'!$A$1:$BZ$90,51,FALSE)</f>
        <v>73</v>
      </c>
      <c r="J48" s="7">
        <f>VLOOKUP($A48,'[1]Catchment Projections'!$A$1:$BZ$90,52,FALSE)</f>
        <v>74</v>
      </c>
      <c r="K48" s="7">
        <f>VLOOKUP($A48,'[1]Catchment Projections'!$A$1:$BZ$90,53,FALSE)</f>
        <v>74</v>
      </c>
      <c r="L48" s="7">
        <f>VLOOKUP($A48,'[1]Catchment Projections'!$A$1:$BZ$90,54,FALSE)</f>
        <v>74</v>
      </c>
      <c r="M48" s="7">
        <f>VLOOKUP($A48,'[1]Catchment Projections'!$A$1:$BZ$90,55,FALSE)</f>
        <v>74</v>
      </c>
      <c r="N48" s="7">
        <f>VLOOKUP($A48,'[1]Catchment Projections'!$A$1:$BZ$90,56,FALSE)</f>
        <v>74</v>
      </c>
      <c r="O48" s="7">
        <f>VLOOKUP($A48,'[1]Catchment Projections'!$A$1:$BZ$90,57,FALSE)</f>
        <v>74</v>
      </c>
      <c r="P48" s="7">
        <f>VLOOKUP($A48,'[1]Catchment Projections'!$A$1:$BZ$90,58,FALSE)</f>
        <v>74</v>
      </c>
    </row>
    <row r="49" spans="1:16" ht="12.75" customHeight="1" x14ac:dyDescent="0.2">
      <c r="A49" s="326" t="s">
        <v>61</v>
      </c>
      <c r="B49" s="327" t="s">
        <v>103</v>
      </c>
      <c r="C49" s="7">
        <f>VLOOKUP($A49,'[1]Catchment Projections'!$A$1:$BZ$90,45,FALSE)</f>
        <v>35</v>
      </c>
      <c r="D49" s="7">
        <f>VLOOKUP($A49,'[1]Catchment Projections'!$A$1:$BZ$90,46,FALSE)</f>
        <v>33</v>
      </c>
      <c r="E49" s="7">
        <f>VLOOKUP($A49,'[1]Catchment Projections'!$A$1:$BZ$90,47,FALSE)</f>
        <v>29</v>
      </c>
      <c r="F49" s="7">
        <f>VLOOKUP($A49,'[1]Catchment Projections'!$A$1:$BZ$90,48,FALSE)</f>
        <v>24</v>
      </c>
      <c r="G49" s="7">
        <f>VLOOKUP($A49,'[1]Catchment Projections'!$A$1:$BZ$90,49,FALSE)</f>
        <v>29</v>
      </c>
      <c r="H49" s="7">
        <f>VLOOKUP($A49,'[1]Catchment Projections'!$A$1:$BZ$90,50,FALSE)</f>
        <v>29</v>
      </c>
      <c r="I49" s="7">
        <f>VLOOKUP($A49,'[1]Catchment Projections'!$A$1:$BZ$90,51,FALSE)</f>
        <v>30</v>
      </c>
      <c r="J49" s="7">
        <f>VLOOKUP($A49,'[1]Catchment Projections'!$A$1:$BZ$90,52,FALSE)</f>
        <v>30</v>
      </c>
      <c r="K49" s="7">
        <f>VLOOKUP($A49,'[1]Catchment Projections'!$A$1:$BZ$90,53,FALSE)</f>
        <v>30</v>
      </c>
      <c r="L49" s="7">
        <f>VLOOKUP($A49,'[1]Catchment Projections'!$A$1:$BZ$90,54,FALSE)</f>
        <v>31</v>
      </c>
      <c r="M49" s="7">
        <f>VLOOKUP($A49,'[1]Catchment Projections'!$A$1:$BZ$90,55,FALSE)</f>
        <v>31</v>
      </c>
      <c r="N49" s="7">
        <f>VLOOKUP($A49,'[1]Catchment Projections'!$A$1:$BZ$90,56,FALSE)</f>
        <v>31</v>
      </c>
      <c r="O49" s="7">
        <f>VLOOKUP($A49,'[1]Catchment Projections'!$A$1:$BZ$90,57,FALSE)</f>
        <v>31</v>
      </c>
      <c r="P49" s="7">
        <f>VLOOKUP($A49,'[1]Catchment Projections'!$A$1:$BZ$90,58,FALSE)</f>
        <v>31</v>
      </c>
    </row>
    <row r="50" spans="1:16" ht="12.75" customHeight="1" x14ac:dyDescent="0.2">
      <c r="A50" s="326" t="s">
        <v>66</v>
      </c>
      <c r="B50" s="327" t="s">
        <v>103</v>
      </c>
      <c r="C50" s="7">
        <f>VLOOKUP($A50,'[1]Catchment Projections'!$A$1:$BZ$90,45,FALSE)</f>
        <v>21</v>
      </c>
      <c r="D50" s="7">
        <f>VLOOKUP($A50,'[1]Catchment Projections'!$A$1:$BZ$90,46,FALSE)</f>
        <v>16</v>
      </c>
      <c r="E50" s="7">
        <f>VLOOKUP($A50,'[1]Catchment Projections'!$A$1:$BZ$90,47,FALSE)</f>
        <v>19</v>
      </c>
      <c r="F50" s="7">
        <f>VLOOKUP($A50,'[1]Catchment Projections'!$A$1:$BZ$90,48,FALSE)</f>
        <v>17</v>
      </c>
      <c r="G50" s="7">
        <f>VLOOKUP($A50,'[1]Catchment Projections'!$A$1:$BZ$90,49,FALSE)</f>
        <v>18</v>
      </c>
      <c r="H50" s="7">
        <f>VLOOKUP($A50,'[1]Catchment Projections'!$A$1:$BZ$90,50,FALSE)</f>
        <v>18</v>
      </c>
      <c r="I50" s="7">
        <f>VLOOKUP($A50,'[1]Catchment Projections'!$A$1:$BZ$90,51,FALSE)</f>
        <v>18</v>
      </c>
      <c r="J50" s="7">
        <f>VLOOKUP($A50,'[1]Catchment Projections'!$A$1:$BZ$90,52,FALSE)</f>
        <v>18</v>
      </c>
      <c r="K50" s="7">
        <f>VLOOKUP($A50,'[1]Catchment Projections'!$A$1:$BZ$90,53,FALSE)</f>
        <v>19</v>
      </c>
      <c r="L50" s="7">
        <f>VLOOKUP($A50,'[1]Catchment Projections'!$A$1:$BZ$90,54,FALSE)</f>
        <v>19</v>
      </c>
      <c r="M50" s="7">
        <f>VLOOKUP($A50,'[1]Catchment Projections'!$A$1:$BZ$90,55,FALSE)</f>
        <v>19</v>
      </c>
      <c r="N50" s="7">
        <f>VLOOKUP($A50,'[1]Catchment Projections'!$A$1:$BZ$90,56,FALSE)</f>
        <v>19</v>
      </c>
      <c r="O50" s="7">
        <f>VLOOKUP($A50,'[1]Catchment Projections'!$A$1:$BZ$90,57,FALSE)</f>
        <v>19</v>
      </c>
      <c r="P50" s="7">
        <f>VLOOKUP($A50,'[1]Catchment Projections'!$A$1:$BZ$90,58,FALSE)</f>
        <v>19</v>
      </c>
    </row>
    <row r="51" spans="1:16" ht="12.75" customHeight="1" x14ac:dyDescent="0.2">
      <c r="A51" s="326" t="s">
        <v>67</v>
      </c>
      <c r="B51" s="327" t="s">
        <v>103</v>
      </c>
      <c r="C51" s="7">
        <f>VLOOKUP($A51,'[1]Catchment Projections'!$A$1:$BZ$90,45,FALSE)</f>
        <v>91</v>
      </c>
      <c r="D51" s="7">
        <f>VLOOKUP($A51,'[1]Catchment Projections'!$A$1:$BZ$90,46,FALSE)</f>
        <v>64</v>
      </c>
      <c r="E51" s="7">
        <f>VLOOKUP($A51,'[1]Catchment Projections'!$A$1:$BZ$90,47,FALSE)</f>
        <v>81</v>
      </c>
      <c r="F51" s="7">
        <f>VLOOKUP($A51,'[1]Catchment Projections'!$A$1:$BZ$90,48,FALSE)</f>
        <v>70</v>
      </c>
      <c r="G51" s="7">
        <f>VLOOKUP($A51,'[1]Catchment Projections'!$A$1:$BZ$90,49,FALSE)</f>
        <v>72</v>
      </c>
      <c r="H51" s="7">
        <f>VLOOKUP($A51,'[1]Catchment Projections'!$A$1:$BZ$90,50,FALSE)</f>
        <v>73</v>
      </c>
      <c r="I51" s="7">
        <f>VLOOKUP($A51,'[1]Catchment Projections'!$A$1:$BZ$90,51,FALSE)</f>
        <v>74</v>
      </c>
      <c r="J51" s="7">
        <f>VLOOKUP($A51,'[1]Catchment Projections'!$A$1:$BZ$90,52,FALSE)</f>
        <v>75</v>
      </c>
      <c r="K51" s="7">
        <f>VLOOKUP($A51,'[1]Catchment Projections'!$A$1:$BZ$90,53,FALSE)</f>
        <v>75</v>
      </c>
      <c r="L51" s="7">
        <f>VLOOKUP($A51,'[1]Catchment Projections'!$A$1:$BZ$90,54,FALSE)</f>
        <v>76</v>
      </c>
      <c r="M51" s="7">
        <f>VLOOKUP($A51,'[1]Catchment Projections'!$A$1:$BZ$90,55,FALSE)</f>
        <v>76</v>
      </c>
      <c r="N51" s="7">
        <f>VLOOKUP($A51,'[1]Catchment Projections'!$A$1:$BZ$90,56,FALSE)</f>
        <v>76</v>
      </c>
      <c r="O51" s="7">
        <f>VLOOKUP($A51,'[1]Catchment Projections'!$A$1:$BZ$90,57,FALSE)</f>
        <v>76</v>
      </c>
      <c r="P51" s="7">
        <f>VLOOKUP($A51,'[1]Catchment Projections'!$A$1:$BZ$90,58,FALSE)</f>
        <v>76</v>
      </c>
    </row>
    <row r="52" spans="1:16" x14ac:dyDescent="0.2">
      <c r="A52" s="326" t="s">
        <v>86</v>
      </c>
      <c r="B52" s="327" t="s">
        <v>103</v>
      </c>
      <c r="C52" s="7">
        <f>VLOOKUP($A52,'[1]Catchment Projections'!$A$1:$BZ$90,45,FALSE)</f>
        <v>30</v>
      </c>
      <c r="D52" s="7">
        <f>VLOOKUP($A52,'[1]Catchment Projections'!$A$1:$BZ$90,46,FALSE)</f>
        <v>35</v>
      </c>
      <c r="E52" s="7">
        <f>VLOOKUP($A52,'[1]Catchment Projections'!$A$1:$BZ$90,47,FALSE)</f>
        <v>21</v>
      </c>
      <c r="F52" s="7">
        <f>VLOOKUP($A52,'[1]Catchment Projections'!$A$1:$BZ$90,48,FALSE)</f>
        <v>20</v>
      </c>
      <c r="G52" s="7">
        <f>VLOOKUP($A52,'[1]Catchment Projections'!$A$1:$BZ$90,49,FALSE)</f>
        <v>26</v>
      </c>
      <c r="H52" s="7">
        <f>VLOOKUP($A52,'[1]Catchment Projections'!$A$1:$BZ$90,50,FALSE)</f>
        <v>26</v>
      </c>
      <c r="I52" s="7">
        <f>VLOOKUP($A52,'[1]Catchment Projections'!$A$1:$BZ$90,51,FALSE)</f>
        <v>26</v>
      </c>
      <c r="J52" s="7">
        <f>VLOOKUP($A52,'[1]Catchment Projections'!$A$1:$BZ$90,52,FALSE)</f>
        <v>27</v>
      </c>
      <c r="K52" s="7">
        <f>VLOOKUP($A52,'[1]Catchment Projections'!$A$1:$BZ$90,53,FALSE)</f>
        <v>27</v>
      </c>
      <c r="L52" s="7">
        <f>VLOOKUP($A52,'[1]Catchment Projections'!$A$1:$BZ$90,54,FALSE)</f>
        <v>27</v>
      </c>
      <c r="M52" s="7">
        <f>VLOOKUP($A52,'[1]Catchment Projections'!$A$1:$BZ$90,55,FALSE)</f>
        <v>27</v>
      </c>
      <c r="N52" s="7">
        <f>VLOOKUP($A52,'[1]Catchment Projections'!$A$1:$BZ$90,56,FALSE)</f>
        <v>27</v>
      </c>
      <c r="O52" s="7">
        <f>VLOOKUP($A52,'[1]Catchment Projections'!$A$1:$BZ$90,57,FALSE)</f>
        <v>27</v>
      </c>
      <c r="P52" s="7">
        <f>VLOOKUP($A52,'[1]Catchment Projections'!$A$1:$BZ$90,58,FALSE)</f>
        <v>27</v>
      </c>
    </row>
    <row r="53" spans="1:16" ht="12.75" customHeight="1" x14ac:dyDescent="0.2">
      <c r="A53" s="328" t="s">
        <v>20</v>
      </c>
      <c r="B53" s="329" t="s">
        <v>104</v>
      </c>
      <c r="C53" s="7">
        <f>VLOOKUP($A53,'[1]Catchment Projections'!$A$1:$BZ$90,45,FALSE)</f>
        <v>59</v>
      </c>
      <c r="D53" s="7">
        <f>VLOOKUP($A53,'[1]Catchment Projections'!$A$1:$BZ$90,46,FALSE)</f>
        <v>49</v>
      </c>
      <c r="E53" s="7">
        <f>VLOOKUP($A53,'[1]Catchment Projections'!$A$1:$BZ$90,47,FALSE)</f>
        <v>54</v>
      </c>
      <c r="F53" s="7">
        <f>VLOOKUP($A53,'[1]Catchment Projections'!$A$1:$BZ$90,48,FALSE)</f>
        <v>48</v>
      </c>
      <c r="G53" s="7">
        <f>VLOOKUP($A53,'[1]Catchment Projections'!$A$1:$BZ$90,49,FALSE)</f>
        <v>51</v>
      </c>
      <c r="H53" s="7">
        <f>VLOOKUP($A53,'[1]Catchment Projections'!$A$1:$BZ$90,50,FALSE)</f>
        <v>52</v>
      </c>
      <c r="I53" s="7">
        <f>VLOOKUP($A53,'[1]Catchment Projections'!$A$1:$BZ$90,51,FALSE)</f>
        <v>52</v>
      </c>
      <c r="J53" s="7">
        <f>VLOOKUP($A53,'[1]Catchment Projections'!$A$1:$BZ$90,52,FALSE)</f>
        <v>53</v>
      </c>
      <c r="K53" s="7">
        <f>VLOOKUP($A53,'[1]Catchment Projections'!$A$1:$BZ$90,53,FALSE)</f>
        <v>53</v>
      </c>
      <c r="L53" s="7">
        <f>VLOOKUP($A53,'[1]Catchment Projections'!$A$1:$BZ$90,54,FALSE)</f>
        <v>53</v>
      </c>
      <c r="M53" s="7">
        <f>VLOOKUP($A53,'[1]Catchment Projections'!$A$1:$BZ$90,55,FALSE)</f>
        <v>53</v>
      </c>
      <c r="N53" s="7">
        <f>VLOOKUP($A53,'[1]Catchment Projections'!$A$1:$BZ$90,56,FALSE)</f>
        <v>53</v>
      </c>
      <c r="O53" s="7">
        <f>VLOOKUP($A53,'[1]Catchment Projections'!$A$1:$BZ$90,57,FALSE)</f>
        <v>53</v>
      </c>
      <c r="P53" s="7">
        <f>VLOOKUP($A53,'[1]Catchment Projections'!$A$1:$BZ$90,58,FALSE)</f>
        <v>53</v>
      </c>
    </row>
    <row r="54" spans="1:16" ht="12.75" customHeight="1" x14ac:dyDescent="0.2">
      <c r="A54" s="328" t="s">
        <v>42</v>
      </c>
      <c r="B54" s="329" t="s">
        <v>104</v>
      </c>
      <c r="C54" s="7">
        <f>VLOOKUP($A54,'[1]Catchment Projections'!$A$1:$BZ$90,45,FALSE)</f>
        <v>51</v>
      </c>
      <c r="D54" s="7">
        <f>VLOOKUP($A54,'[1]Catchment Projections'!$A$1:$BZ$90,46,FALSE)</f>
        <v>54</v>
      </c>
      <c r="E54" s="7">
        <f>VLOOKUP($A54,'[1]Catchment Projections'!$A$1:$BZ$90,47,FALSE)</f>
        <v>51</v>
      </c>
      <c r="F54" s="7">
        <f>VLOOKUP($A54,'[1]Catchment Projections'!$A$1:$BZ$90,48,FALSE)</f>
        <v>40</v>
      </c>
      <c r="G54" s="7">
        <f>VLOOKUP($A54,'[1]Catchment Projections'!$A$1:$BZ$90,49,FALSE)</f>
        <v>49</v>
      </c>
      <c r="H54" s="7">
        <f>VLOOKUP($A54,'[1]Catchment Projections'!$A$1:$BZ$90,50,FALSE)</f>
        <v>50</v>
      </c>
      <c r="I54" s="7">
        <f>VLOOKUP($A54,'[1]Catchment Projections'!$A$1:$BZ$90,51,FALSE)</f>
        <v>50</v>
      </c>
      <c r="J54" s="7">
        <f>VLOOKUP($A54,'[1]Catchment Projections'!$A$1:$BZ$90,52,FALSE)</f>
        <v>51</v>
      </c>
      <c r="K54" s="7">
        <f>VLOOKUP($A54,'[1]Catchment Projections'!$A$1:$BZ$90,53,FALSE)</f>
        <v>51</v>
      </c>
      <c r="L54" s="7">
        <f>VLOOKUP($A54,'[1]Catchment Projections'!$A$1:$BZ$90,54,FALSE)</f>
        <v>51</v>
      </c>
      <c r="M54" s="7">
        <f>VLOOKUP($A54,'[1]Catchment Projections'!$A$1:$BZ$90,55,FALSE)</f>
        <v>51</v>
      </c>
      <c r="N54" s="7">
        <f>VLOOKUP($A54,'[1]Catchment Projections'!$A$1:$BZ$90,56,FALSE)</f>
        <v>51</v>
      </c>
      <c r="O54" s="7">
        <f>VLOOKUP($A54,'[1]Catchment Projections'!$A$1:$BZ$90,57,FALSE)</f>
        <v>51</v>
      </c>
      <c r="P54" s="7">
        <f>VLOOKUP($A54,'[1]Catchment Projections'!$A$1:$BZ$90,58,FALSE)</f>
        <v>51</v>
      </c>
    </row>
    <row r="55" spans="1:16" ht="12.75" customHeight="1" x14ac:dyDescent="0.2">
      <c r="A55" s="328" t="s">
        <v>48</v>
      </c>
      <c r="B55" s="329" t="s">
        <v>104</v>
      </c>
      <c r="C55" s="7">
        <f>VLOOKUP($A55,'[1]Catchment Projections'!$A$1:$BZ$90,45,FALSE)</f>
        <v>64</v>
      </c>
      <c r="D55" s="7">
        <f>VLOOKUP($A55,'[1]Catchment Projections'!$A$1:$BZ$90,46,FALSE)</f>
        <v>54</v>
      </c>
      <c r="E55" s="7">
        <f>VLOOKUP($A55,'[1]Catchment Projections'!$A$1:$BZ$90,47,FALSE)</f>
        <v>57</v>
      </c>
      <c r="F55" s="7">
        <f>VLOOKUP($A55,'[1]Catchment Projections'!$A$1:$BZ$90,48,FALSE)</f>
        <v>62</v>
      </c>
      <c r="G55" s="7">
        <f>VLOOKUP($A55,'[1]Catchment Projections'!$A$1:$BZ$90,49,FALSE)</f>
        <v>58</v>
      </c>
      <c r="H55" s="7">
        <f>VLOOKUP($A55,'[1]Catchment Projections'!$A$1:$BZ$90,50,FALSE)</f>
        <v>59</v>
      </c>
      <c r="I55" s="7">
        <f>VLOOKUP($A55,'[1]Catchment Projections'!$A$1:$BZ$90,51,FALSE)</f>
        <v>59</v>
      </c>
      <c r="J55" s="7">
        <f>VLOOKUP($A55,'[1]Catchment Projections'!$A$1:$BZ$90,52,FALSE)</f>
        <v>60</v>
      </c>
      <c r="K55" s="7">
        <f>VLOOKUP($A55,'[1]Catchment Projections'!$A$1:$BZ$90,53,FALSE)</f>
        <v>61</v>
      </c>
      <c r="L55" s="7">
        <f>VLOOKUP($A55,'[1]Catchment Projections'!$A$1:$BZ$90,54,FALSE)</f>
        <v>61</v>
      </c>
      <c r="M55" s="7">
        <f>VLOOKUP($A55,'[1]Catchment Projections'!$A$1:$BZ$90,55,FALSE)</f>
        <v>61</v>
      </c>
      <c r="N55" s="7">
        <f>VLOOKUP($A55,'[1]Catchment Projections'!$A$1:$BZ$90,56,FALSE)</f>
        <v>61</v>
      </c>
      <c r="O55" s="7">
        <f>VLOOKUP($A55,'[1]Catchment Projections'!$A$1:$BZ$90,57,FALSE)</f>
        <v>61</v>
      </c>
      <c r="P55" s="7">
        <f>VLOOKUP($A55,'[1]Catchment Projections'!$A$1:$BZ$90,58,FALSE)</f>
        <v>61</v>
      </c>
    </row>
    <row r="56" spans="1:16" ht="12.75" customHeight="1" x14ac:dyDescent="0.2">
      <c r="A56" s="328" t="s">
        <v>52</v>
      </c>
      <c r="B56" s="329" t="s">
        <v>104</v>
      </c>
      <c r="C56" s="7">
        <f>VLOOKUP($A56,'[1]Catchment Projections'!$A$1:$BZ$90,45,FALSE)</f>
        <v>36</v>
      </c>
      <c r="D56" s="7">
        <f>VLOOKUP($A56,'[1]Catchment Projections'!$A$1:$BZ$90,46,FALSE)</f>
        <v>28</v>
      </c>
      <c r="E56" s="7">
        <f>VLOOKUP($A56,'[1]Catchment Projections'!$A$1:$BZ$90,47,FALSE)</f>
        <v>28</v>
      </c>
      <c r="F56" s="7">
        <f>VLOOKUP($A56,'[1]Catchment Projections'!$A$1:$BZ$90,48,FALSE)</f>
        <v>24</v>
      </c>
      <c r="G56" s="7">
        <f>VLOOKUP($A56,'[1]Catchment Projections'!$A$1:$BZ$90,49,FALSE)</f>
        <v>27</v>
      </c>
      <c r="H56" s="7">
        <f>VLOOKUP($A56,'[1]Catchment Projections'!$A$1:$BZ$90,50,FALSE)</f>
        <v>28</v>
      </c>
      <c r="I56" s="7">
        <f>VLOOKUP($A56,'[1]Catchment Projections'!$A$1:$BZ$90,51,FALSE)</f>
        <v>28</v>
      </c>
      <c r="J56" s="7">
        <f>VLOOKUP($A56,'[1]Catchment Projections'!$A$1:$BZ$90,52,FALSE)</f>
        <v>28</v>
      </c>
      <c r="K56" s="7">
        <f>VLOOKUP($A56,'[1]Catchment Projections'!$A$1:$BZ$90,53,FALSE)</f>
        <v>28</v>
      </c>
      <c r="L56" s="7">
        <f>VLOOKUP($A56,'[1]Catchment Projections'!$A$1:$BZ$90,54,FALSE)</f>
        <v>28</v>
      </c>
      <c r="M56" s="7">
        <f>VLOOKUP($A56,'[1]Catchment Projections'!$A$1:$BZ$90,55,FALSE)</f>
        <v>28</v>
      </c>
      <c r="N56" s="7">
        <f>VLOOKUP($A56,'[1]Catchment Projections'!$A$1:$BZ$90,56,FALSE)</f>
        <v>28</v>
      </c>
      <c r="O56" s="7">
        <f>VLOOKUP($A56,'[1]Catchment Projections'!$A$1:$BZ$90,57,FALSE)</f>
        <v>28</v>
      </c>
      <c r="P56" s="7">
        <f>VLOOKUP($A56,'[1]Catchment Projections'!$A$1:$BZ$90,58,FALSE)</f>
        <v>28</v>
      </c>
    </row>
    <row r="57" spans="1:16" ht="12.75" customHeight="1" x14ac:dyDescent="0.2">
      <c r="A57" s="332" t="s">
        <v>22</v>
      </c>
      <c r="B57" s="333" t="s">
        <v>105</v>
      </c>
      <c r="C57" s="7">
        <f>VLOOKUP($A57,'[1]Catchment Projections'!$A$1:$BZ$90,45,FALSE)</f>
        <v>82</v>
      </c>
      <c r="D57" s="7">
        <f>VLOOKUP($A57,'[1]Catchment Projections'!$A$1:$BZ$90,46,FALSE)</f>
        <v>74</v>
      </c>
      <c r="E57" s="7">
        <f>VLOOKUP($A57,'[1]Catchment Projections'!$A$1:$BZ$90,47,FALSE)</f>
        <v>76</v>
      </c>
      <c r="F57" s="7">
        <f>VLOOKUP($A57,'[1]Catchment Projections'!$A$1:$BZ$90,48,FALSE)</f>
        <v>62</v>
      </c>
      <c r="G57" s="7">
        <f>VLOOKUP($A57,'[1]Catchment Projections'!$A$1:$BZ$90,49,FALSE)</f>
        <v>72</v>
      </c>
      <c r="H57" s="7">
        <f>VLOOKUP($A57,'[1]Catchment Projections'!$A$1:$BZ$90,50,FALSE)</f>
        <v>73</v>
      </c>
      <c r="I57" s="7">
        <f>VLOOKUP($A57,'[1]Catchment Projections'!$A$1:$BZ$90,51,FALSE)</f>
        <v>74</v>
      </c>
      <c r="J57" s="7">
        <f>VLOOKUP($A57,'[1]Catchment Projections'!$A$1:$BZ$90,52,FALSE)</f>
        <v>74</v>
      </c>
      <c r="K57" s="7">
        <f>VLOOKUP($A57,'[1]Catchment Projections'!$A$1:$BZ$90,53,FALSE)</f>
        <v>74</v>
      </c>
      <c r="L57" s="7">
        <f>VLOOKUP($A57,'[1]Catchment Projections'!$A$1:$BZ$90,54,FALSE)</f>
        <v>75</v>
      </c>
      <c r="M57" s="7">
        <f>VLOOKUP($A57,'[1]Catchment Projections'!$A$1:$BZ$90,55,FALSE)</f>
        <v>75</v>
      </c>
      <c r="N57" s="7">
        <f>VLOOKUP($A57,'[1]Catchment Projections'!$A$1:$BZ$90,56,FALSE)</f>
        <v>75</v>
      </c>
      <c r="O57" s="7">
        <f>VLOOKUP($A57,'[1]Catchment Projections'!$A$1:$BZ$90,57,FALSE)</f>
        <v>75</v>
      </c>
      <c r="P57" s="7">
        <f>VLOOKUP($A57,'[1]Catchment Projections'!$A$1:$BZ$90,58,FALSE)</f>
        <v>75</v>
      </c>
    </row>
    <row r="58" spans="1:16" ht="12.75" customHeight="1" x14ac:dyDescent="0.2">
      <c r="A58" s="332" t="s">
        <v>38</v>
      </c>
      <c r="B58" s="333" t="s">
        <v>105</v>
      </c>
      <c r="C58" s="7">
        <f>VLOOKUP($A58,'[1]Catchment Projections'!$A$1:$BZ$90,45,FALSE)</f>
        <v>76</v>
      </c>
      <c r="D58" s="7">
        <f>VLOOKUP($A58,'[1]Catchment Projections'!$A$1:$BZ$90,46,FALSE)</f>
        <v>88</v>
      </c>
      <c r="E58" s="7">
        <f>VLOOKUP($A58,'[1]Catchment Projections'!$A$1:$BZ$90,47,FALSE)</f>
        <v>73</v>
      </c>
      <c r="F58" s="7">
        <f>VLOOKUP($A58,'[1]Catchment Projections'!$A$1:$BZ$90,48,FALSE)</f>
        <v>76</v>
      </c>
      <c r="G58" s="7">
        <f>VLOOKUP($A58,'[1]Catchment Projections'!$A$1:$BZ$90,49,FALSE)</f>
        <v>80</v>
      </c>
      <c r="H58" s="7">
        <f>VLOOKUP($A58,'[1]Catchment Projections'!$A$1:$BZ$90,50,FALSE)</f>
        <v>81</v>
      </c>
      <c r="I58" s="7">
        <f>VLOOKUP($A58,'[1]Catchment Projections'!$A$1:$BZ$90,51,FALSE)</f>
        <v>82</v>
      </c>
      <c r="J58" s="7">
        <f>VLOOKUP($A58,'[1]Catchment Projections'!$A$1:$BZ$90,52,FALSE)</f>
        <v>82</v>
      </c>
      <c r="K58" s="7">
        <f>VLOOKUP($A58,'[1]Catchment Projections'!$A$1:$BZ$90,53,FALSE)</f>
        <v>83</v>
      </c>
      <c r="L58" s="7">
        <f>VLOOKUP($A58,'[1]Catchment Projections'!$A$1:$BZ$90,54,FALSE)</f>
        <v>83</v>
      </c>
      <c r="M58" s="7">
        <f>VLOOKUP($A58,'[1]Catchment Projections'!$A$1:$BZ$90,55,FALSE)</f>
        <v>84</v>
      </c>
      <c r="N58" s="7">
        <f>VLOOKUP($A58,'[1]Catchment Projections'!$A$1:$BZ$90,56,FALSE)</f>
        <v>84</v>
      </c>
      <c r="O58" s="7">
        <f>VLOOKUP($A58,'[1]Catchment Projections'!$A$1:$BZ$90,57,FALSE)</f>
        <v>84</v>
      </c>
      <c r="P58" s="7">
        <f>VLOOKUP($A58,'[1]Catchment Projections'!$A$1:$BZ$90,58,FALSE)</f>
        <v>84</v>
      </c>
    </row>
    <row r="59" spans="1:16" ht="12.75" customHeight="1" x14ac:dyDescent="0.2">
      <c r="A59" s="332" t="s">
        <v>50</v>
      </c>
      <c r="B59" s="333" t="s">
        <v>105</v>
      </c>
      <c r="C59" s="7">
        <f>VLOOKUP($A59,'[1]Catchment Projections'!$A$1:$BZ$90,45,FALSE)</f>
        <v>66</v>
      </c>
      <c r="D59" s="7">
        <f>VLOOKUP($A59,'[1]Catchment Projections'!$A$1:$BZ$90,46,FALSE)</f>
        <v>68</v>
      </c>
      <c r="E59" s="7">
        <f>VLOOKUP($A59,'[1]Catchment Projections'!$A$1:$BZ$90,47,FALSE)</f>
        <v>73</v>
      </c>
      <c r="F59" s="7">
        <f>VLOOKUP($A59,'[1]Catchment Projections'!$A$1:$BZ$90,48,FALSE)</f>
        <v>73</v>
      </c>
      <c r="G59" s="7">
        <f>VLOOKUP($A59,'[1]Catchment Projections'!$A$1:$BZ$90,49,FALSE)</f>
        <v>72</v>
      </c>
      <c r="H59" s="7">
        <f>VLOOKUP($A59,'[1]Catchment Projections'!$A$1:$BZ$90,50,FALSE)</f>
        <v>73</v>
      </c>
      <c r="I59" s="7">
        <f>VLOOKUP($A59,'[1]Catchment Projections'!$A$1:$BZ$90,51,FALSE)</f>
        <v>75</v>
      </c>
      <c r="J59" s="7">
        <f>VLOOKUP($A59,'[1]Catchment Projections'!$A$1:$BZ$90,52,FALSE)</f>
        <v>75</v>
      </c>
      <c r="K59" s="7">
        <f>VLOOKUP($A59,'[1]Catchment Projections'!$A$1:$BZ$90,53,FALSE)</f>
        <v>75</v>
      </c>
      <c r="L59" s="7">
        <f>VLOOKUP($A59,'[1]Catchment Projections'!$A$1:$BZ$90,54,FALSE)</f>
        <v>76</v>
      </c>
      <c r="M59" s="7">
        <f>VLOOKUP($A59,'[1]Catchment Projections'!$A$1:$BZ$90,55,FALSE)</f>
        <v>76</v>
      </c>
      <c r="N59" s="7">
        <f>VLOOKUP($A59,'[1]Catchment Projections'!$A$1:$BZ$90,56,FALSE)</f>
        <v>76</v>
      </c>
      <c r="O59" s="7">
        <f>VLOOKUP($A59,'[1]Catchment Projections'!$A$1:$BZ$90,57,FALSE)</f>
        <v>76</v>
      </c>
      <c r="P59" s="7">
        <f>VLOOKUP($A59,'[1]Catchment Projections'!$A$1:$BZ$90,58,FALSE)</f>
        <v>76</v>
      </c>
    </row>
    <row r="60" spans="1:16" ht="12.75" customHeight="1" x14ac:dyDescent="0.2">
      <c r="A60" s="332" t="s">
        <v>62</v>
      </c>
      <c r="B60" s="333" t="s">
        <v>105</v>
      </c>
      <c r="C60" s="7">
        <f>VLOOKUP($A60,'[1]Catchment Projections'!$A$1:$BZ$90,45,FALSE)</f>
        <v>28</v>
      </c>
      <c r="D60" s="7">
        <f>VLOOKUP($A60,'[1]Catchment Projections'!$A$1:$BZ$90,46,FALSE)</f>
        <v>24</v>
      </c>
      <c r="E60" s="7">
        <f>VLOOKUP($A60,'[1]Catchment Projections'!$A$1:$BZ$90,47,FALSE)</f>
        <v>13</v>
      </c>
      <c r="F60" s="7">
        <f>VLOOKUP($A60,'[1]Catchment Projections'!$A$1:$BZ$90,48,FALSE)</f>
        <v>12</v>
      </c>
      <c r="G60" s="7">
        <f>VLOOKUP($A60,'[1]Catchment Projections'!$A$1:$BZ$90,49,FALSE)</f>
        <v>17</v>
      </c>
      <c r="H60" s="7">
        <f>VLOOKUP($A60,'[1]Catchment Projections'!$A$1:$BZ$90,50,FALSE)</f>
        <v>17</v>
      </c>
      <c r="I60" s="7">
        <f>VLOOKUP($A60,'[1]Catchment Projections'!$A$1:$BZ$90,51,FALSE)</f>
        <v>17</v>
      </c>
      <c r="J60" s="7">
        <f>VLOOKUP($A60,'[1]Catchment Projections'!$A$1:$BZ$90,52,FALSE)</f>
        <v>18</v>
      </c>
      <c r="K60" s="7">
        <f>VLOOKUP($A60,'[1]Catchment Projections'!$A$1:$BZ$90,53,FALSE)</f>
        <v>18</v>
      </c>
      <c r="L60" s="7">
        <f>VLOOKUP($A60,'[1]Catchment Projections'!$A$1:$BZ$90,54,FALSE)</f>
        <v>18</v>
      </c>
      <c r="M60" s="7">
        <f>VLOOKUP($A60,'[1]Catchment Projections'!$A$1:$BZ$90,55,FALSE)</f>
        <v>18</v>
      </c>
      <c r="N60" s="7">
        <f>VLOOKUP($A60,'[1]Catchment Projections'!$A$1:$BZ$90,56,FALSE)</f>
        <v>18</v>
      </c>
      <c r="O60" s="7">
        <f>VLOOKUP($A60,'[1]Catchment Projections'!$A$1:$BZ$90,57,FALSE)</f>
        <v>18</v>
      </c>
      <c r="P60" s="7">
        <f>VLOOKUP($A60,'[1]Catchment Projections'!$A$1:$BZ$90,58,FALSE)</f>
        <v>18</v>
      </c>
    </row>
    <row r="61" spans="1:16" ht="12.75" customHeight="1" x14ac:dyDescent="0.2">
      <c r="A61" s="316" t="s">
        <v>10</v>
      </c>
      <c r="B61" s="317" t="s">
        <v>106</v>
      </c>
      <c r="C61" s="7">
        <f>VLOOKUP($A61,'[1]Catchment Projections'!$A$1:$BZ$90,45,FALSE)</f>
        <v>37</v>
      </c>
      <c r="D61" s="7">
        <f>VLOOKUP($A61,'[1]Catchment Projections'!$A$1:$BZ$90,46,FALSE)</f>
        <v>58</v>
      </c>
      <c r="E61" s="7">
        <f>VLOOKUP($A61,'[1]Catchment Projections'!$A$1:$BZ$90,47,FALSE)</f>
        <v>49</v>
      </c>
      <c r="F61" s="7">
        <f>VLOOKUP($A61,'[1]Catchment Projections'!$A$1:$BZ$90,48,FALSE)</f>
        <v>43</v>
      </c>
      <c r="G61" s="7">
        <f>VLOOKUP($A61,'[1]Catchment Projections'!$A$1:$BZ$90,49,FALSE)</f>
        <v>51</v>
      </c>
      <c r="H61" s="7">
        <f>VLOOKUP($A61,'[1]Catchment Projections'!$A$1:$BZ$90,50,FALSE)</f>
        <v>51</v>
      </c>
      <c r="I61" s="7">
        <f>VLOOKUP($A61,'[1]Catchment Projections'!$A$1:$BZ$90,51,FALSE)</f>
        <v>52</v>
      </c>
      <c r="J61" s="7">
        <f>VLOOKUP($A61,'[1]Catchment Projections'!$A$1:$BZ$90,52,FALSE)</f>
        <v>53</v>
      </c>
      <c r="K61" s="7">
        <f>VLOOKUP($A61,'[1]Catchment Projections'!$A$1:$BZ$90,53,FALSE)</f>
        <v>53</v>
      </c>
      <c r="L61" s="7">
        <f>VLOOKUP($A61,'[1]Catchment Projections'!$A$1:$BZ$90,54,FALSE)</f>
        <v>53</v>
      </c>
      <c r="M61" s="7">
        <f>VLOOKUP($A61,'[1]Catchment Projections'!$A$1:$BZ$90,55,FALSE)</f>
        <v>53</v>
      </c>
      <c r="N61" s="7">
        <f>VLOOKUP($A61,'[1]Catchment Projections'!$A$1:$BZ$90,56,FALSE)</f>
        <v>53</v>
      </c>
      <c r="O61" s="7">
        <f>VLOOKUP($A61,'[1]Catchment Projections'!$A$1:$BZ$90,57,FALSE)</f>
        <v>53</v>
      </c>
      <c r="P61" s="7">
        <f>VLOOKUP($A61,'[1]Catchment Projections'!$A$1:$BZ$90,58,FALSE)</f>
        <v>53</v>
      </c>
    </row>
    <row r="62" spans="1:16" ht="12.75" customHeight="1" x14ac:dyDescent="0.2">
      <c r="A62" s="316" t="s">
        <v>30</v>
      </c>
      <c r="B62" s="317" t="s">
        <v>106</v>
      </c>
      <c r="C62" s="7">
        <f>VLOOKUP($A62,'[1]Catchment Projections'!$A$1:$BZ$90,45,FALSE)</f>
        <v>33</v>
      </c>
      <c r="D62" s="7">
        <f>VLOOKUP($A62,'[1]Catchment Projections'!$A$1:$BZ$90,46,FALSE)</f>
        <v>46</v>
      </c>
      <c r="E62" s="7">
        <f>VLOOKUP($A62,'[1]Catchment Projections'!$A$1:$BZ$90,47,FALSE)</f>
        <v>50</v>
      </c>
      <c r="F62" s="7">
        <f>VLOOKUP($A62,'[1]Catchment Projections'!$A$1:$BZ$90,48,FALSE)</f>
        <v>56</v>
      </c>
      <c r="G62" s="7">
        <f>VLOOKUP($A62,'[1]Catchment Projections'!$A$1:$BZ$90,49,FALSE)</f>
        <v>51</v>
      </c>
      <c r="H62" s="7">
        <f>VLOOKUP($A62,'[1]Catchment Projections'!$A$1:$BZ$90,50,FALSE)</f>
        <v>51</v>
      </c>
      <c r="I62" s="7">
        <f>VLOOKUP($A62,'[1]Catchment Projections'!$A$1:$BZ$90,51,FALSE)</f>
        <v>52</v>
      </c>
      <c r="J62" s="7">
        <f>VLOOKUP($A62,'[1]Catchment Projections'!$A$1:$BZ$90,52,FALSE)</f>
        <v>53</v>
      </c>
      <c r="K62" s="7">
        <f>VLOOKUP($A62,'[1]Catchment Projections'!$A$1:$BZ$90,53,FALSE)</f>
        <v>53</v>
      </c>
      <c r="L62" s="7">
        <f>VLOOKUP($A62,'[1]Catchment Projections'!$A$1:$BZ$90,54,FALSE)</f>
        <v>53</v>
      </c>
      <c r="M62" s="7">
        <f>VLOOKUP($A62,'[1]Catchment Projections'!$A$1:$BZ$90,55,FALSE)</f>
        <v>53</v>
      </c>
      <c r="N62" s="7">
        <f>VLOOKUP($A62,'[1]Catchment Projections'!$A$1:$BZ$90,56,FALSE)</f>
        <v>54</v>
      </c>
      <c r="O62" s="7">
        <f>VLOOKUP($A62,'[1]Catchment Projections'!$A$1:$BZ$90,57,FALSE)</f>
        <v>54</v>
      </c>
      <c r="P62" s="7">
        <f>VLOOKUP($A62,'[1]Catchment Projections'!$A$1:$BZ$90,58,FALSE)</f>
        <v>54</v>
      </c>
    </row>
    <row r="63" spans="1:16" ht="12.75" customHeight="1" x14ac:dyDescent="0.2">
      <c r="A63" s="316" t="s">
        <v>58</v>
      </c>
      <c r="B63" s="317" t="s">
        <v>106</v>
      </c>
      <c r="C63" s="7">
        <f>VLOOKUP($A63,'[1]Catchment Projections'!$A$1:$BZ$90,45,FALSE)</f>
        <v>45</v>
      </c>
      <c r="D63" s="7">
        <f>VLOOKUP($A63,'[1]Catchment Projections'!$A$1:$BZ$90,46,FALSE)</f>
        <v>27</v>
      </c>
      <c r="E63" s="7">
        <f>VLOOKUP($A63,'[1]Catchment Projections'!$A$1:$BZ$90,47,FALSE)</f>
        <v>42</v>
      </c>
      <c r="F63" s="7">
        <f>VLOOKUP($A63,'[1]Catchment Projections'!$A$1:$BZ$90,48,FALSE)</f>
        <v>41</v>
      </c>
      <c r="G63" s="7">
        <f>VLOOKUP($A63,'[1]Catchment Projections'!$A$1:$BZ$90,49,FALSE)</f>
        <v>37</v>
      </c>
      <c r="H63" s="7">
        <f>VLOOKUP($A63,'[1]Catchment Projections'!$A$1:$BZ$90,50,FALSE)</f>
        <v>38</v>
      </c>
      <c r="I63" s="7">
        <f>VLOOKUP($A63,'[1]Catchment Projections'!$A$1:$BZ$90,51,FALSE)</f>
        <v>38</v>
      </c>
      <c r="J63" s="7">
        <f>VLOOKUP($A63,'[1]Catchment Projections'!$A$1:$BZ$90,52,FALSE)</f>
        <v>39</v>
      </c>
      <c r="K63" s="7">
        <f>VLOOKUP($A63,'[1]Catchment Projections'!$A$1:$BZ$90,53,FALSE)</f>
        <v>39</v>
      </c>
      <c r="L63" s="7">
        <f>VLOOKUP($A63,'[1]Catchment Projections'!$A$1:$BZ$90,54,FALSE)</f>
        <v>39</v>
      </c>
      <c r="M63" s="7">
        <f>VLOOKUP($A63,'[1]Catchment Projections'!$A$1:$BZ$90,55,FALSE)</f>
        <v>39</v>
      </c>
      <c r="N63" s="7">
        <f>VLOOKUP($A63,'[1]Catchment Projections'!$A$1:$BZ$90,56,FALSE)</f>
        <v>40</v>
      </c>
      <c r="O63" s="7">
        <f>VLOOKUP($A63,'[1]Catchment Projections'!$A$1:$BZ$90,57,FALSE)</f>
        <v>40</v>
      </c>
      <c r="P63" s="7">
        <f>VLOOKUP($A63,'[1]Catchment Projections'!$A$1:$BZ$90,58,FALSE)</f>
        <v>40</v>
      </c>
    </row>
    <row r="64" spans="1:16" ht="12.75" customHeight="1" x14ac:dyDescent="0.2">
      <c r="A64" s="316" t="s">
        <v>85</v>
      </c>
      <c r="B64" s="317" t="s">
        <v>106</v>
      </c>
      <c r="C64" s="7">
        <f>VLOOKUP($A64,'[1]Catchment Projections'!$A$1:$BZ$90,45,FALSE)</f>
        <v>42</v>
      </c>
      <c r="D64" s="7">
        <f>VLOOKUP($A64,'[1]Catchment Projections'!$A$1:$BZ$90,46,FALSE)</f>
        <v>29</v>
      </c>
      <c r="E64" s="7">
        <f>VLOOKUP($A64,'[1]Catchment Projections'!$A$1:$BZ$90,47,FALSE)</f>
        <v>45</v>
      </c>
      <c r="F64" s="7">
        <f>VLOOKUP($A64,'[1]Catchment Projections'!$A$1:$BZ$90,48,FALSE)</f>
        <v>42</v>
      </c>
      <c r="G64" s="7">
        <f>VLOOKUP($A64,'[1]Catchment Projections'!$A$1:$BZ$90,49,FALSE)</f>
        <v>39</v>
      </c>
      <c r="H64" s="7">
        <f>VLOOKUP($A64,'[1]Catchment Projections'!$A$1:$BZ$90,50,FALSE)</f>
        <v>40</v>
      </c>
      <c r="I64" s="7">
        <f>VLOOKUP($A64,'[1]Catchment Projections'!$A$1:$BZ$90,51,FALSE)</f>
        <v>40</v>
      </c>
      <c r="J64" s="7">
        <f>VLOOKUP($A64,'[1]Catchment Projections'!$A$1:$BZ$90,52,FALSE)</f>
        <v>41</v>
      </c>
      <c r="K64" s="7">
        <f>VLOOKUP($A64,'[1]Catchment Projections'!$A$1:$BZ$90,53,FALSE)</f>
        <v>41</v>
      </c>
      <c r="L64" s="7">
        <f>VLOOKUP($A64,'[1]Catchment Projections'!$A$1:$BZ$90,54,FALSE)</f>
        <v>41</v>
      </c>
      <c r="M64" s="7">
        <f>VLOOKUP($A64,'[1]Catchment Projections'!$A$1:$BZ$90,55,FALSE)</f>
        <v>42</v>
      </c>
      <c r="N64" s="7">
        <f>VLOOKUP($A64,'[1]Catchment Projections'!$A$1:$BZ$90,56,FALSE)</f>
        <v>42</v>
      </c>
      <c r="O64" s="7">
        <f>VLOOKUP($A64,'[1]Catchment Projections'!$A$1:$BZ$90,57,FALSE)</f>
        <v>42</v>
      </c>
      <c r="P64" s="7">
        <f>VLOOKUP($A64,'[1]Catchment Projections'!$A$1:$BZ$90,58,FALSE)</f>
        <v>42</v>
      </c>
    </row>
    <row r="65" spans="1:16" ht="12.75" customHeight="1" x14ac:dyDescent="0.2">
      <c r="A65" s="316" t="s">
        <v>87</v>
      </c>
      <c r="B65" s="317" t="s">
        <v>106</v>
      </c>
      <c r="C65" s="7">
        <f>VLOOKUP($A65,'[1]Catchment Projections'!$A$1:$BZ$90,45,FALSE)</f>
        <v>73</v>
      </c>
      <c r="D65" s="7">
        <f>VLOOKUP($A65,'[1]Catchment Projections'!$A$1:$BZ$90,46,FALSE)</f>
        <v>54</v>
      </c>
      <c r="E65" s="7">
        <f>VLOOKUP($A65,'[1]Catchment Projections'!$A$1:$BZ$90,47,FALSE)</f>
        <v>53</v>
      </c>
      <c r="F65" s="7">
        <f>VLOOKUP($A65,'[1]Catchment Projections'!$A$1:$BZ$90,48,FALSE)</f>
        <v>56</v>
      </c>
      <c r="G65" s="7">
        <f>VLOOKUP($A65,'[1]Catchment Projections'!$A$1:$BZ$90,49,FALSE)</f>
        <v>55</v>
      </c>
      <c r="H65" s="7">
        <f>VLOOKUP($A65,'[1]Catchment Projections'!$A$1:$BZ$90,50,FALSE)</f>
        <v>55</v>
      </c>
      <c r="I65" s="7">
        <f>VLOOKUP($A65,'[1]Catchment Projections'!$A$1:$BZ$90,51,FALSE)</f>
        <v>56</v>
      </c>
      <c r="J65" s="7">
        <f>VLOOKUP($A65,'[1]Catchment Projections'!$A$1:$BZ$90,52,FALSE)</f>
        <v>57</v>
      </c>
      <c r="K65" s="7">
        <f>VLOOKUP($A65,'[1]Catchment Projections'!$A$1:$BZ$90,53,FALSE)</f>
        <v>57</v>
      </c>
      <c r="L65" s="7">
        <f>VLOOKUP($A65,'[1]Catchment Projections'!$A$1:$BZ$90,54,FALSE)</f>
        <v>57</v>
      </c>
      <c r="M65" s="7">
        <f>VLOOKUP($A65,'[1]Catchment Projections'!$A$1:$BZ$90,55,FALSE)</f>
        <v>57</v>
      </c>
      <c r="N65" s="7">
        <f>VLOOKUP($A65,'[1]Catchment Projections'!$A$1:$BZ$90,56,FALSE)</f>
        <v>58</v>
      </c>
      <c r="O65" s="7">
        <f>VLOOKUP($A65,'[1]Catchment Projections'!$A$1:$BZ$90,57,FALSE)</f>
        <v>58</v>
      </c>
      <c r="P65" s="7">
        <f>VLOOKUP($A65,'[1]Catchment Projections'!$A$1:$BZ$90,58,FALSE)</f>
        <v>58</v>
      </c>
    </row>
    <row r="66" spans="1:16" ht="12.75" customHeight="1" x14ac:dyDescent="0.2">
      <c r="A66" s="320" t="s">
        <v>26</v>
      </c>
      <c r="B66" s="321" t="s">
        <v>107</v>
      </c>
      <c r="C66" s="7">
        <f>VLOOKUP($A66,'[1]Catchment Projections'!$A$1:$BZ$90,45,FALSE)</f>
        <v>9</v>
      </c>
      <c r="D66" s="7">
        <f>VLOOKUP($A66,'[1]Catchment Projections'!$A$1:$BZ$90,46,FALSE)</f>
        <v>13</v>
      </c>
      <c r="E66" s="7">
        <f>VLOOKUP($A66,'[1]Catchment Projections'!$A$1:$BZ$90,47,FALSE)</f>
        <v>18</v>
      </c>
      <c r="F66" s="7">
        <f>VLOOKUP($A66,'[1]Catchment Projections'!$A$1:$BZ$90,48,FALSE)</f>
        <v>26</v>
      </c>
      <c r="G66" s="7">
        <f>VLOOKUP($A66,'[1]Catchment Projections'!$A$1:$BZ$90,49,FALSE)</f>
        <v>19</v>
      </c>
      <c r="H66" s="7">
        <f>VLOOKUP($A66,'[1]Catchment Projections'!$A$1:$BZ$90,50,FALSE)</f>
        <v>20</v>
      </c>
      <c r="I66" s="7">
        <f>VLOOKUP($A66,'[1]Catchment Projections'!$A$1:$BZ$90,51,FALSE)</f>
        <v>20</v>
      </c>
      <c r="J66" s="7">
        <f>VLOOKUP($A66,'[1]Catchment Projections'!$A$1:$BZ$90,52,FALSE)</f>
        <v>20</v>
      </c>
      <c r="K66" s="7">
        <f>VLOOKUP($A66,'[1]Catchment Projections'!$A$1:$BZ$90,53,FALSE)</f>
        <v>20</v>
      </c>
      <c r="L66" s="7">
        <f>VLOOKUP($A66,'[1]Catchment Projections'!$A$1:$BZ$90,54,FALSE)</f>
        <v>20</v>
      </c>
      <c r="M66" s="7">
        <f>VLOOKUP($A66,'[1]Catchment Projections'!$A$1:$BZ$90,55,FALSE)</f>
        <v>20</v>
      </c>
      <c r="N66" s="7">
        <f>VLOOKUP($A66,'[1]Catchment Projections'!$A$1:$BZ$90,56,FALSE)</f>
        <v>20</v>
      </c>
      <c r="O66" s="7">
        <f>VLOOKUP($A66,'[1]Catchment Projections'!$A$1:$BZ$90,57,FALSE)</f>
        <v>20</v>
      </c>
      <c r="P66" s="7">
        <f>VLOOKUP($A66,'[1]Catchment Projections'!$A$1:$BZ$90,58,FALSE)</f>
        <v>20</v>
      </c>
    </row>
    <row r="67" spans="1:16" ht="12.75" customHeight="1" x14ac:dyDescent="0.2">
      <c r="A67" s="320" t="s">
        <v>32</v>
      </c>
      <c r="B67" s="321" t="s">
        <v>107</v>
      </c>
      <c r="C67" s="7">
        <f>VLOOKUP($A67,'[1]Catchment Projections'!$A$1:$BZ$90,45,FALSE)</f>
        <v>45</v>
      </c>
      <c r="D67" s="7">
        <f>VLOOKUP($A67,'[1]Catchment Projections'!$A$1:$BZ$90,46,FALSE)</f>
        <v>39</v>
      </c>
      <c r="E67" s="7">
        <f>VLOOKUP($A67,'[1]Catchment Projections'!$A$1:$BZ$90,47,FALSE)</f>
        <v>40</v>
      </c>
      <c r="F67" s="7">
        <f>VLOOKUP($A67,'[1]Catchment Projections'!$A$1:$BZ$90,48,FALSE)</f>
        <v>36</v>
      </c>
      <c r="G67" s="7">
        <f>VLOOKUP($A67,'[1]Catchment Projections'!$A$1:$BZ$90,49,FALSE)</f>
        <v>39</v>
      </c>
      <c r="H67" s="7">
        <f>VLOOKUP($A67,'[1]Catchment Projections'!$A$1:$BZ$90,50,FALSE)</f>
        <v>39</v>
      </c>
      <c r="I67" s="7">
        <f>VLOOKUP($A67,'[1]Catchment Projections'!$A$1:$BZ$90,51,FALSE)</f>
        <v>40</v>
      </c>
      <c r="J67" s="7">
        <f>VLOOKUP($A67,'[1]Catchment Projections'!$A$1:$BZ$90,52,FALSE)</f>
        <v>40</v>
      </c>
      <c r="K67" s="7">
        <f>VLOOKUP($A67,'[1]Catchment Projections'!$A$1:$BZ$90,53,FALSE)</f>
        <v>41</v>
      </c>
      <c r="L67" s="7">
        <f>VLOOKUP($A67,'[1]Catchment Projections'!$A$1:$BZ$90,54,FALSE)</f>
        <v>41</v>
      </c>
      <c r="M67" s="7">
        <f>VLOOKUP($A67,'[1]Catchment Projections'!$A$1:$BZ$90,55,FALSE)</f>
        <v>41</v>
      </c>
      <c r="N67" s="7">
        <f>VLOOKUP($A67,'[1]Catchment Projections'!$A$1:$BZ$90,56,FALSE)</f>
        <v>41</v>
      </c>
      <c r="O67" s="7">
        <f>VLOOKUP($A67,'[1]Catchment Projections'!$A$1:$BZ$90,57,FALSE)</f>
        <v>41</v>
      </c>
      <c r="P67" s="7">
        <f>VLOOKUP($A67,'[1]Catchment Projections'!$A$1:$BZ$90,58,FALSE)</f>
        <v>41</v>
      </c>
    </row>
    <row r="68" spans="1:16" ht="12.75" customHeight="1" x14ac:dyDescent="0.2">
      <c r="A68" s="320" t="s">
        <v>47</v>
      </c>
      <c r="B68" s="321" t="s">
        <v>107</v>
      </c>
      <c r="C68" s="7">
        <f>VLOOKUP($A68,'[1]Catchment Projections'!$A$1:$BZ$90,45,FALSE)</f>
        <v>117</v>
      </c>
      <c r="D68" s="7">
        <f>VLOOKUP($A68,'[1]Catchment Projections'!$A$1:$BZ$90,46,FALSE)</f>
        <v>136</v>
      </c>
      <c r="E68" s="7">
        <f>VLOOKUP($A68,'[1]Catchment Projections'!$A$1:$BZ$90,47,FALSE)</f>
        <v>143</v>
      </c>
      <c r="F68" s="7">
        <f>VLOOKUP($A68,'[1]Catchment Projections'!$A$1:$BZ$90,48,FALSE)</f>
        <v>168</v>
      </c>
      <c r="G68" s="7">
        <f>VLOOKUP($A68,'[1]Catchment Projections'!$A$1:$BZ$90,49,FALSE)</f>
        <v>151</v>
      </c>
      <c r="H68" s="7">
        <f>VLOOKUP($A68,'[1]Catchment Projections'!$A$1:$BZ$90,50,FALSE)</f>
        <v>153</v>
      </c>
      <c r="I68" s="7">
        <f>VLOOKUP($A68,'[1]Catchment Projections'!$A$1:$BZ$90,51,FALSE)</f>
        <v>155</v>
      </c>
      <c r="J68" s="7">
        <f>VLOOKUP($A68,'[1]Catchment Projections'!$A$1:$BZ$90,52,FALSE)</f>
        <v>156</v>
      </c>
      <c r="K68" s="7">
        <f>VLOOKUP($A68,'[1]Catchment Projections'!$A$1:$BZ$90,53,FALSE)</f>
        <v>158</v>
      </c>
      <c r="L68" s="7">
        <f>VLOOKUP($A68,'[1]Catchment Projections'!$A$1:$BZ$90,54,FALSE)</f>
        <v>158</v>
      </c>
      <c r="M68" s="7">
        <f>VLOOKUP($A68,'[1]Catchment Projections'!$A$1:$BZ$90,55,FALSE)</f>
        <v>159</v>
      </c>
      <c r="N68" s="7">
        <f>VLOOKUP($A68,'[1]Catchment Projections'!$A$1:$BZ$90,56,FALSE)</f>
        <v>159</v>
      </c>
      <c r="O68" s="7">
        <f>VLOOKUP($A68,'[1]Catchment Projections'!$A$1:$BZ$90,57,FALSE)</f>
        <v>159</v>
      </c>
      <c r="P68" s="7">
        <f>VLOOKUP($A68,'[1]Catchment Projections'!$A$1:$BZ$90,58,FALSE)</f>
        <v>159</v>
      </c>
    </row>
    <row r="69" spans="1:16" ht="12.75" customHeight="1" x14ac:dyDescent="0.2">
      <c r="A69" s="320" t="s">
        <v>63</v>
      </c>
      <c r="B69" s="321" t="s">
        <v>107</v>
      </c>
      <c r="C69" s="7">
        <f>VLOOKUP($A69,'[1]Catchment Projections'!$A$1:$BZ$90,45,FALSE)</f>
        <v>66</v>
      </c>
      <c r="D69" s="7">
        <f>VLOOKUP($A69,'[1]Catchment Projections'!$A$1:$BZ$90,46,FALSE)</f>
        <v>65</v>
      </c>
      <c r="E69" s="7">
        <f>VLOOKUP($A69,'[1]Catchment Projections'!$A$1:$BZ$90,47,FALSE)</f>
        <v>67</v>
      </c>
      <c r="F69" s="7">
        <f>VLOOKUP($A69,'[1]Catchment Projections'!$A$1:$BZ$90,48,FALSE)</f>
        <v>76</v>
      </c>
      <c r="G69" s="7">
        <f>VLOOKUP($A69,'[1]Catchment Projections'!$A$1:$BZ$90,49,FALSE)</f>
        <v>71</v>
      </c>
      <c r="H69" s="7">
        <f>VLOOKUP($A69,'[1]Catchment Projections'!$A$1:$BZ$90,50,FALSE)</f>
        <v>72</v>
      </c>
      <c r="I69" s="7">
        <f>VLOOKUP($A69,'[1]Catchment Projections'!$A$1:$BZ$90,51,FALSE)</f>
        <v>73</v>
      </c>
      <c r="J69" s="7">
        <f>VLOOKUP($A69,'[1]Catchment Projections'!$A$1:$BZ$90,52,FALSE)</f>
        <v>74</v>
      </c>
      <c r="K69" s="7">
        <f>VLOOKUP($A69,'[1]Catchment Projections'!$A$1:$BZ$90,53,FALSE)</f>
        <v>74</v>
      </c>
      <c r="L69" s="7">
        <f>VLOOKUP($A69,'[1]Catchment Projections'!$A$1:$BZ$90,54,FALSE)</f>
        <v>74</v>
      </c>
      <c r="M69" s="7">
        <f>VLOOKUP($A69,'[1]Catchment Projections'!$A$1:$BZ$90,55,FALSE)</f>
        <v>74</v>
      </c>
      <c r="N69" s="7">
        <f>VLOOKUP($A69,'[1]Catchment Projections'!$A$1:$BZ$90,56,FALSE)</f>
        <v>74</v>
      </c>
      <c r="O69" s="7">
        <f>VLOOKUP($A69,'[1]Catchment Projections'!$A$1:$BZ$90,57,FALSE)</f>
        <v>74</v>
      </c>
      <c r="P69" s="7">
        <f>VLOOKUP($A69,'[1]Catchment Projections'!$A$1:$BZ$90,58,FALSE)</f>
        <v>74</v>
      </c>
    </row>
    <row r="70" spans="1:16" ht="12.75" customHeight="1" x14ac:dyDescent="0.2">
      <c r="A70" s="324" t="s">
        <v>37</v>
      </c>
      <c r="B70" s="325" t="s">
        <v>108</v>
      </c>
      <c r="C70" s="18">
        <f>VLOOKUP($A70,'[1]Catchment Projections'!$A$1:$BZ$90,45,FALSE)</f>
        <v>24</v>
      </c>
      <c r="D70" s="18">
        <f>VLOOKUP($A70,'[1]Catchment Projections'!$A$1:$BZ$90,46,FALSE)</f>
        <v>24</v>
      </c>
      <c r="E70" s="18">
        <f>VLOOKUP($A70,'[1]Catchment Projections'!$A$1:$BZ$90,47,FALSE)</f>
        <v>23</v>
      </c>
      <c r="F70" s="18">
        <f>VLOOKUP($A70,'[1]Catchment Projections'!$A$1:$BZ$90,48,FALSE)</f>
        <v>22</v>
      </c>
      <c r="G70" s="18">
        <f>VLOOKUP($A70,'[1]Catchment Projections'!$A$1:$BZ$90,49,FALSE)</f>
        <v>23</v>
      </c>
      <c r="H70" s="18">
        <f>VLOOKUP($A70,'[1]Catchment Projections'!$A$1:$BZ$90,50,FALSE)</f>
        <v>23</v>
      </c>
      <c r="I70" s="18">
        <f>VLOOKUP($A70,'[1]Catchment Projections'!$A$1:$BZ$90,51,FALSE)</f>
        <v>24</v>
      </c>
      <c r="J70" s="18">
        <f>VLOOKUP($A70,'[1]Catchment Projections'!$A$1:$BZ$90,52,FALSE)</f>
        <v>24</v>
      </c>
      <c r="K70" s="18">
        <f>VLOOKUP($A70,'[1]Catchment Projections'!$A$1:$BZ$90,53,FALSE)</f>
        <v>24</v>
      </c>
      <c r="L70" s="18">
        <f>VLOOKUP($A70,'[1]Catchment Projections'!$A$1:$BZ$90,54,FALSE)</f>
        <v>24</v>
      </c>
      <c r="M70" s="18">
        <f>VLOOKUP($A70,'[1]Catchment Projections'!$A$1:$BZ$90,55,FALSE)</f>
        <v>24</v>
      </c>
      <c r="N70" s="18">
        <f>VLOOKUP($A70,'[1]Catchment Projections'!$A$1:$BZ$90,56,FALSE)</f>
        <v>24</v>
      </c>
      <c r="O70" s="18">
        <f>VLOOKUP($A70,'[1]Catchment Projections'!$A$1:$BZ$90,57,FALSE)</f>
        <v>24</v>
      </c>
      <c r="P70" s="18">
        <f>VLOOKUP($A70,'[1]Catchment Projections'!$A$1:$BZ$90,58,FALSE)</f>
        <v>24</v>
      </c>
    </row>
    <row r="71" spans="1:16" s="8" customFormat="1" ht="12.75" customHeight="1" x14ac:dyDescent="0.2">
      <c r="A71" s="324" t="s">
        <v>71</v>
      </c>
      <c r="B71" s="325" t="s">
        <v>108</v>
      </c>
      <c r="C71" s="18">
        <f>VLOOKUP($A71,'[1]Catchment Projections'!$A$1:$BZ$90,45,FALSE)</f>
        <v>28</v>
      </c>
      <c r="D71" s="18">
        <f>VLOOKUP($A71,'[1]Catchment Projections'!$A$1:$BZ$90,46,FALSE)</f>
        <v>27</v>
      </c>
      <c r="E71" s="18">
        <f>VLOOKUP($A71,'[1]Catchment Projections'!$A$1:$BZ$90,47,FALSE)</f>
        <v>25</v>
      </c>
      <c r="F71" s="18">
        <f>VLOOKUP($A71,'[1]Catchment Projections'!$A$1:$BZ$90,48,FALSE)</f>
        <v>24</v>
      </c>
      <c r="G71" s="18">
        <f>VLOOKUP($A71,'[1]Catchment Projections'!$A$1:$BZ$90,49,FALSE)</f>
        <v>25</v>
      </c>
      <c r="H71" s="18">
        <f>VLOOKUP($A71,'[1]Catchment Projections'!$A$1:$BZ$90,50,FALSE)</f>
        <v>26</v>
      </c>
      <c r="I71" s="18">
        <f>VLOOKUP($A71,'[1]Catchment Projections'!$A$1:$BZ$90,51,FALSE)</f>
        <v>26</v>
      </c>
      <c r="J71" s="18">
        <f>VLOOKUP($A71,'[1]Catchment Projections'!$A$1:$BZ$90,52,FALSE)</f>
        <v>26</v>
      </c>
      <c r="K71" s="18">
        <f>VLOOKUP($A71,'[1]Catchment Projections'!$A$1:$BZ$90,53,FALSE)</f>
        <v>27</v>
      </c>
      <c r="L71" s="18">
        <f>VLOOKUP($A71,'[1]Catchment Projections'!$A$1:$BZ$90,54,FALSE)</f>
        <v>27</v>
      </c>
      <c r="M71" s="18">
        <f>VLOOKUP($A71,'[1]Catchment Projections'!$A$1:$BZ$90,55,FALSE)</f>
        <v>27</v>
      </c>
      <c r="N71" s="18">
        <f>VLOOKUP($A71,'[1]Catchment Projections'!$A$1:$BZ$90,56,FALSE)</f>
        <v>27</v>
      </c>
      <c r="O71" s="18">
        <f>VLOOKUP($A71,'[1]Catchment Projections'!$A$1:$BZ$90,57,FALSE)</f>
        <v>27</v>
      </c>
      <c r="P71" s="18">
        <f>VLOOKUP($A71,'[1]Catchment Projections'!$A$1:$BZ$90,58,FALSE)</f>
        <v>27</v>
      </c>
    </row>
    <row r="72" spans="1:16" s="8" customFormat="1" ht="12.75" customHeight="1" x14ac:dyDescent="0.2">
      <c r="A72" s="324" t="s">
        <v>72</v>
      </c>
      <c r="B72" s="325" t="s">
        <v>108</v>
      </c>
      <c r="C72" s="18">
        <f>VLOOKUP($A72,'[1]Catchment Projections'!$A$1:$BZ$90,45,FALSE)</f>
        <v>48</v>
      </c>
      <c r="D72" s="18">
        <f>VLOOKUP($A72,'[1]Catchment Projections'!$A$1:$BZ$90,46,FALSE)</f>
        <v>55</v>
      </c>
      <c r="E72" s="18">
        <f>VLOOKUP($A72,'[1]Catchment Projections'!$A$1:$BZ$90,47,FALSE)</f>
        <v>47</v>
      </c>
      <c r="F72" s="18">
        <f>VLOOKUP($A72,'[1]Catchment Projections'!$A$1:$BZ$90,48,FALSE)</f>
        <v>52</v>
      </c>
      <c r="G72" s="18">
        <f>VLOOKUP($A72,'[1]Catchment Projections'!$A$1:$BZ$90,49,FALSE)</f>
        <v>52</v>
      </c>
      <c r="H72" s="18">
        <f>VLOOKUP($A72,'[1]Catchment Projections'!$A$1:$BZ$90,50,FALSE)</f>
        <v>53</v>
      </c>
      <c r="I72" s="18">
        <f>VLOOKUP($A72,'[1]Catchment Projections'!$A$1:$BZ$90,51,FALSE)</f>
        <v>54</v>
      </c>
      <c r="J72" s="18">
        <f>VLOOKUP($A72,'[1]Catchment Projections'!$A$1:$BZ$90,52,FALSE)</f>
        <v>54</v>
      </c>
      <c r="K72" s="18">
        <f>VLOOKUP($A72,'[1]Catchment Projections'!$A$1:$BZ$90,53,FALSE)</f>
        <v>54</v>
      </c>
      <c r="L72" s="18">
        <f>VLOOKUP($A72,'[1]Catchment Projections'!$A$1:$BZ$90,54,FALSE)</f>
        <v>55</v>
      </c>
      <c r="M72" s="18">
        <f>VLOOKUP($A72,'[1]Catchment Projections'!$A$1:$BZ$90,55,FALSE)</f>
        <v>55</v>
      </c>
      <c r="N72" s="18">
        <f>VLOOKUP($A72,'[1]Catchment Projections'!$A$1:$BZ$90,56,FALSE)</f>
        <v>55</v>
      </c>
      <c r="O72" s="18">
        <f>VLOOKUP($A72,'[1]Catchment Projections'!$A$1:$BZ$90,57,FALSE)</f>
        <v>55</v>
      </c>
      <c r="P72" s="18">
        <f>VLOOKUP($A72,'[1]Catchment Projections'!$A$1:$BZ$90,58,FALSE)</f>
        <v>55</v>
      </c>
    </row>
    <row r="73" spans="1:16" s="8" customFormat="1" ht="12.75" customHeight="1" x14ac:dyDescent="0.2">
      <c r="A73" s="324" t="s">
        <v>76</v>
      </c>
      <c r="B73" s="325" t="s">
        <v>108</v>
      </c>
      <c r="C73" s="18">
        <f>VLOOKUP($A73,'[1]Catchment Projections'!$A$1:$BZ$90,45,FALSE)</f>
        <v>47</v>
      </c>
      <c r="D73" s="18">
        <f>VLOOKUP($A73,'[1]Catchment Projections'!$A$1:$BZ$90,46,FALSE)</f>
        <v>43</v>
      </c>
      <c r="E73" s="18">
        <f>VLOOKUP($A73,'[1]Catchment Projections'!$A$1:$BZ$90,47,FALSE)</f>
        <v>43</v>
      </c>
      <c r="F73" s="18">
        <f>VLOOKUP($A73,'[1]Catchment Projections'!$A$1:$BZ$90,48,FALSE)</f>
        <v>45</v>
      </c>
      <c r="G73" s="18">
        <f>VLOOKUP($A73,'[1]Catchment Projections'!$A$1:$BZ$90,49,FALSE)</f>
        <v>44</v>
      </c>
      <c r="H73" s="18">
        <f>VLOOKUP($A73,'[1]Catchment Projections'!$A$1:$BZ$90,50,FALSE)</f>
        <v>45</v>
      </c>
      <c r="I73" s="18">
        <f>VLOOKUP($A73,'[1]Catchment Projections'!$A$1:$BZ$90,51,FALSE)</f>
        <v>45</v>
      </c>
      <c r="J73" s="18">
        <f>VLOOKUP($A73,'[1]Catchment Projections'!$A$1:$BZ$90,52,FALSE)</f>
        <v>46</v>
      </c>
      <c r="K73" s="18">
        <f>VLOOKUP($A73,'[1]Catchment Projections'!$A$1:$BZ$90,53,FALSE)</f>
        <v>46</v>
      </c>
      <c r="L73" s="18">
        <f>VLOOKUP($A73,'[1]Catchment Projections'!$A$1:$BZ$90,54,FALSE)</f>
        <v>46</v>
      </c>
      <c r="M73" s="18">
        <f>VLOOKUP($A73,'[1]Catchment Projections'!$A$1:$BZ$90,55,FALSE)</f>
        <v>46</v>
      </c>
      <c r="N73" s="18">
        <f>VLOOKUP($A73,'[1]Catchment Projections'!$A$1:$BZ$90,56,FALSE)</f>
        <v>47</v>
      </c>
      <c r="O73" s="18">
        <f>VLOOKUP($A73,'[1]Catchment Projections'!$A$1:$BZ$90,57,FALSE)</f>
        <v>47</v>
      </c>
      <c r="P73" s="18">
        <f>VLOOKUP($A73,'[1]Catchment Projections'!$A$1:$BZ$90,58,FALSE)</f>
        <v>47</v>
      </c>
    </row>
    <row r="74" spans="1:16" s="8" customFormat="1" ht="12.75" customHeight="1" x14ac:dyDescent="0.2">
      <c r="A74" s="324" t="s">
        <v>77</v>
      </c>
      <c r="B74" s="325" t="s">
        <v>108</v>
      </c>
      <c r="C74" s="18">
        <f>VLOOKUP($A74,'[1]Catchment Projections'!$A$1:$BZ$90,45,FALSE)</f>
        <v>16</v>
      </c>
      <c r="D74" s="18">
        <f>VLOOKUP($A74,'[1]Catchment Projections'!$A$1:$BZ$90,46,FALSE)</f>
        <v>17</v>
      </c>
      <c r="E74" s="18">
        <f>VLOOKUP($A74,'[1]Catchment Projections'!$A$1:$BZ$90,47,FALSE)</f>
        <v>18</v>
      </c>
      <c r="F74" s="18">
        <f>VLOOKUP($A74,'[1]Catchment Projections'!$A$1:$BZ$90,48,FALSE)</f>
        <v>21</v>
      </c>
      <c r="G74" s="18">
        <f>VLOOKUP($A74,'[1]Catchment Projections'!$A$1:$BZ$90,49,FALSE)</f>
        <v>19</v>
      </c>
      <c r="H74" s="18">
        <f>VLOOKUP($A74,'[1]Catchment Projections'!$A$1:$BZ$90,50,FALSE)</f>
        <v>19</v>
      </c>
      <c r="I74" s="18">
        <f>VLOOKUP($A74,'[1]Catchment Projections'!$A$1:$BZ$90,51,FALSE)</f>
        <v>19</v>
      </c>
      <c r="J74" s="18">
        <f>VLOOKUP($A74,'[1]Catchment Projections'!$A$1:$BZ$90,52,FALSE)</f>
        <v>20</v>
      </c>
      <c r="K74" s="18">
        <f>VLOOKUP($A74,'[1]Catchment Projections'!$A$1:$BZ$90,53,FALSE)</f>
        <v>20</v>
      </c>
      <c r="L74" s="18">
        <f>VLOOKUP($A74,'[1]Catchment Projections'!$A$1:$BZ$90,54,FALSE)</f>
        <v>20</v>
      </c>
      <c r="M74" s="18">
        <f>VLOOKUP($A74,'[1]Catchment Projections'!$A$1:$BZ$90,55,FALSE)</f>
        <v>20</v>
      </c>
      <c r="N74" s="18">
        <f>VLOOKUP($A74,'[1]Catchment Projections'!$A$1:$BZ$90,56,FALSE)</f>
        <v>20</v>
      </c>
      <c r="O74" s="18">
        <f>VLOOKUP($A74,'[1]Catchment Projections'!$A$1:$BZ$90,57,FALSE)</f>
        <v>20</v>
      </c>
      <c r="P74" s="18">
        <f>VLOOKUP($A74,'[1]Catchment Projections'!$A$1:$BZ$90,58,FALSE)</f>
        <v>20</v>
      </c>
    </row>
    <row r="75" spans="1:16" s="8" customFormat="1" ht="12.75" customHeight="1" x14ac:dyDescent="0.2">
      <c r="A75" s="338" t="s">
        <v>44</v>
      </c>
      <c r="B75" s="339" t="s">
        <v>109</v>
      </c>
      <c r="C75" s="18">
        <f>VLOOKUP($A75,'[1]Catchment Projections'!$A$1:$BZ$90,45,FALSE)</f>
        <v>48</v>
      </c>
      <c r="D75" s="18">
        <f>VLOOKUP($A75,'[1]Catchment Projections'!$A$1:$BZ$90,46,FALSE)</f>
        <v>46</v>
      </c>
      <c r="E75" s="18">
        <f>VLOOKUP($A75,'[1]Catchment Projections'!$A$1:$BZ$90,47,FALSE)</f>
        <v>42</v>
      </c>
      <c r="F75" s="18">
        <f>VLOOKUP($A75,'[1]Catchment Projections'!$A$1:$BZ$90,48,FALSE)</f>
        <v>45</v>
      </c>
      <c r="G75" s="18">
        <f>VLOOKUP($A75,'[1]Catchment Projections'!$A$1:$BZ$90,49,FALSE)</f>
        <v>45</v>
      </c>
      <c r="H75" s="18">
        <f>VLOOKUP($A75,'[1]Catchment Projections'!$A$1:$BZ$90,50,FALSE)</f>
        <v>45</v>
      </c>
      <c r="I75" s="18">
        <f>VLOOKUP($A75,'[1]Catchment Projections'!$A$1:$BZ$90,51,FALSE)</f>
        <v>46</v>
      </c>
      <c r="J75" s="18">
        <f>VLOOKUP($A75,'[1]Catchment Projections'!$A$1:$BZ$90,52,FALSE)</f>
        <v>46</v>
      </c>
      <c r="K75" s="18">
        <f>VLOOKUP($A75,'[1]Catchment Projections'!$A$1:$BZ$90,53,FALSE)</f>
        <v>46</v>
      </c>
      <c r="L75" s="18">
        <f>VLOOKUP($A75,'[1]Catchment Projections'!$A$1:$BZ$90,54,FALSE)</f>
        <v>47</v>
      </c>
      <c r="M75" s="18">
        <f>VLOOKUP($A75,'[1]Catchment Projections'!$A$1:$BZ$90,55,FALSE)</f>
        <v>47</v>
      </c>
      <c r="N75" s="18">
        <f>VLOOKUP($A75,'[1]Catchment Projections'!$A$1:$BZ$90,56,FALSE)</f>
        <v>47</v>
      </c>
      <c r="O75" s="18">
        <f>VLOOKUP($A75,'[1]Catchment Projections'!$A$1:$BZ$90,57,FALSE)</f>
        <v>47</v>
      </c>
      <c r="P75" s="18">
        <f>VLOOKUP($A75,'[1]Catchment Projections'!$A$1:$BZ$90,58,FALSE)</f>
        <v>47</v>
      </c>
    </row>
    <row r="76" spans="1:16" s="8" customFormat="1" ht="12.75" customHeight="1" x14ac:dyDescent="0.2">
      <c r="A76" s="338" t="s">
        <v>78</v>
      </c>
      <c r="B76" s="339" t="s">
        <v>109</v>
      </c>
      <c r="C76" s="18">
        <f>VLOOKUP($A76,'[1]Catchment Projections'!$A$1:$BZ$90,45,FALSE)</f>
        <v>19</v>
      </c>
      <c r="D76" s="18">
        <f>VLOOKUP($A76,'[1]Catchment Projections'!$A$1:$BZ$90,46,FALSE)</f>
        <v>20</v>
      </c>
      <c r="E76" s="18">
        <f>VLOOKUP($A76,'[1]Catchment Projections'!$A$1:$BZ$90,47,FALSE)</f>
        <v>23</v>
      </c>
      <c r="F76" s="18">
        <f>VLOOKUP($A76,'[1]Catchment Projections'!$A$1:$BZ$90,48,FALSE)</f>
        <v>17</v>
      </c>
      <c r="G76" s="18">
        <f>VLOOKUP($A76,'[1]Catchment Projections'!$A$1:$BZ$90,49,FALSE)</f>
        <v>21</v>
      </c>
      <c r="H76" s="18">
        <f>VLOOKUP($A76,'[1]Catchment Projections'!$A$1:$BZ$90,50,FALSE)</f>
        <v>21</v>
      </c>
      <c r="I76" s="18">
        <f>VLOOKUP($A76,'[1]Catchment Projections'!$A$1:$BZ$90,51,FALSE)</f>
        <v>21</v>
      </c>
      <c r="J76" s="18">
        <f>VLOOKUP($A76,'[1]Catchment Projections'!$A$1:$BZ$90,52,FALSE)</f>
        <v>21</v>
      </c>
      <c r="K76" s="18">
        <f>VLOOKUP($A76,'[1]Catchment Projections'!$A$1:$BZ$90,53,FALSE)</f>
        <v>21</v>
      </c>
      <c r="L76" s="18">
        <f>VLOOKUP($A76,'[1]Catchment Projections'!$A$1:$BZ$90,54,FALSE)</f>
        <v>22</v>
      </c>
      <c r="M76" s="18">
        <f>VLOOKUP($A76,'[1]Catchment Projections'!$A$1:$BZ$90,55,FALSE)</f>
        <v>22</v>
      </c>
      <c r="N76" s="18">
        <f>VLOOKUP($A76,'[1]Catchment Projections'!$A$1:$BZ$90,56,FALSE)</f>
        <v>22</v>
      </c>
      <c r="O76" s="18">
        <f>VLOOKUP($A76,'[1]Catchment Projections'!$A$1:$BZ$90,57,FALSE)</f>
        <v>22</v>
      </c>
      <c r="P76" s="18">
        <f>VLOOKUP($A76,'[1]Catchment Projections'!$A$1:$BZ$90,58,FALSE)</f>
        <v>22</v>
      </c>
    </row>
    <row r="77" spans="1:16" s="8" customFormat="1" ht="12.75" customHeight="1" x14ac:dyDescent="0.2">
      <c r="A77" s="338" t="s">
        <v>79</v>
      </c>
      <c r="B77" s="339" t="s">
        <v>109</v>
      </c>
      <c r="C77" s="18">
        <f>VLOOKUP($A77,'[1]Catchment Projections'!$A$1:$BZ$90,45,FALSE)</f>
        <v>43</v>
      </c>
      <c r="D77" s="18">
        <f>VLOOKUP($A77,'[1]Catchment Projections'!$A$1:$BZ$90,46,FALSE)</f>
        <v>40</v>
      </c>
      <c r="E77" s="18">
        <f>VLOOKUP($A77,'[1]Catchment Projections'!$A$1:$BZ$90,47,FALSE)</f>
        <v>42</v>
      </c>
      <c r="F77" s="18">
        <f>VLOOKUP($A77,'[1]Catchment Projections'!$A$1:$BZ$90,48,FALSE)</f>
        <v>38</v>
      </c>
      <c r="G77" s="18">
        <f>VLOOKUP($A77,'[1]Catchment Projections'!$A$1:$BZ$90,49,FALSE)</f>
        <v>40</v>
      </c>
      <c r="H77" s="18">
        <f>VLOOKUP($A77,'[1]Catchment Projections'!$A$1:$BZ$90,50,FALSE)</f>
        <v>41</v>
      </c>
      <c r="I77" s="18">
        <f>VLOOKUP($A77,'[1]Catchment Projections'!$A$1:$BZ$90,51,FALSE)</f>
        <v>42</v>
      </c>
      <c r="J77" s="18">
        <f>VLOOKUP($A77,'[1]Catchment Projections'!$A$1:$BZ$90,52,FALSE)</f>
        <v>42</v>
      </c>
      <c r="K77" s="18">
        <f>VLOOKUP($A77,'[1]Catchment Projections'!$A$1:$BZ$90,53,FALSE)</f>
        <v>42</v>
      </c>
      <c r="L77" s="18">
        <f>VLOOKUP($A77,'[1]Catchment Projections'!$A$1:$BZ$90,54,FALSE)</f>
        <v>42</v>
      </c>
      <c r="M77" s="18">
        <f>VLOOKUP($A77,'[1]Catchment Projections'!$A$1:$BZ$90,55,FALSE)</f>
        <v>42</v>
      </c>
      <c r="N77" s="18">
        <f>VLOOKUP($A77,'[1]Catchment Projections'!$A$1:$BZ$90,56,FALSE)</f>
        <v>43</v>
      </c>
      <c r="O77" s="18">
        <f>VLOOKUP($A77,'[1]Catchment Projections'!$A$1:$BZ$90,57,FALSE)</f>
        <v>43</v>
      </c>
      <c r="P77" s="18">
        <f>VLOOKUP($A77,'[1]Catchment Projections'!$A$1:$BZ$90,58,FALSE)</f>
        <v>43</v>
      </c>
    </row>
    <row r="78" spans="1:16" s="8" customFormat="1" ht="12.75" customHeight="1" x14ac:dyDescent="0.2">
      <c r="A78" s="338" t="s">
        <v>82</v>
      </c>
      <c r="B78" s="339" t="s">
        <v>109</v>
      </c>
      <c r="C78" s="18">
        <f>VLOOKUP($A78,'[1]Catchment Projections'!$A$1:$BZ$90,45,FALSE)</f>
        <v>51</v>
      </c>
      <c r="D78" s="18">
        <f>VLOOKUP($A78,'[1]Catchment Projections'!$A$1:$BZ$90,46,FALSE)</f>
        <v>48</v>
      </c>
      <c r="E78" s="18">
        <f>VLOOKUP($A78,'[1]Catchment Projections'!$A$1:$BZ$90,47,FALSE)</f>
        <v>44</v>
      </c>
      <c r="F78" s="18">
        <f>VLOOKUP($A78,'[1]Catchment Projections'!$A$1:$BZ$90,48,FALSE)</f>
        <v>43</v>
      </c>
      <c r="G78" s="18">
        <f>VLOOKUP($A78,'[1]Catchment Projections'!$A$1:$BZ$90,49,FALSE)</f>
        <v>46</v>
      </c>
      <c r="H78" s="18">
        <f>VLOOKUP($A78,'[1]Catchment Projections'!$A$1:$BZ$90,50,FALSE)</f>
        <v>46</v>
      </c>
      <c r="I78" s="18">
        <f>VLOOKUP($A78,'[1]Catchment Projections'!$A$1:$BZ$90,51,FALSE)</f>
        <v>47</v>
      </c>
      <c r="J78" s="18">
        <f>VLOOKUP($A78,'[1]Catchment Projections'!$A$1:$BZ$90,52,FALSE)</f>
        <v>48</v>
      </c>
      <c r="K78" s="18">
        <f>VLOOKUP($A78,'[1]Catchment Projections'!$A$1:$BZ$90,53,FALSE)</f>
        <v>48</v>
      </c>
      <c r="L78" s="18">
        <f>VLOOKUP($A78,'[1]Catchment Projections'!$A$1:$BZ$90,54,FALSE)</f>
        <v>48</v>
      </c>
      <c r="M78" s="18">
        <f>VLOOKUP($A78,'[1]Catchment Projections'!$A$1:$BZ$90,55,FALSE)</f>
        <v>48</v>
      </c>
      <c r="N78" s="18">
        <f>VLOOKUP($A78,'[1]Catchment Projections'!$A$1:$BZ$90,56,FALSE)</f>
        <v>48</v>
      </c>
      <c r="O78" s="18">
        <f>VLOOKUP($A78,'[1]Catchment Projections'!$A$1:$BZ$90,57,FALSE)</f>
        <v>48</v>
      </c>
      <c r="P78" s="18">
        <f>VLOOKUP($A78,'[1]Catchment Projections'!$A$1:$BZ$90,58,FALSE)</f>
        <v>48</v>
      </c>
    </row>
    <row r="79" spans="1:16" s="8" customFormat="1" ht="12.75" customHeight="1" x14ac:dyDescent="0.2">
      <c r="A79" s="330" t="s">
        <v>6</v>
      </c>
      <c r="B79" s="331" t="s">
        <v>110</v>
      </c>
      <c r="C79" s="7">
        <f>VLOOKUP($A79,'[1]Catchment Projections'!$A$1:$BZ$90,45,FALSE)</f>
        <v>56</v>
      </c>
      <c r="D79" s="7">
        <f>VLOOKUP($A79,'[1]Catchment Projections'!$A$1:$BZ$90,46,FALSE)</f>
        <v>57</v>
      </c>
      <c r="E79" s="7">
        <f>VLOOKUP($A79,'[1]Catchment Projections'!$A$1:$BZ$90,47,FALSE)</f>
        <v>40</v>
      </c>
      <c r="F79" s="7">
        <f>VLOOKUP($A79,'[1]Catchment Projections'!$A$1:$BZ$90,48,FALSE)</f>
        <v>55</v>
      </c>
      <c r="G79" s="7">
        <f>VLOOKUP($A79,'[1]Catchment Projections'!$A$1:$BZ$90,49,FALSE)</f>
        <v>51</v>
      </c>
      <c r="H79" s="7">
        <f>VLOOKUP($A79,'[1]Catchment Projections'!$A$1:$BZ$90,50,FALSE)</f>
        <v>52</v>
      </c>
      <c r="I79" s="7">
        <f>VLOOKUP($A79,'[1]Catchment Projections'!$A$1:$BZ$90,51,FALSE)</f>
        <v>53</v>
      </c>
      <c r="J79" s="7">
        <f>VLOOKUP($A79,'[1]Catchment Projections'!$A$1:$BZ$90,52,FALSE)</f>
        <v>53</v>
      </c>
      <c r="K79" s="7">
        <f>VLOOKUP($A79,'[1]Catchment Projections'!$A$1:$BZ$90,53,FALSE)</f>
        <v>53</v>
      </c>
      <c r="L79" s="7">
        <f>VLOOKUP($A79,'[1]Catchment Projections'!$A$1:$BZ$90,54,FALSE)</f>
        <v>54</v>
      </c>
      <c r="M79" s="7">
        <f>VLOOKUP($A79,'[1]Catchment Projections'!$A$1:$BZ$90,55,FALSE)</f>
        <v>54</v>
      </c>
      <c r="N79" s="7">
        <f>VLOOKUP($A79,'[1]Catchment Projections'!$A$1:$BZ$90,56,FALSE)</f>
        <v>54</v>
      </c>
      <c r="O79" s="7">
        <f>VLOOKUP($A79,'[1]Catchment Projections'!$A$1:$BZ$90,57,FALSE)</f>
        <v>54</v>
      </c>
      <c r="P79" s="7">
        <f>VLOOKUP($A79,'[1]Catchment Projections'!$A$1:$BZ$90,58,FALSE)</f>
        <v>54</v>
      </c>
    </row>
    <row r="80" spans="1:16" s="8" customFormat="1" ht="12.75" customHeight="1" x14ac:dyDescent="0.2">
      <c r="A80" s="330" t="s">
        <v>16</v>
      </c>
      <c r="B80" s="331" t="s">
        <v>110</v>
      </c>
      <c r="C80" s="7">
        <f>VLOOKUP($A80,'[1]Catchment Projections'!$A$1:$BZ$90,45,FALSE)</f>
        <v>67</v>
      </c>
      <c r="D80" s="7">
        <f>VLOOKUP($A80,'[1]Catchment Projections'!$A$1:$BZ$90,46,FALSE)</f>
        <v>73</v>
      </c>
      <c r="E80" s="7">
        <f>VLOOKUP($A80,'[1]Catchment Projections'!$A$1:$BZ$90,47,FALSE)</f>
        <v>78</v>
      </c>
      <c r="F80" s="7">
        <f>VLOOKUP($A80,'[1]Catchment Projections'!$A$1:$BZ$90,48,FALSE)</f>
        <v>61</v>
      </c>
      <c r="G80" s="7">
        <f>VLOOKUP($A80,'[1]Catchment Projections'!$A$1:$BZ$90,49,FALSE)</f>
        <v>72</v>
      </c>
      <c r="H80" s="7">
        <f>VLOOKUP($A80,'[1]Catchment Projections'!$A$1:$BZ$90,50,FALSE)</f>
        <v>73</v>
      </c>
      <c r="I80" s="7">
        <f>VLOOKUP($A80,'[1]Catchment Projections'!$A$1:$BZ$90,51,FALSE)</f>
        <v>73</v>
      </c>
      <c r="J80" s="7">
        <f>VLOOKUP($A80,'[1]Catchment Projections'!$A$1:$BZ$90,52,FALSE)</f>
        <v>74</v>
      </c>
      <c r="K80" s="7">
        <f>VLOOKUP($A80,'[1]Catchment Projections'!$A$1:$BZ$90,53,FALSE)</f>
        <v>74</v>
      </c>
      <c r="L80" s="7">
        <f>VLOOKUP($A80,'[1]Catchment Projections'!$A$1:$BZ$90,54,FALSE)</f>
        <v>75</v>
      </c>
      <c r="M80" s="7">
        <f>VLOOKUP($A80,'[1]Catchment Projections'!$A$1:$BZ$90,55,FALSE)</f>
        <v>75</v>
      </c>
      <c r="N80" s="7">
        <f>VLOOKUP($A80,'[1]Catchment Projections'!$A$1:$BZ$90,56,FALSE)</f>
        <v>75</v>
      </c>
      <c r="O80" s="7">
        <f>VLOOKUP($A80,'[1]Catchment Projections'!$A$1:$BZ$90,57,FALSE)</f>
        <v>75</v>
      </c>
      <c r="P80" s="7">
        <f>VLOOKUP($A80,'[1]Catchment Projections'!$A$1:$BZ$90,58,FALSE)</f>
        <v>75</v>
      </c>
    </row>
    <row r="81" spans="1:16" s="8" customFormat="1" ht="12.75" customHeight="1" x14ac:dyDescent="0.2">
      <c r="A81" s="330" t="s">
        <v>24</v>
      </c>
      <c r="B81" s="331" t="s">
        <v>110</v>
      </c>
      <c r="C81" s="7">
        <f>VLOOKUP($A81,'[1]Catchment Projections'!$A$1:$BZ$90,45,FALSE)</f>
        <v>62</v>
      </c>
      <c r="D81" s="7">
        <f>VLOOKUP($A81,'[1]Catchment Projections'!$A$1:$BZ$90,46,FALSE)</f>
        <v>64</v>
      </c>
      <c r="E81" s="7">
        <f>VLOOKUP($A81,'[1]Catchment Projections'!$A$1:$BZ$90,47,FALSE)</f>
        <v>64</v>
      </c>
      <c r="F81" s="7">
        <f>VLOOKUP($A81,'[1]Catchment Projections'!$A$1:$BZ$90,48,FALSE)</f>
        <v>54</v>
      </c>
      <c r="G81" s="7">
        <f>VLOOKUP($A81,'[1]Catchment Projections'!$A$1:$BZ$90,49,FALSE)</f>
        <v>61</v>
      </c>
      <c r="H81" s="7">
        <f>VLOOKUP($A81,'[1]Catchment Projections'!$A$1:$BZ$90,50,FALSE)</f>
        <v>62</v>
      </c>
      <c r="I81" s="7">
        <f>VLOOKUP($A81,'[1]Catchment Projections'!$A$1:$BZ$90,51,FALSE)</f>
        <v>63</v>
      </c>
      <c r="J81" s="7">
        <f>VLOOKUP($A81,'[1]Catchment Projections'!$A$1:$BZ$90,52,FALSE)</f>
        <v>63</v>
      </c>
      <c r="K81" s="7">
        <f>VLOOKUP($A81,'[1]Catchment Projections'!$A$1:$BZ$90,53,FALSE)</f>
        <v>64</v>
      </c>
      <c r="L81" s="7">
        <f>VLOOKUP($A81,'[1]Catchment Projections'!$A$1:$BZ$90,54,FALSE)</f>
        <v>64</v>
      </c>
      <c r="M81" s="7">
        <f>VLOOKUP($A81,'[1]Catchment Projections'!$A$1:$BZ$90,55,FALSE)</f>
        <v>64</v>
      </c>
      <c r="N81" s="7">
        <f>VLOOKUP($A81,'[1]Catchment Projections'!$A$1:$BZ$90,56,FALSE)</f>
        <v>64</v>
      </c>
      <c r="O81" s="7">
        <f>VLOOKUP($A81,'[1]Catchment Projections'!$A$1:$BZ$90,57,FALSE)</f>
        <v>64</v>
      </c>
      <c r="P81" s="7">
        <f>VLOOKUP($A81,'[1]Catchment Projections'!$A$1:$BZ$90,58,FALSE)</f>
        <v>64</v>
      </c>
    </row>
    <row r="82" spans="1:16" s="8" customFormat="1" ht="12.75" customHeight="1" x14ac:dyDescent="0.2">
      <c r="A82" s="330" t="s">
        <v>28</v>
      </c>
      <c r="B82" s="331" t="s">
        <v>110</v>
      </c>
      <c r="C82" s="7">
        <f>VLOOKUP($A82,'[1]Catchment Projections'!$A$1:$BZ$90,45,FALSE)</f>
        <v>70</v>
      </c>
      <c r="D82" s="7">
        <f>VLOOKUP($A82,'[1]Catchment Projections'!$A$1:$BZ$90,46,FALSE)</f>
        <v>68</v>
      </c>
      <c r="E82" s="7">
        <f>VLOOKUP($A82,'[1]Catchment Projections'!$A$1:$BZ$90,47,FALSE)</f>
        <v>62</v>
      </c>
      <c r="F82" s="7">
        <f>VLOOKUP($A82,'[1]Catchment Projections'!$A$1:$BZ$90,48,FALSE)</f>
        <v>58</v>
      </c>
      <c r="G82" s="7">
        <f>VLOOKUP($A82,'[1]Catchment Projections'!$A$1:$BZ$90,49,FALSE)</f>
        <v>63</v>
      </c>
      <c r="H82" s="7">
        <f>VLOOKUP($A82,'[1]Catchment Projections'!$A$1:$BZ$90,50,FALSE)</f>
        <v>64</v>
      </c>
      <c r="I82" s="7">
        <f>VLOOKUP($A82,'[1]Catchment Projections'!$A$1:$BZ$90,51,FALSE)</f>
        <v>65</v>
      </c>
      <c r="J82" s="7">
        <f>VLOOKUP($A82,'[1]Catchment Projections'!$A$1:$BZ$90,52,FALSE)</f>
        <v>66</v>
      </c>
      <c r="K82" s="7">
        <f>VLOOKUP($A82,'[1]Catchment Projections'!$A$1:$BZ$90,53,FALSE)</f>
        <v>66</v>
      </c>
      <c r="L82" s="7">
        <f>VLOOKUP($A82,'[1]Catchment Projections'!$A$1:$BZ$90,54,FALSE)</f>
        <v>67</v>
      </c>
      <c r="M82" s="7">
        <f>VLOOKUP($A82,'[1]Catchment Projections'!$A$1:$BZ$90,55,FALSE)</f>
        <v>67</v>
      </c>
      <c r="N82" s="7">
        <f>VLOOKUP($A82,'[1]Catchment Projections'!$A$1:$BZ$90,56,FALSE)</f>
        <v>67</v>
      </c>
      <c r="O82" s="7">
        <f>VLOOKUP($A82,'[1]Catchment Projections'!$A$1:$BZ$90,57,FALSE)</f>
        <v>67</v>
      </c>
      <c r="P82" s="7">
        <f>VLOOKUP($A82,'[1]Catchment Projections'!$A$1:$BZ$90,58,FALSE)</f>
        <v>67</v>
      </c>
    </row>
    <row r="83" spans="1:16" s="8" customFormat="1" ht="12.75" customHeight="1" x14ac:dyDescent="0.2">
      <c r="A83" s="336" t="s">
        <v>88</v>
      </c>
      <c r="B83" s="337" t="s">
        <v>111</v>
      </c>
      <c r="C83" s="7">
        <f>VLOOKUP($A83,'[1]Catchment Projections'!$A$1:$BZ$90,45,FALSE)</f>
        <v>73</v>
      </c>
      <c r="D83" s="7">
        <f>VLOOKUP($A83,'[1]Catchment Projections'!$A$1:$BZ$90,46,FALSE)</f>
        <v>79</v>
      </c>
      <c r="E83" s="7">
        <f>VLOOKUP($A83,'[1]Catchment Projections'!$A$1:$BZ$90,47,FALSE)</f>
        <v>64</v>
      </c>
      <c r="F83" s="7">
        <f>VLOOKUP($A83,'[1]Catchment Projections'!$A$1:$BZ$90,48,FALSE)</f>
        <v>71</v>
      </c>
      <c r="G83" s="7">
        <f>VLOOKUP($A83,'[1]Catchment Projections'!$A$1:$BZ$90,49,FALSE)</f>
        <v>72</v>
      </c>
      <c r="H83" s="7">
        <f>VLOOKUP($A83,'[1]Catchment Projections'!$A$1:$BZ$90,50,FALSE)</f>
        <v>73</v>
      </c>
      <c r="I83" s="7">
        <f>VLOOKUP($A83,'[1]Catchment Projections'!$A$1:$BZ$90,51,FALSE)</f>
        <v>74</v>
      </c>
      <c r="J83" s="7">
        <f>VLOOKUP($A83,'[1]Catchment Projections'!$A$1:$BZ$90,52,FALSE)</f>
        <v>75</v>
      </c>
      <c r="K83" s="7">
        <f>VLOOKUP($A83,'[1]Catchment Projections'!$A$1:$BZ$90,53,FALSE)</f>
        <v>76</v>
      </c>
      <c r="L83" s="7">
        <f>VLOOKUP($A83,'[1]Catchment Projections'!$A$1:$BZ$90,54,FALSE)</f>
        <v>76</v>
      </c>
      <c r="M83" s="7">
        <f>VLOOKUP($A83,'[1]Catchment Projections'!$A$1:$BZ$90,55,FALSE)</f>
        <v>76</v>
      </c>
      <c r="N83" s="7">
        <f>VLOOKUP($A83,'[1]Catchment Projections'!$A$1:$BZ$90,56,FALSE)</f>
        <v>77</v>
      </c>
      <c r="O83" s="7">
        <f>VLOOKUP($A83,'[1]Catchment Projections'!$A$1:$BZ$90,57,FALSE)</f>
        <v>77</v>
      </c>
      <c r="P83" s="7">
        <f>VLOOKUP($A83,'[1]Catchment Projections'!$A$1:$BZ$90,58,FALSE)</f>
        <v>77</v>
      </c>
    </row>
    <row r="84" spans="1:16" ht="12.75" customHeight="1" x14ac:dyDescent="0.2">
      <c r="A84" s="336" t="s">
        <v>89</v>
      </c>
      <c r="B84" s="337" t="s">
        <v>111</v>
      </c>
      <c r="C84" s="7">
        <f>VLOOKUP($A84,'[1]Catchment Projections'!$A$1:$BZ$90,45,FALSE)</f>
        <v>37</v>
      </c>
      <c r="D84" s="7">
        <f>VLOOKUP($A84,'[1]Catchment Projections'!$A$1:$BZ$90,46,FALSE)</f>
        <v>32</v>
      </c>
      <c r="E84" s="7">
        <f>VLOOKUP($A84,'[1]Catchment Projections'!$A$1:$BZ$90,47,FALSE)</f>
        <v>30</v>
      </c>
      <c r="F84" s="7">
        <f>VLOOKUP($A84,'[1]Catchment Projections'!$A$1:$BZ$90,48,FALSE)</f>
        <v>35</v>
      </c>
      <c r="G84" s="7">
        <f>VLOOKUP($A84,'[1]Catchment Projections'!$A$1:$BZ$90,49,FALSE)</f>
        <v>32</v>
      </c>
      <c r="H84" s="7">
        <f>VLOOKUP($A84,'[1]Catchment Projections'!$A$1:$BZ$90,50,FALSE)</f>
        <v>33</v>
      </c>
      <c r="I84" s="7">
        <f>VLOOKUP($A84,'[1]Catchment Projections'!$A$1:$BZ$90,51,FALSE)</f>
        <v>33</v>
      </c>
      <c r="J84" s="7">
        <f>VLOOKUP($A84,'[1]Catchment Projections'!$A$1:$BZ$90,52,FALSE)</f>
        <v>34</v>
      </c>
      <c r="K84" s="7">
        <f>VLOOKUP($A84,'[1]Catchment Projections'!$A$1:$BZ$90,53,FALSE)</f>
        <v>34</v>
      </c>
      <c r="L84" s="7">
        <f>VLOOKUP($A84,'[1]Catchment Projections'!$A$1:$BZ$90,54,FALSE)</f>
        <v>34</v>
      </c>
      <c r="M84" s="7">
        <f>VLOOKUP($A84,'[1]Catchment Projections'!$A$1:$BZ$90,55,FALSE)</f>
        <v>34</v>
      </c>
      <c r="N84" s="7">
        <f>VLOOKUP($A84,'[1]Catchment Projections'!$A$1:$BZ$90,56,FALSE)</f>
        <v>34</v>
      </c>
      <c r="O84" s="7">
        <f>VLOOKUP($A84,'[1]Catchment Projections'!$A$1:$BZ$90,57,FALSE)</f>
        <v>34</v>
      </c>
      <c r="P84" s="7">
        <f>VLOOKUP($A84,'[1]Catchment Projections'!$A$1:$BZ$90,58,FALSE)</f>
        <v>34</v>
      </c>
    </row>
    <row r="85" spans="1:16" ht="12.75" customHeight="1" x14ac:dyDescent="0.2">
      <c r="A85" s="336" t="s">
        <v>90</v>
      </c>
      <c r="B85" s="337" t="s">
        <v>111</v>
      </c>
      <c r="C85" s="7">
        <f>VLOOKUP($A85,'[1]Catchment Projections'!$A$1:$BZ$90,45,FALSE)</f>
        <v>73</v>
      </c>
      <c r="D85" s="7">
        <f>VLOOKUP($A85,'[1]Catchment Projections'!$A$1:$BZ$90,46,FALSE)</f>
        <v>69</v>
      </c>
      <c r="E85" s="7">
        <f>VLOOKUP($A85,'[1]Catchment Projections'!$A$1:$BZ$90,47,FALSE)</f>
        <v>52</v>
      </c>
      <c r="F85" s="7">
        <f>VLOOKUP($A85,'[1]Catchment Projections'!$A$1:$BZ$90,48,FALSE)</f>
        <v>54</v>
      </c>
      <c r="G85" s="7">
        <f>VLOOKUP($A85,'[1]Catchment Projections'!$A$1:$BZ$90,49,FALSE)</f>
        <v>59</v>
      </c>
      <c r="H85" s="7">
        <f>VLOOKUP($A85,'[1]Catchment Projections'!$A$1:$BZ$90,50,FALSE)</f>
        <v>60</v>
      </c>
      <c r="I85" s="7">
        <f>VLOOKUP($A85,'[1]Catchment Projections'!$A$1:$BZ$90,51,FALSE)</f>
        <v>61</v>
      </c>
      <c r="J85" s="7">
        <f>VLOOKUP($A85,'[1]Catchment Projections'!$A$1:$BZ$90,52,FALSE)</f>
        <v>62</v>
      </c>
      <c r="K85" s="7">
        <f>VLOOKUP($A85,'[1]Catchment Projections'!$A$1:$BZ$90,53,FALSE)</f>
        <v>62</v>
      </c>
      <c r="L85" s="7">
        <f>VLOOKUP($A85,'[1]Catchment Projections'!$A$1:$BZ$90,54,FALSE)</f>
        <v>62</v>
      </c>
      <c r="M85" s="7">
        <f>VLOOKUP($A85,'[1]Catchment Projections'!$A$1:$BZ$90,55,FALSE)</f>
        <v>62</v>
      </c>
      <c r="N85" s="7">
        <f>VLOOKUP($A85,'[1]Catchment Projections'!$A$1:$BZ$90,56,FALSE)</f>
        <v>62</v>
      </c>
      <c r="O85" s="7">
        <f>VLOOKUP($A85,'[1]Catchment Projections'!$A$1:$BZ$90,57,FALSE)</f>
        <v>62</v>
      </c>
      <c r="P85" s="7">
        <f>VLOOKUP($A85,'[1]Catchment Projections'!$A$1:$BZ$90,58,FALSE)</f>
        <v>62</v>
      </c>
    </row>
    <row r="86" spans="1:16" ht="12.75" customHeight="1" x14ac:dyDescent="0.2">
      <c r="A86" s="334" t="s">
        <v>5</v>
      </c>
      <c r="B86" s="335" t="s">
        <v>112</v>
      </c>
      <c r="C86" s="7">
        <f>VLOOKUP($A86,'[1]Catchment Projections'!$A$1:$BZ$90,45,FALSE)</f>
        <v>72</v>
      </c>
      <c r="D86" s="7">
        <f>VLOOKUP($A86,'[1]Catchment Projections'!$A$1:$BZ$90,46,FALSE)</f>
        <v>59</v>
      </c>
      <c r="E86" s="7">
        <f>VLOOKUP($A86,'[1]Catchment Projections'!$A$1:$BZ$90,47,FALSE)</f>
        <v>52</v>
      </c>
      <c r="F86" s="7">
        <f>VLOOKUP($A86,'[1]Catchment Projections'!$A$1:$BZ$90,48,FALSE)</f>
        <v>47</v>
      </c>
      <c r="G86" s="7">
        <f>VLOOKUP($A86,'[1]Catchment Projections'!$A$1:$BZ$90,49,FALSE)</f>
        <v>53</v>
      </c>
      <c r="H86" s="7">
        <f>VLOOKUP($A86,'[1]Catchment Projections'!$A$1:$BZ$90,50,FALSE)</f>
        <v>54</v>
      </c>
      <c r="I86" s="7">
        <f>VLOOKUP($A86,'[1]Catchment Projections'!$A$1:$BZ$90,51,FALSE)</f>
        <v>55</v>
      </c>
      <c r="J86" s="7">
        <f>VLOOKUP($A86,'[1]Catchment Projections'!$A$1:$BZ$90,52,FALSE)</f>
        <v>55</v>
      </c>
      <c r="K86" s="7">
        <f>VLOOKUP($A86,'[1]Catchment Projections'!$A$1:$BZ$90,53,FALSE)</f>
        <v>56</v>
      </c>
      <c r="L86" s="7">
        <f>VLOOKUP($A86,'[1]Catchment Projections'!$A$1:$BZ$90,54,FALSE)</f>
        <v>56</v>
      </c>
      <c r="M86" s="7">
        <f>VLOOKUP($A86,'[1]Catchment Projections'!$A$1:$BZ$90,55,FALSE)</f>
        <v>56</v>
      </c>
      <c r="N86" s="7">
        <f>VLOOKUP($A86,'[1]Catchment Projections'!$A$1:$BZ$90,56,FALSE)</f>
        <v>56</v>
      </c>
      <c r="O86" s="7">
        <f>VLOOKUP($A86,'[1]Catchment Projections'!$A$1:$BZ$90,57,FALSE)</f>
        <v>56</v>
      </c>
      <c r="P86" s="7">
        <f>VLOOKUP($A86,'[1]Catchment Projections'!$A$1:$BZ$90,58,FALSE)</f>
        <v>56</v>
      </c>
    </row>
    <row r="87" spans="1:16" ht="12.75" customHeight="1" x14ac:dyDescent="0.2">
      <c r="A87" s="334" t="s">
        <v>21</v>
      </c>
      <c r="B87" s="335" t="s">
        <v>112</v>
      </c>
      <c r="C87" s="7">
        <f>VLOOKUP($A87,'[1]Catchment Projections'!$A$1:$BZ$90,45,FALSE)</f>
        <v>41</v>
      </c>
      <c r="D87" s="7">
        <f>VLOOKUP($A87,'[1]Catchment Projections'!$A$1:$BZ$90,46,FALSE)</f>
        <v>43</v>
      </c>
      <c r="E87" s="7">
        <f>VLOOKUP($A87,'[1]Catchment Projections'!$A$1:$BZ$90,47,FALSE)</f>
        <v>46</v>
      </c>
      <c r="F87" s="7">
        <f>VLOOKUP($A87,'[1]Catchment Projections'!$A$1:$BZ$90,48,FALSE)</f>
        <v>31</v>
      </c>
      <c r="G87" s="7">
        <f>VLOOKUP($A87,'[1]Catchment Projections'!$A$1:$BZ$90,49,FALSE)</f>
        <v>40</v>
      </c>
      <c r="H87" s="7">
        <f>VLOOKUP($A87,'[1]Catchment Projections'!$A$1:$BZ$90,50,FALSE)</f>
        <v>41</v>
      </c>
      <c r="I87" s="7">
        <f>VLOOKUP($A87,'[1]Catchment Projections'!$A$1:$BZ$90,51,FALSE)</f>
        <v>41</v>
      </c>
      <c r="J87" s="7">
        <f>VLOOKUP($A87,'[1]Catchment Projections'!$A$1:$BZ$90,52,FALSE)</f>
        <v>42</v>
      </c>
      <c r="K87" s="7">
        <f>VLOOKUP($A87,'[1]Catchment Projections'!$A$1:$BZ$90,53,FALSE)</f>
        <v>42</v>
      </c>
      <c r="L87" s="7">
        <f>VLOOKUP($A87,'[1]Catchment Projections'!$A$1:$BZ$90,54,FALSE)</f>
        <v>42</v>
      </c>
      <c r="M87" s="7">
        <f>VLOOKUP($A87,'[1]Catchment Projections'!$A$1:$BZ$90,55,FALSE)</f>
        <v>42</v>
      </c>
      <c r="N87" s="7">
        <f>VLOOKUP($A87,'[1]Catchment Projections'!$A$1:$BZ$90,56,FALSE)</f>
        <v>43</v>
      </c>
      <c r="O87" s="7">
        <f>VLOOKUP($A87,'[1]Catchment Projections'!$A$1:$BZ$90,57,FALSE)</f>
        <v>43</v>
      </c>
      <c r="P87" s="7">
        <f>VLOOKUP($A87,'[1]Catchment Projections'!$A$1:$BZ$90,58,FALSE)</f>
        <v>43</v>
      </c>
    </row>
    <row r="88" spans="1:16" ht="12.75" customHeight="1" x14ac:dyDescent="0.2">
      <c r="A88" s="334" t="s">
        <v>27</v>
      </c>
      <c r="B88" s="335" t="s">
        <v>112</v>
      </c>
      <c r="C88" s="7">
        <f>VLOOKUP($A88,'[1]Catchment Projections'!$A$1:$BZ$90,45,FALSE)</f>
        <v>38</v>
      </c>
      <c r="D88" s="7">
        <f>VLOOKUP($A88,'[1]Catchment Projections'!$A$1:$BZ$90,46,FALSE)</f>
        <v>52</v>
      </c>
      <c r="E88" s="7">
        <f>VLOOKUP($A88,'[1]Catchment Projections'!$A$1:$BZ$90,47,FALSE)</f>
        <v>48</v>
      </c>
      <c r="F88" s="7">
        <f>VLOOKUP($A88,'[1]Catchment Projections'!$A$1:$BZ$90,48,FALSE)</f>
        <v>41</v>
      </c>
      <c r="G88" s="7">
        <f>VLOOKUP($A88,'[1]Catchment Projections'!$A$1:$BZ$90,49,FALSE)</f>
        <v>48</v>
      </c>
      <c r="H88" s="7">
        <f>VLOOKUP($A88,'[1]Catchment Projections'!$A$1:$BZ$90,50,FALSE)</f>
        <v>48</v>
      </c>
      <c r="I88" s="7">
        <f>VLOOKUP($A88,'[1]Catchment Projections'!$A$1:$BZ$90,51,FALSE)</f>
        <v>49</v>
      </c>
      <c r="J88" s="7">
        <f>VLOOKUP($A88,'[1]Catchment Projections'!$A$1:$BZ$90,52,FALSE)</f>
        <v>49</v>
      </c>
      <c r="K88" s="7">
        <f>VLOOKUP($A88,'[1]Catchment Projections'!$A$1:$BZ$90,53,FALSE)</f>
        <v>49</v>
      </c>
      <c r="L88" s="7">
        <f>VLOOKUP($A88,'[1]Catchment Projections'!$A$1:$BZ$90,54,FALSE)</f>
        <v>49</v>
      </c>
      <c r="M88" s="7">
        <f>VLOOKUP($A88,'[1]Catchment Projections'!$A$1:$BZ$90,55,FALSE)</f>
        <v>49</v>
      </c>
      <c r="N88" s="7">
        <f>VLOOKUP($A88,'[1]Catchment Projections'!$A$1:$BZ$90,56,FALSE)</f>
        <v>49</v>
      </c>
      <c r="O88" s="7">
        <f>VLOOKUP($A88,'[1]Catchment Projections'!$A$1:$BZ$90,57,FALSE)</f>
        <v>50</v>
      </c>
      <c r="P88" s="7">
        <f>VLOOKUP($A88,'[1]Catchment Projections'!$A$1:$BZ$90,58,FALSE)</f>
        <v>49</v>
      </c>
    </row>
    <row r="89" spans="1:16" ht="12.75" customHeight="1" x14ac:dyDescent="0.2">
      <c r="A89" s="334" t="s">
        <v>83</v>
      </c>
      <c r="B89" s="335" t="s">
        <v>112</v>
      </c>
      <c r="C89" s="7">
        <f>VLOOKUP($A89,'[1]Catchment Projections'!$A$1:$BZ$90,45,FALSE)</f>
        <v>49</v>
      </c>
      <c r="D89" s="7">
        <f>VLOOKUP($A89,'[1]Catchment Projections'!$A$1:$BZ$90,46,FALSE)</f>
        <v>46</v>
      </c>
      <c r="E89" s="7">
        <f>VLOOKUP($A89,'[1]Catchment Projections'!$A$1:$BZ$90,47,FALSE)</f>
        <v>44</v>
      </c>
      <c r="F89" s="7">
        <f>VLOOKUP($A89,'[1]Catchment Projections'!$A$1:$BZ$90,48,FALSE)</f>
        <v>45</v>
      </c>
      <c r="G89" s="7">
        <f>VLOOKUP($A89,'[1]Catchment Projections'!$A$1:$BZ$90,49,FALSE)</f>
        <v>45</v>
      </c>
      <c r="H89" s="7">
        <f>VLOOKUP($A89,'[1]Catchment Projections'!$A$1:$BZ$90,50,FALSE)</f>
        <v>46</v>
      </c>
      <c r="I89" s="7">
        <f>VLOOKUP($A89,'[1]Catchment Projections'!$A$1:$BZ$90,51,FALSE)</f>
        <v>47</v>
      </c>
      <c r="J89" s="7">
        <f>VLOOKUP($A89,'[1]Catchment Projections'!$A$1:$BZ$90,52,FALSE)</f>
        <v>47</v>
      </c>
      <c r="K89" s="7">
        <f>VLOOKUP($A89,'[1]Catchment Projections'!$A$1:$BZ$90,53,FALSE)</f>
        <v>47</v>
      </c>
      <c r="L89" s="7">
        <f>VLOOKUP($A89,'[1]Catchment Projections'!$A$1:$BZ$90,54,FALSE)</f>
        <v>48</v>
      </c>
      <c r="M89" s="7">
        <f>VLOOKUP($A89,'[1]Catchment Projections'!$A$1:$BZ$90,55,FALSE)</f>
        <v>48</v>
      </c>
      <c r="N89" s="7">
        <f>VLOOKUP($A89,'[1]Catchment Projections'!$A$1:$BZ$90,56,FALSE)</f>
        <v>48</v>
      </c>
      <c r="O89" s="7">
        <f>VLOOKUP($A89,'[1]Catchment Projections'!$A$1:$BZ$90,57,FALSE)</f>
        <v>48</v>
      </c>
      <c r="P89" s="7">
        <f>VLOOKUP($A89,'[1]Catchment Projections'!$A$1:$BZ$90,58,FALSE)</f>
        <v>48</v>
      </c>
    </row>
    <row r="90" spans="1:16" ht="12.75" customHeight="1" x14ac:dyDescent="0.2">
      <c r="A90" s="340" t="s">
        <v>13</v>
      </c>
      <c r="B90" s="341" t="s">
        <v>113</v>
      </c>
      <c r="C90" s="7">
        <f>VLOOKUP($A90,'[1]Catchment Projections'!$A$1:$BZ$90,45,FALSE)</f>
        <v>48</v>
      </c>
      <c r="D90" s="7">
        <f>VLOOKUP($A90,'[1]Catchment Projections'!$A$1:$BZ$90,46,FALSE)</f>
        <v>35</v>
      </c>
      <c r="E90" s="7">
        <f>VLOOKUP($A90,'[1]Catchment Projections'!$A$1:$BZ$90,47,FALSE)</f>
        <v>54</v>
      </c>
      <c r="F90" s="7">
        <f>VLOOKUP($A90,'[1]Catchment Projections'!$A$1:$BZ$90,48,FALSE)</f>
        <v>57</v>
      </c>
      <c r="G90" s="7">
        <f>VLOOKUP($A90,'[1]Catchment Projections'!$A$1:$BZ$90,49,FALSE)</f>
        <v>49</v>
      </c>
      <c r="H90" s="7">
        <f>VLOOKUP($A90,'[1]Catchment Projections'!$A$1:$BZ$90,50,FALSE)</f>
        <v>50</v>
      </c>
      <c r="I90" s="7">
        <f>VLOOKUP($A90,'[1]Catchment Projections'!$A$1:$BZ$90,51,FALSE)</f>
        <v>51</v>
      </c>
      <c r="J90" s="7">
        <f>VLOOKUP($A90,'[1]Catchment Projections'!$A$1:$BZ$90,52,FALSE)</f>
        <v>51</v>
      </c>
      <c r="K90" s="7">
        <f>VLOOKUP($A90,'[1]Catchment Projections'!$A$1:$BZ$90,53,FALSE)</f>
        <v>52</v>
      </c>
      <c r="L90" s="7">
        <f>VLOOKUP($A90,'[1]Catchment Projections'!$A$1:$BZ$90,54,FALSE)</f>
        <v>52</v>
      </c>
      <c r="M90" s="7">
        <f>VLOOKUP($A90,'[1]Catchment Projections'!$A$1:$BZ$90,55,FALSE)</f>
        <v>52</v>
      </c>
      <c r="N90" s="7">
        <f>VLOOKUP($A90,'[1]Catchment Projections'!$A$1:$BZ$90,56,FALSE)</f>
        <v>52</v>
      </c>
      <c r="O90" s="7">
        <f>VLOOKUP($A90,'[1]Catchment Projections'!$A$1:$BZ$90,57,FALSE)</f>
        <v>52</v>
      </c>
      <c r="P90" s="7">
        <f>VLOOKUP($A90,'[1]Catchment Projections'!$A$1:$BZ$90,58,FALSE)</f>
        <v>52</v>
      </c>
    </row>
    <row r="91" spans="1:16" x14ac:dyDescent="0.2">
      <c r="A91" s="340" t="s">
        <v>17</v>
      </c>
      <c r="B91" s="341" t="s">
        <v>113</v>
      </c>
      <c r="C91" s="7">
        <f>VLOOKUP($A91,'[1]Catchment Projections'!$A$1:$BZ$90,45,FALSE)</f>
        <v>38</v>
      </c>
      <c r="D91" s="7">
        <f>VLOOKUP($A91,'[1]Catchment Projections'!$A$1:$BZ$90,46,FALSE)</f>
        <v>38</v>
      </c>
      <c r="E91" s="7">
        <f>VLOOKUP($A91,'[1]Catchment Projections'!$A$1:$BZ$90,47,FALSE)</f>
        <v>36</v>
      </c>
      <c r="F91" s="7">
        <f>VLOOKUP($A91,'[1]Catchment Projections'!$A$1:$BZ$90,48,FALSE)</f>
        <v>34</v>
      </c>
      <c r="G91" s="7">
        <f>VLOOKUP($A91,'[1]Catchment Projections'!$A$1:$BZ$90,49,FALSE)</f>
        <v>36</v>
      </c>
      <c r="H91" s="7">
        <f>VLOOKUP($A91,'[1]Catchment Projections'!$A$1:$BZ$90,50,FALSE)</f>
        <v>37</v>
      </c>
      <c r="I91" s="7">
        <f>VLOOKUP($A91,'[1]Catchment Projections'!$A$1:$BZ$90,51,FALSE)</f>
        <v>38</v>
      </c>
      <c r="J91" s="7">
        <f>VLOOKUP($A91,'[1]Catchment Projections'!$A$1:$BZ$90,52,FALSE)</f>
        <v>38</v>
      </c>
      <c r="K91" s="7">
        <f>VLOOKUP($A91,'[1]Catchment Projections'!$A$1:$BZ$90,53,FALSE)</f>
        <v>38</v>
      </c>
      <c r="L91" s="7">
        <f>VLOOKUP($A91,'[1]Catchment Projections'!$A$1:$BZ$90,54,FALSE)</f>
        <v>38</v>
      </c>
      <c r="M91" s="7">
        <f>VLOOKUP($A91,'[1]Catchment Projections'!$A$1:$BZ$90,55,FALSE)</f>
        <v>39</v>
      </c>
      <c r="N91" s="7">
        <f>VLOOKUP($A91,'[1]Catchment Projections'!$A$1:$BZ$90,56,FALSE)</f>
        <v>39</v>
      </c>
      <c r="O91" s="7">
        <f>VLOOKUP($A91,'[1]Catchment Projections'!$A$1:$BZ$90,57,FALSE)</f>
        <v>39</v>
      </c>
      <c r="P91" s="7">
        <f>VLOOKUP($A91,'[1]Catchment Projections'!$A$1:$BZ$90,58,FALSE)</f>
        <v>39</v>
      </c>
    </row>
    <row r="92" spans="1:16" ht="12.75" customHeight="1" x14ac:dyDescent="0.2">
      <c r="A92" s="340" t="s">
        <v>68</v>
      </c>
      <c r="B92" s="341" t="s">
        <v>113</v>
      </c>
      <c r="C92" s="7">
        <f>VLOOKUP($A92,'[1]Catchment Projections'!$A$1:$BZ$90,45,FALSE)</f>
        <v>50</v>
      </c>
      <c r="D92" s="7">
        <f>VLOOKUP($A92,'[1]Catchment Projections'!$A$1:$BZ$90,46,FALSE)</f>
        <v>55</v>
      </c>
      <c r="E92" s="7">
        <f>VLOOKUP($A92,'[1]Catchment Projections'!$A$1:$BZ$90,47,FALSE)</f>
        <v>36</v>
      </c>
      <c r="F92" s="7">
        <f>VLOOKUP($A92,'[1]Catchment Projections'!$A$1:$BZ$90,48,FALSE)</f>
        <v>40</v>
      </c>
      <c r="G92" s="7">
        <f>VLOOKUP($A92,'[1]Catchment Projections'!$A$1:$BZ$90,49,FALSE)</f>
        <v>44</v>
      </c>
      <c r="H92" s="7">
        <f>VLOOKUP($A92,'[1]Catchment Projections'!$A$1:$BZ$90,50,FALSE)</f>
        <v>44</v>
      </c>
      <c r="I92" s="7">
        <f>VLOOKUP($A92,'[1]Catchment Projections'!$A$1:$BZ$90,51,FALSE)</f>
        <v>45</v>
      </c>
      <c r="J92" s="7">
        <f>VLOOKUP($A92,'[1]Catchment Projections'!$A$1:$BZ$90,52,FALSE)</f>
        <v>45</v>
      </c>
      <c r="K92" s="7">
        <f>VLOOKUP($A92,'[1]Catchment Projections'!$A$1:$BZ$90,53,FALSE)</f>
        <v>46</v>
      </c>
      <c r="L92" s="7">
        <f>VLOOKUP($A92,'[1]Catchment Projections'!$A$1:$BZ$90,54,FALSE)</f>
        <v>46</v>
      </c>
      <c r="M92" s="7">
        <f>VLOOKUP($A92,'[1]Catchment Projections'!$A$1:$BZ$90,55,FALSE)</f>
        <v>46</v>
      </c>
      <c r="N92" s="7">
        <f>VLOOKUP($A92,'[1]Catchment Projections'!$A$1:$BZ$90,56,FALSE)</f>
        <v>46</v>
      </c>
      <c r="O92" s="7">
        <f>VLOOKUP($A92,'[1]Catchment Projections'!$A$1:$BZ$90,57,FALSE)</f>
        <v>46</v>
      </c>
      <c r="P92" s="7">
        <f>VLOOKUP($A92,'[1]Catchment Projections'!$A$1:$BZ$90,58,FALSE)</f>
        <v>46</v>
      </c>
    </row>
    <row r="93" spans="1:16" ht="12.75" customHeight="1" x14ac:dyDescent="0.2">
      <c r="A93" s="6" t="s">
        <v>0</v>
      </c>
      <c r="B93" s="6"/>
      <c r="C93" s="5">
        <f t="shared" ref="C93:P93" si="0">SUM(C5:C92)</f>
        <v>4553</v>
      </c>
      <c r="D93" s="5">
        <f t="shared" si="0"/>
        <v>4472</v>
      </c>
      <c r="E93" s="5">
        <f t="shared" si="0"/>
        <v>4354</v>
      </c>
      <c r="F93" s="5">
        <f t="shared" si="0"/>
        <v>4314</v>
      </c>
      <c r="G93" s="5">
        <f t="shared" si="0"/>
        <v>4413</v>
      </c>
      <c r="H93" s="5">
        <f t="shared" si="0"/>
        <v>4478</v>
      </c>
      <c r="I93" s="5">
        <f t="shared" si="0"/>
        <v>4533</v>
      </c>
      <c r="J93" s="5">
        <f t="shared" si="0"/>
        <v>4575</v>
      </c>
      <c r="K93" s="5">
        <f t="shared" si="0"/>
        <v>4604</v>
      </c>
      <c r="L93" s="5">
        <f t="shared" si="0"/>
        <v>4626</v>
      </c>
      <c r="M93" s="5">
        <f t="shared" si="0"/>
        <v>4635</v>
      </c>
      <c r="N93" s="5">
        <f t="shared" si="0"/>
        <v>4648</v>
      </c>
      <c r="O93" s="5">
        <f t="shared" si="0"/>
        <v>4649</v>
      </c>
      <c r="P93" s="5">
        <f t="shared" si="0"/>
        <v>4648</v>
      </c>
    </row>
    <row r="94" spans="1:16" x14ac:dyDescent="0.2">
      <c r="C94" s="3"/>
      <c r="D94" s="3"/>
      <c r="E94" s="3"/>
      <c r="F94" s="3"/>
      <c r="G94" s="3"/>
      <c r="H94" s="3"/>
      <c r="I94" s="3"/>
      <c r="J94" s="3"/>
      <c r="K94" s="3"/>
      <c r="L94" s="3"/>
    </row>
    <row r="95" spans="1:16" x14ac:dyDescent="0.2">
      <c r="C95" s="3"/>
      <c r="D95" s="3"/>
      <c r="E95" s="3"/>
      <c r="F95" s="3"/>
      <c r="G95" s="3"/>
      <c r="H95" s="3"/>
      <c r="I95" s="3"/>
      <c r="J95" s="3"/>
      <c r="K95" s="3"/>
      <c r="L95" s="3"/>
    </row>
    <row r="100" spans="7:12" x14ac:dyDescent="0.2">
      <c r="G100" s="287"/>
      <c r="H100" s="287"/>
      <c r="I100" s="287"/>
      <c r="J100" s="287"/>
      <c r="K100" s="287"/>
      <c r="L100" s="287"/>
    </row>
  </sheetData>
  <sortState ref="A5:P92">
    <sortCondition ref="B5:B93"/>
    <sortCondition ref="A5:A93"/>
  </sortState>
  <pageMargins left="0.74803149606299213" right="0.74803149606299213" top="0.98425196850393704" bottom="0.98425196850393704" header="0.51181102362204722" footer="0.51181102362204722"/>
  <pageSetup paperSize="8"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BL25"/>
  <sheetViews>
    <sheetView workbookViewId="0"/>
  </sheetViews>
  <sheetFormatPr defaultRowHeight="15" x14ac:dyDescent="0.25"/>
  <cols>
    <col min="1" max="1" width="33" style="344" bestFit="1" customWidth="1"/>
    <col min="2" max="2" width="5" style="344" bestFit="1" customWidth="1"/>
    <col min="3" max="8" width="4" style="344" bestFit="1" customWidth="1"/>
    <col min="9" max="9" width="5" style="344" bestFit="1" customWidth="1"/>
    <col min="10" max="15" width="4" style="344" bestFit="1" customWidth="1"/>
    <col min="16" max="16" width="5" style="344" bestFit="1" customWidth="1"/>
    <col min="17" max="22" width="4" style="344" bestFit="1" customWidth="1"/>
    <col min="23" max="23" width="5" style="344" bestFit="1" customWidth="1"/>
    <col min="24" max="29" width="4" style="344" bestFit="1" customWidth="1"/>
    <col min="30" max="30" width="5" style="344" bestFit="1" customWidth="1"/>
    <col min="31" max="36" width="4" style="344" bestFit="1" customWidth="1"/>
    <col min="37" max="37" width="5" style="344" bestFit="1" customWidth="1"/>
    <col min="38" max="43" width="4" style="344" bestFit="1" customWidth="1"/>
    <col min="44" max="44" width="5" style="344" bestFit="1" customWidth="1"/>
    <col min="45" max="50" width="4" style="344" bestFit="1" customWidth="1"/>
    <col min="51" max="51" width="5" style="344" bestFit="1" customWidth="1"/>
    <col min="52" max="57" width="4" style="344" bestFit="1" customWidth="1"/>
    <col min="65" max="16384" width="9.140625" style="344"/>
  </cols>
  <sheetData>
    <row r="1" spans="1:57" x14ac:dyDescent="0.25">
      <c r="B1" s="344">
        <v>2018</v>
      </c>
      <c r="I1" s="344">
        <v>2017</v>
      </c>
      <c r="P1" s="344">
        <v>2016</v>
      </c>
      <c r="W1" s="344">
        <v>2015</v>
      </c>
      <c r="AD1" s="344">
        <v>2014</v>
      </c>
      <c r="AK1" s="344">
        <v>2013</v>
      </c>
      <c r="AR1" s="344">
        <v>2012</v>
      </c>
      <c r="AY1" s="344">
        <v>2011</v>
      </c>
    </row>
    <row r="2" spans="1:57" x14ac:dyDescent="0.25">
      <c r="B2" s="344" t="s">
        <v>1</v>
      </c>
      <c r="C2" s="344" t="s">
        <v>115</v>
      </c>
      <c r="D2" s="344" t="s">
        <v>116</v>
      </c>
      <c r="E2" s="344" t="s">
        <v>117</v>
      </c>
      <c r="F2" s="344" t="s">
        <v>118</v>
      </c>
      <c r="G2" s="344" t="s">
        <v>119</v>
      </c>
      <c r="H2" s="344" t="s">
        <v>120</v>
      </c>
      <c r="I2" s="344" t="s">
        <v>1</v>
      </c>
      <c r="J2" s="344" t="s">
        <v>115</v>
      </c>
      <c r="K2" s="344" t="s">
        <v>116</v>
      </c>
      <c r="L2" s="344" t="s">
        <v>117</v>
      </c>
      <c r="M2" s="344" t="s">
        <v>118</v>
      </c>
      <c r="N2" s="344" t="s">
        <v>119</v>
      </c>
      <c r="O2" s="344" t="s">
        <v>120</v>
      </c>
      <c r="P2" s="344" t="s">
        <v>1</v>
      </c>
      <c r="Q2" s="344" t="s">
        <v>115</v>
      </c>
      <c r="R2" s="344" t="s">
        <v>116</v>
      </c>
      <c r="S2" s="344" t="s">
        <v>117</v>
      </c>
      <c r="T2" s="344" t="s">
        <v>118</v>
      </c>
      <c r="U2" s="344" t="s">
        <v>119</v>
      </c>
      <c r="V2" s="344" t="s">
        <v>120</v>
      </c>
      <c r="W2" s="344" t="s">
        <v>1</v>
      </c>
      <c r="X2" s="344" t="s">
        <v>115</v>
      </c>
      <c r="Y2" s="344" t="s">
        <v>116</v>
      </c>
      <c r="Z2" s="344" t="s">
        <v>117</v>
      </c>
      <c r="AA2" s="344" t="s">
        <v>118</v>
      </c>
      <c r="AB2" s="344" t="s">
        <v>119</v>
      </c>
      <c r="AC2" s="344" t="s">
        <v>120</v>
      </c>
      <c r="AD2" s="344" t="s">
        <v>1</v>
      </c>
      <c r="AE2" s="344" t="s">
        <v>115</v>
      </c>
      <c r="AF2" s="344" t="s">
        <v>116</v>
      </c>
      <c r="AG2" s="344" t="s">
        <v>117</v>
      </c>
      <c r="AH2" s="344" t="s">
        <v>118</v>
      </c>
      <c r="AI2" s="344" t="s">
        <v>119</v>
      </c>
      <c r="AJ2" s="344" t="s">
        <v>120</v>
      </c>
      <c r="AK2" s="344" t="s">
        <v>1</v>
      </c>
      <c r="AL2" s="344" t="s">
        <v>115</v>
      </c>
      <c r="AM2" s="344" t="s">
        <v>116</v>
      </c>
      <c r="AN2" s="344" t="s">
        <v>117</v>
      </c>
      <c r="AO2" s="344" t="s">
        <v>118</v>
      </c>
      <c r="AP2" s="344" t="s">
        <v>119</v>
      </c>
      <c r="AQ2" s="344" t="s">
        <v>120</v>
      </c>
      <c r="AR2" s="344" t="s">
        <v>1</v>
      </c>
      <c r="AS2" s="344" t="s">
        <v>115</v>
      </c>
      <c r="AT2" s="344" t="s">
        <v>116</v>
      </c>
      <c r="AU2" s="344" t="s">
        <v>117</v>
      </c>
      <c r="AV2" s="344" t="s">
        <v>118</v>
      </c>
      <c r="AW2" s="344" t="s">
        <v>119</v>
      </c>
      <c r="AX2" s="344" t="s">
        <v>120</v>
      </c>
      <c r="AY2" s="344" t="s">
        <v>1</v>
      </c>
      <c r="AZ2" s="344" t="s">
        <v>115</v>
      </c>
      <c r="BA2" s="344" t="s">
        <v>116</v>
      </c>
      <c r="BB2" s="344" t="s">
        <v>117</v>
      </c>
      <c r="BC2" s="344" t="s">
        <v>118</v>
      </c>
      <c r="BD2" s="344" t="s">
        <v>119</v>
      </c>
      <c r="BE2" s="344" t="s">
        <v>120</v>
      </c>
    </row>
    <row r="3" spans="1:57" x14ac:dyDescent="0.25">
      <c r="A3" s="344" t="s">
        <v>97</v>
      </c>
      <c r="B3" s="344">
        <v>86</v>
      </c>
      <c r="C3" s="344">
        <v>97</v>
      </c>
      <c r="D3" s="344">
        <v>108</v>
      </c>
      <c r="E3" s="344">
        <v>87</v>
      </c>
      <c r="F3" s="344">
        <v>94</v>
      </c>
      <c r="G3" s="344">
        <v>91</v>
      </c>
      <c r="H3" s="344">
        <v>90</v>
      </c>
      <c r="I3" s="344">
        <v>92</v>
      </c>
      <c r="J3" s="344">
        <v>103</v>
      </c>
      <c r="K3" s="344">
        <v>89</v>
      </c>
      <c r="L3" s="344">
        <v>96</v>
      </c>
      <c r="M3" s="344">
        <v>92</v>
      </c>
      <c r="N3" s="344">
        <v>84</v>
      </c>
      <c r="O3" s="344">
        <v>84</v>
      </c>
      <c r="P3" s="344">
        <v>105</v>
      </c>
      <c r="Q3" s="344">
        <v>85</v>
      </c>
      <c r="R3" s="344">
        <v>93</v>
      </c>
      <c r="S3" s="344">
        <v>96</v>
      </c>
      <c r="T3" s="344">
        <v>87</v>
      </c>
      <c r="U3" s="344">
        <v>83</v>
      </c>
      <c r="V3" s="344">
        <v>85</v>
      </c>
      <c r="W3" s="344">
        <v>79</v>
      </c>
      <c r="X3" s="344">
        <v>97</v>
      </c>
      <c r="Y3" s="344">
        <v>89</v>
      </c>
      <c r="Z3" s="344">
        <v>85</v>
      </c>
      <c r="AA3" s="344">
        <v>80</v>
      </c>
      <c r="AB3" s="344">
        <v>81</v>
      </c>
      <c r="AC3" s="344">
        <v>85</v>
      </c>
      <c r="AD3" s="344">
        <v>96</v>
      </c>
      <c r="AE3" s="344">
        <v>87</v>
      </c>
      <c r="AF3" s="344">
        <v>86</v>
      </c>
      <c r="AG3" s="344">
        <v>79</v>
      </c>
      <c r="AH3" s="344">
        <v>80</v>
      </c>
      <c r="AI3" s="344">
        <v>84</v>
      </c>
      <c r="AJ3" s="344">
        <v>76</v>
      </c>
      <c r="AK3" s="344">
        <v>81</v>
      </c>
      <c r="AL3" s="344">
        <v>86</v>
      </c>
      <c r="AM3" s="344">
        <v>76</v>
      </c>
      <c r="AN3" s="344">
        <v>78</v>
      </c>
      <c r="AO3" s="344">
        <v>83</v>
      </c>
      <c r="AP3" s="344">
        <v>75</v>
      </c>
      <c r="AQ3" s="344">
        <v>67</v>
      </c>
      <c r="AR3" s="344">
        <v>81</v>
      </c>
      <c r="AS3" s="344">
        <v>74</v>
      </c>
      <c r="AT3" s="344">
        <v>79</v>
      </c>
      <c r="AU3" s="344">
        <v>85</v>
      </c>
      <c r="AV3" s="344">
        <v>72</v>
      </c>
      <c r="AW3" s="344">
        <v>66</v>
      </c>
      <c r="AX3" s="344">
        <v>68</v>
      </c>
      <c r="AY3" s="344">
        <v>68</v>
      </c>
      <c r="AZ3" s="344">
        <v>82</v>
      </c>
      <c r="BA3" s="344">
        <v>82</v>
      </c>
      <c r="BB3" s="344">
        <v>66</v>
      </c>
      <c r="BC3" s="344">
        <v>69</v>
      </c>
      <c r="BD3" s="344">
        <v>69</v>
      </c>
      <c r="BE3" s="344">
        <v>72</v>
      </c>
    </row>
    <row r="4" spans="1:57" x14ac:dyDescent="0.25">
      <c r="A4" s="344" t="s">
        <v>92</v>
      </c>
      <c r="B4" s="344">
        <v>233</v>
      </c>
      <c r="C4" s="344">
        <v>213</v>
      </c>
      <c r="D4" s="344">
        <v>232</v>
      </c>
      <c r="E4" s="344">
        <v>256</v>
      </c>
      <c r="F4" s="344">
        <v>242</v>
      </c>
      <c r="G4" s="344">
        <v>229</v>
      </c>
      <c r="H4" s="344">
        <v>228</v>
      </c>
      <c r="I4" s="344">
        <v>221</v>
      </c>
      <c r="J4" s="344">
        <v>229</v>
      </c>
      <c r="K4" s="344">
        <v>243</v>
      </c>
      <c r="L4" s="344">
        <v>236</v>
      </c>
      <c r="M4" s="344">
        <v>230</v>
      </c>
      <c r="N4" s="344">
        <v>223</v>
      </c>
      <c r="O4" s="344">
        <v>240</v>
      </c>
      <c r="P4" s="344">
        <v>219</v>
      </c>
      <c r="Q4" s="344">
        <v>235</v>
      </c>
      <c r="R4" s="344">
        <v>230</v>
      </c>
      <c r="S4" s="344">
        <v>224</v>
      </c>
      <c r="T4" s="344">
        <v>223</v>
      </c>
      <c r="U4" s="344">
        <v>230</v>
      </c>
      <c r="V4" s="344">
        <v>203</v>
      </c>
      <c r="W4" s="344">
        <v>224</v>
      </c>
      <c r="X4" s="344">
        <v>228</v>
      </c>
      <c r="Y4" s="344">
        <v>216</v>
      </c>
      <c r="Z4" s="344">
        <v>221</v>
      </c>
      <c r="AA4" s="344">
        <v>222</v>
      </c>
      <c r="AB4" s="344">
        <v>203</v>
      </c>
      <c r="AC4" s="344">
        <v>187</v>
      </c>
      <c r="AD4" s="344">
        <v>225</v>
      </c>
      <c r="AE4" s="344">
        <v>212</v>
      </c>
      <c r="AF4" s="344">
        <v>215</v>
      </c>
      <c r="AG4" s="344">
        <v>217</v>
      </c>
      <c r="AH4" s="344">
        <v>193</v>
      </c>
      <c r="AI4" s="344">
        <v>187</v>
      </c>
      <c r="AJ4" s="344">
        <v>199</v>
      </c>
      <c r="AK4" s="344">
        <v>205</v>
      </c>
      <c r="AL4" s="344">
        <v>214</v>
      </c>
      <c r="AM4" s="344">
        <v>214</v>
      </c>
      <c r="AN4" s="344">
        <v>183</v>
      </c>
      <c r="AO4" s="344">
        <v>181</v>
      </c>
      <c r="AP4" s="344">
        <v>201</v>
      </c>
      <c r="AQ4" s="344">
        <v>157</v>
      </c>
      <c r="AR4" s="344">
        <v>218</v>
      </c>
      <c r="AS4" s="344">
        <v>210</v>
      </c>
      <c r="AT4" s="344">
        <v>185</v>
      </c>
      <c r="AU4" s="344">
        <v>178</v>
      </c>
      <c r="AV4" s="344">
        <v>198</v>
      </c>
      <c r="AW4" s="344">
        <v>166</v>
      </c>
      <c r="AX4" s="344">
        <v>167</v>
      </c>
      <c r="AY4" s="344">
        <v>209</v>
      </c>
      <c r="AZ4" s="344">
        <v>188</v>
      </c>
      <c r="BA4" s="344">
        <v>185</v>
      </c>
      <c r="BB4" s="344">
        <v>203</v>
      </c>
      <c r="BC4" s="344">
        <v>166</v>
      </c>
      <c r="BD4" s="344">
        <v>178</v>
      </c>
      <c r="BE4" s="344">
        <v>162</v>
      </c>
    </row>
    <row r="5" spans="1:57" x14ac:dyDescent="0.25">
      <c r="A5" s="344" t="s">
        <v>93</v>
      </c>
      <c r="B5" s="344">
        <v>261</v>
      </c>
      <c r="C5" s="344">
        <v>261</v>
      </c>
      <c r="D5" s="344">
        <v>272</v>
      </c>
      <c r="E5" s="344">
        <v>233</v>
      </c>
      <c r="F5" s="344">
        <v>252</v>
      </c>
      <c r="G5" s="344">
        <v>249</v>
      </c>
      <c r="H5" s="344">
        <v>221</v>
      </c>
      <c r="I5" s="344">
        <v>278</v>
      </c>
      <c r="J5" s="344">
        <v>278</v>
      </c>
      <c r="K5" s="344">
        <v>237</v>
      </c>
      <c r="L5" s="344">
        <v>259</v>
      </c>
      <c r="M5" s="344">
        <v>260</v>
      </c>
      <c r="N5" s="344">
        <v>222</v>
      </c>
      <c r="O5" s="344">
        <v>201</v>
      </c>
      <c r="P5" s="344">
        <v>275</v>
      </c>
      <c r="Q5" s="344">
        <v>232</v>
      </c>
      <c r="R5" s="344">
        <v>245</v>
      </c>
      <c r="S5" s="344">
        <v>252</v>
      </c>
      <c r="T5" s="344">
        <v>222</v>
      </c>
      <c r="U5" s="344">
        <v>187</v>
      </c>
      <c r="V5" s="344">
        <v>181</v>
      </c>
      <c r="W5" s="344">
        <v>250</v>
      </c>
      <c r="X5" s="344">
        <v>249</v>
      </c>
      <c r="Y5" s="344">
        <v>252</v>
      </c>
      <c r="Z5" s="344">
        <v>216</v>
      </c>
      <c r="AA5" s="344">
        <v>193</v>
      </c>
      <c r="AB5" s="344">
        <v>185</v>
      </c>
      <c r="AC5" s="344">
        <v>167</v>
      </c>
      <c r="AD5" s="344">
        <v>270</v>
      </c>
      <c r="AE5" s="344">
        <v>266</v>
      </c>
      <c r="AF5" s="344">
        <v>226</v>
      </c>
      <c r="AG5" s="344">
        <v>198</v>
      </c>
      <c r="AH5" s="344">
        <v>194</v>
      </c>
      <c r="AI5" s="344">
        <v>174</v>
      </c>
      <c r="AJ5" s="344">
        <v>165</v>
      </c>
      <c r="AK5" s="344">
        <v>260</v>
      </c>
      <c r="AL5" s="344">
        <v>238</v>
      </c>
      <c r="AM5" s="344">
        <v>204</v>
      </c>
      <c r="AN5" s="344">
        <v>199</v>
      </c>
      <c r="AO5" s="344">
        <v>177</v>
      </c>
      <c r="AP5" s="344">
        <v>165</v>
      </c>
      <c r="AQ5" s="344">
        <v>159</v>
      </c>
      <c r="AR5" s="344">
        <v>237</v>
      </c>
      <c r="AS5" s="344">
        <v>220</v>
      </c>
      <c r="AT5" s="344">
        <v>195</v>
      </c>
      <c r="AU5" s="344">
        <v>183</v>
      </c>
      <c r="AV5" s="344">
        <v>170</v>
      </c>
      <c r="AW5" s="344">
        <v>165</v>
      </c>
      <c r="AX5" s="344">
        <v>169</v>
      </c>
      <c r="AY5" s="344">
        <v>218</v>
      </c>
      <c r="AZ5" s="344">
        <v>196</v>
      </c>
      <c r="BA5" s="344">
        <v>180</v>
      </c>
      <c r="BB5" s="344">
        <v>179</v>
      </c>
      <c r="BC5" s="344">
        <v>168</v>
      </c>
      <c r="BD5" s="344">
        <v>162</v>
      </c>
      <c r="BE5" s="344">
        <v>184</v>
      </c>
    </row>
    <row r="6" spans="1:57" x14ac:dyDescent="0.25">
      <c r="A6" s="344" t="s">
        <v>98</v>
      </c>
      <c r="B6" s="344">
        <v>155</v>
      </c>
      <c r="C6" s="344">
        <v>156</v>
      </c>
      <c r="D6" s="344">
        <v>169</v>
      </c>
      <c r="E6" s="344">
        <v>149</v>
      </c>
      <c r="F6" s="344">
        <v>163</v>
      </c>
      <c r="G6" s="344">
        <v>160</v>
      </c>
      <c r="H6" s="344">
        <v>146</v>
      </c>
      <c r="I6" s="344">
        <v>148</v>
      </c>
      <c r="J6" s="344">
        <v>173</v>
      </c>
      <c r="K6" s="344">
        <v>146</v>
      </c>
      <c r="L6" s="344">
        <v>163</v>
      </c>
      <c r="M6" s="344">
        <v>161</v>
      </c>
      <c r="N6" s="344">
        <v>152</v>
      </c>
      <c r="O6" s="344">
        <v>124</v>
      </c>
      <c r="P6" s="344">
        <v>169</v>
      </c>
      <c r="Q6" s="344">
        <v>151</v>
      </c>
      <c r="R6" s="344">
        <v>156</v>
      </c>
      <c r="S6" s="344">
        <v>163</v>
      </c>
      <c r="T6" s="344">
        <v>163</v>
      </c>
      <c r="U6" s="344">
        <v>126</v>
      </c>
      <c r="V6" s="344">
        <v>111</v>
      </c>
      <c r="W6" s="344">
        <v>147</v>
      </c>
      <c r="X6" s="344">
        <v>167</v>
      </c>
      <c r="Y6" s="344">
        <v>155</v>
      </c>
      <c r="Z6" s="344">
        <v>161</v>
      </c>
      <c r="AA6" s="344">
        <v>131</v>
      </c>
      <c r="AB6" s="344">
        <v>110</v>
      </c>
      <c r="AC6" s="344">
        <v>118</v>
      </c>
      <c r="AD6" s="344">
        <v>163</v>
      </c>
      <c r="AE6" s="344">
        <v>154</v>
      </c>
      <c r="AF6" s="344">
        <v>168</v>
      </c>
      <c r="AG6" s="344">
        <v>131</v>
      </c>
      <c r="AH6" s="344">
        <v>109</v>
      </c>
      <c r="AI6" s="344">
        <v>118</v>
      </c>
      <c r="AJ6" s="344">
        <v>102</v>
      </c>
      <c r="AK6" s="344">
        <v>148</v>
      </c>
      <c r="AL6" s="344">
        <v>157</v>
      </c>
      <c r="AM6" s="344">
        <v>135</v>
      </c>
      <c r="AN6" s="344">
        <v>110</v>
      </c>
      <c r="AO6" s="344">
        <v>111</v>
      </c>
      <c r="AP6" s="344">
        <v>101</v>
      </c>
      <c r="AQ6" s="344">
        <v>111</v>
      </c>
      <c r="AR6" s="344">
        <v>154</v>
      </c>
      <c r="AS6" s="344">
        <v>140</v>
      </c>
      <c r="AT6" s="344">
        <v>120</v>
      </c>
      <c r="AU6" s="344">
        <v>119</v>
      </c>
      <c r="AV6" s="344">
        <v>107</v>
      </c>
      <c r="AW6" s="344">
        <v>110</v>
      </c>
      <c r="AX6" s="344">
        <v>102</v>
      </c>
      <c r="AY6" s="344">
        <v>139</v>
      </c>
      <c r="AZ6" s="344">
        <v>123</v>
      </c>
      <c r="BA6" s="344">
        <v>117</v>
      </c>
      <c r="BB6" s="344">
        <v>98</v>
      </c>
      <c r="BC6" s="344">
        <v>112</v>
      </c>
      <c r="BD6" s="344">
        <v>110</v>
      </c>
      <c r="BE6" s="344">
        <v>122</v>
      </c>
    </row>
    <row r="7" spans="1:57" x14ac:dyDescent="0.25">
      <c r="A7" s="344" t="s">
        <v>94</v>
      </c>
      <c r="B7" s="344">
        <v>217</v>
      </c>
      <c r="C7" s="344">
        <v>186</v>
      </c>
      <c r="D7" s="344">
        <v>223</v>
      </c>
      <c r="E7" s="344">
        <v>229</v>
      </c>
      <c r="F7" s="344">
        <v>210</v>
      </c>
      <c r="G7" s="344">
        <v>220</v>
      </c>
      <c r="H7" s="344">
        <v>206</v>
      </c>
      <c r="I7" s="344">
        <v>186</v>
      </c>
      <c r="J7" s="344">
        <v>240</v>
      </c>
      <c r="K7" s="344">
        <v>236</v>
      </c>
      <c r="L7" s="344">
        <v>207</v>
      </c>
      <c r="M7" s="344">
        <v>223</v>
      </c>
      <c r="N7" s="344">
        <v>221</v>
      </c>
      <c r="O7" s="344">
        <v>188</v>
      </c>
      <c r="P7" s="344">
        <v>243</v>
      </c>
      <c r="Q7" s="344">
        <v>244</v>
      </c>
      <c r="R7" s="344">
        <v>217</v>
      </c>
      <c r="S7" s="344">
        <v>219</v>
      </c>
      <c r="T7" s="344">
        <v>219</v>
      </c>
      <c r="U7" s="344">
        <v>193</v>
      </c>
      <c r="V7" s="344">
        <v>174</v>
      </c>
      <c r="W7" s="344">
        <v>242</v>
      </c>
      <c r="X7" s="344">
        <v>211</v>
      </c>
      <c r="Y7" s="344">
        <v>215</v>
      </c>
      <c r="Z7" s="344">
        <v>217</v>
      </c>
      <c r="AA7" s="344">
        <v>193</v>
      </c>
      <c r="AB7" s="344">
        <v>167</v>
      </c>
      <c r="AC7" s="344">
        <v>153</v>
      </c>
      <c r="AD7" s="344">
        <v>206</v>
      </c>
      <c r="AE7" s="344">
        <v>220</v>
      </c>
      <c r="AF7" s="344">
        <v>206</v>
      </c>
      <c r="AG7" s="344">
        <v>186</v>
      </c>
      <c r="AH7" s="344">
        <v>166</v>
      </c>
      <c r="AI7" s="344">
        <v>155</v>
      </c>
      <c r="AJ7" s="344">
        <v>179</v>
      </c>
      <c r="AK7" s="344">
        <v>211</v>
      </c>
      <c r="AL7" s="344">
        <v>201</v>
      </c>
      <c r="AM7" s="344">
        <v>184</v>
      </c>
      <c r="AN7" s="344">
        <v>162</v>
      </c>
      <c r="AO7" s="344">
        <v>155</v>
      </c>
      <c r="AP7" s="344">
        <v>171</v>
      </c>
      <c r="AQ7" s="344">
        <v>142</v>
      </c>
      <c r="AR7" s="344">
        <v>202</v>
      </c>
      <c r="AS7" s="344">
        <v>178</v>
      </c>
      <c r="AT7" s="344">
        <v>170</v>
      </c>
      <c r="AU7" s="344">
        <v>160</v>
      </c>
      <c r="AV7" s="344">
        <v>172</v>
      </c>
      <c r="AW7" s="344">
        <v>145</v>
      </c>
      <c r="AX7" s="344">
        <v>158</v>
      </c>
      <c r="AY7" s="344">
        <v>188</v>
      </c>
      <c r="AZ7" s="344">
        <v>165</v>
      </c>
      <c r="BA7" s="344">
        <v>171</v>
      </c>
      <c r="BB7" s="344">
        <v>171</v>
      </c>
      <c r="BC7" s="344">
        <v>165</v>
      </c>
      <c r="BD7" s="344">
        <v>162</v>
      </c>
      <c r="BE7" s="344">
        <v>182</v>
      </c>
    </row>
    <row r="8" spans="1:57" x14ac:dyDescent="0.25">
      <c r="A8" s="344" t="s">
        <v>95</v>
      </c>
      <c r="B8" s="344">
        <v>188</v>
      </c>
      <c r="C8" s="344">
        <v>155</v>
      </c>
      <c r="D8" s="344">
        <v>171</v>
      </c>
      <c r="E8" s="344">
        <v>153</v>
      </c>
      <c r="F8" s="344">
        <v>165</v>
      </c>
      <c r="G8" s="344">
        <v>173</v>
      </c>
      <c r="H8" s="344">
        <v>166</v>
      </c>
      <c r="I8" s="344">
        <v>159</v>
      </c>
      <c r="J8" s="344">
        <v>169</v>
      </c>
      <c r="K8" s="344">
        <v>150</v>
      </c>
      <c r="L8" s="344">
        <v>157</v>
      </c>
      <c r="M8" s="344">
        <v>182</v>
      </c>
      <c r="N8" s="344">
        <v>167</v>
      </c>
      <c r="O8" s="344">
        <v>145</v>
      </c>
      <c r="P8" s="344">
        <v>172</v>
      </c>
      <c r="Q8" s="344">
        <v>155</v>
      </c>
      <c r="R8" s="344">
        <v>163</v>
      </c>
      <c r="S8" s="344">
        <v>187</v>
      </c>
      <c r="T8" s="344">
        <v>160</v>
      </c>
      <c r="U8" s="344">
        <v>140</v>
      </c>
      <c r="V8" s="344">
        <v>124</v>
      </c>
      <c r="W8" s="344">
        <v>149</v>
      </c>
      <c r="X8" s="344">
        <v>162</v>
      </c>
      <c r="Y8" s="344">
        <v>186</v>
      </c>
      <c r="Z8" s="344">
        <v>159</v>
      </c>
      <c r="AA8" s="344">
        <v>142</v>
      </c>
      <c r="AB8" s="344">
        <v>128</v>
      </c>
      <c r="AC8" s="344">
        <v>154</v>
      </c>
      <c r="AD8" s="344">
        <v>156</v>
      </c>
      <c r="AE8" s="344">
        <v>185</v>
      </c>
      <c r="AF8" s="344">
        <v>158</v>
      </c>
      <c r="AG8" s="344">
        <v>142</v>
      </c>
      <c r="AH8" s="344">
        <v>126</v>
      </c>
      <c r="AI8" s="344">
        <v>143</v>
      </c>
      <c r="AJ8" s="344">
        <v>130</v>
      </c>
      <c r="AK8" s="344">
        <v>179</v>
      </c>
      <c r="AL8" s="344">
        <v>165</v>
      </c>
      <c r="AM8" s="344">
        <v>138</v>
      </c>
      <c r="AN8" s="344">
        <v>116</v>
      </c>
      <c r="AO8" s="344">
        <v>142</v>
      </c>
      <c r="AP8" s="344">
        <v>124</v>
      </c>
      <c r="AQ8" s="344">
        <v>148</v>
      </c>
      <c r="AR8" s="344">
        <v>170</v>
      </c>
      <c r="AS8" s="344">
        <v>134</v>
      </c>
      <c r="AT8" s="344">
        <v>123</v>
      </c>
      <c r="AU8" s="344">
        <v>131</v>
      </c>
      <c r="AV8" s="344">
        <v>132</v>
      </c>
      <c r="AW8" s="344">
        <v>147</v>
      </c>
      <c r="AX8" s="344">
        <v>123</v>
      </c>
      <c r="AY8" s="344">
        <v>127</v>
      </c>
      <c r="AZ8" s="344">
        <v>121</v>
      </c>
      <c r="BA8" s="344">
        <v>130</v>
      </c>
      <c r="BB8" s="344">
        <v>136</v>
      </c>
      <c r="BC8" s="344">
        <v>144</v>
      </c>
      <c r="BD8" s="344">
        <v>132</v>
      </c>
      <c r="BE8" s="344">
        <v>130</v>
      </c>
    </row>
    <row r="9" spans="1:57" x14ac:dyDescent="0.25">
      <c r="A9" s="344" t="s">
        <v>99</v>
      </c>
      <c r="B9" s="344">
        <v>145</v>
      </c>
      <c r="C9" s="344">
        <v>138</v>
      </c>
      <c r="D9" s="344">
        <v>127</v>
      </c>
      <c r="E9" s="344">
        <v>149</v>
      </c>
      <c r="F9" s="344">
        <v>136</v>
      </c>
      <c r="G9" s="344">
        <v>136</v>
      </c>
      <c r="H9" s="344">
        <v>125</v>
      </c>
      <c r="I9" s="344">
        <v>135</v>
      </c>
      <c r="J9" s="344">
        <v>127</v>
      </c>
      <c r="K9" s="344">
        <v>137</v>
      </c>
      <c r="L9" s="344">
        <v>129</v>
      </c>
      <c r="M9" s="344">
        <v>132</v>
      </c>
      <c r="N9" s="344">
        <v>125</v>
      </c>
      <c r="O9" s="344">
        <v>119</v>
      </c>
      <c r="P9" s="344">
        <v>128</v>
      </c>
      <c r="Q9" s="344">
        <v>139</v>
      </c>
      <c r="R9" s="344">
        <v>128</v>
      </c>
      <c r="S9" s="344">
        <v>129</v>
      </c>
      <c r="T9" s="344">
        <v>131</v>
      </c>
      <c r="U9" s="344">
        <v>128</v>
      </c>
      <c r="V9" s="344">
        <v>127</v>
      </c>
      <c r="W9" s="344">
        <v>135</v>
      </c>
      <c r="X9" s="344">
        <v>125</v>
      </c>
      <c r="Y9" s="344">
        <v>133</v>
      </c>
      <c r="Z9" s="344">
        <v>130</v>
      </c>
      <c r="AA9" s="344">
        <v>129</v>
      </c>
      <c r="AB9" s="344">
        <v>131</v>
      </c>
      <c r="AC9" s="344">
        <v>101</v>
      </c>
      <c r="AD9" s="344">
        <v>126</v>
      </c>
      <c r="AE9" s="344">
        <v>132</v>
      </c>
      <c r="AF9" s="344">
        <v>124</v>
      </c>
      <c r="AG9" s="344">
        <v>132</v>
      </c>
      <c r="AH9" s="344">
        <v>132</v>
      </c>
      <c r="AI9" s="344">
        <v>100</v>
      </c>
      <c r="AJ9" s="344">
        <v>101</v>
      </c>
      <c r="AK9" s="344">
        <v>134</v>
      </c>
      <c r="AL9" s="344">
        <v>125</v>
      </c>
      <c r="AM9" s="344">
        <v>134</v>
      </c>
      <c r="AN9" s="344">
        <v>136</v>
      </c>
      <c r="AO9" s="344">
        <v>98</v>
      </c>
      <c r="AP9" s="344">
        <v>101</v>
      </c>
      <c r="AQ9" s="344">
        <v>121</v>
      </c>
      <c r="AR9" s="344">
        <v>123</v>
      </c>
      <c r="AS9" s="344">
        <v>137</v>
      </c>
      <c r="AT9" s="344">
        <v>138</v>
      </c>
      <c r="AU9" s="344">
        <v>95</v>
      </c>
      <c r="AV9" s="344">
        <v>101</v>
      </c>
      <c r="AW9" s="344">
        <v>124</v>
      </c>
      <c r="AX9" s="344">
        <v>111</v>
      </c>
      <c r="AY9" s="344">
        <v>127</v>
      </c>
      <c r="AZ9" s="344">
        <v>134</v>
      </c>
      <c r="BA9" s="344">
        <v>98</v>
      </c>
      <c r="BB9" s="344">
        <v>104</v>
      </c>
      <c r="BC9" s="344">
        <v>124</v>
      </c>
      <c r="BD9" s="344">
        <v>107</v>
      </c>
      <c r="BE9" s="344">
        <v>103</v>
      </c>
    </row>
    <row r="10" spans="1:57" x14ac:dyDescent="0.25">
      <c r="A10" s="344" t="s">
        <v>96</v>
      </c>
      <c r="B10" s="344">
        <v>113</v>
      </c>
      <c r="C10" s="344">
        <v>112</v>
      </c>
      <c r="D10" s="344">
        <v>96</v>
      </c>
      <c r="E10" s="344">
        <v>106</v>
      </c>
      <c r="F10" s="344">
        <v>117</v>
      </c>
      <c r="G10" s="344">
        <v>98</v>
      </c>
      <c r="H10" s="344">
        <v>78</v>
      </c>
      <c r="I10" s="344">
        <v>130</v>
      </c>
      <c r="J10" s="344">
        <v>102</v>
      </c>
      <c r="K10" s="344">
        <v>116</v>
      </c>
      <c r="L10" s="344">
        <v>125</v>
      </c>
      <c r="M10" s="344">
        <v>108</v>
      </c>
      <c r="N10" s="344">
        <v>88</v>
      </c>
      <c r="O10" s="344">
        <v>79</v>
      </c>
      <c r="P10" s="344">
        <v>117</v>
      </c>
      <c r="Q10" s="344">
        <v>126</v>
      </c>
      <c r="R10" s="344">
        <v>130</v>
      </c>
      <c r="S10" s="344">
        <v>100</v>
      </c>
      <c r="T10" s="344">
        <v>92</v>
      </c>
      <c r="U10" s="344">
        <v>91</v>
      </c>
      <c r="V10" s="344">
        <v>68</v>
      </c>
      <c r="W10" s="344">
        <v>129</v>
      </c>
      <c r="X10" s="344">
        <v>134</v>
      </c>
      <c r="Y10" s="344">
        <v>129</v>
      </c>
      <c r="Z10" s="344">
        <v>92</v>
      </c>
      <c r="AA10" s="344">
        <v>93</v>
      </c>
      <c r="AB10" s="344">
        <v>75</v>
      </c>
      <c r="AC10" s="344">
        <v>81</v>
      </c>
      <c r="AD10" s="344">
        <v>147</v>
      </c>
      <c r="AE10" s="344">
        <v>134</v>
      </c>
      <c r="AF10" s="344">
        <v>91</v>
      </c>
      <c r="AG10" s="344">
        <v>101</v>
      </c>
      <c r="AH10" s="344">
        <v>81</v>
      </c>
      <c r="AI10" s="344">
        <v>83</v>
      </c>
      <c r="AJ10" s="344">
        <v>55</v>
      </c>
      <c r="AK10" s="344">
        <v>160</v>
      </c>
      <c r="AL10" s="344">
        <v>108</v>
      </c>
      <c r="AM10" s="344">
        <v>106</v>
      </c>
      <c r="AN10" s="344">
        <v>95</v>
      </c>
      <c r="AO10" s="344">
        <v>96</v>
      </c>
      <c r="AP10" s="344">
        <v>59</v>
      </c>
      <c r="AQ10" s="344">
        <v>88</v>
      </c>
      <c r="AR10" s="344">
        <v>107</v>
      </c>
      <c r="AS10" s="344">
        <v>101</v>
      </c>
      <c r="AT10" s="344">
        <v>96</v>
      </c>
      <c r="AU10" s="344">
        <v>101</v>
      </c>
      <c r="AV10" s="344">
        <v>69</v>
      </c>
      <c r="AW10" s="344">
        <v>94</v>
      </c>
      <c r="AX10" s="344">
        <v>82</v>
      </c>
      <c r="AY10" s="344">
        <v>104</v>
      </c>
      <c r="AZ10" s="344">
        <v>95</v>
      </c>
      <c r="BA10" s="344">
        <v>103</v>
      </c>
      <c r="BB10" s="344">
        <v>71</v>
      </c>
      <c r="BC10" s="344">
        <v>96</v>
      </c>
      <c r="BD10" s="344">
        <v>89</v>
      </c>
      <c r="BE10" s="344">
        <v>79</v>
      </c>
    </row>
    <row r="11" spans="1:57" x14ac:dyDescent="0.25">
      <c r="A11" s="344" t="s">
        <v>314</v>
      </c>
      <c r="B11" s="344">
        <v>250</v>
      </c>
      <c r="C11" s="344">
        <v>250</v>
      </c>
      <c r="D11" s="344">
        <v>244</v>
      </c>
      <c r="E11" s="344">
        <v>247</v>
      </c>
      <c r="F11" s="344">
        <v>227</v>
      </c>
      <c r="G11" s="344">
        <v>212</v>
      </c>
      <c r="H11" s="344">
        <v>260</v>
      </c>
      <c r="I11" s="344">
        <v>245</v>
      </c>
      <c r="J11" s="344">
        <v>251</v>
      </c>
      <c r="K11" s="344">
        <v>253</v>
      </c>
      <c r="L11" s="344">
        <v>240</v>
      </c>
      <c r="M11" s="344">
        <v>220</v>
      </c>
      <c r="N11" s="344">
        <v>270</v>
      </c>
      <c r="O11" s="344">
        <v>225</v>
      </c>
      <c r="P11" s="344">
        <v>267</v>
      </c>
      <c r="Q11" s="344">
        <v>263</v>
      </c>
      <c r="R11" s="344">
        <v>250</v>
      </c>
      <c r="S11" s="344">
        <v>229</v>
      </c>
      <c r="T11" s="344">
        <v>274</v>
      </c>
      <c r="U11" s="344">
        <v>253</v>
      </c>
      <c r="V11" s="344">
        <v>189</v>
      </c>
      <c r="W11" s="344">
        <v>260</v>
      </c>
      <c r="X11" s="344">
        <v>254</v>
      </c>
      <c r="Y11" s="344">
        <v>234</v>
      </c>
      <c r="Z11" s="344">
        <v>279</v>
      </c>
      <c r="AA11" s="344">
        <v>264</v>
      </c>
      <c r="AB11" s="344">
        <v>200</v>
      </c>
      <c r="AC11" s="344">
        <v>171</v>
      </c>
      <c r="AD11" s="344">
        <v>247</v>
      </c>
      <c r="AE11" s="344">
        <v>238</v>
      </c>
      <c r="AF11" s="344">
        <v>283</v>
      </c>
      <c r="AG11" s="344">
        <v>263</v>
      </c>
      <c r="AH11" s="344">
        <v>212</v>
      </c>
      <c r="AI11" s="344">
        <v>193</v>
      </c>
      <c r="AJ11" s="344">
        <v>193</v>
      </c>
      <c r="AK11" s="344">
        <v>242</v>
      </c>
      <c r="AL11" s="344">
        <v>277</v>
      </c>
      <c r="AM11" s="344">
        <v>285</v>
      </c>
      <c r="AN11" s="344">
        <v>222</v>
      </c>
      <c r="AO11" s="344">
        <v>193</v>
      </c>
      <c r="AP11" s="344">
        <v>216</v>
      </c>
      <c r="AQ11" s="344">
        <v>196</v>
      </c>
      <c r="AR11" s="344">
        <v>288</v>
      </c>
      <c r="AS11" s="344">
        <v>287</v>
      </c>
      <c r="AT11" s="344">
        <v>233</v>
      </c>
      <c r="AU11" s="344">
        <v>203</v>
      </c>
      <c r="AV11" s="344">
        <v>220</v>
      </c>
      <c r="AW11" s="344">
        <v>205</v>
      </c>
      <c r="AX11" s="344">
        <v>204</v>
      </c>
      <c r="AY11" s="344">
        <v>280</v>
      </c>
      <c r="AZ11" s="344">
        <v>230</v>
      </c>
      <c r="BA11" s="344">
        <v>211</v>
      </c>
      <c r="BB11" s="344">
        <v>214</v>
      </c>
      <c r="BC11" s="344">
        <v>215</v>
      </c>
      <c r="BD11" s="344">
        <v>204</v>
      </c>
      <c r="BE11" s="344">
        <v>191</v>
      </c>
    </row>
    <row r="12" spans="1:57" x14ac:dyDescent="0.25">
      <c r="A12" s="344" t="s">
        <v>100</v>
      </c>
      <c r="B12" s="344">
        <v>211</v>
      </c>
      <c r="C12" s="344">
        <v>206</v>
      </c>
      <c r="D12" s="344">
        <v>179</v>
      </c>
      <c r="E12" s="344">
        <v>194</v>
      </c>
      <c r="F12" s="344">
        <v>235</v>
      </c>
      <c r="G12" s="344">
        <v>189</v>
      </c>
      <c r="H12" s="344">
        <v>184</v>
      </c>
      <c r="I12" s="344">
        <v>218</v>
      </c>
      <c r="J12" s="344">
        <v>173</v>
      </c>
      <c r="K12" s="344">
        <v>206</v>
      </c>
      <c r="L12" s="344">
        <v>234</v>
      </c>
      <c r="M12" s="344">
        <v>191</v>
      </c>
      <c r="N12" s="344">
        <v>186</v>
      </c>
      <c r="O12" s="344">
        <v>163</v>
      </c>
      <c r="P12" s="344">
        <v>169</v>
      </c>
      <c r="Q12" s="344">
        <v>205</v>
      </c>
      <c r="R12" s="344">
        <v>228</v>
      </c>
      <c r="S12" s="344">
        <v>200</v>
      </c>
      <c r="T12" s="344">
        <v>194</v>
      </c>
      <c r="U12" s="344">
        <v>173</v>
      </c>
      <c r="V12" s="344">
        <v>189</v>
      </c>
      <c r="W12" s="344">
        <v>211</v>
      </c>
      <c r="X12" s="344">
        <v>234</v>
      </c>
      <c r="Y12" s="344">
        <v>207</v>
      </c>
      <c r="Z12" s="344">
        <v>185</v>
      </c>
      <c r="AA12" s="344">
        <v>178</v>
      </c>
      <c r="AB12" s="344">
        <v>188</v>
      </c>
      <c r="AC12" s="344">
        <v>138</v>
      </c>
      <c r="AD12" s="344">
        <v>240</v>
      </c>
      <c r="AE12" s="344">
        <v>213</v>
      </c>
      <c r="AF12" s="344">
        <v>192</v>
      </c>
      <c r="AG12" s="344">
        <v>180</v>
      </c>
      <c r="AH12" s="344">
        <v>186</v>
      </c>
      <c r="AI12" s="344">
        <v>147</v>
      </c>
      <c r="AJ12" s="344">
        <v>171</v>
      </c>
      <c r="AK12" s="344">
        <v>222</v>
      </c>
      <c r="AL12" s="344">
        <v>196</v>
      </c>
      <c r="AM12" s="344">
        <v>190</v>
      </c>
      <c r="AN12" s="344">
        <v>189</v>
      </c>
      <c r="AO12" s="344">
        <v>148</v>
      </c>
      <c r="AP12" s="344">
        <v>180</v>
      </c>
      <c r="AQ12" s="344">
        <v>164</v>
      </c>
      <c r="AR12" s="344">
        <v>201</v>
      </c>
      <c r="AS12" s="344">
        <v>192</v>
      </c>
      <c r="AT12" s="344">
        <v>188</v>
      </c>
      <c r="AU12" s="344">
        <v>156</v>
      </c>
      <c r="AV12" s="344">
        <v>181</v>
      </c>
      <c r="AW12" s="344">
        <v>168</v>
      </c>
      <c r="AX12" s="344">
        <v>153</v>
      </c>
      <c r="AY12" s="344">
        <v>188</v>
      </c>
      <c r="AZ12" s="344">
        <v>203</v>
      </c>
      <c r="BA12" s="344">
        <v>157</v>
      </c>
      <c r="BB12" s="344">
        <v>192</v>
      </c>
      <c r="BC12" s="344">
        <v>171</v>
      </c>
      <c r="BD12" s="344">
        <v>166</v>
      </c>
      <c r="BE12" s="344">
        <v>176</v>
      </c>
    </row>
    <row r="13" spans="1:57" x14ac:dyDescent="0.25">
      <c r="A13" s="344" t="s">
        <v>101</v>
      </c>
      <c r="B13" s="344">
        <v>84</v>
      </c>
      <c r="C13" s="344">
        <v>114</v>
      </c>
      <c r="D13" s="344">
        <v>104</v>
      </c>
      <c r="E13" s="344">
        <v>99</v>
      </c>
      <c r="F13" s="344">
        <v>109</v>
      </c>
      <c r="G13" s="344">
        <v>117</v>
      </c>
      <c r="H13" s="344">
        <v>95</v>
      </c>
      <c r="I13" s="344">
        <v>107</v>
      </c>
      <c r="J13" s="344">
        <v>107</v>
      </c>
      <c r="K13" s="344">
        <v>97</v>
      </c>
      <c r="L13" s="344">
        <v>102</v>
      </c>
      <c r="M13" s="344">
        <v>127</v>
      </c>
      <c r="N13" s="344">
        <v>92</v>
      </c>
      <c r="O13" s="344">
        <v>85</v>
      </c>
      <c r="P13" s="344">
        <v>105</v>
      </c>
      <c r="Q13" s="344">
        <v>99</v>
      </c>
      <c r="R13" s="344">
        <v>109</v>
      </c>
      <c r="S13" s="344">
        <v>123</v>
      </c>
      <c r="T13" s="344">
        <v>96</v>
      </c>
      <c r="U13" s="344">
        <v>84</v>
      </c>
      <c r="V13" s="344">
        <v>84</v>
      </c>
      <c r="W13" s="344">
        <v>97</v>
      </c>
      <c r="X13" s="344">
        <v>108</v>
      </c>
      <c r="Y13" s="344">
        <v>118</v>
      </c>
      <c r="Z13" s="344">
        <v>100</v>
      </c>
      <c r="AA13" s="344">
        <v>85</v>
      </c>
      <c r="AB13" s="344">
        <v>82</v>
      </c>
      <c r="AC13" s="344">
        <v>71</v>
      </c>
      <c r="AD13" s="344">
        <v>108</v>
      </c>
      <c r="AE13" s="344">
        <v>120</v>
      </c>
      <c r="AF13" s="344">
        <v>93</v>
      </c>
      <c r="AG13" s="344">
        <v>85</v>
      </c>
      <c r="AH13" s="344">
        <v>94</v>
      </c>
      <c r="AI13" s="344">
        <v>75</v>
      </c>
      <c r="AJ13" s="344">
        <v>90</v>
      </c>
      <c r="AK13" s="344">
        <v>114</v>
      </c>
      <c r="AL13" s="344">
        <v>95</v>
      </c>
      <c r="AM13" s="344">
        <v>85</v>
      </c>
      <c r="AN13" s="344">
        <v>97</v>
      </c>
      <c r="AO13" s="344">
        <v>72</v>
      </c>
      <c r="AP13" s="344">
        <v>94</v>
      </c>
      <c r="AQ13" s="344">
        <v>85</v>
      </c>
      <c r="AR13" s="344">
        <v>99</v>
      </c>
      <c r="AS13" s="344">
        <v>84</v>
      </c>
      <c r="AT13" s="344">
        <v>96</v>
      </c>
      <c r="AU13" s="344">
        <v>70</v>
      </c>
      <c r="AV13" s="344">
        <v>94</v>
      </c>
      <c r="AW13" s="344">
        <v>87</v>
      </c>
      <c r="AX13" s="344">
        <v>76</v>
      </c>
      <c r="AY13" s="344">
        <v>87</v>
      </c>
      <c r="AZ13" s="344">
        <v>103</v>
      </c>
      <c r="BA13" s="344">
        <v>68</v>
      </c>
      <c r="BB13" s="344">
        <v>100</v>
      </c>
      <c r="BC13" s="344">
        <v>89</v>
      </c>
      <c r="BD13" s="344">
        <v>84</v>
      </c>
      <c r="BE13" s="344">
        <v>83</v>
      </c>
    </row>
    <row r="14" spans="1:57" x14ac:dyDescent="0.25">
      <c r="A14" s="344" t="s">
        <v>102</v>
      </c>
      <c r="B14" s="344">
        <v>260</v>
      </c>
      <c r="C14" s="344">
        <v>237</v>
      </c>
      <c r="D14" s="344">
        <v>238</v>
      </c>
      <c r="E14" s="344">
        <v>236</v>
      </c>
      <c r="F14" s="344">
        <v>241</v>
      </c>
      <c r="G14" s="344">
        <v>262</v>
      </c>
      <c r="H14" s="344">
        <v>253</v>
      </c>
      <c r="I14" s="344">
        <v>235</v>
      </c>
      <c r="J14" s="344">
        <v>233</v>
      </c>
      <c r="K14" s="344">
        <v>235</v>
      </c>
      <c r="L14" s="344">
        <v>234</v>
      </c>
      <c r="M14" s="344">
        <v>251</v>
      </c>
      <c r="N14" s="344">
        <v>255</v>
      </c>
      <c r="O14" s="344">
        <v>224</v>
      </c>
      <c r="P14" s="344">
        <v>230</v>
      </c>
      <c r="Q14" s="344">
        <v>245</v>
      </c>
      <c r="R14" s="344">
        <v>234</v>
      </c>
      <c r="S14" s="344">
        <v>254</v>
      </c>
      <c r="T14" s="344">
        <v>261</v>
      </c>
      <c r="U14" s="344">
        <v>241</v>
      </c>
      <c r="V14" s="344">
        <v>235</v>
      </c>
      <c r="W14" s="344">
        <v>238</v>
      </c>
      <c r="X14" s="344">
        <v>243</v>
      </c>
      <c r="Y14" s="344">
        <v>257</v>
      </c>
      <c r="Z14" s="344">
        <v>261</v>
      </c>
      <c r="AA14" s="344">
        <v>249</v>
      </c>
      <c r="AB14" s="344">
        <v>240</v>
      </c>
      <c r="AC14" s="344">
        <v>181</v>
      </c>
      <c r="AD14" s="344">
        <v>246</v>
      </c>
      <c r="AE14" s="344">
        <v>265</v>
      </c>
      <c r="AF14" s="344">
        <v>268</v>
      </c>
      <c r="AG14" s="344">
        <v>249</v>
      </c>
      <c r="AH14" s="344">
        <v>242</v>
      </c>
      <c r="AI14" s="344">
        <v>194</v>
      </c>
      <c r="AJ14" s="344">
        <v>216</v>
      </c>
      <c r="AK14" s="344">
        <v>264</v>
      </c>
      <c r="AL14" s="344">
        <v>268</v>
      </c>
      <c r="AM14" s="344">
        <v>249</v>
      </c>
      <c r="AN14" s="344">
        <v>255</v>
      </c>
      <c r="AO14" s="344">
        <v>198</v>
      </c>
      <c r="AP14" s="344">
        <v>225</v>
      </c>
      <c r="AQ14" s="344">
        <v>213</v>
      </c>
      <c r="AR14" s="344">
        <v>265</v>
      </c>
      <c r="AS14" s="344">
        <v>247</v>
      </c>
      <c r="AT14" s="344">
        <v>256</v>
      </c>
      <c r="AU14" s="344">
        <v>190</v>
      </c>
      <c r="AV14" s="344">
        <v>221</v>
      </c>
      <c r="AW14" s="344">
        <v>220</v>
      </c>
      <c r="AX14" s="344">
        <v>226</v>
      </c>
      <c r="AY14" s="344">
        <v>248</v>
      </c>
      <c r="AZ14" s="344">
        <v>252</v>
      </c>
      <c r="BA14" s="344">
        <v>193</v>
      </c>
      <c r="BB14" s="344">
        <v>219</v>
      </c>
      <c r="BC14" s="344">
        <v>224</v>
      </c>
      <c r="BD14" s="344">
        <v>233</v>
      </c>
      <c r="BE14" s="344">
        <v>238</v>
      </c>
    </row>
    <row r="15" spans="1:57" x14ac:dyDescent="0.25">
      <c r="A15" s="344" t="s">
        <v>103</v>
      </c>
      <c r="B15" s="344">
        <v>258</v>
      </c>
      <c r="C15" s="344">
        <v>268</v>
      </c>
      <c r="D15" s="344">
        <v>225</v>
      </c>
      <c r="E15" s="344">
        <v>246</v>
      </c>
      <c r="F15" s="344">
        <v>239</v>
      </c>
      <c r="G15" s="344">
        <v>239</v>
      </c>
      <c r="H15" s="344">
        <v>232</v>
      </c>
      <c r="I15" s="344">
        <v>268</v>
      </c>
      <c r="J15" s="344">
        <v>226</v>
      </c>
      <c r="K15" s="344">
        <v>243</v>
      </c>
      <c r="L15" s="344">
        <v>243</v>
      </c>
      <c r="M15" s="344">
        <v>239</v>
      </c>
      <c r="N15" s="344">
        <v>222</v>
      </c>
      <c r="O15" s="344">
        <v>224</v>
      </c>
      <c r="P15" s="344">
        <v>226</v>
      </c>
      <c r="Q15" s="344">
        <v>248</v>
      </c>
      <c r="R15" s="344">
        <v>249</v>
      </c>
      <c r="S15" s="344">
        <v>239</v>
      </c>
      <c r="T15" s="344">
        <v>231</v>
      </c>
      <c r="U15" s="344">
        <v>215</v>
      </c>
      <c r="V15" s="344">
        <v>212</v>
      </c>
      <c r="W15" s="344">
        <v>252</v>
      </c>
      <c r="X15" s="344">
        <v>255</v>
      </c>
      <c r="Y15" s="344">
        <v>232</v>
      </c>
      <c r="Z15" s="344">
        <v>228</v>
      </c>
      <c r="AA15" s="344">
        <v>220</v>
      </c>
      <c r="AB15" s="344">
        <v>211</v>
      </c>
      <c r="AC15" s="344">
        <v>209</v>
      </c>
      <c r="AD15" s="344">
        <v>257</v>
      </c>
      <c r="AE15" s="344">
        <v>242</v>
      </c>
      <c r="AF15" s="344">
        <v>227</v>
      </c>
      <c r="AG15" s="344">
        <v>218</v>
      </c>
      <c r="AH15" s="344">
        <v>214</v>
      </c>
      <c r="AI15" s="344">
        <v>218</v>
      </c>
      <c r="AJ15" s="344">
        <v>184</v>
      </c>
      <c r="AK15" s="344">
        <v>239</v>
      </c>
      <c r="AL15" s="344">
        <v>228</v>
      </c>
      <c r="AM15" s="344">
        <v>233</v>
      </c>
      <c r="AN15" s="344">
        <v>210</v>
      </c>
      <c r="AO15" s="344">
        <v>225</v>
      </c>
      <c r="AP15" s="344">
        <v>185</v>
      </c>
      <c r="AQ15" s="344">
        <v>173</v>
      </c>
      <c r="AR15" s="344">
        <v>239</v>
      </c>
      <c r="AS15" s="344">
        <v>231</v>
      </c>
      <c r="AT15" s="344">
        <v>218</v>
      </c>
      <c r="AU15" s="344">
        <v>223</v>
      </c>
      <c r="AV15" s="344">
        <v>184</v>
      </c>
      <c r="AW15" s="344">
        <v>182</v>
      </c>
      <c r="AX15" s="344">
        <v>192</v>
      </c>
      <c r="AY15" s="344">
        <v>230</v>
      </c>
      <c r="AZ15" s="344">
        <v>221</v>
      </c>
      <c r="BA15" s="344">
        <v>222</v>
      </c>
      <c r="BB15" s="344">
        <v>192</v>
      </c>
      <c r="BC15" s="344">
        <v>187</v>
      </c>
      <c r="BD15" s="344">
        <v>193</v>
      </c>
      <c r="BE15" s="344">
        <v>176</v>
      </c>
    </row>
    <row r="16" spans="1:57" x14ac:dyDescent="0.25">
      <c r="A16" s="344" t="s">
        <v>104</v>
      </c>
      <c r="B16" s="344">
        <v>211</v>
      </c>
      <c r="C16" s="344">
        <v>187</v>
      </c>
      <c r="D16" s="344">
        <v>160</v>
      </c>
      <c r="E16" s="344">
        <v>181</v>
      </c>
      <c r="F16" s="344">
        <v>189</v>
      </c>
      <c r="G16" s="344">
        <v>189</v>
      </c>
      <c r="H16" s="344">
        <v>188</v>
      </c>
      <c r="I16" s="344">
        <v>208</v>
      </c>
      <c r="J16" s="344">
        <v>170</v>
      </c>
      <c r="K16" s="344">
        <v>191</v>
      </c>
      <c r="L16" s="344">
        <v>195</v>
      </c>
      <c r="M16" s="344">
        <v>192</v>
      </c>
      <c r="N16" s="344">
        <v>196</v>
      </c>
      <c r="O16" s="344">
        <v>168</v>
      </c>
      <c r="P16" s="344">
        <v>183</v>
      </c>
      <c r="Q16" s="344">
        <v>210</v>
      </c>
      <c r="R16" s="344">
        <v>199</v>
      </c>
      <c r="S16" s="344">
        <v>202</v>
      </c>
      <c r="T16" s="344">
        <v>191</v>
      </c>
      <c r="U16" s="344">
        <v>176</v>
      </c>
      <c r="V16" s="344">
        <v>148</v>
      </c>
      <c r="W16" s="344">
        <v>203</v>
      </c>
      <c r="X16" s="344">
        <v>220</v>
      </c>
      <c r="Y16" s="344">
        <v>213</v>
      </c>
      <c r="Z16" s="344">
        <v>189</v>
      </c>
      <c r="AA16" s="344">
        <v>180</v>
      </c>
      <c r="AB16" s="344">
        <v>143</v>
      </c>
      <c r="AC16" s="344">
        <v>143</v>
      </c>
      <c r="AD16" s="344">
        <v>221</v>
      </c>
      <c r="AE16" s="344">
        <v>213</v>
      </c>
      <c r="AF16" s="344">
        <v>196</v>
      </c>
      <c r="AG16" s="344">
        <v>187</v>
      </c>
      <c r="AH16" s="344">
        <v>146</v>
      </c>
      <c r="AI16" s="344">
        <v>149</v>
      </c>
      <c r="AJ16" s="344">
        <v>152</v>
      </c>
      <c r="AK16" s="344">
        <v>221</v>
      </c>
      <c r="AL16" s="344">
        <v>199</v>
      </c>
      <c r="AM16" s="344">
        <v>190</v>
      </c>
      <c r="AN16" s="344">
        <v>142</v>
      </c>
      <c r="AO16" s="344">
        <v>147</v>
      </c>
      <c r="AP16" s="344">
        <v>158</v>
      </c>
      <c r="AQ16" s="344">
        <v>139</v>
      </c>
      <c r="AR16" s="344">
        <v>202</v>
      </c>
      <c r="AS16" s="344">
        <v>202</v>
      </c>
      <c r="AT16" s="344">
        <v>151</v>
      </c>
      <c r="AU16" s="344">
        <v>157</v>
      </c>
      <c r="AV16" s="344">
        <v>157</v>
      </c>
      <c r="AW16" s="344">
        <v>147</v>
      </c>
      <c r="AX16" s="344">
        <v>153</v>
      </c>
      <c r="AY16" s="344">
        <v>192</v>
      </c>
      <c r="AZ16" s="344">
        <v>160</v>
      </c>
      <c r="BA16" s="344">
        <v>166</v>
      </c>
      <c r="BB16" s="344">
        <v>167</v>
      </c>
      <c r="BC16" s="344">
        <v>146</v>
      </c>
      <c r="BD16" s="344">
        <v>164</v>
      </c>
      <c r="BE16" s="344">
        <v>149</v>
      </c>
    </row>
    <row r="17" spans="1:57" x14ac:dyDescent="0.25">
      <c r="A17" s="344" t="s">
        <v>105</v>
      </c>
      <c r="B17" s="344">
        <v>226</v>
      </c>
      <c r="C17" s="344">
        <v>233</v>
      </c>
      <c r="D17" s="344">
        <v>241</v>
      </c>
      <c r="E17" s="344">
        <v>230</v>
      </c>
      <c r="F17" s="344">
        <v>233</v>
      </c>
      <c r="G17" s="344">
        <v>248</v>
      </c>
      <c r="H17" s="344">
        <v>203</v>
      </c>
      <c r="I17" s="344">
        <v>233</v>
      </c>
      <c r="J17" s="344">
        <v>250</v>
      </c>
      <c r="K17" s="344">
        <v>243</v>
      </c>
      <c r="L17" s="344">
        <v>239</v>
      </c>
      <c r="M17" s="344">
        <v>262</v>
      </c>
      <c r="N17" s="344">
        <v>215</v>
      </c>
      <c r="O17" s="344">
        <v>201</v>
      </c>
      <c r="P17" s="344">
        <v>234</v>
      </c>
      <c r="Q17" s="344">
        <v>250</v>
      </c>
      <c r="R17" s="344">
        <v>237</v>
      </c>
      <c r="S17" s="344">
        <v>264</v>
      </c>
      <c r="T17" s="344">
        <v>215</v>
      </c>
      <c r="U17" s="344">
        <v>198</v>
      </c>
      <c r="V17" s="344">
        <v>187</v>
      </c>
      <c r="W17" s="344">
        <v>266</v>
      </c>
      <c r="X17" s="344">
        <v>251</v>
      </c>
      <c r="Y17" s="344">
        <v>267</v>
      </c>
      <c r="Z17" s="344">
        <v>223</v>
      </c>
      <c r="AA17" s="344">
        <v>201</v>
      </c>
      <c r="AB17" s="344">
        <v>198</v>
      </c>
      <c r="AC17" s="344">
        <v>163</v>
      </c>
      <c r="AD17" s="344">
        <v>252</v>
      </c>
      <c r="AE17" s="344">
        <v>264</v>
      </c>
      <c r="AF17" s="344">
        <v>216</v>
      </c>
      <c r="AG17" s="344">
        <v>209</v>
      </c>
      <c r="AH17" s="344">
        <v>199</v>
      </c>
      <c r="AI17" s="344">
        <v>170</v>
      </c>
      <c r="AJ17" s="344">
        <v>182</v>
      </c>
      <c r="AK17" s="344">
        <v>271</v>
      </c>
      <c r="AL17" s="344">
        <v>229</v>
      </c>
      <c r="AM17" s="344">
        <v>210</v>
      </c>
      <c r="AN17" s="344">
        <v>197</v>
      </c>
      <c r="AO17" s="344">
        <v>178</v>
      </c>
      <c r="AP17" s="344">
        <v>182</v>
      </c>
      <c r="AQ17" s="344">
        <v>145</v>
      </c>
      <c r="AR17" s="344">
        <v>240</v>
      </c>
      <c r="AS17" s="344">
        <v>233</v>
      </c>
      <c r="AT17" s="344">
        <v>198</v>
      </c>
      <c r="AU17" s="344">
        <v>181</v>
      </c>
      <c r="AV17" s="344">
        <v>187</v>
      </c>
      <c r="AW17" s="344">
        <v>156</v>
      </c>
      <c r="AX17" s="344">
        <v>182</v>
      </c>
      <c r="AY17" s="344">
        <v>223</v>
      </c>
      <c r="AZ17" s="344">
        <v>202</v>
      </c>
      <c r="BA17" s="344">
        <v>191</v>
      </c>
      <c r="BB17" s="344">
        <v>187</v>
      </c>
      <c r="BC17" s="344">
        <v>159</v>
      </c>
      <c r="BD17" s="344">
        <v>189</v>
      </c>
      <c r="BE17" s="344">
        <v>172</v>
      </c>
    </row>
    <row r="18" spans="1:57" x14ac:dyDescent="0.25">
      <c r="A18" s="344" t="s">
        <v>106</v>
      </c>
      <c r="B18" s="344">
        <v>247</v>
      </c>
      <c r="C18" s="344">
        <v>255</v>
      </c>
      <c r="D18" s="344">
        <v>244</v>
      </c>
      <c r="E18" s="344">
        <v>245</v>
      </c>
      <c r="F18" s="344">
        <v>241</v>
      </c>
      <c r="G18" s="344">
        <v>226</v>
      </c>
      <c r="H18" s="344">
        <v>272</v>
      </c>
      <c r="I18" s="344">
        <v>250</v>
      </c>
      <c r="J18" s="344">
        <v>244</v>
      </c>
      <c r="K18" s="344">
        <v>253</v>
      </c>
      <c r="L18" s="344">
        <v>241</v>
      </c>
      <c r="M18" s="344">
        <v>240</v>
      </c>
      <c r="N18" s="344">
        <v>272</v>
      </c>
      <c r="O18" s="344">
        <v>223</v>
      </c>
      <c r="P18" s="344">
        <v>246</v>
      </c>
      <c r="Q18" s="344">
        <v>255</v>
      </c>
      <c r="R18" s="344">
        <v>252</v>
      </c>
      <c r="S18" s="344">
        <v>237</v>
      </c>
      <c r="T18" s="344">
        <v>274</v>
      </c>
      <c r="U18" s="344">
        <v>219</v>
      </c>
      <c r="V18" s="344">
        <v>213</v>
      </c>
      <c r="W18" s="344">
        <v>262</v>
      </c>
      <c r="X18" s="344">
        <v>247</v>
      </c>
      <c r="Y18" s="344">
        <v>248</v>
      </c>
      <c r="Z18" s="344">
        <v>259</v>
      </c>
      <c r="AA18" s="344">
        <v>221</v>
      </c>
      <c r="AB18" s="344">
        <v>217</v>
      </c>
      <c r="AC18" s="344">
        <v>205</v>
      </c>
      <c r="AD18" s="344">
        <v>254</v>
      </c>
      <c r="AE18" s="344">
        <v>246</v>
      </c>
      <c r="AF18" s="344">
        <v>256</v>
      </c>
      <c r="AG18" s="344">
        <v>219</v>
      </c>
      <c r="AH18" s="344">
        <v>218</v>
      </c>
      <c r="AI18" s="344">
        <v>198</v>
      </c>
      <c r="AJ18" s="344">
        <v>188</v>
      </c>
      <c r="AK18" s="344">
        <v>244</v>
      </c>
      <c r="AL18" s="344">
        <v>255</v>
      </c>
      <c r="AM18" s="344">
        <v>217</v>
      </c>
      <c r="AN18" s="344">
        <v>226</v>
      </c>
      <c r="AO18" s="344">
        <v>207</v>
      </c>
      <c r="AP18" s="344">
        <v>200</v>
      </c>
      <c r="AQ18" s="344">
        <v>185</v>
      </c>
      <c r="AR18" s="344">
        <v>250</v>
      </c>
      <c r="AS18" s="344">
        <v>214</v>
      </c>
      <c r="AT18" s="344">
        <v>224</v>
      </c>
      <c r="AU18" s="344">
        <v>217</v>
      </c>
      <c r="AV18" s="344">
        <v>203</v>
      </c>
      <c r="AW18" s="344">
        <v>191</v>
      </c>
      <c r="AX18" s="344">
        <v>220</v>
      </c>
      <c r="AY18" s="344">
        <v>214</v>
      </c>
      <c r="AZ18" s="344">
        <v>223</v>
      </c>
      <c r="BA18" s="344">
        <v>220</v>
      </c>
      <c r="BB18" s="344">
        <v>208</v>
      </c>
      <c r="BC18" s="344">
        <v>189</v>
      </c>
      <c r="BD18" s="344">
        <v>214</v>
      </c>
      <c r="BE18" s="344">
        <v>175</v>
      </c>
    </row>
    <row r="19" spans="1:57" x14ac:dyDescent="0.25">
      <c r="A19" s="344" t="s">
        <v>107</v>
      </c>
      <c r="B19" s="344">
        <v>232</v>
      </c>
      <c r="C19" s="344">
        <v>229</v>
      </c>
      <c r="D19" s="344">
        <v>217</v>
      </c>
      <c r="E19" s="344">
        <v>174</v>
      </c>
      <c r="F19" s="344">
        <v>205</v>
      </c>
      <c r="G19" s="344">
        <v>177</v>
      </c>
      <c r="H19" s="344">
        <v>177</v>
      </c>
      <c r="I19" s="344">
        <v>212</v>
      </c>
      <c r="J19" s="344">
        <v>218</v>
      </c>
      <c r="K19" s="344">
        <v>170</v>
      </c>
      <c r="L19" s="344">
        <v>206</v>
      </c>
      <c r="M19" s="344">
        <v>176</v>
      </c>
      <c r="N19" s="344">
        <v>180</v>
      </c>
      <c r="O19" s="344">
        <v>157</v>
      </c>
      <c r="P19" s="344">
        <v>212</v>
      </c>
      <c r="Q19" s="344">
        <v>172</v>
      </c>
      <c r="R19" s="344">
        <v>206</v>
      </c>
      <c r="S19" s="344">
        <v>174</v>
      </c>
      <c r="T19" s="344">
        <v>182</v>
      </c>
      <c r="U19" s="344">
        <v>166</v>
      </c>
      <c r="V19" s="344">
        <v>166</v>
      </c>
      <c r="W19" s="344">
        <v>168</v>
      </c>
      <c r="X19" s="344">
        <v>198</v>
      </c>
      <c r="Y19" s="344">
        <v>171</v>
      </c>
      <c r="Z19" s="344">
        <v>187</v>
      </c>
      <c r="AA19" s="344">
        <v>169</v>
      </c>
      <c r="AB19" s="344">
        <v>172</v>
      </c>
      <c r="AC19" s="344">
        <v>143</v>
      </c>
      <c r="AD19" s="344">
        <v>204</v>
      </c>
      <c r="AE19" s="344">
        <v>174</v>
      </c>
      <c r="AF19" s="344">
        <v>186</v>
      </c>
      <c r="AG19" s="344">
        <v>161</v>
      </c>
      <c r="AH19" s="344">
        <v>179</v>
      </c>
      <c r="AI19" s="344">
        <v>143</v>
      </c>
      <c r="AJ19" s="344">
        <v>146</v>
      </c>
      <c r="AK19" s="344">
        <v>174</v>
      </c>
      <c r="AL19" s="344">
        <v>180</v>
      </c>
      <c r="AM19" s="344">
        <v>154</v>
      </c>
      <c r="AN19" s="344">
        <v>168</v>
      </c>
      <c r="AO19" s="344">
        <v>145</v>
      </c>
      <c r="AP19" s="344">
        <v>140</v>
      </c>
      <c r="AQ19" s="344">
        <v>134</v>
      </c>
      <c r="AR19" s="344">
        <v>175</v>
      </c>
      <c r="AS19" s="344">
        <v>151</v>
      </c>
      <c r="AT19" s="344">
        <v>165</v>
      </c>
      <c r="AU19" s="344">
        <v>149</v>
      </c>
      <c r="AV19" s="344">
        <v>139</v>
      </c>
      <c r="AW19" s="344">
        <v>134</v>
      </c>
      <c r="AX19" s="344">
        <v>122</v>
      </c>
      <c r="AY19" s="344">
        <v>150</v>
      </c>
      <c r="AZ19" s="344">
        <v>166</v>
      </c>
      <c r="BA19" s="344">
        <v>146</v>
      </c>
      <c r="BB19" s="344">
        <v>140</v>
      </c>
      <c r="BC19" s="344">
        <v>137</v>
      </c>
      <c r="BD19" s="344">
        <v>123</v>
      </c>
      <c r="BE19" s="344">
        <v>111</v>
      </c>
    </row>
    <row r="20" spans="1:57" x14ac:dyDescent="0.25">
      <c r="A20" s="344" t="s">
        <v>108</v>
      </c>
      <c r="B20" s="344">
        <v>162</v>
      </c>
      <c r="C20" s="344">
        <v>174</v>
      </c>
      <c r="D20" s="344">
        <v>167</v>
      </c>
      <c r="E20" s="344">
        <v>171</v>
      </c>
      <c r="F20" s="344">
        <v>133</v>
      </c>
      <c r="G20" s="344">
        <v>181</v>
      </c>
      <c r="H20" s="344">
        <v>167</v>
      </c>
      <c r="I20" s="344">
        <v>176</v>
      </c>
      <c r="J20" s="344">
        <v>170</v>
      </c>
      <c r="K20" s="344">
        <v>179</v>
      </c>
      <c r="L20" s="344">
        <v>133</v>
      </c>
      <c r="M20" s="344">
        <v>187</v>
      </c>
      <c r="N20" s="344">
        <v>176</v>
      </c>
      <c r="O20" s="344">
        <v>159</v>
      </c>
      <c r="P20" s="344">
        <v>170</v>
      </c>
      <c r="Q20" s="344">
        <v>176</v>
      </c>
      <c r="R20" s="344">
        <v>133</v>
      </c>
      <c r="S20" s="344">
        <v>189</v>
      </c>
      <c r="T20" s="344">
        <v>169</v>
      </c>
      <c r="U20" s="344">
        <v>149</v>
      </c>
      <c r="V20" s="344">
        <v>145</v>
      </c>
      <c r="W20" s="344">
        <v>170</v>
      </c>
      <c r="X20" s="344">
        <v>129</v>
      </c>
      <c r="Y20" s="344">
        <v>185</v>
      </c>
      <c r="Z20" s="344">
        <v>168</v>
      </c>
      <c r="AA20" s="344">
        <v>152</v>
      </c>
      <c r="AB20" s="344">
        <v>139</v>
      </c>
      <c r="AC20" s="344">
        <v>118</v>
      </c>
      <c r="AD20" s="344">
        <v>128</v>
      </c>
      <c r="AE20" s="344">
        <v>182</v>
      </c>
      <c r="AF20" s="344">
        <v>162</v>
      </c>
      <c r="AG20" s="344">
        <v>158</v>
      </c>
      <c r="AH20" s="344">
        <v>148</v>
      </c>
      <c r="AI20" s="344">
        <v>118</v>
      </c>
      <c r="AJ20" s="344">
        <v>126</v>
      </c>
      <c r="AK20" s="344">
        <v>173</v>
      </c>
      <c r="AL20" s="344">
        <v>161</v>
      </c>
      <c r="AM20" s="344">
        <v>165</v>
      </c>
      <c r="AN20" s="344">
        <v>140</v>
      </c>
      <c r="AO20" s="344">
        <v>123</v>
      </c>
      <c r="AP20" s="344">
        <v>136</v>
      </c>
      <c r="AQ20" s="344">
        <v>139</v>
      </c>
      <c r="AR20" s="344">
        <v>150</v>
      </c>
      <c r="AS20" s="344">
        <v>167</v>
      </c>
      <c r="AT20" s="344">
        <v>138</v>
      </c>
      <c r="AU20" s="344">
        <v>124</v>
      </c>
      <c r="AV20" s="344">
        <v>133</v>
      </c>
      <c r="AW20" s="344">
        <v>133</v>
      </c>
      <c r="AX20" s="344">
        <v>106</v>
      </c>
      <c r="AY20" s="344">
        <v>162</v>
      </c>
      <c r="AZ20" s="344">
        <v>141</v>
      </c>
      <c r="BA20" s="344">
        <v>126</v>
      </c>
      <c r="BB20" s="344">
        <v>140</v>
      </c>
      <c r="BC20" s="344">
        <v>129</v>
      </c>
      <c r="BD20" s="344">
        <v>102</v>
      </c>
      <c r="BE20" s="344">
        <v>109</v>
      </c>
    </row>
    <row r="21" spans="1:57" x14ac:dyDescent="0.25">
      <c r="A21" s="344" t="s">
        <v>109</v>
      </c>
      <c r="B21" s="344">
        <v>145</v>
      </c>
      <c r="C21" s="344">
        <v>186</v>
      </c>
      <c r="D21" s="344">
        <v>158</v>
      </c>
      <c r="E21" s="344">
        <v>177</v>
      </c>
      <c r="F21" s="344">
        <v>143</v>
      </c>
      <c r="G21" s="344">
        <v>153</v>
      </c>
      <c r="H21" s="344">
        <v>147</v>
      </c>
      <c r="I21" s="344">
        <v>188</v>
      </c>
      <c r="J21" s="344">
        <v>160</v>
      </c>
      <c r="K21" s="344">
        <v>181</v>
      </c>
      <c r="L21" s="344">
        <v>158</v>
      </c>
      <c r="M21" s="344">
        <v>165</v>
      </c>
      <c r="N21" s="344">
        <v>149</v>
      </c>
      <c r="O21" s="344">
        <v>148</v>
      </c>
      <c r="P21" s="344">
        <v>162</v>
      </c>
      <c r="Q21" s="344">
        <v>185</v>
      </c>
      <c r="R21" s="344">
        <v>159</v>
      </c>
      <c r="S21" s="344">
        <v>173</v>
      </c>
      <c r="T21" s="344">
        <v>157</v>
      </c>
      <c r="U21" s="344">
        <v>149</v>
      </c>
      <c r="V21" s="344">
        <v>126</v>
      </c>
      <c r="W21" s="344">
        <v>185</v>
      </c>
      <c r="X21" s="344">
        <v>162</v>
      </c>
      <c r="Y21" s="344">
        <v>177</v>
      </c>
      <c r="Z21" s="344">
        <v>156</v>
      </c>
      <c r="AA21" s="344">
        <v>154</v>
      </c>
      <c r="AB21" s="344">
        <v>128</v>
      </c>
      <c r="AC21" s="344">
        <v>122</v>
      </c>
      <c r="AD21" s="344">
        <v>171</v>
      </c>
      <c r="AE21" s="344">
        <v>176</v>
      </c>
      <c r="AF21" s="344">
        <v>163</v>
      </c>
      <c r="AG21" s="344">
        <v>152</v>
      </c>
      <c r="AH21" s="344">
        <v>138</v>
      </c>
      <c r="AI21" s="344">
        <v>128</v>
      </c>
      <c r="AJ21" s="344">
        <v>136</v>
      </c>
      <c r="AK21" s="344">
        <v>185</v>
      </c>
      <c r="AL21" s="344">
        <v>169</v>
      </c>
      <c r="AM21" s="344">
        <v>167</v>
      </c>
      <c r="AN21" s="344">
        <v>150</v>
      </c>
      <c r="AO21" s="344">
        <v>133</v>
      </c>
      <c r="AP21" s="344">
        <v>139</v>
      </c>
      <c r="AQ21" s="344">
        <v>100</v>
      </c>
      <c r="AR21" s="344">
        <v>188</v>
      </c>
      <c r="AS21" s="344">
        <v>185</v>
      </c>
      <c r="AT21" s="344">
        <v>159</v>
      </c>
      <c r="AU21" s="344">
        <v>141</v>
      </c>
      <c r="AV21" s="344">
        <v>138</v>
      </c>
      <c r="AW21" s="344">
        <v>106</v>
      </c>
      <c r="AX21" s="344">
        <v>109</v>
      </c>
      <c r="AY21" s="344">
        <v>193</v>
      </c>
      <c r="AZ21" s="344">
        <v>161</v>
      </c>
      <c r="BA21" s="344">
        <v>152</v>
      </c>
      <c r="BB21" s="344">
        <v>142</v>
      </c>
      <c r="BC21" s="344">
        <v>107</v>
      </c>
      <c r="BD21" s="344">
        <v>112</v>
      </c>
      <c r="BE21" s="344">
        <v>118</v>
      </c>
    </row>
    <row r="22" spans="1:57" x14ac:dyDescent="0.25">
      <c r="A22" s="344" t="s">
        <v>110</v>
      </c>
      <c r="B22" s="344">
        <v>261</v>
      </c>
      <c r="C22" s="344">
        <v>289</v>
      </c>
      <c r="D22" s="344">
        <v>277</v>
      </c>
      <c r="E22" s="344">
        <v>273</v>
      </c>
      <c r="F22" s="344">
        <v>235</v>
      </c>
      <c r="G22" s="344">
        <v>269</v>
      </c>
      <c r="H22" s="344">
        <v>247</v>
      </c>
      <c r="I22" s="344">
        <v>288</v>
      </c>
      <c r="J22" s="344">
        <v>280</v>
      </c>
      <c r="K22" s="344">
        <v>280</v>
      </c>
      <c r="L22" s="344">
        <v>247</v>
      </c>
      <c r="M22" s="344">
        <v>274</v>
      </c>
      <c r="N22" s="344">
        <v>237</v>
      </c>
      <c r="O22" s="344">
        <v>214</v>
      </c>
      <c r="P22" s="344">
        <v>270</v>
      </c>
      <c r="Q22" s="344">
        <v>270</v>
      </c>
      <c r="R22" s="344">
        <v>244</v>
      </c>
      <c r="S22" s="344">
        <v>274</v>
      </c>
      <c r="T22" s="344">
        <v>238</v>
      </c>
      <c r="U22" s="344">
        <v>219</v>
      </c>
      <c r="V22" s="344">
        <v>225</v>
      </c>
      <c r="W22" s="344">
        <v>266</v>
      </c>
      <c r="X22" s="344">
        <v>248</v>
      </c>
      <c r="Y22" s="344">
        <v>274</v>
      </c>
      <c r="Z22" s="344">
        <v>239</v>
      </c>
      <c r="AA22" s="344">
        <v>235</v>
      </c>
      <c r="AB22" s="344">
        <v>228</v>
      </c>
      <c r="AC22" s="344">
        <v>213</v>
      </c>
      <c r="AD22" s="344">
        <v>246</v>
      </c>
      <c r="AE22" s="344">
        <v>275</v>
      </c>
      <c r="AF22" s="344">
        <v>234</v>
      </c>
      <c r="AG22" s="344">
        <v>230</v>
      </c>
      <c r="AH22" s="344">
        <v>234</v>
      </c>
      <c r="AI22" s="344">
        <v>205</v>
      </c>
      <c r="AJ22" s="344">
        <v>215</v>
      </c>
      <c r="AK22" s="344">
        <v>269</v>
      </c>
      <c r="AL22" s="344">
        <v>231</v>
      </c>
      <c r="AM22" s="344">
        <v>236</v>
      </c>
      <c r="AN22" s="344">
        <v>232</v>
      </c>
      <c r="AO22" s="344">
        <v>208</v>
      </c>
      <c r="AP22" s="344">
        <v>223</v>
      </c>
      <c r="AQ22" s="344">
        <v>185</v>
      </c>
      <c r="AR22" s="344">
        <v>235</v>
      </c>
      <c r="AS22" s="344">
        <v>235</v>
      </c>
      <c r="AT22" s="344">
        <v>223</v>
      </c>
      <c r="AU22" s="344">
        <v>222</v>
      </c>
      <c r="AV22" s="344">
        <v>238</v>
      </c>
      <c r="AW22" s="344">
        <v>180</v>
      </c>
      <c r="AX22" s="344">
        <v>218</v>
      </c>
      <c r="AY22" s="344">
        <v>242</v>
      </c>
      <c r="AZ22" s="344">
        <v>222</v>
      </c>
      <c r="BA22" s="344">
        <v>221</v>
      </c>
      <c r="BB22" s="344">
        <v>239</v>
      </c>
      <c r="BC22" s="344">
        <v>194</v>
      </c>
      <c r="BD22" s="344">
        <v>225</v>
      </c>
      <c r="BE22" s="344">
        <v>171</v>
      </c>
    </row>
    <row r="23" spans="1:57" x14ac:dyDescent="0.25">
      <c r="A23" s="344" t="s">
        <v>111</v>
      </c>
      <c r="B23" s="344">
        <v>189</v>
      </c>
      <c r="C23" s="344">
        <v>196</v>
      </c>
      <c r="D23" s="344">
        <v>197</v>
      </c>
      <c r="E23" s="344">
        <v>170</v>
      </c>
      <c r="F23" s="344">
        <v>184</v>
      </c>
      <c r="G23" s="344">
        <v>160</v>
      </c>
      <c r="H23" s="344">
        <v>147</v>
      </c>
      <c r="I23" s="344">
        <v>189</v>
      </c>
      <c r="J23" s="344">
        <v>202</v>
      </c>
      <c r="K23" s="344">
        <v>175</v>
      </c>
      <c r="L23" s="344">
        <v>184</v>
      </c>
      <c r="M23" s="344">
        <v>159</v>
      </c>
      <c r="N23" s="344">
        <v>159</v>
      </c>
      <c r="O23" s="344">
        <v>128</v>
      </c>
      <c r="P23" s="344">
        <v>205</v>
      </c>
      <c r="Q23" s="344">
        <v>176</v>
      </c>
      <c r="R23" s="344">
        <v>187</v>
      </c>
      <c r="S23" s="344">
        <v>169</v>
      </c>
      <c r="T23" s="344">
        <v>172</v>
      </c>
      <c r="U23" s="344">
        <v>133</v>
      </c>
      <c r="V23" s="344">
        <v>122</v>
      </c>
      <c r="W23" s="344">
        <v>184</v>
      </c>
      <c r="X23" s="344">
        <v>190</v>
      </c>
      <c r="Y23" s="344">
        <v>168</v>
      </c>
      <c r="Z23" s="344">
        <v>177</v>
      </c>
      <c r="AA23" s="344">
        <v>147</v>
      </c>
      <c r="AB23" s="344">
        <v>126</v>
      </c>
      <c r="AC23" s="344">
        <v>128</v>
      </c>
      <c r="AD23" s="344">
        <v>188</v>
      </c>
      <c r="AE23" s="344">
        <v>169</v>
      </c>
      <c r="AF23" s="344">
        <v>184</v>
      </c>
      <c r="AG23" s="344">
        <v>155</v>
      </c>
      <c r="AH23" s="344">
        <v>137</v>
      </c>
      <c r="AI23" s="344">
        <v>127</v>
      </c>
      <c r="AJ23" s="344">
        <v>111</v>
      </c>
      <c r="AK23" s="344">
        <v>173</v>
      </c>
      <c r="AL23" s="344">
        <v>193</v>
      </c>
      <c r="AM23" s="344">
        <v>151</v>
      </c>
      <c r="AN23" s="344">
        <v>142</v>
      </c>
      <c r="AO23" s="344">
        <v>130</v>
      </c>
      <c r="AP23" s="344">
        <v>115</v>
      </c>
      <c r="AQ23" s="344">
        <v>119</v>
      </c>
      <c r="AR23" s="344">
        <v>188</v>
      </c>
      <c r="AS23" s="344">
        <v>153</v>
      </c>
      <c r="AT23" s="344">
        <v>133</v>
      </c>
      <c r="AU23" s="344">
        <v>134</v>
      </c>
      <c r="AV23" s="344">
        <v>121</v>
      </c>
      <c r="AW23" s="344">
        <v>117</v>
      </c>
      <c r="AX23" s="344">
        <v>125</v>
      </c>
      <c r="AY23" s="344">
        <v>157</v>
      </c>
      <c r="AZ23" s="344">
        <v>141</v>
      </c>
      <c r="BA23" s="344">
        <v>137</v>
      </c>
      <c r="BB23" s="344">
        <v>119</v>
      </c>
      <c r="BC23" s="344">
        <v>124</v>
      </c>
      <c r="BD23" s="344">
        <v>125</v>
      </c>
      <c r="BE23" s="344">
        <v>112</v>
      </c>
    </row>
    <row r="24" spans="1:57" x14ac:dyDescent="0.25">
      <c r="A24" s="344" t="s">
        <v>112</v>
      </c>
      <c r="B24" s="344">
        <v>217</v>
      </c>
      <c r="C24" s="344">
        <v>217</v>
      </c>
      <c r="D24" s="344">
        <v>202</v>
      </c>
      <c r="E24" s="344">
        <v>195</v>
      </c>
      <c r="F24" s="344">
        <v>171</v>
      </c>
      <c r="G24" s="344">
        <v>172</v>
      </c>
      <c r="H24" s="344">
        <v>136</v>
      </c>
      <c r="I24" s="344">
        <v>221</v>
      </c>
      <c r="J24" s="344">
        <v>204</v>
      </c>
      <c r="K24" s="344">
        <v>191</v>
      </c>
      <c r="L24" s="344">
        <v>180</v>
      </c>
      <c r="M24" s="344">
        <v>176</v>
      </c>
      <c r="N24" s="344">
        <v>147</v>
      </c>
      <c r="O24" s="344">
        <v>173</v>
      </c>
      <c r="P24" s="344">
        <v>224</v>
      </c>
      <c r="Q24" s="344">
        <v>193</v>
      </c>
      <c r="R24" s="344">
        <v>195</v>
      </c>
      <c r="S24" s="344">
        <v>190</v>
      </c>
      <c r="T24" s="344">
        <v>153</v>
      </c>
      <c r="U24" s="344">
        <v>187</v>
      </c>
      <c r="V24" s="344">
        <v>147</v>
      </c>
      <c r="W24" s="344">
        <v>203</v>
      </c>
      <c r="X24" s="344">
        <v>213</v>
      </c>
      <c r="Y24" s="344">
        <v>191</v>
      </c>
      <c r="Z24" s="344">
        <v>164</v>
      </c>
      <c r="AA24" s="344">
        <v>191</v>
      </c>
      <c r="AB24" s="344">
        <v>155</v>
      </c>
      <c r="AC24" s="344">
        <v>144</v>
      </c>
      <c r="AD24" s="344">
        <v>230</v>
      </c>
      <c r="AE24" s="344">
        <v>190</v>
      </c>
      <c r="AF24" s="344">
        <v>186</v>
      </c>
      <c r="AG24" s="344">
        <v>207</v>
      </c>
      <c r="AH24" s="344">
        <v>169</v>
      </c>
      <c r="AI24" s="344">
        <v>156</v>
      </c>
      <c r="AJ24" s="344">
        <v>140</v>
      </c>
      <c r="AK24" s="344">
        <v>199</v>
      </c>
      <c r="AL24" s="344">
        <v>198</v>
      </c>
      <c r="AM24" s="344">
        <v>208</v>
      </c>
      <c r="AN24" s="344">
        <v>167</v>
      </c>
      <c r="AO24" s="344">
        <v>169</v>
      </c>
      <c r="AP24" s="344">
        <v>150</v>
      </c>
      <c r="AQ24" s="344">
        <v>132</v>
      </c>
      <c r="AR24" s="344">
        <v>217</v>
      </c>
      <c r="AS24" s="344">
        <v>214</v>
      </c>
      <c r="AT24" s="344">
        <v>180</v>
      </c>
      <c r="AU24" s="344">
        <v>180</v>
      </c>
      <c r="AV24" s="344">
        <v>157</v>
      </c>
      <c r="AW24" s="344">
        <v>143</v>
      </c>
      <c r="AX24" s="344">
        <v>133</v>
      </c>
      <c r="AY24" s="344">
        <v>216</v>
      </c>
      <c r="AZ24" s="344">
        <v>186</v>
      </c>
      <c r="BA24" s="344">
        <v>169</v>
      </c>
      <c r="BB24" s="344">
        <v>146</v>
      </c>
      <c r="BC24" s="344">
        <v>143</v>
      </c>
      <c r="BD24" s="344">
        <v>139</v>
      </c>
      <c r="BE24" s="344">
        <v>127</v>
      </c>
    </row>
    <row r="25" spans="1:57" x14ac:dyDescent="0.25">
      <c r="A25" s="344" t="s">
        <v>113</v>
      </c>
      <c r="B25" s="344">
        <v>145</v>
      </c>
      <c r="C25" s="344">
        <v>173</v>
      </c>
      <c r="D25" s="344">
        <v>149</v>
      </c>
      <c r="E25" s="344">
        <v>149</v>
      </c>
      <c r="F25" s="344">
        <v>178</v>
      </c>
      <c r="G25" s="344">
        <v>161</v>
      </c>
      <c r="H25" s="344">
        <v>156</v>
      </c>
      <c r="I25" s="344">
        <v>168</v>
      </c>
      <c r="J25" s="344">
        <v>153</v>
      </c>
      <c r="K25" s="344">
        <v>147</v>
      </c>
      <c r="L25" s="344">
        <v>173</v>
      </c>
      <c r="M25" s="344">
        <v>165</v>
      </c>
      <c r="N25" s="344">
        <v>154</v>
      </c>
      <c r="O25" s="344">
        <v>154</v>
      </c>
      <c r="P25" s="344">
        <v>151</v>
      </c>
      <c r="Q25" s="344">
        <v>148</v>
      </c>
      <c r="R25" s="344">
        <v>164</v>
      </c>
      <c r="S25" s="344">
        <v>160</v>
      </c>
      <c r="T25" s="344">
        <v>155</v>
      </c>
      <c r="U25" s="344">
        <v>154</v>
      </c>
      <c r="V25" s="344">
        <v>120</v>
      </c>
      <c r="W25" s="344">
        <v>163</v>
      </c>
      <c r="X25" s="344">
        <v>167</v>
      </c>
      <c r="Y25" s="344">
        <v>163</v>
      </c>
      <c r="Z25" s="344">
        <v>151</v>
      </c>
      <c r="AA25" s="344">
        <v>145</v>
      </c>
      <c r="AB25" s="344">
        <v>122</v>
      </c>
      <c r="AC25" s="344">
        <v>105</v>
      </c>
      <c r="AD25" s="344">
        <v>168</v>
      </c>
      <c r="AE25" s="344">
        <v>156</v>
      </c>
      <c r="AF25" s="344">
        <v>162</v>
      </c>
      <c r="AG25" s="344">
        <v>149</v>
      </c>
      <c r="AH25" s="344">
        <v>125</v>
      </c>
      <c r="AI25" s="344">
        <v>99</v>
      </c>
      <c r="AJ25" s="344">
        <v>121</v>
      </c>
      <c r="AK25" s="344">
        <v>151</v>
      </c>
      <c r="AL25" s="344">
        <v>161</v>
      </c>
      <c r="AM25" s="344">
        <v>135</v>
      </c>
      <c r="AN25" s="344">
        <v>130</v>
      </c>
      <c r="AO25" s="344">
        <v>97</v>
      </c>
      <c r="AP25" s="344">
        <v>119</v>
      </c>
      <c r="AQ25" s="344">
        <v>105</v>
      </c>
      <c r="AR25" s="344">
        <v>157</v>
      </c>
      <c r="AS25" s="344">
        <v>138</v>
      </c>
      <c r="AT25" s="344">
        <v>123</v>
      </c>
      <c r="AU25" s="344">
        <v>93</v>
      </c>
      <c r="AV25" s="344">
        <v>124</v>
      </c>
      <c r="AW25" s="344">
        <v>103</v>
      </c>
      <c r="AX25" s="344">
        <v>110</v>
      </c>
      <c r="AY25" s="344">
        <v>144</v>
      </c>
      <c r="AZ25" s="344">
        <v>124</v>
      </c>
      <c r="BA25" s="344">
        <v>99</v>
      </c>
      <c r="BB25" s="344">
        <v>129</v>
      </c>
      <c r="BC25" s="344">
        <v>105</v>
      </c>
      <c r="BD25" s="344">
        <v>111</v>
      </c>
      <c r="BE25" s="344">
        <v>106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25"/>
  <sheetViews>
    <sheetView workbookViewId="0">
      <selection activeCell="B1" sqref="B1:B1048576"/>
    </sheetView>
  </sheetViews>
  <sheetFormatPr defaultRowHeight="15" x14ac:dyDescent="0.25"/>
  <cols>
    <col min="1" max="1" width="34.42578125" bestFit="1" customWidth="1"/>
    <col min="2" max="2" width="9.140625" customWidth="1"/>
    <col min="3" max="9" width="9.140625" style="39"/>
  </cols>
  <sheetData>
    <row r="1" spans="1:9" x14ac:dyDescent="0.25">
      <c r="A1" s="21" t="s">
        <v>401</v>
      </c>
      <c r="B1" s="21"/>
    </row>
    <row r="2" spans="1:9" x14ac:dyDescent="0.25">
      <c r="A2" s="352" t="s">
        <v>114</v>
      </c>
      <c r="B2" s="190">
        <v>2018</v>
      </c>
      <c r="C2" s="190">
        <v>2017</v>
      </c>
      <c r="D2" s="190">
        <v>2016</v>
      </c>
      <c r="E2" s="190">
        <v>2015</v>
      </c>
      <c r="F2" s="190">
        <v>2014</v>
      </c>
      <c r="G2" s="190">
        <v>2013</v>
      </c>
      <c r="H2" s="190">
        <v>2012</v>
      </c>
      <c r="I2" s="190">
        <v>2011</v>
      </c>
    </row>
    <row r="3" spans="1:9" x14ac:dyDescent="0.25">
      <c r="A3" s="344" t="s">
        <v>97</v>
      </c>
      <c r="B3" s="359">
        <v>85</v>
      </c>
      <c r="C3" s="39">
        <v>79</v>
      </c>
      <c r="D3" s="39">
        <v>83</v>
      </c>
      <c r="E3" s="39">
        <v>64</v>
      </c>
      <c r="F3" s="39">
        <v>62</v>
      </c>
      <c r="G3" s="39">
        <v>67</v>
      </c>
      <c r="H3" s="39">
        <v>71</v>
      </c>
      <c r="I3" s="39">
        <v>79</v>
      </c>
    </row>
    <row r="4" spans="1:9" x14ac:dyDescent="0.25">
      <c r="A4" s="344" t="s">
        <v>92</v>
      </c>
      <c r="B4" s="359">
        <v>260</v>
      </c>
      <c r="C4" s="39">
        <v>219</v>
      </c>
      <c r="D4" s="39">
        <v>193</v>
      </c>
      <c r="E4" s="39">
        <v>207</v>
      </c>
      <c r="F4" s="39">
        <v>166</v>
      </c>
      <c r="G4" s="39">
        <v>174</v>
      </c>
      <c r="H4" s="39">
        <v>157</v>
      </c>
      <c r="I4" s="39">
        <v>146</v>
      </c>
    </row>
    <row r="5" spans="1:9" x14ac:dyDescent="0.25">
      <c r="A5" s="344" t="s">
        <v>93</v>
      </c>
      <c r="B5" s="359">
        <v>190</v>
      </c>
      <c r="C5" s="39">
        <v>178</v>
      </c>
      <c r="D5" s="39">
        <v>156</v>
      </c>
      <c r="E5" s="39">
        <v>162</v>
      </c>
      <c r="F5" s="39">
        <v>146</v>
      </c>
      <c r="G5" s="39">
        <v>156</v>
      </c>
      <c r="H5" s="39">
        <v>163</v>
      </c>
      <c r="I5" s="39">
        <v>142</v>
      </c>
    </row>
    <row r="6" spans="1:9" x14ac:dyDescent="0.25">
      <c r="A6" s="344" t="s">
        <v>98</v>
      </c>
      <c r="B6" s="359">
        <v>74</v>
      </c>
      <c r="C6" s="39">
        <v>55</v>
      </c>
      <c r="D6" s="39">
        <v>67</v>
      </c>
      <c r="E6" s="39">
        <v>58</v>
      </c>
      <c r="F6" s="39">
        <v>72</v>
      </c>
      <c r="G6" s="39">
        <v>52</v>
      </c>
      <c r="H6" s="39">
        <v>58</v>
      </c>
      <c r="I6" s="39">
        <v>88</v>
      </c>
    </row>
    <row r="7" spans="1:9" x14ac:dyDescent="0.25">
      <c r="A7" s="344" t="s">
        <v>94</v>
      </c>
      <c r="B7" s="359">
        <v>178</v>
      </c>
      <c r="C7" s="39">
        <v>162</v>
      </c>
      <c r="D7" s="39">
        <v>155</v>
      </c>
      <c r="E7" s="39">
        <v>179</v>
      </c>
      <c r="F7" s="39">
        <v>151</v>
      </c>
      <c r="G7" s="39">
        <v>148</v>
      </c>
      <c r="H7" s="39">
        <v>183</v>
      </c>
      <c r="I7" s="39">
        <v>138</v>
      </c>
    </row>
    <row r="8" spans="1:9" x14ac:dyDescent="0.25">
      <c r="A8" s="344" t="s">
        <v>95</v>
      </c>
      <c r="B8" s="359">
        <v>132</v>
      </c>
      <c r="C8" s="39">
        <v>121</v>
      </c>
      <c r="D8" s="39">
        <v>154</v>
      </c>
      <c r="E8" s="39">
        <v>132</v>
      </c>
      <c r="F8" s="39">
        <v>143</v>
      </c>
      <c r="G8" s="39">
        <v>123</v>
      </c>
      <c r="H8" s="39">
        <v>125</v>
      </c>
      <c r="I8" s="39">
        <v>138</v>
      </c>
    </row>
    <row r="9" spans="1:9" x14ac:dyDescent="0.25">
      <c r="A9" s="344" t="s">
        <v>99</v>
      </c>
      <c r="B9" s="359">
        <v>109</v>
      </c>
      <c r="C9" s="39">
        <v>123</v>
      </c>
      <c r="D9" s="39">
        <v>99</v>
      </c>
      <c r="E9" s="39">
        <v>92</v>
      </c>
      <c r="F9" s="39">
        <v>121</v>
      </c>
      <c r="G9" s="39">
        <v>111</v>
      </c>
      <c r="H9" s="39">
        <v>100</v>
      </c>
      <c r="I9" s="39">
        <v>110</v>
      </c>
    </row>
    <row r="10" spans="1:9" x14ac:dyDescent="0.25">
      <c r="A10" s="344" t="s">
        <v>96</v>
      </c>
      <c r="B10" s="359">
        <v>74</v>
      </c>
      <c r="C10" s="39">
        <v>59</v>
      </c>
      <c r="D10" s="39">
        <v>72</v>
      </c>
      <c r="E10" s="39">
        <v>48</v>
      </c>
      <c r="F10" s="39">
        <v>73</v>
      </c>
      <c r="G10" s="39">
        <v>64</v>
      </c>
      <c r="H10" s="39">
        <v>86</v>
      </c>
      <c r="I10" s="39">
        <v>88</v>
      </c>
    </row>
    <row r="11" spans="1:9" x14ac:dyDescent="0.25">
      <c r="A11" s="344" t="s">
        <v>314</v>
      </c>
      <c r="B11" s="359">
        <v>206</v>
      </c>
      <c r="C11" s="39">
        <v>171</v>
      </c>
      <c r="D11" s="39">
        <v>176</v>
      </c>
      <c r="E11" s="39">
        <v>177</v>
      </c>
      <c r="F11" s="39">
        <v>186</v>
      </c>
      <c r="G11" s="39">
        <v>195</v>
      </c>
      <c r="H11" s="39">
        <v>186</v>
      </c>
      <c r="I11" s="39">
        <v>183</v>
      </c>
    </row>
    <row r="12" spans="1:9" x14ac:dyDescent="0.25">
      <c r="A12" s="344" t="s">
        <v>100</v>
      </c>
      <c r="B12" s="359">
        <v>152</v>
      </c>
      <c r="C12" s="39">
        <v>176</v>
      </c>
      <c r="D12" s="39">
        <v>130</v>
      </c>
      <c r="E12" s="39">
        <v>160</v>
      </c>
      <c r="F12" s="39">
        <v>156</v>
      </c>
      <c r="G12" s="39">
        <v>143</v>
      </c>
      <c r="H12" s="39">
        <v>157</v>
      </c>
      <c r="I12" s="39">
        <v>171</v>
      </c>
    </row>
    <row r="13" spans="1:9" x14ac:dyDescent="0.25">
      <c r="A13" s="344" t="s">
        <v>101</v>
      </c>
      <c r="B13" s="359">
        <v>96</v>
      </c>
      <c r="C13" s="39">
        <v>100</v>
      </c>
      <c r="D13" s="39">
        <v>86</v>
      </c>
      <c r="E13" s="39">
        <v>96</v>
      </c>
      <c r="F13" s="39">
        <v>97</v>
      </c>
      <c r="G13" s="39">
        <v>99</v>
      </c>
      <c r="H13" s="39">
        <v>94</v>
      </c>
      <c r="I13" s="39">
        <v>106</v>
      </c>
    </row>
    <row r="14" spans="1:9" x14ac:dyDescent="0.25">
      <c r="A14" s="344" t="s">
        <v>102</v>
      </c>
      <c r="B14" s="359">
        <v>205</v>
      </c>
      <c r="C14" s="39">
        <v>218</v>
      </c>
      <c r="D14" s="39">
        <v>197</v>
      </c>
      <c r="E14" s="39">
        <v>180</v>
      </c>
      <c r="F14" s="39">
        <v>210</v>
      </c>
      <c r="G14" s="39">
        <v>220</v>
      </c>
      <c r="H14" s="39">
        <v>221</v>
      </c>
      <c r="I14" s="39">
        <v>190</v>
      </c>
    </row>
    <row r="15" spans="1:9" x14ac:dyDescent="0.25">
      <c r="A15" s="344" t="s">
        <v>103</v>
      </c>
      <c r="B15" s="359">
        <v>208</v>
      </c>
      <c r="C15" s="39">
        <v>212</v>
      </c>
      <c r="D15" s="39">
        <v>201</v>
      </c>
      <c r="E15" s="39">
        <v>171</v>
      </c>
      <c r="F15" s="39">
        <v>164</v>
      </c>
      <c r="G15" s="39">
        <v>173</v>
      </c>
      <c r="H15" s="39">
        <v>153</v>
      </c>
      <c r="I15" s="39">
        <v>153</v>
      </c>
    </row>
    <row r="16" spans="1:9" x14ac:dyDescent="0.25">
      <c r="A16" s="344" t="s">
        <v>104</v>
      </c>
      <c r="B16" s="359">
        <v>179</v>
      </c>
      <c r="C16" s="39">
        <v>155</v>
      </c>
      <c r="D16" s="39">
        <v>158</v>
      </c>
      <c r="E16" s="39">
        <v>178</v>
      </c>
      <c r="F16" s="39">
        <v>161</v>
      </c>
      <c r="G16" s="39">
        <v>182</v>
      </c>
      <c r="H16" s="39">
        <v>164</v>
      </c>
      <c r="I16" s="39">
        <v>167</v>
      </c>
    </row>
    <row r="17" spans="1:9" x14ac:dyDescent="0.25">
      <c r="A17" s="344" t="s">
        <v>105</v>
      </c>
      <c r="B17" s="359">
        <v>187</v>
      </c>
      <c r="C17" s="39">
        <v>186</v>
      </c>
      <c r="D17" s="39">
        <v>132</v>
      </c>
      <c r="E17" s="39">
        <v>171</v>
      </c>
      <c r="F17" s="39">
        <v>121</v>
      </c>
      <c r="G17" s="39">
        <v>163</v>
      </c>
      <c r="H17" s="39">
        <v>166</v>
      </c>
      <c r="I17" s="39">
        <v>203</v>
      </c>
    </row>
    <row r="18" spans="1:9" x14ac:dyDescent="0.25">
      <c r="A18" s="344" t="s">
        <v>106</v>
      </c>
      <c r="B18" s="359">
        <v>235</v>
      </c>
      <c r="C18" s="39">
        <v>228</v>
      </c>
      <c r="D18" s="39">
        <v>215</v>
      </c>
      <c r="E18" s="39">
        <v>193</v>
      </c>
      <c r="F18" s="39">
        <v>188</v>
      </c>
      <c r="G18" s="39">
        <v>213</v>
      </c>
      <c r="H18" s="39">
        <v>176</v>
      </c>
      <c r="I18" s="39">
        <v>187</v>
      </c>
    </row>
    <row r="19" spans="1:9" x14ac:dyDescent="0.25">
      <c r="A19" s="344" t="s">
        <v>107</v>
      </c>
      <c r="B19" s="359">
        <v>167</v>
      </c>
      <c r="C19" s="39">
        <v>170</v>
      </c>
      <c r="D19" s="39">
        <v>158</v>
      </c>
      <c r="E19" s="39">
        <v>148</v>
      </c>
      <c r="F19" s="39">
        <v>139</v>
      </c>
      <c r="G19" s="39">
        <v>124</v>
      </c>
      <c r="H19" s="39">
        <v>122</v>
      </c>
      <c r="I19" s="39">
        <v>125</v>
      </c>
    </row>
    <row r="20" spans="1:9" x14ac:dyDescent="0.25">
      <c r="A20" s="344" t="s">
        <v>108</v>
      </c>
      <c r="B20" s="359">
        <v>173</v>
      </c>
      <c r="C20" s="39">
        <v>141</v>
      </c>
      <c r="D20" s="39">
        <v>114</v>
      </c>
      <c r="E20" s="39">
        <v>128</v>
      </c>
      <c r="F20" s="39">
        <v>123</v>
      </c>
      <c r="G20" s="39">
        <v>118</v>
      </c>
      <c r="H20" s="39">
        <v>128</v>
      </c>
      <c r="I20" s="39">
        <v>115</v>
      </c>
    </row>
    <row r="21" spans="1:9" x14ac:dyDescent="0.25">
      <c r="A21" s="344" t="s">
        <v>109</v>
      </c>
      <c r="B21" s="359">
        <v>129</v>
      </c>
      <c r="C21" s="39">
        <v>122</v>
      </c>
      <c r="D21" s="39">
        <v>135</v>
      </c>
      <c r="E21" s="39">
        <v>133</v>
      </c>
      <c r="F21" s="39">
        <v>109</v>
      </c>
      <c r="G21" s="39">
        <v>130</v>
      </c>
      <c r="H21" s="39">
        <v>116</v>
      </c>
      <c r="I21" s="39">
        <v>129</v>
      </c>
    </row>
    <row r="22" spans="1:9" x14ac:dyDescent="0.25">
      <c r="A22" s="344" t="s">
        <v>110</v>
      </c>
      <c r="B22" s="359">
        <v>221</v>
      </c>
      <c r="C22" s="39">
        <v>216</v>
      </c>
      <c r="D22" s="39">
        <v>215</v>
      </c>
      <c r="E22" s="39">
        <v>216</v>
      </c>
      <c r="F22" s="39">
        <v>178</v>
      </c>
      <c r="G22" s="39">
        <v>205</v>
      </c>
      <c r="H22" s="39">
        <v>170</v>
      </c>
      <c r="I22" s="39">
        <v>228</v>
      </c>
    </row>
    <row r="23" spans="1:9" x14ac:dyDescent="0.25">
      <c r="A23" s="344" t="s">
        <v>111</v>
      </c>
      <c r="B23" s="359">
        <v>134</v>
      </c>
      <c r="C23" s="39">
        <v>123</v>
      </c>
      <c r="D23" s="39">
        <v>106</v>
      </c>
      <c r="E23" s="39">
        <v>98</v>
      </c>
      <c r="F23" s="39">
        <v>124</v>
      </c>
      <c r="G23" s="39">
        <v>119</v>
      </c>
      <c r="H23" s="39">
        <v>119</v>
      </c>
      <c r="I23" s="39">
        <v>99</v>
      </c>
    </row>
    <row r="24" spans="1:9" x14ac:dyDescent="0.25">
      <c r="A24" s="344" t="s">
        <v>112</v>
      </c>
      <c r="B24" s="359">
        <v>149</v>
      </c>
      <c r="C24" s="39">
        <v>131</v>
      </c>
      <c r="D24" s="39">
        <v>127</v>
      </c>
      <c r="E24" s="39">
        <v>133</v>
      </c>
      <c r="F24" s="39">
        <v>120</v>
      </c>
      <c r="G24" s="39">
        <v>125</v>
      </c>
      <c r="H24" s="39">
        <v>122</v>
      </c>
      <c r="I24" s="39">
        <v>123</v>
      </c>
    </row>
    <row r="25" spans="1:9" x14ac:dyDescent="0.25">
      <c r="A25" s="344" t="s">
        <v>113</v>
      </c>
      <c r="B25" s="359">
        <v>145</v>
      </c>
      <c r="C25" s="39">
        <v>105</v>
      </c>
      <c r="D25" s="39">
        <v>88</v>
      </c>
      <c r="E25" s="39">
        <v>106</v>
      </c>
      <c r="F25" s="39">
        <v>96</v>
      </c>
      <c r="G25" s="39">
        <v>101</v>
      </c>
      <c r="H25" s="39">
        <v>86</v>
      </c>
      <c r="I25" s="39">
        <v>76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I25"/>
  <sheetViews>
    <sheetView workbookViewId="0">
      <selection activeCell="B1" sqref="B1"/>
    </sheetView>
  </sheetViews>
  <sheetFormatPr defaultRowHeight="15" x14ac:dyDescent="0.25"/>
  <cols>
    <col min="1" max="1" width="37" bestFit="1" customWidth="1"/>
    <col min="2" max="2" width="8.140625" customWidth="1"/>
    <col min="3" max="9" width="9.140625" style="39"/>
  </cols>
  <sheetData>
    <row r="1" spans="1:9" x14ac:dyDescent="0.25">
      <c r="A1" s="21" t="s">
        <v>402</v>
      </c>
      <c r="B1" s="21"/>
    </row>
    <row r="2" spans="1:9" x14ac:dyDescent="0.25">
      <c r="A2" s="352" t="s">
        <v>114</v>
      </c>
      <c r="B2" s="190">
        <v>2018</v>
      </c>
      <c r="C2" s="190">
        <v>2017</v>
      </c>
      <c r="D2" s="190">
        <v>2016</v>
      </c>
      <c r="E2" s="190">
        <v>2015</v>
      </c>
      <c r="F2" s="190">
        <v>2014</v>
      </c>
      <c r="G2" s="190">
        <v>2013</v>
      </c>
      <c r="H2" s="190">
        <v>2012</v>
      </c>
      <c r="I2" s="190">
        <v>2011</v>
      </c>
    </row>
    <row r="3" spans="1:9" x14ac:dyDescent="0.25">
      <c r="A3" s="361" t="s">
        <v>97</v>
      </c>
      <c r="B3" s="362">
        <v>80</v>
      </c>
      <c r="C3" s="360">
        <v>75</v>
      </c>
      <c r="D3" s="360">
        <v>80</v>
      </c>
      <c r="E3" s="360">
        <v>62</v>
      </c>
      <c r="F3" s="360">
        <v>61</v>
      </c>
      <c r="G3" s="360">
        <v>64</v>
      </c>
      <c r="H3" s="360">
        <v>69</v>
      </c>
      <c r="I3" s="360">
        <v>73</v>
      </c>
    </row>
    <row r="4" spans="1:9" x14ac:dyDescent="0.25">
      <c r="A4" s="361" t="s">
        <v>92</v>
      </c>
      <c r="B4" s="362">
        <v>252</v>
      </c>
      <c r="C4" s="360">
        <v>211</v>
      </c>
      <c r="D4" s="360">
        <v>188</v>
      </c>
      <c r="E4" s="360">
        <v>201</v>
      </c>
      <c r="F4" s="360">
        <v>161</v>
      </c>
      <c r="G4" s="360">
        <v>168</v>
      </c>
      <c r="H4" s="360">
        <v>152</v>
      </c>
      <c r="I4" s="360">
        <v>135</v>
      </c>
    </row>
    <row r="5" spans="1:9" x14ac:dyDescent="0.25">
      <c r="A5" s="361" t="s">
        <v>93</v>
      </c>
      <c r="B5" s="362">
        <v>167</v>
      </c>
      <c r="C5" s="360">
        <v>157</v>
      </c>
      <c r="D5" s="360">
        <v>128</v>
      </c>
      <c r="E5" s="360">
        <v>142</v>
      </c>
      <c r="F5" s="360">
        <v>106</v>
      </c>
      <c r="G5" s="360">
        <v>112</v>
      </c>
      <c r="H5" s="360">
        <v>113</v>
      </c>
      <c r="I5" s="360">
        <v>103</v>
      </c>
    </row>
    <row r="6" spans="1:9" x14ac:dyDescent="0.25">
      <c r="A6" s="361" t="s">
        <v>98</v>
      </c>
      <c r="B6" s="362">
        <v>41</v>
      </c>
      <c r="C6" s="360">
        <v>29</v>
      </c>
      <c r="D6" s="360">
        <v>31</v>
      </c>
      <c r="E6" s="360">
        <v>20</v>
      </c>
      <c r="F6" s="360">
        <v>26</v>
      </c>
      <c r="G6" s="360">
        <v>10</v>
      </c>
      <c r="H6" s="360">
        <v>21</v>
      </c>
      <c r="I6" s="360">
        <v>46</v>
      </c>
    </row>
    <row r="7" spans="1:9" x14ac:dyDescent="0.25">
      <c r="A7" s="361" t="s">
        <v>94</v>
      </c>
      <c r="B7" s="362">
        <v>170</v>
      </c>
      <c r="C7" s="360">
        <v>146</v>
      </c>
      <c r="D7" s="360">
        <v>144</v>
      </c>
      <c r="E7" s="360">
        <v>156</v>
      </c>
      <c r="F7" s="360">
        <v>126</v>
      </c>
      <c r="G7" s="360">
        <v>130</v>
      </c>
      <c r="H7" s="360">
        <v>164</v>
      </c>
      <c r="I7" s="360">
        <v>119</v>
      </c>
    </row>
    <row r="8" spans="1:9" x14ac:dyDescent="0.25">
      <c r="A8" s="361" t="s">
        <v>95</v>
      </c>
      <c r="B8" s="362">
        <v>98</v>
      </c>
      <c r="C8" s="360">
        <v>77</v>
      </c>
      <c r="D8" s="360">
        <v>73</v>
      </c>
      <c r="E8" s="360">
        <v>80</v>
      </c>
      <c r="F8" s="360">
        <v>69</v>
      </c>
      <c r="G8" s="360">
        <v>67</v>
      </c>
      <c r="H8" s="360">
        <v>56</v>
      </c>
      <c r="I8" s="360">
        <v>75</v>
      </c>
    </row>
    <row r="9" spans="1:9" x14ac:dyDescent="0.25">
      <c r="A9" s="361" t="s">
        <v>99</v>
      </c>
      <c r="B9" s="362">
        <v>100</v>
      </c>
      <c r="C9" s="360">
        <v>115</v>
      </c>
      <c r="D9" s="360">
        <v>87</v>
      </c>
      <c r="E9" s="360">
        <v>88</v>
      </c>
      <c r="F9" s="360">
        <v>112</v>
      </c>
      <c r="G9" s="360">
        <v>97</v>
      </c>
      <c r="H9" s="360">
        <v>87</v>
      </c>
      <c r="I9" s="360">
        <v>103</v>
      </c>
    </row>
    <row r="10" spans="1:9" x14ac:dyDescent="0.25">
      <c r="A10" s="361" t="s">
        <v>96</v>
      </c>
      <c r="B10" s="362">
        <v>50</v>
      </c>
      <c r="C10" s="360">
        <v>31</v>
      </c>
      <c r="D10" s="360">
        <v>28</v>
      </c>
      <c r="E10" s="360">
        <v>17</v>
      </c>
      <c r="F10" s="360">
        <v>28</v>
      </c>
      <c r="G10" s="360">
        <v>36</v>
      </c>
      <c r="H10" s="360">
        <v>49</v>
      </c>
      <c r="I10" s="360">
        <v>49</v>
      </c>
    </row>
    <row r="11" spans="1:9" x14ac:dyDescent="0.25">
      <c r="A11" s="361" t="s">
        <v>314</v>
      </c>
      <c r="B11" s="362">
        <v>199</v>
      </c>
      <c r="C11" s="360">
        <v>163</v>
      </c>
      <c r="D11" s="360">
        <v>159</v>
      </c>
      <c r="E11" s="360">
        <v>168</v>
      </c>
      <c r="F11" s="360">
        <v>164</v>
      </c>
      <c r="G11" s="360">
        <v>171</v>
      </c>
      <c r="H11" s="360">
        <v>167</v>
      </c>
      <c r="I11" s="360">
        <v>155</v>
      </c>
    </row>
    <row r="12" spans="1:9" x14ac:dyDescent="0.25">
      <c r="A12" s="361" t="s">
        <v>100</v>
      </c>
      <c r="B12" s="362">
        <v>108</v>
      </c>
      <c r="C12" s="360">
        <v>131</v>
      </c>
      <c r="D12" s="360">
        <v>81</v>
      </c>
      <c r="E12" s="360">
        <v>116</v>
      </c>
      <c r="F12" s="360">
        <v>104</v>
      </c>
      <c r="G12" s="360">
        <v>105</v>
      </c>
      <c r="H12" s="360">
        <v>113</v>
      </c>
      <c r="I12" s="360">
        <v>114</v>
      </c>
    </row>
    <row r="13" spans="1:9" x14ac:dyDescent="0.25">
      <c r="A13" s="361" t="s">
        <v>101</v>
      </c>
      <c r="B13" s="362">
        <v>76</v>
      </c>
      <c r="C13" s="360">
        <v>72</v>
      </c>
      <c r="D13" s="360">
        <v>73</v>
      </c>
      <c r="E13" s="360">
        <v>77</v>
      </c>
      <c r="F13" s="360">
        <v>77</v>
      </c>
      <c r="G13" s="360">
        <v>76</v>
      </c>
      <c r="H13" s="360">
        <v>74</v>
      </c>
      <c r="I13" s="360">
        <v>82</v>
      </c>
    </row>
    <row r="14" spans="1:9" x14ac:dyDescent="0.25">
      <c r="A14" s="361" t="s">
        <v>102</v>
      </c>
      <c r="B14" s="362">
        <v>196</v>
      </c>
      <c r="C14" s="360">
        <v>202</v>
      </c>
      <c r="D14" s="360">
        <v>193</v>
      </c>
      <c r="E14" s="360">
        <v>168</v>
      </c>
      <c r="F14" s="360">
        <v>191</v>
      </c>
      <c r="G14" s="360">
        <v>216</v>
      </c>
      <c r="H14" s="360">
        <v>199</v>
      </c>
      <c r="I14" s="360">
        <v>181</v>
      </c>
    </row>
    <row r="15" spans="1:9" x14ac:dyDescent="0.25">
      <c r="A15" s="361" t="s">
        <v>103</v>
      </c>
      <c r="B15" s="362">
        <v>204</v>
      </c>
      <c r="C15" s="360">
        <v>209</v>
      </c>
      <c r="D15" s="360">
        <v>195</v>
      </c>
      <c r="E15" s="360">
        <v>163</v>
      </c>
      <c r="F15" s="360">
        <v>152</v>
      </c>
      <c r="G15" s="360">
        <v>157</v>
      </c>
      <c r="H15" s="360">
        <v>140</v>
      </c>
      <c r="I15" s="360">
        <v>130</v>
      </c>
    </row>
    <row r="16" spans="1:9" x14ac:dyDescent="0.25">
      <c r="A16" s="361" t="s">
        <v>104</v>
      </c>
      <c r="B16" s="362">
        <v>137</v>
      </c>
      <c r="C16" s="360">
        <v>125</v>
      </c>
      <c r="D16" s="360">
        <v>117</v>
      </c>
      <c r="E16" s="360">
        <v>132</v>
      </c>
      <c r="F16" s="360">
        <v>120</v>
      </c>
      <c r="G16" s="360">
        <v>139</v>
      </c>
      <c r="H16" s="360">
        <v>121</v>
      </c>
      <c r="I16" s="360">
        <v>122</v>
      </c>
    </row>
    <row r="17" spans="1:9" x14ac:dyDescent="0.25">
      <c r="A17" s="361" t="s">
        <v>105</v>
      </c>
      <c r="B17" s="362">
        <v>126</v>
      </c>
      <c r="C17" s="360">
        <v>123</v>
      </c>
      <c r="D17" s="360">
        <v>85</v>
      </c>
      <c r="E17" s="360">
        <v>101</v>
      </c>
      <c r="F17" s="360">
        <v>61</v>
      </c>
      <c r="G17" s="360">
        <v>91</v>
      </c>
      <c r="H17" s="360">
        <v>89</v>
      </c>
      <c r="I17" s="360">
        <v>107</v>
      </c>
    </row>
    <row r="18" spans="1:9" x14ac:dyDescent="0.25">
      <c r="A18" s="361" t="s">
        <v>106</v>
      </c>
      <c r="B18" s="362">
        <v>219</v>
      </c>
      <c r="C18" s="360">
        <v>223</v>
      </c>
      <c r="D18" s="360">
        <v>209</v>
      </c>
      <c r="E18" s="360">
        <v>186</v>
      </c>
      <c r="F18" s="360">
        <v>172</v>
      </c>
      <c r="G18" s="360">
        <v>199</v>
      </c>
      <c r="H18" s="360">
        <v>162</v>
      </c>
      <c r="I18" s="360">
        <v>166</v>
      </c>
    </row>
    <row r="19" spans="1:9" x14ac:dyDescent="0.25">
      <c r="A19" s="361" t="s">
        <v>107</v>
      </c>
      <c r="B19" s="362">
        <v>164</v>
      </c>
      <c r="C19" s="360">
        <v>166</v>
      </c>
      <c r="D19" s="360">
        <v>153</v>
      </c>
      <c r="E19" s="360">
        <v>144</v>
      </c>
      <c r="F19" s="360">
        <v>135</v>
      </c>
      <c r="G19" s="360">
        <v>121</v>
      </c>
      <c r="H19" s="360">
        <v>119</v>
      </c>
      <c r="I19" s="360">
        <v>122</v>
      </c>
    </row>
    <row r="20" spans="1:9" x14ac:dyDescent="0.25">
      <c r="A20" s="361" t="s">
        <v>108</v>
      </c>
      <c r="B20" s="362">
        <v>170</v>
      </c>
      <c r="C20" s="360">
        <v>136</v>
      </c>
      <c r="D20" s="360">
        <v>107</v>
      </c>
      <c r="E20" s="360">
        <v>126</v>
      </c>
      <c r="F20" s="360">
        <v>111</v>
      </c>
      <c r="G20" s="360">
        <v>110</v>
      </c>
      <c r="H20" s="360">
        <v>124</v>
      </c>
      <c r="I20" s="360">
        <v>107</v>
      </c>
    </row>
    <row r="21" spans="1:9" x14ac:dyDescent="0.25">
      <c r="A21" s="361" t="s">
        <v>109</v>
      </c>
      <c r="B21" s="362">
        <v>127</v>
      </c>
      <c r="C21" s="360">
        <v>120</v>
      </c>
      <c r="D21" s="360">
        <v>129</v>
      </c>
      <c r="E21" s="360">
        <v>126</v>
      </c>
      <c r="F21" s="360">
        <v>108</v>
      </c>
      <c r="G21" s="360">
        <v>126</v>
      </c>
      <c r="H21" s="360">
        <v>114</v>
      </c>
      <c r="I21" s="360">
        <v>125</v>
      </c>
    </row>
    <row r="22" spans="1:9" x14ac:dyDescent="0.25">
      <c r="A22" s="361" t="s">
        <v>110</v>
      </c>
      <c r="B22" s="362">
        <v>205</v>
      </c>
      <c r="C22" s="360">
        <v>201</v>
      </c>
      <c r="D22" s="360">
        <v>195</v>
      </c>
      <c r="E22" s="360">
        <v>189</v>
      </c>
      <c r="F22" s="360">
        <v>163</v>
      </c>
      <c r="G22" s="360">
        <v>186</v>
      </c>
      <c r="H22" s="360">
        <v>161</v>
      </c>
      <c r="I22" s="360">
        <v>201</v>
      </c>
    </row>
    <row r="23" spans="1:9" x14ac:dyDescent="0.25">
      <c r="A23" s="361" t="s">
        <v>111</v>
      </c>
      <c r="B23" s="362">
        <v>117</v>
      </c>
      <c r="C23" s="360">
        <v>105</v>
      </c>
      <c r="D23" s="360">
        <v>100</v>
      </c>
      <c r="E23" s="360">
        <v>81</v>
      </c>
      <c r="F23" s="360">
        <v>102</v>
      </c>
      <c r="G23" s="360">
        <v>101</v>
      </c>
      <c r="H23" s="360">
        <v>98</v>
      </c>
      <c r="I23" s="360">
        <v>86</v>
      </c>
    </row>
    <row r="24" spans="1:9" x14ac:dyDescent="0.25">
      <c r="A24" s="361" t="s">
        <v>112</v>
      </c>
      <c r="B24" s="362">
        <v>117</v>
      </c>
      <c r="C24" s="360">
        <v>79</v>
      </c>
      <c r="D24" s="360">
        <v>79</v>
      </c>
      <c r="E24" s="360">
        <v>81</v>
      </c>
      <c r="F24" s="360">
        <v>65</v>
      </c>
      <c r="G24" s="360">
        <v>79</v>
      </c>
      <c r="H24" s="360">
        <v>63</v>
      </c>
      <c r="I24" s="360">
        <v>65</v>
      </c>
    </row>
    <row r="25" spans="1:9" x14ac:dyDescent="0.25">
      <c r="A25" s="361" t="s">
        <v>113</v>
      </c>
      <c r="B25" s="362">
        <v>76</v>
      </c>
      <c r="C25" s="360">
        <v>60</v>
      </c>
      <c r="D25" s="360">
        <v>41</v>
      </c>
      <c r="E25" s="360">
        <v>54</v>
      </c>
      <c r="F25" s="360">
        <v>40</v>
      </c>
      <c r="G25" s="360">
        <v>47</v>
      </c>
      <c r="H25" s="360">
        <v>31</v>
      </c>
      <c r="I25" s="360">
        <v>37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BL26"/>
  <sheetViews>
    <sheetView workbookViewId="0"/>
  </sheetViews>
  <sheetFormatPr defaultRowHeight="15" x14ac:dyDescent="0.25"/>
  <cols>
    <col min="1" max="1" width="33" style="348" bestFit="1" customWidth="1"/>
    <col min="2" max="7" width="5" style="348" customWidth="1"/>
    <col min="8" max="8" width="6" style="348" bestFit="1" customWidth="1"/>
    <col min="9" max="14" width="5" style="54" bestFit="1" customWidth="1"/>
    <col min="15" max="15" width="6" style="130" bestFit="1" customWidth="1"/>
    <col min="16" max="21" width="5" style="54" bestFit="1" customWidth="1"/>
    <col min="22" max="22" width="6" style="54" bestFit="1" customWidth="1"/>
    <col min="23" max="28" width="5" style="54" bestFit="1" customWidth="1"/>
    <col min="29" max="29" width="6" style="347" bestFit="1" customWidth="1"/>
    <col min="30" max="35" width="5" style="54" bestFit="1" customWidth="1"/>
    <col min="36" max="36" width="6" style="347" bestFit="1" customWidth="1"/>
    <col min="37" max="42" width="5" style="54" bestFit="1" customWidth="1"/>
    <col min="43" max="43" width="6" style="54" bestFit="1" customWidth="1"/>
    <col min="44" max="49" width="5" style="54" bestFit="1" customWidth="1"/>
    <col min="50" max="50" width="6" style="346" bestFit="1" customWidth="1"/>
    <col min="51" max="56" width="5" style="54" bestFit="1" customWidth="1"/>
    <col min="57" max="57" width="6" style="346" bestFit="1" customWidth="1"/>
    <col min="65" max="16384" width="9.140625" style="54"/>
  </cols>
  <sheetData>
    <row r="1" spans="1:57" ht="13.5" customHeight="1" x14ac:dyDescent="0.25">
      <c r="A1" s="351"/>
      <c r="B1" s="350">
        <v>2018</v>
      </c>
      <c r="C1" s="350"/>
      <c r="D1" s="350"/>
      <c r="E1" s="350"/>
      <c r="F1" s="350"/>
      <c r="G1" s="350"/>
      <c r="H1" s="347"/>
      <c r="I1" s="350">
        <v>2017</v>
      </c>
      <c r="J1" s="350"/>
      <c r="K1" s="350"/>
      <c r="L1" s="350"/>
      <c r="M1" s="350"/>
      <c r="N1" s="350"/>
      <c r="O1" s="347"/>
      <c r="P1" s="350">
        <v>2016</v>
      </c>
      <c r="Q1" s="350"/>
      <c r="R1" s="350"/>
      <c r="S1" s="350"/>
      <c r="T1" s="350"/>
      <c r="U1" s="350"/>
      <c r="V1" s="350"/>
      <c r="W1" s="350">
        <v>2015</v>
      </c>
      <c r="X1" s="350"/>
      <c r="Y1" s="350"/>
      <c r="Z1" s="350"/>
      <c r="AA1" s="350"/>
      <c r="AB1" s="350"/>
      <c r="AD1" s="350">
        <v>2014</v>
      </c>
      <c r="AE1" s="350"/>
      <c r="AF1" s="350"/>
      <c r="AG1" s="350"/>
      <c r="AH1" s="350"/>
      <c r="AI1" s="350"/>
      <c r="AK1" s="350">
        <v>2013</v>
      </c>
      <c r="AL1" s="350"/>
      <c r="AM1" s="350"/>
      <c r="AN1" s="350"/>
      <c r="AO1" s="350"/>
      <c r="AP1" s="350"/>
      <c r="AQ1" s="350"/>
      <c r="AR1" s="350">
        <v>2012</v>
      </c>
      <c r="AS1" s="350"/>
      <c r="AT1" s="350"/>
      <c r="AU1" s="350"/>
      <c r="AV1" s="350"/>
      <c r="AW1" s="350"/>
      <c r="AY1" s="350">
        <v>2011</v>
      </c>
      <c r="AZ1" s="350"/>
      <c r="BA1" s="350"/>
      <c r="BB1" s="350"/>
      <c r="BC1" s="350"/>
      <c r="BD1" s="350"/>
    </row>
    <row r="2" spans="1:57" s="130" customFormat="1" ht="13.5" customHeight="1" x14ac:dyDescent="0.25">
      <c r="A2" s="349" t="s">
        <v>2</v>
      </c>
      <c r="B2" s="347" t="s">
        <v>121</v>
      </c>
      <c r="C2" s="347" t="s">
        <v>122</v>
      </c>
      <c r="D2" s="347" t="s">
        <v>123</v>
      </c>
      <c r="E2" s="347" t="s">
        <v>124</v>
      </c>
      <c r="F2" s="347" t="s">
        <v>125</v>
      </c>
      <c r="G2" s="347" t="s">
        <v>126</v>
      </c>
      <c r="H2" s="347" t="s">
        <v>138</v>
      </c>
      <c r="I2" s="347" t="s">
        <v>121</v>
      </c>
      <c r="J2" s="347" t="s">
        <v>122</v>
      </c>
      <c r="K2" s="347" t="s">
        <v>123</v>
      </c>
      <c r="L2" s="347" t="s">
        <v>124</v>
      </c>
      <c r="M2" s="347" t="s">
        <v>125</v>
      </c>
      <c r="N2" s="347" t="s">
        <v>126</v>
      </c>
      <c r="O2" s="347" t="s">
        <v>138</v>
      </c>
      <c r="P2" s="347" t="s">
        <v>121</v>
      </c>
      <c r="Q2" s="347" t="s">
        <v>122</v>
      </c>
      <c r="R2" s="347" t="s">
        <v>123</v>
      </c>
      <c r="S2" s="347" t="s">
        <v>124</v>
      </c>
      <c r="T2" s="347" t="s">
        <v>125</v>
      </c>
      <c r="U2" s="347" t="s">
        <v>126</v>
      </c>
      <c r="V2" s="347" t="s">
        <v>138</v>
      </c>
      <c r="W2" s="347" t="s">
        <v>121</v>
      </c>
      <c r="X2" s="347" t="s">
        <v>122</v>
      </c>
      <c r="Y2" s="347" t="s">
        <v>123</v>
      </c>
      <c r="Z2" s="347" t="s">
        <v>124</v>
      </c>
      <c r="AA2" s="347" t="s">
        <v>125</v>
      </c>
      <c r="AB2" s="347" t="s">
        <v>126</v>
      </c>
      <c r="AC2" s="347" t="s">
        <v>138</v>
      </c>
      <c r="AD2" s="347" t="s">
        <v>121</v>
      </c>
      <c r="AE2" s="347" t="s">
        <v>122</v>
      </c>
      <c r="AF2" s="347" t="s">
        <v>123</v>
      </c>
      <c r="AG2" s="347" t="s">
        <v>124</v>
      </c>
      <c r="AH2" s="347" t="s">
        <v>125</v>
      </c>
      <c r="AI2" s="347" t="s">
        <v>126</v>
      </c>
      <c r="AJ2" s="347" t="s">
        <v>138</v>
      </c>
      <c r="AK2" s="347" t="s">
        <v>121</v>
      </c>
      <c r="AL2" s="347" t="s">
        <v>122</v>
      </c>
      <c r="AM2" s="347" t="s">
        <v>123</v>
      </c>
      <c r="AN2" s="347" t="s">
        <v>124</v>
      </c>
      <c r="AO2" s="347" t="s">
        <v>125</v>
      </c>
      <c r="AP2" s="347" t="s">
        <v>126</v>
      </c>
      <c r="AQ2" s="347" t="s">
        <v>138</v>
      </c>
      <c r="AR2" s="346" t="s">
        <v>121</v>
      </c>
      <c r="AS2" s="346" t="s">
        <v>122</v>
      </c>
      <c r="AT2" s="346" t="s">
        <v>123</v>
      </c>
      <c r="AU2" s="346" t="s">
        <v>124</v>
      </c>
      <c r="AV2" s="346" t="s">
        <v>125</v>
      </c>
      <c r="AW2" s="346" t="s">
        <v>126</v>
      </c>
      <c r="AX2" s="346" t="s">
        <v>138</v>
      </c>
      <c r="AY2" s="346" t="s">
        <v>121</v>
      </c>
      <c r="AZ2" s="346" t="s">
        <v>122</v>
      </c>
      <c r="BA2" s="346" t="s">
        <v>123</v>
      </c>
      <c r="BB2" s="346" t="s">
        <v>124</v>
      </c>
      <c r="BC2" s="346" t="s">
        <v>125</v>
      </c>
      <c r="BD2" s="346" t="s">
        <v>126</v>
      </c>
      <c r="BE2" s="346" t="s">
        <v>138</v>
      </c>
    </row>
    <row r="3" spans="1:57" ht="13.5" customHeight="1" x14ac:dyDescent="0.25">
      <c r="A3" s="344" t="s">
        <v>97</v>
      </c>
      <c r="B3" s="344">
        <v>134</v>
      </c>
      <c r="C3" s="344">
        <v>137</v>
      </c>
      <c r="D3" s="344">
        <v>140</v>
      </c>
      <c r="E3" s="344">
        <v>128</v>
      </c>
      <c r="F3" s="344">
        <v>92</v>
      </c>
      <c r="G3" s="344">
        <v>103</v>
      </c>
      <c r="H3" s="344">
        <v>734</v>
      </c>
      <c r="I3" s="350">
        <v>135</v>
      </c>
      <c r="J3" s="350">
        <v>139</v>
      </c>
      <c r="K3" s="350">
        <v>121</v>
      </c>
      <c r="L3" s="350">
        <v>108</v>
      </c>
      <c r="M3" s="350">
        <v>122</v>
      </c>
      <c r="N3" s="350">
        <v>96</v>
      </c>
      <c r="O3" s="347">
        <v>721</v>
      </c>
      <c r="P3" s="350">
        <v>133</v>
      </c>
      <c r="Q3" s="350">
        <v>121</v>
      </c>
      <c r="R3" s="350">
        <v>102</v>
      </c>
      <c r="S3" s="350">
        <v>134</v>
      </c>
      <c r="T3" s="350">
        <v>113</v>
      </c>
      <c r="U3" s="350">
        <v>92</v>
      </c>
      <c r="V3" s="347">
        <v>695</v>
      </c>
      <c r="W3" s="350">
        <v>115</v>
      </c>
      <c r="X3" s="350">
        <v>105</v>
      </c>
      <c r="Y3" s="350">
        <v>130</v>
      </c>
      <c r="Z3" s="350">
        <v>118</v>
      </c>
      <c r="AA3" s="350">
        <v>119</v>
      </c>
      <c r="AB3" s="350">
        <v>113</v>
      </c>
      <c r="AC3" s="347">
        <v>700</v>
      </c>
      <c r="AD3" s="350">
        <v>107</v>
      </c>
      <c r="AE3" s="350">
        <v>129</v>
      </c>
      <c r="AF3" s="350">
        <v>120</v>
      </c>
      <c r="AG3" s="350">
        <v>127</v>
      </c>
      <c r="AH3" s="350">
        <v>130</v>
      </c>
      <c r="AI3" s="350">
        <v>111</v>
      </c>
      <c r="AJ3" s="347">
        <v>724</v>
      </c>
      <c r="AK3" s="350">
        <v>125</v>
      </c>
      <c r="AL3" s="350">
        <v>119</v>
      </c>
      <c r="AM3" s="350">
        <v>125</v>
      </c>
      <c r="AN3" s="350">
        <v>139</v>
      </c>
      <c r="AO3" s="350">
        <v>131</v>
      </c>
      <c r="AP3" s="350">
        <v>102</v>
      </c>
      <c r="AQ3" s="347">
        <v>741</v>
      </c>
      <c r="AR3" s="350">
        <v>120</v>
      </c>
      <c r="AS3" s="350">
        <v>126</v>
      </c>
      <c r="AT3" s="350">
        <v>144</v>
      </c>
      <c r="AU3" s="350">
        <v>139</v>
      </c>
      <c r="AV3" s="350">
        <v>139</v>
      </c>
      <c r="AW3" s="350">
        <v>94</v>
      </c>
      <c r="AX3" s="346">
        <v>762</v>
      </c>
      <c r="AY3" s="350">
        <v>125</v>
      </c>
      <c r="AZ3" s="350">
        <v>142</v>
      </c>
      <c r="BA3" s="350">
        <v>145</v>
      </c>
      <c r="BB3" s="350">
        <v>155</v>
      </c>
      <c r="BC3" s="350">
        <v>119</v>
      </c>
      <c r="BD3" s="350">
        <v>98</v>
      </c>
      <c r="BE3" s="346">
        <v>784</v>
      </c>
    </row>
    <row r="4" spans="1:57" ht="13.5" customHeight="1" x14ac:dyDescent="0.25">
      <c r="A4" s="344" t="s">
        <v>92</v>
      </c>
      <c r="B4" s="344">
        <v>256</v>
      </c>
      <c r="C4" s="344">
        <v>220</v>
      </c>
      <c r="D4" s="344">
        <v>200</v>
      </c>
      <c r="E4" s="344">
        <v>214</v>
      </c>
      <c r="F4" s="344">
        <v>193</v>
      </c>
      <c r="G4" s="344">
        <v>172</v>
      </c>
      <c r="H4" s="344">
        <v>1255</v>
      </c>
      <c r="I4" s="350">
        <v>218</v>
      </c>
      <c r="J4" s="350">
        <v>198</v>
      </c>
      <c r="K4" s="350">
        <v>214</v>
      </c>
      <c r="L4" s="350">
        <v>198</v>
      </c>
      <c r="M4" s="350">
        <v>193</v>
      </c>
      <c r="N4" s="350">
        <v>175</v>
      </c>
      <c r="O4" s="347">
        <v>1196</v>
      </c>
      <c r="P4" s="350">
        <v>199</v>
      </c>
      <c r="Q4" s="350">
        <v>214</v>
      </c>
      <c r="R4" s="350">
        <v>199</v>
      </c>
      <c r="S4" s="350">
        <v>198</v>
      </c>
      <c r="T4" s="350">
        <v>192</v>
      </c>
      <c r="U4" s="350">
        <v>158</v>
      </c>
      <c r="V4" s="347">
        <v>1160</v>
      </c>
      <c r="W4" s="350">
        <v>207</v>
      </c>
      <c r="X4" s="350">
        <v>200</v>
      </c>
      <c r="Y4" s="350">
        <v>200</v>
      </c>
      <c r="Z4" s="350">
        <v>200</v>
      </c>
      <c r="AA4" s="350">
        <v>190</v>
      </c>
      <c r="AB4" s="350">
        <v>162</v>
      </c>
      <c r="AC4" s="347">
        <v>1159</v>
      </c>
      <c r="AD4" s="350">
        <v>200</v>
      </c>
      <c r="AE4" s="350">
        <v>200</v>
      </c>
      <c r="AF4" s="350">
        <v>200</v>
      </c>
      <c r="AG4" s="350">
        <v>199</v>
      </c>
      <c r="AH4" s="350">
        <v>180</v>
      </c>
      <c r="AI4" s="350">
        <v>163</v>
      </c>
      <c r="AJ4" s="347">
        <v>1142</v>
      </c>
      <c r="AK4" s="350">
        <v>200</v>
      </c>
      <c r="AL4" s="350">
        <v>199</v>
      </c>
      <c r="AM4" s="350">
        <v>198</v>
      </c>
      <c r="AN4" s="350">
        <v>200</v>
      </c>
      <c r="AO4" s="350">
        <v>191</v>
      </c>
      <c r="AP4" s="350">
        <v>157</v>
      </c>
      <c r="AQ4" s="347">
        <v>1145</v>
      </c>
      <c r="AR4" s="350">
        <v>199</v>
      </c>
      <c r="AS4" s="350">
        <v>197</v>
      </c>
      <c r="AT4" s="350">
        <v>199</v>
      </c>
      <c r="AU4" s="350">
        <v>200</v>
      </c>
      <c r="AV4" s="350">
        <v>193</v>
      </c>
      <c r="AW4" s="350">
        <v>164</v>
      </c>
      <c r="AX4" s="346">
        <v>1152</v>
      </c>
      <c r="AY4" s="350">
        <v>198</v>
      </c>
      <c r="AZ4" s="350">
        <v>200</v>
      </c>
      <c r="BA4" s="350">
        <v>200</v>
      </c>
      <c r="BB4" s="350">
        <v>198</v>
      </c>
      <c r="BC4" s="350">
        <v>190</v>
      </c>
      <c r="BD4" s="350">
        <v>153</v>
      </c>
      <c r="BE4" s="346">
        <v>1139</v>
      </c>
    </row>
    <row r="5" spans="1:57" ht="13.5" customHeight="1" x14ac:dyDescent="0.25">
      <c r="A5" s="344" t="s">
        <v>93</v>
      </c>
      <c r="B5" s="344">
        <v>205</v>
      </c>
      <c r="C5" s="344">
        <v>196</v>
      </c>
      <c r="D5" s="344">
        <v>210</v>
      </c>
      <c r="E5" s="344">
        <v>217</v>
      </c>
      <c r="F5" s="344">
        <v>172</v>
      </c>
      <c r="G5" s="344">
        <v>108</v>
      </c>
      <c r="H5" s="344">
        <v>1108</v>
      </c>
      <c r="I5" s="350">
        <v>198</v>
      </c>
      <c r="J5" s="350">
        <v>217</v>
      </c>
      <c r="K5" s="350">
        <v>221</v>
      </c>
      <c r="L5" s="350">
        <v>206</v>
      </c>
      <c r="M5" s="350">
        <v>174</v>
      </c>
      <c r="N5" s="350">
        <v>112</v>
      </c>
      <c r="O5" s="347">
        <v>1128</v>
      </c>
      <c r="P5" s="350">
        <v>215</v>
      </c>
      <c r="Q5" s="350">
        <v>220</v>
      </c>
      <c r="R5" s="350">
        <v>203</v>
      </c>
      <c r="S5" s="350">
        <v>194</v>
      </c>
      <c r="T5" s="350">
        <v>167</v>
      </c>
      <c r="U5" s="350">
        <v>112</v>
      </c>
      <c r="V5" s="347">
        <v>1111</v>
      </c>
      <c r="W5" s="350">
        <v>216</v>
      </c>
      <c r="X5" s="350">
        <v>203</v>
      </c>
      <c r="Y5" s="350">
        <v>196</v>
      </c>
      <c r="Z5" s="350">
        <v>196</v>
      </c>
      <c r="AA5" s="350">
        <v>166</v>
      </c>
      <c r="AB5" s="350">
        <v>90</v>
      </c>
      <c r="AC5" s="347">
        <v>1067</v>
      </c>
      <c r="AD5" s="350">
        <v>208</v>
      </c>
      <c r="AE5" s="350">
        <v>196</v>
      </c>
      <c r="AF5" s="350">
        <v>207</v>
      </c>
      <c r="AG5" s="350">
        <v>195</v>
      </c>
      <c r="AH5" s="350">
        <v>149</v>
      </c>
      <c r="AI5" s="350">
        <v>104</v>
      </c>
      <c r="AJ5" s="347">
        <v>1059</v>
      </c>
      <c r="AK5" s="350">
        <v>196</v>
      </c>
      <c r="AL5" s="350">
        <v>203</v>
      </c>
      <c r="AM5" s="350">
        <v>188</v>
      </c>
      <c r="AN5" s="350">
        <v>161</v>
      </c>
      <c r="AO5" s="350">
        <v>127</v>
      </c>
      <c r="AP5" s="350">
        <v>103</v>
      </c>
      <c r="AQ5" s="347">
        <v>978</v>
      </c>
      <c r="AR5" s="350">
        <v>200</v>
      </c>
      <c r="AS5" s="350">
        <v>181</v>
      </c>
      <c r="AT5" s="350">
        <v>160</v>
      </c>
      <c r="AU5" s="350">
        <v>138</v>
      </c>
      <c r="AV5" s="350">
        <v>152</v>
      </c>
      <c r="AW5" s="350">
        <v>89</v>
      </c>
      <c r="AX5" s="346">
        <v>920</v>
      </c>
      <c r="AY5" s="350">
        <v>182</v>
      </c>
      <c r="AZ5" s="350">
        <v>155</v>
      </c>
      <c r="BA5" s="350">
        <v>140</v>
      </c>
      <c r="BB5" s="350">
        <v>175</v>
      </c>
      <c r="BC5" s="350">
        <v>126</v>
      </c>
      <c r="BD5" s="350">
        <v>130</v>
      </c>
      <c r="BE5" s="346">
        <v>908</v>
      </c>
    </row>
    <row r="6" spans="1:57" ht="13.5" customHeight="1" x14ac:dyDescent="0.25">
      <c r="A6" s="344" t="s">
        <v>98</v>
      </c>
      <c r="B6" s="344">
        <v>48</v>
      </c>
      <c r="C6" s="344">
        <v>37</v>
      </c>
      <c r="D6" s="344">
        <v>38</v>
      </c>
      <c r="E6" s="344">
        <v>33</v>
      </c>
      <c r="F6" s="344">
        <v>16</v>
      </c>
      <c r="G6" s="344">
        <v>8</v>
      </c>
      <c r="H6" s="344">
        <v>180</v>
      </c>
      <c r="I6" s="350">
        <v>31</v>
      </c>
      <c r="J6" s="350">
        <v>31</v>
      </c>
      <c r="K6" s="350">
        <v>33</v>
      </c>
      <c r="L6" s="350">
        <v>23</v>
      </c>
      <c r="M6" s="350">
        <v>9</v>
      </c>
      <c r="N6" s="350">
        <v>10</v>
      </c>
      <c r="O6" s="347">
        <v>137</v>
      </c>
      <c r="P6" s="350">
        <v>32</v>
      </c>
      <c r="Q6" s="350">
        <v>27</v>
      </c>
      <c r="R6" s="350">
        <v>23</v>
      </c>
      <c r="S6" s="350">
        <v>15</v>
      </c>
      <c r="T6" s="350">
        <v>22</v>
      </c>
      <c r="U6" s="350">
        <v>8</v>
      </c>
      <c r="V6" s="347">
        <v>127</v>
      </c>
      <c r="W6" s="350">
        <v>22</v>
      </c>
      <c r="X6" s="350">
        <v>24</v>
      </c>
      <c r="Y6" s="350">
        <v>14</v>
      </c>
      <c r="Z6" s="350">
        <v>25</v>
      </c>
      <c r="AA6" s="350">
        <v>17</v>
      </c>
      <c r="AB6" s="350">
        <v>16</v>
      </c>
      <c r="AC6" s="347">
        <v>118</v>
      </c>
      <c r="AD6" s="350">
        <v>26</v>
      </c>
      <c r="AE6" s="350">
        <v>14</v>
      </c>
      <c r="AF6" s="350">
        <v>23</v>
      </c>
      <c r="AG6" s="350">
        <v>29</v>
      </c>
      <c r="AH6" s="350">
        <v>25</v>
      </c>
      <c r="AI6" s="350">
        <v>11</v>
      </c>
      <c r="AJ6" s="347">
        <v>128</v>
      </c>
      <c r="AK6" s="350">
        <v>10</v>
      </c>
      <c r="AL6" s="350">
        <v>17</v>
      </c>
      <c r="AM6" s="350">
        <v>26</v>
      </c>
      <c r="AN6" s="350">
        <v>35</v>
      </c>
      <c r="AO6" s="350">
        <v>34</v>
      </c>
      <c r="AP6" s="350">
        <v>11</v>
      </c>
      <c r="AQ6" s="347">
        <v>133</v>
      </c>
      <c r="AR6" s="350">
        <v>21</v>
      </c>
      <c r="AS6" s="350">
        <v>37</v>
      </c>
      <c r="AT6" s="350">
        <v>39</v>
      </c>
      <c r="AU6" s="350">
        <v>49</v>
      </c>
      <c r="AV6" s="350">
        <v>29</v>
      </c>
      <c r="AW6" s="350">
        <v>23</v>
      </c>
      <c r="AX6" s="346">
        <v>198</v>
      </c>
      <c r="AY6" s="350">
        <v>48</v>
      </c>
      <c r="AZ6" s="350">
        <v>41</v>
      </c>
      <c r="BA6" s="350">
        <v>58</v>
      </c>
      <c r="BB6" s="350">
        <v>42</v>
      </c>
      <c r="BC6" s="350">
        <v>50</v>
      </c>
      <c r="BD6" s="350">
        <v>12</v>
      </c>
      <c r="BE6" s="346">
        <v>251</v>
      </c>
    </row>
    <row r="7" spans="1:57" ht="13.5" customHeight="1" x14ac:dyDescent="0.25">
      <c r="A7" s="344" t="s">
        <v>94</v>
      </c>
      <c r="B7" s="344">
        <v>227</v>
      </c>
      <c r="C7" s="344">
        <v>195</v>
      </c>
      <c r="D7" s="344">
        <v>203</v>
      </c>
      <c r="E7" s="344">
        <v>228</v>
      </c>
      <c r="F7" s="344">
        <v>168</v>
      </c>
      <c r="G7" s="344">
        <v>140</v>
      </c>
      <c r="H7" s="344">
        <v>1161</v>
      </c>
      <c r="I7" s="350">
        <v>190</v>
      </c>
      <c r="J7" s="350">
        <v>203</v>
      </c>
      <c r="K7" s="350">
        <v>229</v>
      </c>
      <c r="L7" s="350">
        <v>177</v>
      </c>
      <c r="M7" s="350">
        <v>168</v>
      </c>
      <c r="N7" s="350">
        <v>149</v>
      </c>
      <c r="O7" s="347">
        <v>1116</v>
      </c>
      <c r="P7" s="350">
        <v>201</v>
      </c>
      <c r="Q7" s="350">
        <v>225</v>
      </c>
      <c r="R7" s="350">
        <v>176</v>
      </c>
      <c r="S7" s="350">
        <v>178</v>
      </c>
      <c r="T7" s="350">
        <v>200</v>
      </c>
      <c r="U7" s="350">
        <v>155</v>
      </c>
      <c r="V7" s="347">
        <v>1135</v>
      </c>
      <c r="W7" s="350">
        <v>222</v>
      </c>
      <c r="X7" s="350">
        <v>177</v>
      </c>
      <c r="Y7" s="350">
        <v>176</v>
      </c>
      <c r="Z7" s="350">
        <v>215</v>
      </c>
      <c r="AA7" s="350">
        <v>180</v>
      </c>
      <c r="AB7" s="350">
        <v>148</v>
      </c>
      <c r="AC7" s="347">
        <v>1118</v>
      </c>
      <c r="AD7" s="350">
        <v>177</v>
      </c>
      <c r="AE7" s="350">
        <v>178</v>
      </c>
      <c r="AF7" s="350">
        <v>219</v>
      </c>
      <c r="AG7" s="350">
        <v>198</v>
      </c>
      <c r="AH7" s="350">
        <v>191</v>
      </c>
      <c r="AI7" s="350">
        <v>176</v>
      </c>
      <c r="AJ7" s="347">
        <v>1139</v>
      </c>
      <c r="AK7" s="350">
        <v>172</v>
      </c>
      <c r="AL7" s="350">
        <v>216</v>
      </c>
      <c r="AM7" s="350">
        <v>200</v>
      </c>
      <c r="AN7" s="350">
        <v>210</v>
      </c>
      <c r="AO7" s="350">
        <v>238</v>
      </c>
      <c r="AP7" s="350">
        <v>173</v>
      </c>
      <c r="AQ7" s="347">
        <v>1209</v>
      </c>
      <c r="AR7" s="350">
        <v>216</v>
      </c>
      <c r="AS7" s="350">
        <v>194</v>
      </c>
      <c r="AT7" s="350">
        <v>214</v>
      </c>
      <c r="AU7" s="350">
        <v>257</v>
      </c>
      <c r="AV7" s="350">
        <v>233</v>
      </c>
      <c r="AW7" s="350">
        <v>154</v>
      </c>
      <c r="AX7" s="346">
        <v>1268</v>
      </c>
      <c r="AY7" s="350">
        <v>189</v>
      </c>
      <c r="AZ7" s="350">
        <v>211</v>
      </c>
      <c r="BA7" s="350">
        <v>260</v>
      </c>
      <c r="BB7" s="350">
        <v>257</v>
      </c>
      <c r="BC7" s="350">
        <v>204</v>
      </c>
      <c r="BD7" s="350">
        <v>150</v>
      </c>
      <c r="BE7" s="346">
        <v>1271</v>
      </c>
    </row>
    <row r="8" spans="1:57" ht="13.5" customHeight="1" x14ac:dyDescent="0.25">
      <c r="A8" s="344" t="s">
        <v>95</v>
      </c>
      <c r="B8" s="344">
        <v>116</v>
      </c>
      <c r="C8" s="344">
        <v>86</v>
      </c>
      <c r="D8" s="344">
        <v>93</v>
      </c>
      <c r="E8" s="344">
        <v>104</v>
      </c>
      <c r="F8" s="344">
        <v>85</v>
      </c>
      <c r="G8" s="344">
        <v>60</v>
      </c>
      <c r="H8" s="344">
        <v>544</v>
      </c>
      <c r="I8" s="350">
        <v>83</v>
      </c>
      <c r="J8" s="350">
        <v>91</v>
      </c>
      <c r="K8" s="350">
        <v>101</v>
      </c>
      <c r="L8" s="350">
        <v>94</v>
      </c>
      <c r="M8" s="350">
        <v>77</v>
      </c>
      <c r="N8" s="350">
        <v>47</v>
      </c>
      <c r="O8" s="347">
        <v>493</v>
      </c>
      <c r="P8" s="350">
        <v>82</v>
      </c>
      <c r="Q8" s="350">
        <v>95</v>
      </c>
      <c r="R8" s="350">
        <v>87</v>
      </c>
      <c r="S8" s="350">
        <v>93</v>
      </c>
      <c r="T8" s="350">
        <v>68</v>
      </c>
      <c r="U8" s="350">
        <v>48</v>
      </c>
      <c r="V8" s="347">
        <v>473</v>
      </c>
      <c r="W8" s="350">
        <v>95</v>
      </c>
      <c r="X8" s="350">
        <v>90</v>
      </c>
      <c r="Y8" s="350">
        <v>86</v>
      </c>
      <c r="Z8" s="350">
        <v>72</v>
      </c>
      <c r="AA8" s="350">
        <v>74</v>
      </c>
      <c r="AB8" s="350">
        <v>56</v>
      </c>
      <c r="AC8" s="347">
        <v>473</v>
      </c>
      <c r="AD8" s="350">
        <v>84</v>
      </c>
      <c r="AE8" s="350">
        <v>85</v>
      </c>
      <c r="AF8" s="350">
        <v>70</v>
      </c>
      <c r="AG8" s="350">
        <v>85</v>
      </c>
      <c r="AH8" s="350">
        <v>73</v>
      </c>
      <c r="AI8" s="350">
        <v>33</v>
      </c>
      <c r="AJ8" s="347">
        <v>430</v>
      </c>
      <c r="AK8" s="350">
        <v>79</v>
      </c>
      <c r="AL8" s="350">
        <v>73</v>
      </c>
      <c r="AM8" s="350">
        <v>82</v>
      </c>
      <c r="AN8" s="350">
        <v>85</v>
      </c>
      <c r="AO8" s="350">
        <v>56</v>
      </c>
      <c r="AP8" s="350">
        <v>38</v>
      </c>
      <c r="AQ8" s="347">
        <v>413</v>
      </c>
      <c r="AR8" s="350">
        <v>67</v>
      </c>
      <c r="AS8" s="350">
        <v>82</v>
      </c>
      <c r="AT8" s="350">
        <v>83</v>
      </c>
      <c r="AU8" s="350">
        <v>71</v>
      </c>
      <c r="AV8" s="350">
        <v>76</v>
      </c>
      <c r="AW8" s="350">
        <v>25</v>
      </c>
      <c r="AX8" s="346">
        <v>404</v>
      </c>
      <c r="AY8" s="350">
        <v>81</v>
      </c>
      <c r="AZ8" s="350">
        <v>83</v>
      </c>
      <c r="BA8" s="350">
        <v>70</v>
      </c>
      <c r="BB8" s="350">
        <v>85</v>
      </c>
      <c r="BC8" s="350">
        <v>68</v>
      </c>
      <c r="BD8" s="350">
        <v>13</v>
      </c>
      <c r="BE8" s="346">
        <v>400</v>
      </c>
    </row>
    <row r="9" spans="1:57" ht="13.5" customHeight="1" x14ac:dyDescent="0.25">
      <c r="A9" s="344" t="s">
        <v>99</v>
      </c>
      <c r="B9" s="344">
        <v>132</v>
      </c>
      <c r="C9" s="344">
        <v>143</v>
      </c>
      <c r="D9" s="344">
        <v>111</v>
      </c>
      <c r="E9" s="344">
        <v>116</v>
      </c>
      <c r="F9" s="344">
        <v>121</v>
      </c>
      <c r="G9" s="344">
        <v>91</v>
      </c>
      <c r="H9" s="344">
        <v>714</v>
      </c>
      <c r="I9" s="350">
        <v>145</v>
      </c>
      <c r="J9" s="350">
        <v>111</v>
      </c>
      <c r="K9" s="350">
        <v>116</v>
      </c>
      <c r="L9" s="350">
        <v>141</v>
      </c>
      <c r="M9" s="350">
        <v>111</v>
      </c>
      <c r="N9" s="350">
        <v>83</v>
      </c>
      <c r="O9" s="347">
        <v>707</v>
      </c>
      <c r="P9" s="350">
        <v>114</v>
      </c>
      <c r="Q9" s="350">
        <v>116</v>
      </c>
      <c r="R9" s="350">
        <v>141</v>
      </c>
      <c r="S9" s="350">
        <v>126</v>
      </c>
      <c r="T9" s="350">
        <v>98</v>
      </c>
      <c r="U9" s="350">
        <v>96</v>
      </c>
      <c r="V9" s="347">
        <v>691</v>
      </c>
      <c r="W9" s="350">
        <v>115</v>
      </c>
      <c r="X9" s="350">
        <v>139</v>
      </c>
      <c r="Y9" s="350">
        <v>128</v>
      </c>
      <c r="Z9" s="350">
        <v>110</v>
      </c>
      <c r="AA9" s="350">
        <v>124</v>
      </c>
      <c r="AB9" s="350">
        <v>106</v>
      </c>
      <c r="AC9" s="347">
        <v>722</v>
      </c>
      <c r="AD9" s="350">
        <v>138</v>
      </c>
      <c r="AE9" s="350">
        <v>129</v>
      </c>
      <c r="AF9" s="350">
        <v>112</v>
      </c>
      <c r="AG9" s="350">
        <v>135</v>
      </c>
      <c r="AH9" s="350">
        <v>132</v>
      </c>
      <c r="AI9" s="350">
        <v>116</v>
      </c>
      <c r="AJ9" s="347">
        <v>762</v>
      </c>
      <c r="AK9" s="350">
        <v>131</v>
      </c>
      <c r="AL9" s="350">
        <v>116</v>
      </c>
      <c r="AM9" s="350">
        <v>136</v>
      </c>
      <c r="AN9" s="350">
        <v>134</v>
      </c>
      <c r="AO9" s="350">
        <v>154</v>
      </c>
      <c r="AP9" s="350">
        <v>104</v>
      </c>
      <c r="AQ9" s="347">
        <v>775</v>
      </c>
      <c r="AR9" s="350">
        <v>114</v>
      </c>
      <c r="AS9" s="350">
        <v>136</v>
      </c>
      <c r="AT9" s="350">
        <v>128</v>
      </c>
      <c r="AU9" s="350">
        <v>160</v>
      </c>
      <c r="AV9" s="350">
        <v>128</v>
      </c>
      <c r="AW9" s="350">
        <v>110</v>
      </c>
      <c r="AX9" s="346">
        <v>776</v>
      </c>
      <c r="AY9" s="350">
        <v>134</v>
      </c>
      <c r="AZ9" s="350">
        <v>128</v>
      </c>
      <c r="BA9" s="350">
        <v>160</v>
      </c>
      <c r="BB9" s="350">
        <v>136</v>
      </c>
      <c r="BC9" s="350">
        <v>138</v>
      </c>
      <c r="BD9" s="350">
        <v>116</v>
      </c>
      <c r="BE9" s="346">
        <v>812</v>
      </c>
    </row>
    <row r="10" spans="1:57" ht="13.5" customHeight="1" x14ac:dyDescent="0.25">
      <c r="A10" s="344" t="s">
        <v>96</v>
      </c>
      <c r="B10" s="344">
        <v>81</v>
      </c>
      <c r="C10" s="344">
        <v>55</v>
      </c>
      <c r="D10" s="344">
        <v>58</v>
      </c>
      <c r="E10" s="344">
        <v>58</v>
      </c>
      <c r="F10" s="344">
        <v>55</v>
      </c>
      <c r="G10" s="344">
        <v>49</v>
      </c>
      <c r="H10" s="344">
        <v>356</v>
      </c>
      <c r="I10" s="350">
        <v>50</v>
      </c>
      <c r="J10" s="350">
        <v>52</v>
      </c>
      <c r="K10" s="350">
        <v>59</v>
      </c>
      <c r="L10" s="350">
        <v>60</v>
      </c>
      <c r="M10" s="350">
        <v>65</v>
      </c>
      <c r="N10" s="350">
        <v>47</v>
      </c>
      <c r="O10" s="347">
        <v>333</v>
      </c>
      <c r="P10" s="350">
        <v>47</v>
      </c>
      <c r="Q10" s="350">
        <v>48</v>
      </c>
      <c r="R10" s="350">
        <v>58</v>
      </c>
      <c r="S10" s="350">
        <v>72</v>
      </c>
      <c r="T10" s="350">
        <v>69</v>
      </c>
      <c r="U10" s="350">
        <v>47</v>
      </c>
      <c r="V10" s="347">
        <v>341</v>
      </c>
      <c r="W10" s="350">
        <v>45</v>
      </c>
      <c r="X10" s="350">
        <v>56</v>
      </c>
      <c r="Y10" s="350">
        <v>69</v>
      </c>
      <c r="Z10" s="350">
        <v>77</v>
      </c>
      <c r="AA10" s="350">
        <v>68</v>
      </c>
      <c r="AB10" s="350">
        <v>37</v>
      </c>
      <c r="AC10" s="347">
        <v>352</v>
      </c>
      <c r="AD10" s="350">
        <v>51</v>
      </c>
      <c r="AE10" s="350">
        <v>64</v>
      </c>
      <c r="AF10" s="350">
        <v>77</v>
      </c>
      <c r="AG10" s="350">
        <v>77</v>
      </c>
      <c r="AH10" s="350">
        <v>67</v>
      </c>
      <c r="AI10" s="350">
        <v>51</v>
      </c>
      <c r="AJ10" s="347">
        <v>387</v>
      </c>
      <c r="AK10" s="350">
        <v>62</v>
      </c>
      <c r="AL10" s="350">
        <v>76</v>
      </c>
      <c r="AM10" s="350">
        <v>76</v>
      </c>
      <c r="AN10" s="350">
        <v>77</v>
      </c>
      <c r="AO10" s="350">
        <v>73</v>
      </c>
      <c r="AP10" s="350">
        <v>49</v>
      </c>
      <c r="AQ10" s="347">
        <v>413</v>
      </c>
      <c r="AR10" s="350">
        <v>76</v>
      </c>
      <c r="AS10" s="350">
        <v>80</v>
      </c>
      <c r="AT10" s="350">
        <v>75</v>
      </c>
      <c r="AU10" s="350">
        <v>99</v>
      </c>
      <c r="AV10" s="350">
        <v>90</v>
      </c>
      <c r="AW10" s="350">
        <v>40</v>
      </c>
      <c r="AX10" s="346">
        <v>460</v>
      </c>
      <c r="AY10" s="350">
        <v>85</v>
      </c>
      <c r="AZ10" s="350">
        <v>78</v>
      </c>
      <c r="BA10" s="350">
        <v>95</v>
      </c>
      <c r="BB10" s="350">
        <v>97</v>
      </c>
      <c r="BC10" s="350">
        <v>63</v>
      </c>
      <c r="BD10" s="350">
        <v>40</v>
      </c>
      <c r="BE10" s="346">
        <v>458</v>
      </c>
    </row>
    <row r="11" spans="1:57" ht="13.5" customHeight="1" x14ac:dyDescent="0.25">
      <c r="A11" s="344" t="s">
        <v>314</v>
      </c>
      <c r="B11" s="344">
        <v>217</v>
      </c>
      <c r="C11" s="344">
        <v>216</v>
      </c>
      <c r="D11" s="344">
        <v>211</v>
      </c>
      <c r="E11" s="344">
        <v>211</v>
      </c>
      <c r="F11" s="344">
        <v>179</v>
      </c>
      <c r="G11" s="344">
        <v>155</v>
      </c>
      <c r="H11" s="344">
        <v>1189</v>
      </c>
      <c r="I11" s="350">
        <v>213</v>
      </c>
      <c r="J11" s="350">
        <v>212</v>
      </c>
      <c r="K11" s="350">
        <v>202</v>
      </c>
      <c r="L11" s="350">
        <v>194</v>
      </c>
      <c r="M11" s="350">
        <v>194</v>
      </c>
      <c r="N11" s="350">
        <v>137</v>
      </c>
      <c r="O11" s="347">
        <v>1152</v>
      </c>
      <c r="P11" s="350">
        <v>209</v>
      </c>
      <c r="Q11" s="350">
        <v>200</v>
      </c>
      <c r="R11" s="350">
        <v>191</v>
      </c>
      <c r="S11" s="350">
        <v>203</v>
      </c>
      <c r="T11" s="350">
        <v>185</v>
      </c>
      <c r="U11" s="350">
        <v>142</v>
      </c>
      <c r="V11" s="347">
        <v>1130</v>
      </c>
      <c r="W11" s="350">
        <v>200</v>
      </c>
      <c r="X11" s="350">
        <v>188</v>
      </c>
      <c r="Y11" s="350">
        <v>193</v>
      </c>
      <c r="Z11" s="350">
        <v>196</v>
      </c>
      <c r="AA11" s="350">
        <v>181</v>
      </c>
      <c r="AB11" s="350">
        <v>127</v>
      </c>
      <c r="AC11" s="347">
        <v>1085</v>
      </c>
      <c r="AD11" s="350">
        <v>193</v>
      </c>
      <c r="AE11" s="350">
        <v>198</v>
      </c>
      <c r="AF11" s="350">
        <v>197</v>
      </c>
      <c r="AG11" s="350">
        <v>201</v>
      </c>
      <c r="AH11" s="350">
        <v>167</v>
      </c>
      <c r="AI11" s="350">
        <v>134</v>
      </c>
      <c r="AJ11" s="347">
        <v>1090</v>
      </c>
      <c r="AK11" s="350">
        <v>198</v>
      </c>
      <c r="AL11" s="350">
        <v>201</v>
      </c>
      <c r="AM11" s="350">
        <v>196</v>
      </c>
      <c r="AN11" s="350">
        <v>189</v>
      </c>
      <c r="AO11" s="350">
        <v>173</v>
      </c>
      <c r="AP11" s="350">
        <v>170</v>
      </c>
      <c r="AQ11" s="347">
        <v>1127</v>
      </c>
      <c r="AR11" s="350">
        <v>202</v>
      </c>
      <c r="AS11" s="350">
        <v>197</v>
      </c>
      <c r="AT11" s="350">
        <v>181</v>
      </c>
      <c r="AU11" s="350">
        <v>183</v>
      </c>
      <c r="AV11" s="350">
        <v>196</v>
      </c>
      <c r="AW11" s="350">
        <v>164</v>
      </c>
      <c r="AX11" s="346">
        <v>1123</v>
      </c>
      <c r="AY11" s="350">
        <v>190</v>
      </c>
      <c r="AZ11" s="350">
        <v>179</v>
      </c>
      <c r="BA11" s="350">
        <v>184</v>
      </c>
      <c r="BB11" s="350">
        <v>215</v>
      </c>
      <c r="BC11" s="350">
        <v>202</v>
      </c>
      <c r="BD11" s="350">
        <v>141</v>
      </c>
      <c r="BE11" s="346">
        <v>1111</v>
      </c>
    </row>
    <row r="12" spans="1:57" ht="13.5" customHeight="1" x14ac:dyDescent="0.25">
      <c r="A12" s="344" t="s">
        <v>100</v>
      </c>
      <c r="B12" s="344">
        <v>144</v>
      </c>
      <c r="C12" s="344">
        <v>157</v>
      </c>
      <c r="D12" s="344">
        <v>108</v>
      </c>
      <c r="E12" s="344">
        <v>134</v>
      </c>
      <c r="F12" s="344">
        <v>92</v>
      </c>
      <c r="G12" s="344">
        <v>62</v>
      </c>
      <c r="H12" s="344">
        <v>697</v>
      </c>
      <c r="I12" s="350">
        <v>155</v>
      </c>
      <c r="J12" s="350">
        <v>104</v>
      </c>
      <c r="K12" s="350">
        <v>137</v>
      </c>
      <c r="L12" s="350">
        <v>123</v>
      </c>
      <c r="M12" s="350">
        <v>89</v>
      </c>
      <c r="N12" s="350">
        <v>55</v>
      </c>
      <c r="O12" s="347">
        <v>663</v>
      </c>
      <c r="P12" s="350">
        <v>107</v>
      </c>
      <c r="Q12" s="350">
        <v>139</v>
      </c>
      <c r="R12" s="350">
        <v>130</v>
      </c>
      <c r="S12" s="350">
        <v>131</v>
      </c>
      <c r="T12" s="350">
        <v>97</v>
      </c>
      <c r="U12" s="350">
        <v>69</v>
      </c>
      <c r="V12" s="347">
        <v>673</v>
      </c>
      <c r="W12" s="350">
        <v>142</v>
      </c>
      <c r="X12" s="350">
        <v>136</v>
      </c>
      <c r="Y12" s="350">
        <v>132</v>
      </c>
      <c r="Z12" s="350">
        <v>148</v>
      </c>
      <c r="AA12" s="350">
        <v>102</v>
      </c>
      <c r="AB12" s="350">
        <v>71</v>
      </c>
      <c r="AC12" s="347">
        <v>731</v>
      </c>
      <c r="AD12" s="350">
        <v>139</v>
      </c>
      <c r="AE12" s="350">
        <v>135</v>
      </c>
      <c r="AF12" s="350">
        <v>152</v>
      </c>
      <c r="AG12" s="350">
        <v>133</v>
      </c>
      <c r="AH12" s="350">
        <v>116</v>
      </c>
      <c r="AI12" s="350">
        <v>52</v>
      </c>
      <c r="AJ12" s="347">
        <v>727</v>
      </c>
      <c r="AK12" s="350">
        <v>136</v>
      </c>
      <c r="AL12" s="350">
        <v>150</v>
      </c>
      <c r="AM12" s="350">
        <v>130</v>
      </c>
      <c r="AN12" s="350">
        <v>132</v>
      </c>
      <c r="AO12" s="350">
        <v>81</v>
      </c>
      <c r="AP12" s="350">
        <v>43</v>
      </c>
      <c r="AQ12" s="347">
        <v>672</v>
      </c>
      <c r="AR12" s="350">
        <v>143</v>
      </c>
      <c r="AS12" s="350">
        <v>127</v>
      </c>
      <c r="AT12" s="350">
        <v>134</v>
      </c>
      <c r="AU12" s="350">
        <v>104</v>
      </c>
      <c r="AV12" s="350">
        <v>69</v>
      </c>
      <c r="AW12" s="350">
        <v>78</v>
      </c>
      <c r="AX12" s="346">
        <v>655</v>
      </c>
      <c r="AY12" s="350">
        <v>130</v>
      </c>
      <c r="AZ12" s="350">
        <v>132</v>
      </c>
      <c r="BA12" s="350">
        <v>105</v>
      </c>
      <c r="BB12" s="350">
        <v>100</v>
      </c>
      <c r="BC12" s="350">
        <v>107</v>
      </c>
      <c r="BD12" s="350">
        <v>54</v>
      </c>
      <c r="BE12" s="346">
        <v>628</v>
      </c>
    </row>
    <row r="13" spans="1:57" ht="13.5" customHeight="1" x14ac:dyDescent="0.25">
      <c r="A13" s="344" t="s">
        <v>101</v>
      </c>
      <c r="B13" s="344">
        <v>113</v>
      </c>
      <c r="C13" s="344">
        <v>115</v>
      </c>
      <c r="D13" s="344">
        <v>105</v>
      </c>
      <c r="E13" s="344">
        <v>117</v>
      </c>
      <c r="F13" s="344">
        <v>91</v>
      </c>
      <c r="G13" s="344">
        <v>56</v>
      </c>
      <c r="H13" s="344">
        <v>597</v>
      </c>
      <c r="I13" s="350">
        <v>109</v>
      </c>
      <c r="J13" s="350">
        <v>102</v>
      </c>
      <c r="K13" s="350">
        <v>114</v>
      </c>
      <c r="L13" s="350">
        <v>105</v>
      </c>
      <c r="M13" s="350">
        <v>96</v>
      </c>
      <c r="N13" s="350">
        <v>50</v>
      </c>
      <c r="O13" s="347">
        <v>576</v>
      </c>
      <c r="P13" s="350">
        <v>100</v>
      </c>
      <c r="Q13" s="350">
        <v>118</v>
      </c>
      <c r="R13" s="350">
        <v>112</v>
      </c>
      <c r="S13" s="350">
        <v>118</v>
      </c>
      <c r="T13" s="350">
        <v>87</v>
      </c>
      <c r="U13" s="350">
        <v>69</v>
      </c>
      <c r="V13" s="347">
        <v>604</v>
      </c>
      <c r="W13" s="350">
        <v>115</v>
      </c>
      <c r="X13" s="350">
        <v>115</v>
      </c>
      <c r="Y13" s="350">
        <v>119</v>
      </c>
      <c r="Z13" s="350">
        <v>107</v>
      </c>
      <c r="AA13" s="350">
        <v>100</v>
      </c>
      <c r="AB13" s="350">
        <v>59</v>
      </c>
      <c r="AC13" s="347">
        <v>615</v>
      </c>
      <c r="AD13" s="350">
        <v>114</v>
      </c>
      <c r="AE13" s="350">
        <v>119</v>
      </c>
      <c r="AF13" s="350">
        <v>110</v>
      </c>
      <c r="AG13" s="350">
        <v>117</v>
      </c>
      <c r="AH13" s="350">
        <v>96</v>
      </c>
      <c r="AI13" s="350">
        <v>62</v>
      </c>
      <c r="AJ13" s="347">
        <v>618</v>
      </c>
      <c r="AK13" s="350">
        <v>120</v>
      </c>
      <c r="AL13" s="350">
        <v>110</v>
      </c>
      <c r="AM13" s="350">
        <v>122</v>
      </c>
      <c r="AN13" s="350">
        <v>114</v>
      </c>
      <c r="AO13" s="350">
        <v>87</v>
      </c>
      <c r="AP13" s="350">
        <v>57</v>
      </c>
      <c r="AQ13" s="347">
        <v>610</v>
      </c>
      <c r="AR13" s="350">
        <v>110</v>
      </c>
      <c r="AS13" s="350">
        <v>119</v>
      </c>
      <c r="AT13" s="350">
        <v>110</v>
      </c>
      <c r="AU13" s="350">
        <v>115</v>
      </c>
      <c r="AV13" s="350">
        <v>107</v>
      </c>
      <c r="AW13" s="350">
        <v>69</v>
      </c>
      <c r="AX13" s="346">
        <v>630</v>
      </c>
      <c r="AY13" s="350">
        <v>120</v>
      </c>
      <c r="AZ13" s="350">
        <v>115</v>
      </c>
      <c r="BA13" s="350">
        <v>118</v>
      </c>
      <c r="BB13" s="350">
        <v>125</v>
      </c>
      <c r="BC13" s="350">
        <v>100</v>
      </c>
      <c r="BD13" s="350">
        <v>55</v>
      </c>
      <c r="BE13" s="346">
        <v>633</v>
      </c>
    </row>
    <row r="14" spans="1:57" ht="13.5" customHeight="1" x14ac:dyDescent="0.25">
      <c r="A14" s="344" t="s">
        <v>102</v>
      </c>
      <c r="B14" s="344">
        <v>198</v>
      </c>
      <c r="C14" s="344">
        <v>204</v>
      </c>
      <c r="D14" s="344">
        <v>204</v>
      </c>
      <c r="E14" s="344">
        <v>165</v>
      </c>
      <c r="F14" s="344">
        <v>153</v>
      </c>
      <c r="G14" s="344">
        <v>119</v>
      </c>
      <c r="H14" s="344">
        <v>1043</v>
      </c>
      <c r="I14" s="350">
        <v>206</v>
      </c>
      <c r="J14" s="350">
        <v>209</v>
      </c>
      <c r="K14" s="350">
        <v>168</v>
      </c>
      <c r="L14" s="350">
        <v>192</v>
      </c>
      <c r="M14" s="350">
        <v>151</v>
      </c>
      <c r="N14" s="350">
        <v>114</v>
      </c>
      <c r="O14" s="347">
        <v>1040</v>
      </c>
      <c r="P14" s="350">
        <v>204</v>
      </c>
      <c r="Q14" s="350">
        <v>169</v>
      </c>
      <c r="R14" s="350">
        <v>196</v>
      </c>
      <c r="S14" s="350">
        <v>199</v>
      </c>
      <c r="T14" s="350">
        <v>143</v>
      </c>
      <c r="U14" s="350">
        <v>114</v>
      </c>
      <c r="V14" s="347">
        <v>1025</v>
      </c>
      <c r="W14" s="350">
        <v>176</v>
      </c>
      <c r="X14" s="350">
        <v>193</v>
      </c>
      <c r="Y14" s="350">
        <v>200</v>
      </c>
      <c r="Z14" s="350">
        <v>182</v>
      </c>
      <c r="AA14" s="350">
        <v>166</v>
      </c>
      <c r="AB14" s="350">
        <v>126</v>
      </c>
      <c r="AC14" s="347">
        <v>1043</v>
      </c>
      <c r="AD14" s="350">
        <v>202</v>
      </c>
      <c r="AE14" s="350">
        <v>203</v>
      </c>
      <c r="AF14" s="350">
        <v>186</v>
      </c>
      <c r="AG14" s="350">
        <v>198</v>
      </c>
      <c r="AH14" s="350">
        <v>161</v>
      </c>
      <c r="AI14" s="350">
        <v>125</v>
      </c>
      <c r="AJ14" s="347">
        <v>1075</v>
      </c>
      <c r="AK14" s="350">
        <v>225</v>
      </c>
      <c r="AL14" s="350">
        <v>193</v>
      </c>
      <c r="AM14" s="350">
        <v>197</v>
      </c>
      <c r="AN14" s="350">
        <v>191</v>
      </c>
      <c r="AO14" s="350">
        <v>161</v>
      </c>
      <c r="AP14" s="350">
        <v>104</v>
      </c>
      <c r="AQ14" s="347">
        <v>1071</v>
      </c>
      <c r="AR14" s="350">
        <v>203</v>
      </c>
      <c r="AS14" s="350">
        <v>199</v>
      </c>
      <c r="AT14" s="350">
        <v>195</v>
      </c>
      <c r="AU14" s="350">
        <v>186</v>
      </c>
      <c r="AV14" s="350">
        <v>143</v>
      </c>
      <c r="AW14" s="350">
        <v>95</v>
      </c>
      <c r="AX14" s="346">
        <v>1021</v>
      </c>
      <c r="AY14" s="350">
        <v>190</v>
      </c>
      <c r="AZ14" s="350">
        <v>197</v>
      </c>
      <c r="BA14" s="350">
        <v>191</v>
      </c>
      <c r="BB14" s="350">
        <v>154</v>
      </c>
      <c r="BC14" s="350">
        <v>146</v>
      </c>
      <c r="BD14" s="350">
        <v>108</v>
      </c>
      <c r="BE14" s="346">
        <v>986</v>
      </c>
    </row>
    <row r="15" spans="1:57" ht="13.5" customHeight="1" x14ac:dyDescent="0.25">
      <c r="A15" s="344" t="s">
        <v>103</v>
      </c>
      <c r="B15" s="344">
        <v>235</v>
      </c>
      <c r="C15" s="344">
        <v>239</v>
      </c>
      <c r="D15" s="344">
        <v>215</v>
      </c>
      <c r="E15" s="344">
        <v>197</v>
      </c>
      <c r="F15" s="344">
        <v>199</v>
      </c>
      <c r="G15" s="344">
        <v>176</v>
      </c>
      <c r="H15" s="344">
        <v>1261</v>
      </c>
      <c r="I15" s="350">
        <v>238</v>
      </c>
      <c r="J15" s="350">
        <v>220</v>
      </c>
      <c r="K15" s="350">
        <v>199</v>
      </c>
      <c r="L15" s="350">
        <v>199</v>
      </c>
      <c r="M15" s="350">
        <v>203</v>
      </c>
      <c r="N15" s="350">
        <v>192</v>
      </c>
      <c r="O15" s="347">
        <v>1251</v>
      </c>
      <c r="P15" s="350">
        <v>219</v>
      </c>
      <c r="Q15" s="350">
        <v>200</v>
      </c>
      <c r="R15" s="350">
        <v>194</v>
      </c>
      <c r="S15" s="350">
        <v>197</v>
      </c>
      <c r="T15" s="350">
        <v>209</v>
      </c>
      <c r="U15" s="350">
        <v>179</v>
      </c>
      <c r="V15" s="347">
        <v>1198</v>
      </c>
      <c r="W15" s="350">
        <v>196</v>
      </c>
      <c r="X15" s="350">
        <v>197</v>
      </c>
      <c r="Y15" s="350">
        <v>196</v>
      </c>
      <c r="Z15" s="350">
        <v>196</v>
      </c>
      <c r="AA15" s="350">
        <v>196</v>
      </c>
      <c r="AB15" s="350">
        <v>168</v>
      </c>
      <c r="AC15" s="347">
        <v>1149</v>
      </c>
      <c r="AD15" s="350">
        <v>199</v>
      </c>
      <c r="AE15" s="350">
        <v>195</v>
      </c>
      <c r="AF15" s="350">
        <v>196</v>
      </c>
      <c r="AG15" s="350">
        <v>200</v>
      </c>
      <c r="AH15" s="350">
        <v>174</v>
      </c>
      <c r="AI15" s="350">
        <v>153</v>
      </c>
      <c r="AJ15" s="347">
        <v>1117</v>
      </c>
      <c r="AK15" s="350">
        <v>193</v>
      </c>
      <c r="AL15" s="350">
        <v>194</v>
      </c>
      <c r="AM15" s="350">
        <v>197</v>
      </c>
      <c r="AN15" s="350">
        <v>195</v>
      </c>
      <c r="AO15" s="350">
        <v>170</v>
      </c>
      <c r="AP15" s="350">
        <v>146</v>
      </c>
      <c r="AQ15" s="347">
        <v>1095</v>
      </c>
      <c r="AR15" s="350">
        <v>189</v>
      </c>
      <c r="AS15" s="350">
        <v>200</v>
      </c>
      <c r="AT15" s="350">
        <v>198</v>
      </c>
      <c r="AU15" s="350">
        <v>195</v>
      </c>
      <c r="AV15" s="350">
        <v>184</v>
      </c>
      <c r="AW15" s="350">
        <v>158</v>
      </c>
      <c r="AX15" s="346">
        <v>1124</v>
      </c>
      <c r="AY15" s="350">
        <v>193</v>
      </c>
      <c r="AZ15" s="350">
        <v>200</v>
      </c>
      <c r="BA15" s="350">
        <v>190</v>
      </c>
      <c r="BB15" s="350">
        <v>200</v>
      </c>
      <c r="BC15" s="350">
        <v>180</v>
      </c>
      <c r="BD15" s="350">
        <v>166</v>
      </c>
      <c r="BE15" s="346">
        <v>1129</v>
      </c>
    </row>
    <row r="16" spans="1:57" ht="13.5" customHeight="1" x14ac:dyDescent="0.25">
      <c r="A16" s="344" t="s">
        <v>104</v>
      </c>
      <c r="B16" s="344">
        <v>165</v>
      </c>
      <c r="C16" s="344">
        <v>155</v>
      </c>
      <c r="D16" s="344">
        <v>148</v>
      </c>
      <c r="E16" s="344">
        <v>156</v>
      </c>
      <c r="F16" s="344">
        <v>150</v>
      </c>
      <c r="G16" s="344">
        <v>137</v>
      </c>
      <c r="H16" s="344">
        <v>911</v>
      </c>
      <c r="I16" s="350">
        <v>158</v>
      </c>
      <c r="J16" s="350">
        <v>139</v>
      </c>
      <c r="K16" s="350">
        <v>159</v>
      </c>
      <c r="L16" s="350">
        <v>161</v>
      </c>
      <c r="M16" s="350">
        <v>159</v>
      </c>
      <c r="N16" s="350">
        <v>113</v>
      </c>
      <c r="O16" s="347">
        <v>889</v>
      </c>
      <c r="P16" s="350">
        <v>142</v>
      </c>
      <c r="Q16" s="350">
        <v>159</v>
      </c>
      <c r="R16" s="350">
        <v>156</v>
      </c>
      <c r="S16" s="350">
        <v>177</v>
      </c>
      <c r="T16" s="350">
        <v>160</v>
      </c>
      <c r="U16" s="350">
        <v>104</v>
      </c>
      <c r="V16" s="347">
        <v>898</v>
      </c>
      <c r="W16" s="350">
        <v>153</v>
      </c>
      <c r="X16" s="350">
        <v>158</v>
      </c>
      <c r="Y16" s="350">
        <v>174</v>
      </c>
      <c r="Z16" s="350">
        <v>165</v>
      </c>
      <c r="AA16" s="350">
        <v>139</v>
      </c>
      <c r="AB16" s="350">
        <v>107</v>
      </c>
      <c r="AC16" s="347">
        <v>896</v>
      </c>
      <c r="AD16" s="350">
        <v>148</v>
      </c>
      <c r="AE16" s="350">
        <v>180</v>
      </c>
      <c r="AF16" s="350">
        <v>159</v>
      </c>
      <c r="AG16" s="350">
        <v>170</v>
      </c>
      <c r="AH16" s="350">
        <v>160</v>
      </c>
      <c r="AI16" s="350">
        <v>108</v>
      </c>
      <c r="AJ16" s="347">
        <v>925</v>
      </c>
      <c r="AK16" s="350">
        <v>171</v>
      </c>
      <c r="AL16" s="350">
        <v>158</v>
      </c>
      <c r="AM16" s="350">
        <v>163</v>
      </c>
      <c r="AN16" s="350">
        <v>173</v>
      </c>
      <c r="AO16" s="350">
        <v>139</v>
      </c>
      <c r="AP16" s="350">
        <v>94</v>
      </c>
      <c r="AQ16" s="347">
        <v>898</v>
      </c>
      <c r="AR16" s="350">
        <v>150</v>
      </c>
      <c r="AS16" s="350">
        <v>158</v>
      </c>
      <c r="AT16" s="350">
        <v>178</v>
      </c>
      <c r="AU16" s="350">
        <v>161</v>
      </c>
      <c r="AV16" s="350">
        <v>142</v>
      </c>
      <c r="AW16" s="350">
        <v>112</v>
      </c>
      <c r="AX16" s="346">
        <v>901</v>
      </c>
      <c r="AY16" s="350">
        <v>156</v>
      </c>
      <c r="AZ16" s="350">
        <v>167</v>
      </c>
      <c r="BA16" s="350">
        <v>158</v>
      </c>
      <c r="BB16" s="350">
        <v>171</v>
      </c>
      <c r="BC16" s="350">
        <v>148</v>
      </c>
      <c r="BD16" s="350">
        <v>101</v>
      </c>
      <c r="BE16" s="346">
        <v>901</v>
      </c>
    </row>
    <row r="17" spans="1:57" ht="13.5" customHeight="1" x14ac:dyDescent="0.25">
      <c r="A17" s="344" t="s">
        <v>105</v>
      </c>
      <c r="B17" s="344">
        <v>142</v>
      </c>
      <c r="C17" s="344">
        <v>127</v>
      </c>
      <c r="D17" s="344">
        <v>97</v>
      </c>
      <c r="E17" s="344">
        <v>115</v>
      </c>
      <c r="F17" s="344">
        <v>64</v>
      </c>
      <c r="G17" s="344">
        <v>55</v>
      </c>
      <c r="H17" s="344">
        <v>600</v>
      </c>
      <c r="I17" s="350">
        <v>130</v>
      </c>
      <c r="J17" s="350">
        <v>96</v>
      </c>
      <c r="K17" s="350">
        <v>110</v>
      </c>
      <c r="L17" s="350">
        <v>81</v>
      </c>
      <c r="M17" s="350">
        <v>92</v>
      </c>
      <c r="N17" s="350">
        <v>58</v>
      </c>
      <c r="O17" s="347">
        <v>567</v>
      </c>
      <c r="P17" s="350">
        <v>90</v>
      </c>
      <c r="Q17" s="350">
        <v>111</v>
      </c>
      <c r="R17" s="350">
        <v>66</v>
      </c>
      <c r="S17" s="350">
        <v>117</v>
      </c>
      <c r="T17" s="350">
        <v>77</v>
      </c>
      <c r="U17" s="350">
        <v>59</v>
      </c>
      <c r="V17" s="347">
        <v>520</v>
      </c>
      <c r="W17" s="350">
        <v>111</v>
      </c>
      <c r="X17" s="350">
        <v>64</v>
      </c>
      <c r="Y17" s="350">
        <v>112</v>
      </c>
      <c r="Z17" s="350">
        <v>98</v>
      </c>
      <c r="AA17" s="350">
        <v>95</v>
      </c>
      <c r="AB17" s="350">
        <v>71</v>
      </c>
      <c r="AC17" s="347">
        <v>551</v>
      </c>
      <c r="AD17" s="350">
        <v>61</v>
      </c>
      <c r="AE17" s="350">
        <v>110</v>
      </c>
      <c r="AF17" s="350">
        <v>99</v>
      </c>
      <c r="AG17" s="350">
        <v>115</v>
      </c>
      <c r="AH17" s="350">
        <v>101</v>
      </c>
      <c r="AI17" s="350">
        <v>70</v>
      </c>
      <c r="AJ17" s="347">
        <v>556</v>
      </c>
      <c r="AK17" s="350">
        <v>105</v>
      </c>
      <c r="AL17" s="350">
        <v>100</v>
      </c>
      <c r="AM17" s="350">
        <v>120</v>
      </c>
      <c r="AN17" s="350">
        <v>115</v>
      </c>
      <c r="AO17" s="350">
        <v>94</v>
      </c>
      <c r="AP17" s="350">
        <v>71</v>
      </c>
      <c r="AQ17" s="347">
        <v>605</v>
      </c>
      <c r="AR17" s="350">
        <v>96</v>
      </c>
      <c r="AS17" s="350">
        <v>115</v>
      </c>
      <c r="AT17" s="350">
        <v>118</v>
      </c>
      <c r="AU17" s="350">
        <v>124</v>
      </c>
      <c r="AV17" s="350">
        <v>98</v>
      </c>
      <c r="AW17" s="350">
        <v>85</v>
      </c>
      <c r="AX17" s="346">
        <v>636</v>
      </c>
      <c r="AY17" s="350">
        <v>119</v>
      </c>
      <c r="AZ17" s="350">
        <v>114</v>
      </c>
      <c r="BA17" s="350">
        <v>124</v>
      </c>
      <c r="BB17" s="350">
        <v>105</v>
      </c>
      <c r="BC17" s="350">
        <v>125</v>
      </c>
      <c r="BD17" s="350">
        <v>63</v>
      </c>
      <c r="BE17" s="346">
        <v>650</v>
      </c>
    </row>
    <row r="18" spans="1:57" ht="13.5" customHeight="1" x14ac:dyDescent="0.25">
      <c r="A18" s="344" t="s">
        <v>106</v>
      </c>
      <c r="B18" s="344">
        <v>257</v>
      </c>
      <c r="C18" s="344">
        <v>257</v>
      </c>
      <c r="D18" s="344">
        <v>247</v>
      </c>
      <c r="E18" s="344">
        <v>234</v>
      </c>
      <c r="F18" s="344">
        <v>215</v>
      </c>
      <c r="G18" s="344">
        <v>165</v>
      </c>
      <c r="H18" s="344">
        <v>1375</v>
      </c>
      <c r="I18" s="350">
        <v>256</v>
      </c>
      <c r="J18" s="350">
        <v>255</v>
      </c>
      <c r="K18" s="350">
        <v>238</v>
      </c>
      <c r="L18" s="350">
        <v>239</v>
      </c>
      <c r="M18" s="350">
        <v>219</v>
      </c>
      <c r="N18" s="350">
        <v>144</v>
      </c>
      <c r="O18" s="347">
        <v>1351</v>
      </c>
      <c r="P18" s="350">
        <v>258</v>
      </c>
      <c r="Q18" s="350">
        <v>238</v>
      </c>
      <c r="R18" s="350">
        <v>238</v>
      </c>
      <c r="S18" s="350">
        <v>244</v>
      </c>
      <c r="T18" s="350">
        <v>190</v>
      </c>
      <c r="U18" s="350">
        <v>155</v>
      </c>
      <c r="V18" s="347">
        <v>1323</v>
      </c>
      <c r="W18" s="350">
        <v>238</v>
      </c>
      <c r="X18" s="350">
        <v>235</v>
      </c>
      <c r="Y18" s="350">
        <v>245</v>
      </c>
      <c r="Z18" s="350">
        <v>208</v>
      </c>
      <c r="AA18" s="350">
        <v>199</v>
      </c>
      <c r="AB18" s="350">
        <v>170</v>
      </c>
      <c r="AC18" s="347">
        <v>1295</v>
      </c>
      <c r="AD18" s="350">
        <v>229</v>
      </c>
      <c r="AE18" s="350">
        <v>245</v>
      </c>
      <c r="AF18" s="350">
        <v>215</v>
      </c>
      <c r="AG18" s="350">
        <v>221</v>
      </c>
      <c r="AH18" s="350">
        <v>214</v>
      </c>
      <c r="AI18" s="350">
        <v>174</v>
      </c>
      <c r="AJ18" s="347">
        <v>1298</v>
      </c>
      <c r="AK18" s="350">
        <v>248</v>
      </c>
      <c r="AL18" s="350">
        <v>219</v>
      </c>
      <c r="AM18" s="350">
        <v>224</v>
      </c>
      <c r="AN18" s="350">
        <v>244</v>
      </c>
      <c r="AO18" s="350">
        <v>225</v>
      </c>
      <c r="AP18" s="350">
        <v>174</v>
      </c>
      <c r="AQ18" s="347">
        <v>1334</v>
      </c>
      <c r="AR18" s="350">
        <v>210</v>
      </c>
      <c r="AS18" s="350">
        <v>222</v>
      </c>
      <c r="AT18" s="350">
        <v>245</v>
      </c>
      <c r="AU18" s="350">
        <v>237</v>
      </c>
      <c r="AV18" s="350">
        <v>216</v>
      </c>
      <c r="AW18" s="350">
        <v>174</v>
      </c>
      <c r="AX18" s="346">
        <v>1304</v>
      </c>
      <c r="AY18" s="350">
        <v>218</v>
      </c>
      <c r="AZ18" s="350">
        <v>246</v>
      </c>
      <c r="BA18" s="350">
        <v>237</v>
      </c>
      <c r="BB18" s="350">
        <v>249</v>
      </c>
      <c r="BC18" s="350">
        <v>234</v>
      </c>
      <c r="BD18" s="350">
        <v>158</v>
      </c>
      <c r="BE18" s="346">
        <v>1342</v>
      </c>
    </row>
    <row r="19" spans="1:57" ht="13.5" customHeight="1" x14ac:dyDescent="0.25">
      <c r="A19" s="344" t="s">
        <v>107</v>
      </c>
      <c r="B19" s="344">
        <v>167</v>
      </c>
      <c r="C19" s="344">
        <v>168</v>
      </c>
      <c r="D19" s="344">
        <v>152</v>
      </c>
      <c r="E19" s="344">
        <v>141</v>
      </c>
      <c r="F19" s="344">
        <v>124</v>
      </c>
      <c r="G19" s="344">
        <v>98</v>
      </c>
      <c r="H19" s="344">
        <v>850</v>
      </c>
      <c r="I19" s="350">
        <v>171</v>
      </c>
      <c r="J19" s="350">
        <v>156</v>
      </c>
      <c r="K19" s="350">
        <v>143</v>
      </c>
      <c r="L19" s="350">
        <v>138</v>
      </c>
      <c r="M19" s="350">
        <v>114</v>
      </c>
      <c r="N19" s="350">
        <v>96</v>
      </c>
      <c r="O19" s="347">
        <v>818</v>
      </c>
      <c r="P19" s="350">
        <v>156</v>
      </c>
      <c r="Q19" s="350">
        <v>144</v>
      </c>
      <c r="R19" s="350">
        <v>136</v>
      </c>
      <c r="S19" s="350">
        <v>125</v>
      </c>
      <c r="T19" s="350">
        <v>123</v>
      </c>
      <c r="U19" s="350">
        <v>79</v>
      </c>
      <c r="V19" s="347">
        <v>763</v>
      </c>
      <c r="W19" s="350">
        <v>150</v>
      </c>
      <c r="X19" s="350">
        <v>136</v>
      </c>
      <c r="Y19" s="350">
        <v>123</v>
      </c>
      <c r="Z19" s="350">
        <v>133</v>
      </c>
      <c r="AA19" s="350">
        <v>106</v>
      </c>
      <c r="AB19" s="350">
        <v>105</v>
      </c>
      <c r="AC19" s="347">
        <v>753</v>
      </c>
      <c r="AD19" s="350">
        <v>140</v>
      </c>
      <c r="AE19" s="350">
        <v>128</v>
      </c>
      <c r="AF19" s="350">
        <v>132</v>
      </c>
      <c r="AG19" s="350">
        <v>123</v>
      </c>
      <c r="AH19" s="350">
        <v>133</v>
      </c>
      <c r="AI19" s="350">
        <v>94</v>
      </c>
      <c r="AJ19" s="347">
        <v>750</v>
      </c>
      <c r="AK19" s="350">
        <v>128</v>
      </c>
      <c r="AL19" s="350">
        <v>126</v>
      </c>
      <c r="AM19" s="350">
        <v>123</v>
      </c>
      <c r="AN19" s="350">
        <v>143</v>
      </c>
      <c r="AO19" s="350">
        <v>140</v>
      </c>
      <c r="AP19" s="350">
        <v>114</v>
      </c>
      <c r="AQ19" s="347">
        <v>774</v>
      </c>
      <c r="AR19" s="350">
        <v>124</v>
      </c>
      <c r="AS19" s="350">
        <v>125</v>
      </c>
      <c r="AT19" s="350">
        <v>141</v>
      </c>
      <c r="AU19" s="350">
        <v>152</v>
      </c>
      <c r="AV19" s="350">
        <v>138</v>
      </c>
      <c r="AW19" s="350">
        <v>81</v>
      </c>
      <c r="AX19" s="346">
        <v>761</v>
      </c>
      <c r="AY19" s="350">
        <v>126</v>
      </c>
      <c r="AZ19" s="350">
        <v>141</v>
      </c>
      <c r="BA19" s="350">
        <v>152</v>
      </c>
      <c r="BB19" s="350">
        <v>150</v>
      </c>
      <c r="BC19" s="350">
        <v>111</v>
      </c>
      <c r="BD19" s="350">
        <v>109</v>
      </c>
      <c r="BE19" s="346">
        <v>789</v>
      </c>
    </row>
    <row r="20" spans="1:57" ht="13.5" customHeight="1" x14ac:dyDescent="0.25">
      <c r="A20" s="344" t="s">
        <v>108</v>
      </c>
      <c r="B20" s="344">
        <v>174</v>
      </c>
      <c r="C20" s="344">
        <v>138</v>
      </c>
      <c r="D20" s="344">
        <v>113</v>
      </c>
      <c r="E20" s="344">
        <v>130</v>
      </c>
      <c r="F20" s="344">
        <v>102</v>
      </c>
      <c r="G20" s="344">
        <v>63</v>
      </c>
      <c r="H20" s="344">
        <v>720</v>
      </c>
      <c r="I20" s="350">
        <v>141</v>
      </c>
      <c r="J20" s="350">
        <v>106</v>
      </c>
      <c r="K20" s="350">
        <v>139</v>
      </c>
      <c r="L20" s="350">
        <v>114</v>
      </c>
      <c r="M20" s="350">
        <v>100</v>
      </c>
      <c r="N20" s="350">
        <v>76</v>
      </c>
      <c r="O20" s="347">
        <v>676</v>
      </c>
      <c r="P20" s="350">
        <v>110</v>
      </c>
      <c r="Q20" s="350">
        <v>130</v>
      </c>
      <c r="R20" s="350">
        <v>113</v>
      </c>
      <c r="S20" s="350">
        <v>121</v>
      </c>
      <c r="T20" s="350">
        <v>110</v>
      </c>
      <c r="U20" s="350">
        <v>77</v>
      </c>
      <c r="V20" s="347">
        <v>661</v>
      </c>
      <c r="W20" s="350">
        <v>130</v>
      </c>
      <c r="X20" s="350">
        <v>112</v>
      </c>
      <c r="Y20" s="350">
        <v>116</v>
      </c>
      <c r="Z20" s="350">
        <v>130</v>
      </c>
      <c r="AA20" s="350">
        <v>106</v>
      </c>
      <c r="AB20" s="350">
        <v>94</v>
      </c>
      <c r="AC20" s="347">
        <v>688</v>
      </c>
      <c r="AD20" s="350">
        <v>111</v>
      </c>
      <c r="AE20" s="350">
        <v>114</v>
      </c>
      <c r="AF20" s="350">
        <v>132</v>
      </c>
      <c r="AG20" s="350">
        <v>115</v>
      </c>
      <c r="AH20" s="350">
        <v>127</v>
      </c>
      <c r="AI20" s="350">
        <v>89</v>
      </c>
      <c r="AJ20" s="347">
        <v>688</v>
      </c>
      <c r="AK20" s="350">
        <v>112</v>
      </c>
      <c r="AL20" s="350">
        <v>128</v>
      </c>
      <c r="AM20" s="350">
        <v>117</v>
      </c>
      <c r="AN20" s="350">
        <v>131</v>
      </c>
      <c r="AO20" s="350">
        <v>117</v>
      </c>
      <c r="AP20" s="350">
        <v>87</v>
      </c>
      <c r="AQ20" s="347">
        <v>692</v>
      </c>
      <c r="AR20" s="350">
        <v>127</v>
      </c>
      <c r="AS20" s="350">
        <v>109</v>
      </c>
      <c r="AT20" s="350">
        <v>142</v>
      </c>
      <c r="AU20" s="350">
        <v>129</v>
      </c>
      <c r="AV20" s="350">
        <v>109</v>
      </c>
      <c r="AW20" s="350">
        <v>93</v>
      </c>
      <c r="AX20" s="346">
        <v>709</v>
      </c>
      <c r="AY20" s="350">
        <v>115</v>
      </c>
      <c r="AZ20" s="350">
        <v>140</v>
      </c>
      <c r="BA20" s="350">
        <v>131</v>
      </c>
      <c r="BB20" s="350">
        <v>120</v>
      </c>
      <c r="BC20" s="350">
        <v>124</v>
      </c>
      <c r="BD20" s="350">
        <v>99</v>
      </c>
      <c r="BE20" s="346">
        <v>729</v>
      </c>
    </row>
    <row r="21" spans="1:57" ht="13.5" customHeight="1" x14ac:dyDescent="0.25">
      <c r="A21" s="344" t="s">
        <v>109</v>
      </c>
      <c r="B21" s="344">
        <v>138</v>
      </c>
      <c r="C21" s="344">
        <v>140</v>
      </c>
      <c r="D21" s="344">
        <v>135</v>
      </c>
      <c r="E21" s="344">
        <v>138</v>
      </c>
      <c r="F21" s="344">
        <v>118</v>
      </c>
      <c r="G21" s="344">
        <v>96</v>
      </c>
      <c r="H21" s="344">
        <v>765</v>
      </c>
      <c r="I21" s="350">
        <v>139</v>
      </c>
      <c r="J21" s="350">
        <v>139</v>
      </c>
      <c r="K21" s="350">
        <v>136</v>
      </c>
      <c r="L21" s="350">
        <v>129</v>
      </c>
      <c r="M21" s="350">
        <v>120</v>
      </c>
      <c r="N21" s="350">
        <v>109</v>
      </c>
      <c r="O21" s="347">
        <v>772</v>
      </c>
      <c r="P21" s="350">
        <v>138</v>
      </c>
      <c r="Q21" s="350">
        <v>137</v>
      </c>
      <c r="R21" s="350">
        <v>132</v>
      </c>
      <c r="S21" s="350">
        <v>134</v>
      </c>
      <c r="T21" s="350">
        <v>124</v>
      </c>
      <c r="U21" s="350">
        <v>108</v>
      </c>
      <c r="V21" s="347">
        <v>773</v>
      </c>
      <c r="W21" s="350">
        <v>138</v>
      </c>
      <c r="X21" s="350">
        <v>140</v>
      </c>
      <c r="Y21" s="350">
        <v>138</v>
      </c>
      <c r="Z21" s="350">
        <v>137</v>
      </c>
      <c r="AA21" s="350">
        <v>128</v>
      </c>
      <c r="AB21" s="350">
        <v>105</v>
      </c>
      <c r="AC21" s="347">
        <v>786</v>
      </c>
      <c r="AD21" s="350">
        <v>137</v>
      </c>
      <c r="AE21" s="350">
        <v>139</v>
      </c>
      <c r="AF21" s="350">
        <v>142</v>
      </c>
      <c r="AG21" s="350">
        <v>133</v>
      </c>
      <c r="AH21" s="350">
        <v>130</v>
      </c>
      <c r="AI21" s="350">
        <v>96</v>
      </c>
      <c r="AJ21" s="347">
        <v>777</v>
      </c>
      <c r="AK21" s="350">
        <v>137</v>
      </c>
      <c r="AL21" s="350">
        <v>140</v>
      </c>
      <c r="AM21" s="350">
        <v>140</v>
      </c>
      <c r="AN21" s="350">
        <v>131</v>
      </c>
      <c r="AO21" s="350">
        <v>127</v>
      </c>
      <c r="AP21" s="350">
        <v>99</v>
      </c>
      <c r="AQ21" s="347">
        <v>774</v>
      </c>
      <c r="AR21" s="350">
        <v>139</v>
      </c>
      <c r="AS21" s="350">
        <v>140</v>
      </c>
      <c r="AT21" s="350">
        <v>138</v>
      </c>
      <c r="AU21" s="350">
        <v>138</v>
      </c>
      <c r="AV21" s="350">
        <v>118</v>
      </c>
      <c r="AW21" s="350">
        <v>94</v>
      </c>
      <c r="AX21" s="346">
        <v>767</v>
      </c>
      <c r="AY21" s="350">
        <v>140</v>
      </c>
      <c r="AZ21" s="350">
        <v>140</v>
      </c>
      <c r="BA21" s="350">
        <v>141</v>
      </c>
      <c r="BB21" s="350">
        <v>132</v>
      </c>
      <c r="BC21" s="350">
        <v>123</v>
      </c>
      <c r="BD21" s="350">
        <v>87</v>
      </c>
      <c r="BE21" s="346">
        <v>763</v>
      </c>
    </row>
    <row r="22" spans="1:57" ht="13.5" customHeight="1" x14ac:dyDescent="0.25">
      <c r="A22" s="344" t="s">
        <v>110</v>
      </c>
      <c r="B22" s="344">
        <v>219</v>
      </c>
      <c r="C22" s="344">
        <v>216</v>
      </c>
      <c r="D22" s="344">
        <v>220</v>
      </c>
      <c r="E22" s="344">
        <v>217</v>
      </c>
      <c r="F22" s="344">
        <v>218</v>
      </c>
      <c r="G22" s="344">
        <v>178</v>
      </c>
      <c r="H22" s="344">
        <v>1268</v>
      </c>
      <c r="I22" s="350">
        <v>220</v>
      </c>
      <c r="J22" s="350">
        <v>220</v>
      </c>
      <c r="K22" s="350">
        <v>220</v>
      </c>
      <c r="L22" s="350">
        <v>227</v>
      </c>
      <c r="M22" s="350">
        <v>210</v>
      </c>
      <c r="N22" s="350">
        <v>161</v>
      </c>
      <c r="O22" s="347">
        <v>1258</v>
      </c>
      <c r="P22" s="350">
        <v>220</v>
      </c>
      <c r="Q22" s="350">
        <v>218</v>
      </c>
      <c r="R22" s="350">
        <v>219</v>
      </c>
      <c r="S22" s="350">
        <v>216</v>
      </c>
      <c r="T22" s="350">
        <v>196</v>
      </c>
      <c r="U22" s="350">
        <v>184</v>
      </c>
      <c r="V22" s="347">
        <v>1253</v>
      </c>
      <c r="W22" s="350">
        <v>218</v>
      </c>
      <c r="X22" s="350">
        <v>220</v>
      </c>
      <c r="Y22" s="350">
        <v>219</v>
      </c>
      <c r="Z22" s="350">
        <v>203</v>
      </c>
      <c r="AA22" s="350">
        <v>217</v>
      </c>
      <c r="AB22" s="350">
        <v>183</v>
      </c>
      <c r="AC22" s="347">
        <v>1260</v>
      </c>
      <c r="AD22" s="350">
        <v>219</v>
      </c>
      <c r="AE22" s="350">
        <v>219</v>
      </c>
      <c r="AF22" s="350">
        <v>199</v>
      </c>
      <c r="AG22" s="350">
        <v>218</v>
      </c>
      <c r="AH22" s="350">
        <v>207</v>
      </c>
      <c r="AI22" s="350">
        <v>180</v>
      </c>
      <c r="AJ22" s="347">
        <v>1242</v>
      </c>
      <c r="AK22" s="350">
        <v>218</v>
      </c>
      <c r="AL22" s="350">
        <v>200</v>
      </c>
      <c r="AM22" s="350">
        <v>220</v>
      </c>
      <c r="AN22" s="350">
        <v>220</v>
      </c>
      <c r="AO22" s="350">
        <v>208</v>
      </c>
      <c r="AP22" s="350">
        <v>170</v>
      </c>
      <c r="AQ22" s="347">
        <v>1236</v>
      </c>
      <c r="AR22" s="350">
        <v>203</v>
      </c>
      <c r="AS22" s="350">
        <v>217</v>
      </c>
      <c r="AT22" s="350">
        <v>220</v>
      </c>
      <c r="AU22" s="350">
        <v>219</v>
      </c>
      <c r="AV22" s="350">
        <v>197</v>
      </c>
      <c r="AW22" s="350">
        <v>175</v>
      </c>
      <c r="AX22" s="346">
        <v>1231</v>
      </c>
      <c r="AY22" s="350">
        <v>220</v>
      </c>
      <c r="AZ22" s="350">
        <v>220</v>
      </c>
      <c r="BA22" s="350">
        <v>219</v>
      </c>
      <c r="BB22" s="350">
        <v>214</v>
      </c>
      <c r="BC22" s="350">
        <v>205</v>
      </c>
      <c r="BD22" s="350">
        <v>172</v>
      </c>
      <c r="BE22" s="346">
        <v>1250</v>
      </c>
    </row>
    <row r="23" spans="1:57" ht="13.5" customHeight="1" x14ac:dyDescent="0.25">
      <c r="A23" s="344" t="s">
        <v>111</v>
      </c>
      <c r="B23" s="344">
        <v>151</v>
      </c>
      <c r="C23" s="344">
        <v>145</v>
      </c>
      <c r="D23" s="344">
        <v>157</v>
      </c>
      <c r="E23" s="344">
        <v>135</v>
      </c>
      <c r="F23" s="344">
        <v>142</v>
      </c>
      <c r="G23" s="344">
        <v>91</v>
      </c>
      <c r="H23" s="344">
        <v>821</v>
      </c>
      <c r="I23" s="350">
        <v>143</v>
      </c>
      <c r="J23" s="350">
        <v>154</v>
      </c>
      <c r="K23" s="350">
        <v>131</v>
      </c>
      <c r="L23" s="350">
        <v>151</v>
      </c>
      <c r="M23" s="350">
        <v>128</v>
      </c>
      <c r="N23" s="350">
        <v>104</v>
      </c>
      <c r="O23" s="347">
        <v>811</v>
      </c>
      <c r="P23" s="350">
        <v>150</v>
      </c>
      <c r="Q23" s="350">
        <v>128</v>
      </c>
      <c r="R23" s="350">
        <v>151</v>
      </c>
      <c r="S23" s="350">
        <v>151</v>
      </c>
      <c r="T23" s="350">
        <v>136</v>
      </c>
      <c r="U23" s="350">
        <v>95</v>
      </c>
      <c r="V23" s="347">
        <v>811</v>
      </c>
      <c r="W23" s="350">
        <v>121</v>
      </c>
      <c r="X23" s="350">
        <v>148</v>
      </c>
      <c r="Y23" s="350">
        <v>151</v>
      </c>
      <c r="Z23" s="350">
        <v>160</v>
      </c>
      <c r="AA23" s="350">
        <v>117</v>
      </c>
      <c r="AB23" s="350">
        <v>96</v>
      </c>
      <c r="AC23" s="347">
        <v>793</v>
      </c>
      <c r="AD23" s="350">
        <v>146</v>
      </c>
      <c r="AE23" s="350">
        <v>152</v>
      </c>
      <c r="AF23" s="350">
        <v>157</v>
      </c>
      <c r="AG23" s="350">
        <v>134</v>
      </c>
      <c r="AH23" s="350">
        <v>139</v>
      </c>
      <c r="AI23" s="350">
        <v>120</v>
      </c>
      <c r="AJ23" s="347">
        <v>848</v>
      </c>
      <c r="AK23" s="350">
        <v>149</v>
      </c>
      <c r="AL23" s="350">
        <v>155</v>
      </c>
      <c r="AM23" s="350">
        <v>136</v>
      </c>
      <c r="AN23" s="350">
        <v>160</v>
      </c>
      <c r="AO23" s="350">
        <v>144</v>
      </c>
      <c r="AP23" s="350">
        <v>107</v>
      </c>
      <c r="AQ23" s="347">
        <v>851</v>
      </c>
      <c r="AR23" s="350">
        <v>153</v>
      </c>
      <c r="AS23" s="350">
        <v>140</v>
      </c>
      <c r="AT23" s="350">
        <v>165</v>
      </c>
      <c r="AU23" s="350">
        <v>166</v>
      </c>
      <c r="AV23" s="350">
        <v>140</v>
      </c>
      <c r="AW23" s="350">
        <v>115</v>
      </c>
      <c r="AX23" s="346">
        <v>879</v>
      </c>
      <c r="AY23" s="350">
        <v>138</v>
      </c>
      <c r="AZ23" s="350">
        <v>170</v>
      </c>
      <c r="BA23" s="350">
        <v>164</v>
      </c>
      <c r="BB23" s="350">
        <v>159</v>
      </c>
      <c r="BC23" s="350">
        <v>144</v>
      </c>
      <c r="BD23" s="350">
        <v>107</v>
      </c>
      <c r="BE23" s="346">
        <v>882</v>
      </c>
    </row>
    <row r="24" spans="1:57" ht="13.5" customHeight="1" x14ac:dyDescent="0.25">
      <c r="A24" s="344" t="s">
        <v>112</v>
      </c>
      <c r="B24" s="344">
        <v>140</v>
      </c>
      <c r="C24" s="344">
        <v>115</v>
      </c>
      <c r="D24" s="344">
        <v>112</v>
      </c>
      <c r="E24" s="344">
        <v>106</v>
      </c>
      <c r="F24" s="344">
        <v>65</v>
      </c>
      <c r="G24" s="344">
        <v>68</v>
      </c>
      <c r="H24" s="344">
        <v>606</v>
      </c>
      <c r="I24" s="350">
        <v>113</v>
      </c>
      <c r="J24" s="350">
        <v>109</v>
      </c>
      <c r="K24" s="350">
        <v>109</v>
      </c>
      <c r="L24" s="350">
        <v>82</v>
      </c>
      <c r="M24" s="350">
        <v>86</v>
      </c>
      <c r="N24" s="350">
        <v>49</v>
      </c>
      <c r="O24" s="347">
        <v>548</v>
      </c>
      <c r="P24" s="350">
        <v>104</v>
      </c>
      <c r="Q24" s="350">
        <v>101</v>
      </c>
      <c r="R24" s="350">
        <v>83</v>
      </c>
      <c r="S24" s="350">
        <v>113</v>
      </c>
      <c r="T24" s="350">
        <v>65</v>
      </c>
      <c r="U24" s="350">
        <v>41</v>
      </c>
      <c r="V24" s="347">
        <v>507</v>
      </c>
      <c r="W24" s="350">
        <v>103</v>
      </c>
      <c r="X24" s="350">
        <v>82</v>
      </c>
      <c r="Y24" s="350">
        <v>112</v>
      </c>
      <c r="Z24" s="350">
        <v>88</v>
      </c>
      <c r="AA24" s="350">
        <v>69</v>
      </c>
      <c r="AB24" s="350">
        <v>65</v>
      </c>
      <c r="AC24" s="347">
        <v>519</v>
      </c>
      <c r="AD24" s="350">
        <v>83</v>
      </c>
      <c r="AE24" s="350">
        <v>116</v>
      </c>
      <c r="AF24" s="350">
        <v>83</v>
      </c>
      <c r="AG24" s="350">
        <v>91</v>
      </c>
      <c r="AH24" s="350">
        <v>100</v>
      </c>
      <c r="AI24" s="350">
        <v>50</v>
      </c>
      <c r="AJ24" s="347">
        <v>523</v>
      </c>
      <c r="AK24" s="350">
        <v>109</v>
      </c>
      <c r="AL24" s="350">
        <v>79</v>
      </c>
      <c r="AM24" s="350">
        <v>86</v>
      </c>
      <c r="AN24" s="350">
        <v>111</v>
      </c>
      <c r="AO24" s="350">
        <v>80</v>
      </c>
      <c r="AP24" s="350">
        <v>59</v>
      </c>
      <c r="AQ24" s="347">
        <v>524</v>
      </c>
      <c r="AR24" s="350">
        <v>79</v>
      </c>
      <c r="AS24" s="350">
        <v>82</v>
      </c>
      <c r="AT24" s="350">
        <v>107</v>
      </c>
      <c r="AU24" s="350">
        <v>98</v>
      </c>
      <c r="AV24" s="350">
        <v>95</v>
      </c>
      <c r="AW24" s="350">
        <v>69</v>
      </c>
      <c r="AX24" s="346">
        <v>530</v>
      </c>
      <c r="AY24" s="350">
        <v>87</v>
      </c>
      <c r="AZ24" s="350">
        <v>104</v>
      </c>
      <c r="BA24" s="350">
        <v>97</v>
      </c>
      <c r="BB24" s="350">
        <v>109</v>
      </c>
      <c r="BC24" s="350">
        <v>93</v>
      </c>
      <c r="BD24" s="350">
        <v>70</v>
      </c>
      <c r="BE24" s="346">
        <v>560</v>
      </c>
    </row>
    <row r="25" spans="1:57" ht="13.5" customHeight="1" x14ac:dyDescent="0.25">
      <c r="A25" s="344" t="s">
        <v>113</v>
      </c>
      <c r="B25" s="344">
        <v>80</v>
      </c>
      <c r="C25" s="344">
        <v>63</v>
      </c>
      <c r="D25" s="344">
        <v>52</v>
      </c>
      <c r="E25" s="344">
        <v>64</v>
      </c>
      <c r="F25" s="344">
        <v>44</v>
      </c>
      <c r="G25" s="344">
        <v>23</v>
      </c>
      <c r="H25" s="344">
        <v>326</v>
      </c>
      <c r="I25" s="350">
        <v>66</v>
      </c>
      <c r="J25" s="350">
        <v>46</v>
      </c>
      <c r="K25" s="350">
        <v>59</v>
      </c>
      <c r="L25" s="350">
        <v>60</v>
      </c>
      <c r="M25" s="350">
        <v>44</v>
      </c>
      <c r="N25" s="350">
        <v>25</v>
      </c>
      <c r="O25" s="347">
        <v>300</v>
      </c>
      <c r="P25" s="350">
        <v>43</v>
      </c>
      <c r="Q25" s="350">
        <v>59</v>
      </c>
      <c r="R25" s="350">
        <v>56</v>
      </c>
      <c r="S25" s="350">
        <v>55</v>
      </c>
      <c r="T25" s="350">
        <v>38</v>
      </c>
      <c r="U25" s="350">
        <v>22</v>
      </c>
      <c r="V25" s="347">
        <v>273</v>
      </c>
      <c r="W25" s="350">
        <v>58</v>
      </c>
      <c r="X25" s="350">
        <v>53</v>
      </c>
      <c r="Y25" s="350">
        <v>60</v>
      </c>
      <c r="Z25" s="350">
        <v>58</v>
      </c>
      <c r="AA25" s="350">
        <v>32</v>
      </c>
      <c r="AB25" s="350">
        <v>29</v>
      </c>
      <c r="AC25" s="347">
        <v>290</v>
      </c>
      <c r="AD25" s="350">
        <v>45</v>
      </c>
      <c r="AE25" s="350">
        <v>56</v>
      </c>
      <c r="AF25" s="350">
        <v>54</v>
      </c>
      <c r="AG25" s="350">
        <v>50</v>
      </c>
      <c r="AH25" s="350">
        <v>50</v>
      </c>
      <c r="AI25" s="350">
        <v>19</v>
      </c>
      <c r="AJ25" s="347">
        <v>274</v>
      </c>
      <c r="AK25" s="350">
        <v>51</v>
      </c>
      <c r="AL25" s="350">
        <v>43</v>
      </c>
      <c r="AM25" s="350">
        <v>47</v>
      </c>
      <c r="AN25" s="350">
        <v>70</v>
      </c>
      <c r="AO25" s="350">
        <v>50</v>
      </c>
      <c r="AP25" s="350">
        <v>35</v>
      </c>
      <c r="AQ25" s="347">
        <v>296</v>
      </c>
      <c r="AR25" s="350">
        <v>33</v>
      </c>
      <c r="AS25" s="350">
        <v>49</v>
      </c>
      <c r="AT25" s="350">
        <v>65</v>
      </c>
      <c r="AU25" s="350">
        <v>68</v>
      </c>
      <c r="AV25" s="350">
        <v>66</v>
      </c>
      <c r="AW25" s="350">
        <v>22</v>
      </c>
      <c r="AX25" s="346">
        <v>303</v>
      </c>
      <c r="AY25" s="350">
        <v>45</v>
      </c>
      <c r="AZ25" s="350">
        <v>68</v>
      </c>
      <c r="BA25" s="350">
        <v>73</v>
      </c>
      <c r="BB25" s="350">
        <v>81</v>
      </c>
      <c r="BC25" s="350">
        <v>54</v>
      </c>
      <c r="BD25" s="350">
        <v>24</v>
      </c>
      <c r="BE25" s="346">
        <v>345</v>
      </c>
    </row>
    <row r="26" spans="1:57" s="130" customFormat="1" ht="13.5" customHeight="1" x14ac:dyDescent="0.25">
      <c r="A26" s="349" t="s">
        <v>138</v>
      </c>
      <c r="B26" s="349">
        <v>3739</v>
      </c>
      <c r="C26" s="349">
        <v>3524</v>
      </c>
      <c r="D26" s="349">
        <v>3329</v>
      </c>
      <c r="E26" s="349">
        <v>3358</v>
      </c>
      <c r="F26" s="349">
        <v>2858</v>
      </c>
      <c r="G26" s="349">
        <v>2273</v>
      </c>
      <c r="H26" s="349">
        <v>19081</v>
      </c>
      <c r="I26" s="347">
        <v>3508</v>
      </c>
      <c r="J26" s="347">
        <v>3309</v>
      </c>
      <c r="K26" s="347">
        <v>3358</v>
      </c>
      <c r="L26" s="347">
        <v>3202</v>
      </c>
      <c r="M26" s="347">
        <v>2924</v>
      </c>
      <c r="N26" s="347">
        <v>2202</v>
      </c>
      <c r="O26" s="347">
        <v>18503</v>
      </c>
      <c r="P26" s="347">
        <v>3273</v>
      </c>
      <c r="Q26" s="347">
        <v>3317</v>
      </c>
      <c r="R26" s="347">
        <v>3162</v>
      </c>
      <c r="S26" s="347">
        <v>3311</v>
      </c>
      <c r="T26" s="347">
        <v>2869</v>
      </c>
      <c r="U26" s="347">
        <v>2213</v>
      </c>
      <c r="V26" s="347">
        <v>18145</v>
      </c>
      <c r="W26" s="347">
        <v>3286</v>
      </c>
      <c r="X26" s="347">
        <v>3171</v>
      </c>
      <c r="Y26" s="347">
        <v>3289</v>
      </c>
      <c r="Z26" s="347">
        <v>3222</v>
      </c>
      <c r="AA26" s="347">
        <v>2891</v>
      </c>
      <c r="AB26" s="347">
        <v>2304</v>
      </c>
      <c r="AC26" s="347">
        <v>18163</v>
      </c>
      <c r="AD26" s="347">
        <v>3157</v>
      </c>
      <c r="AE26" s="347">
        <v>3304</v>
      </c>
      <c r="AF26" s="347">
        <v>3241</v>
      </c>
      <c r="AG26" s="347">
        <v>3264</v>
      </c>
      <c r="AH26" s="347">
        <v>3022</v>
      </c>
      <c r="AI26" s="347">
        <v>2291</v>
      </c>
      <c r="AJ26" s="347">
        <v>18279</v>
      </c>
      <c r="AK26" s="347">
        <f t="shared" ref="AK26:AX26" si="0">SUM(AK3:AK25)</f>
        <v>3275</v>
      </c>
      <c r="AL26" s="347">
        <f t="shared" si="0"/>
        <v>3215</v>
      </c>
      <c r="AM26" s="347">
        <f t="shared" si="0"/>
        <v>3249</v>
      </c>
      <c r="AN26" s="347">
        <f t="shared" si="0"/>
        <v>3360</v>
      </c>
      <c r="AO26" s="347">
        <f t="shared" si="0"/>
        <v>3000</v>
      </c>
      <c r="AP26" s="347">
        <f t="shared" si="0"/>
        <v>2267</v>
      </c>
      <c r="AQ26" s="347">
        <f t="shared" si="0"/>
        <v>18366</v>
      </c>
      <c r="AR26" s="346">
        <f t="shared" si="0"/>
        <v>3174</v>
      </c>
      <c r="AS26" s="346">
        <f t="shared" si="0"/>
        <v>3232</v>
      </c>
      <c r="AT26" s="346">
        <f t="shared" si="0"/>
        <v>3379</v>
      </c>
      <c r="AU26" s="346">
        <f t="shared" si="0"/>
        <v>3388</v>
      </c>
      <c r="AV26" s="346">
        <f t="shared" si="0"/>
        <v>3058</v>
      </c>
      <c r="AW26" s="346">
        <f t="shared" si="0"/>
        <v>2283</v>
      </c>
      <c r="AX26" s="346">
        <f t="shared" si="0"/>
        <v>18514</v>
      </c>
      <c r="AY26" s="346">
        <v>3229</v>
      </c>
      <c r="AZ26" s="346">
        <v>3371</v>
      </c>
      <c r="BA26" s="346">
        <v>3412</v>
      </c>
      <c r="BB26" s="346">
        <v>3429</v>
      </c>
      <c r="BC26" s="346">
        <v>3054</v>
      </c>
      <c r="BD26" s="346">
        <v>2226</v>
      </c>
      <c r="BE26" s="346">
        <v>18721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L106"/>
  <sheetViews>
    <sheetView workbookViewId="0">
      <selection activeCell="G12" sqref="G12"/>
    </sheetView>
  </sheetViews>
  <sheetFormatPr defaultRowHeight="15" x14ac:dyDescent="0.25"/>
  <cols>
    <col min="1" max="1" width="18" customWidth="1"/>
    <col min="2" max="11" width="6.42578125" style="39" customWidth="1"/>
    <col min="12" max="12" width="6.85546875" style="39" customWidth="1"/>
  </cols>
  <sheetData>
    <row r="1" spans="1:12" x14ac:dyDescent="0.25">
      <c r="A1" s="72" t="s">
        <v>142</v>
      </c>
    </row>
    <row r="2" spans="1:12" x14ac:dyDescent="0.25">
      <c r="A2" s="73" t="s">
        <v>143</v>
      </c>
      <c r="B2" s="74" t="s">
        <v>144</v>
      </c>
      <c r="C2" s="74" t="s">
        <v>145</v>
      </c>
      <c r="D2" s="74" t="s">
        <v>146</v>
      </c>
      <c r="E2" s="74" t="s">
        <v>147</v>
      </c>
      <c r="F2" s="74" t="s">
        <v>148</v>
      </c>
      <c r="G2" s="74" t="s">
        <v>149</v>
      </c>
      <c r="H2" s="74" t="s">
        <v>150</v>
      </c>
      <c r="I2" s="74" t="s">
        <v>151</v>
      </c>
      <c r="J2" s="74" t="s">
        <v>152</v>
      </c>
      <c r="K2" s="74" t="s">
        <v>153</v>
      </c>
    </row>
    <row r="3" spans="1:12" x14ac:dyDescent="0.25">
      <c r="A3" s="72" t="s">
        <v>154</v>
      </c>
      <c r="B3" s="74" t="s">
        <v>145</v>
      </c>
      <c r="C3" s="74" t="s">
        <v>146</v>
      </c>
      <c r="D3" s="74" t="s">
        <v>147</v>
      </c>
      <c r="E3" s="74" t="s">
        <v>148</v>
      </c>
      <c r="F3" s="74" t="s">
        <v>149</v>
      </c>
      <c r="G3" s="74" t="s">
        <v>150</v>
      </c>
      <c r="H3" s="74" t="s">
        <v>151</v>
      </c>
      <c r="I3" s="74" t="s">
        <v>152</v>
      </c>
      <c r="J3" s="74" t="s">
        <v>153</v>
      </c>
      <c r="K3" s="75" t="s">
        <v>155</v>
      </c>
      <c r="L3" s="75" t="s">
        <v>138</v>
      </c>
    </row>
    <row r="4" spans="1:12" x14ac:dyDescent="0.25">
      <c r="A4" s="72" t="s">
        <v>156</v>
      </c>
      <c r="B4" s="74">
        <v>4</v>
      </c>
      <c r="C4" s="74">
        <v>5</v>
      </c>
      <c r="D4" s="74">
        <v>5</v>
      </c>
      <c r="E4" s="74">
        <v>5</v>
      </c>
      <c r="F4" s="74">
        <v>7</v>
      </c>
      <c r="G4" s="74">
        <v>8</v>
      </c>
      <c r="H4" s="74">
        <v>4</v>
      </c>
      <c r="I4" s="74">
        <v>0</v>
      </c>
      <c r="J4" s="74">
        <v>0</v>
      </c>
      <c r="K4" s="74">
        <v>0</v>
      </c>
      <c r="L4" s="76">
        <f>SUM(B4:K4)</f>
        <v>38</v>
      </c>
    </row>
    <row r="5" spans="1:12" x14ac:dyDescent="0.25">
      <c r="A5" s="72" t="s">
        <v>157</v>
      </c>
      <c r="B5" s="74">
        <v>13</v>
      </c>
      <c r="C5" s="74">
        <v>7</v>
      </c>
      <c r="D5" s="74">
        <v>4</v>
      </c>
      <c r="E5" s="74">
        <v>4</v>
      </c>
      <c r="F5" s="74">
        <v>6</v>
      </c>
      <c r="G5" s="74">
        <v>6</v>
      </c>
      <c r="H5" s="74">
        <v>4</v>
      </c>
      <c r="I5" s="74">
        <v>2</v>
      </c>
      <c r="J5" s="74">
        <v>2</v>
      </c>
      <c r="K5" s="74">
        <v>2</v>
      </c>
      <c r="L5" s="54">
        <f t="shared" ref="L5:L25" si="0">SUM(B5:K5)</f>
        <v>50</v>
      </c>
    </row>
    <row r="6" spans="1:12" x14ac:dyDescent="0.25">
      <c r="A6" s="72" t="s">
        <v>158</v>
      </c>
      <c r="B6" s="74">
        <v>2</v>
      </c>
      <c r="C6" s="74">
        <v>2</v>
      </c>
      <c r="D6" s="74">
        <v>6</v>
      </c>
      <c r="E6" s="74">
        <v>4</v>
      </c>
      <c r="F6" s="74">
        <v>5</v>
      </c>
      <c r="G6" s="74">
        <v>6</v>
      </c>
      <c r="H6" s="74">
        <v>5</v>
      </c>
      <c r="I6" s="74">
        <v>5</v>
      </c>
      <c r="J6" s="74">
        <v>5</v>
      </c>
      <c r="K6" s="74">
        <v>5</v>
      </c>
      <c r="L6" s="54">
        <f t="shared" si="0"/>
        <v>45</v>
      </c>
    </row>
    <row r="7" spans="1:12" x14ac:dyDescent="0.25">
      <c r="A7" s="72" t="s">
        <v>159</v>
      </c>
      <c r="B7" s="74">
        <v>18</v>
      </c>
      <c r="C7" s="74">
        <v>25</v>
      </c>
      <c r="D7" s="74">
        <v>34</v>
      </c>
      <c r="E7" s="74">
        <v>32</v>
      </c>
      <c r="F7" s="74">
        <v>39</v>
      </c>
      <c r="G7" s="74">
        <v>24</v>
      </c>
      <c r="H7" s="74">
        <v>19</v>
      </c>
      <c r="I7" s="74">
        <v>15</v>
      </c>
      <c r="J7" s="74">
        <v>15</v>
      </c>
      <c r="K7" s="74">
        <v>15</v>
      </c>
      <c r="L7" s="54">
        <f t="shared" si="0"/>
        <v>236</v>
      </c>
    </row>
    <row r="8" spans="1:12" x14ac:dyDescent="0.25">
      <c r="A8" s="72" t="s">
        <v>160</v>
      </c>
      <c r="B8" s="74">
        <v>6</v>
      </c>
      <c r="C8" s="74">
        <v>15</v>
      </c>
      <c r="D8" s="74">
        <v>12</v>
      </c>
      <c r="E8" s="74">
        <v>19</v>
      </c>
      <c r="F8" s="74">
        <v>28</v>
      </c>
      <c r="G8" s="74">
        <v>22</v>
      </c>
      <c r="H8" s="74">
        <v>27</v>
      </c>
      <c r="I8" s="74">
        <v>27</v>
      </c>
      <c r="J8" s="74">
        <v>27</v>
      </c>
      <c r="K8" s="74">
        <v>27</v>
      </c>
      <c r="L8" s="54">
        <f t="shared" si="0"/>
        <v>210</v>
      </c>
    </row>
    <row r="9" spans="1:12" x14ac:dyDescent="0.25">
      <c r="A9" s="72" t="s">
        <v>161</v>
      </c>
      <c r="B9" s="74">
        <v>3</v>
      </c>
      <c r="C9" s="74">
        <v>3</v>
      </c>
      <c r="D9" s="74">
        <v>7</v>
      </c>
      <c r="E9" s="74">
        <v>12</v>
      </c>
      <c r="F9" s="74">
        <v>14</v>
      </c>
      <c r="G9" s="74">
        <v>10</v>
      </c>
      <c r="H9" s="74">
        <v>10</v>
      </c>
      <c r="I9" s="74">
        <v>8</v>
      </c>
      <c r="J9" s="74">
        <v>7</v>
      </c>
      <c r="K9" s="74">
        <v>3</v>
      </c>
      <c r="L9" s="54">
        <f t="shared" si="0"/>
        <v>77</v>
      </c>
    </row>
    <row r="10" spans="1:12" x14ac:dyDescent="0.25">
      <c r="A10" s="72" t="s">
        <v>162</v>
      </c>
      <c r="B10" s="74">
        <v>0</v>
      </c>
      <c r="C10" s="74">
        <v>9</v>
      </c>
      <c r="D10" s="74">
        <v>7</v>
      </c>
      <c r="E10" s="74">
        <v>5</v>
      </c>
      <c r="F10" s="74">
        <v>4</v>
      </c>
      <c r="G10" s="74">
        <v>4</v>
      </c>
      <c r="H10" s="74">
        <v>4</v>
      </c>
      <c r="I10" s="74">
        <v>3</v>
      </c>
      <c r="J10" s="74">
        <v>0</v>
      </c>
      <c r="K10" s="74">
        <v>0</v>
      </c>
      <c r="L10" s="54">
        <f t="shared" si="0"/>
        <v>36</v>
      </c>
    </row>
    <row r="11" spans="1:12" x14ac:dyDescent="0.25">
      <c r="A11" s="72" t="s">
        <v>163</v>
      </c>
      <c r="B11" s="74">
        <v>1</v>
      </c>
      <c r="C11" s="74">
        <v>7</v>
      </c>
      <c r="D11" s="74">
        <v>8</v>
      </c>
      <c r="E11" s="74">
        <v>10</v>
      </c>
      <c r="F11" s="74">
        <v>10</v>
      </c>
      <c r="G11" s="74">
        <v>3</v>
      </c>
      <c r="H11" s="74">
        <v>1</v>
      </c>
      <c r="I11" s="74">
        <v>1</v>
      </c>
      <c r="J11" s="74">
        <v>1</v>
      </c>
      <c r="K11" s="74">
        <v>1</v>
      </c>
      <c r="L11" s="54">
        <f t="shared" si="0"/>
        <v>43</v>
      </c>
    </row>
    <row r="12" spans="1:12" x14ac:dyDescent="0.25">
      <c r="A12" s="72" t="s">
        <v>164</v>
      </c>
      <c r="B12" s="74">
        <v>5</v>
      </c>
      <c r="C12" s="74">
        <v>5</v>
      </c>
      <c r="D12" s="74">
        <v>2</v>
      </c>
      <c r="E12" s="74">
        <v>0</v>
      </c>
      <c r="F12" s="74">
        <v>0</v>
      </c>
      <c r="G12" s="74">
        <v>0</v>
      </c>
      <c r="H12" s="74">
        <v>0</v>
      </c>
      <c r="I12" s="74">
        <v>0</v>
      </c>
      <c r="J12" s="74">
        <v>0</v>
      </c>
      <c r="K12" s="74">
        <v>0</v>
      </c>
      <c r="L12" s="54">
        <f t="shared" si="0"/>
        <v>12</v>
      </c>
    </row>
    <row r="13" spans="1:12" x14ac:dyDescent="0.25">
      <c r="A13" s="72" t="s">
        <v>165</v>
      </c>
      <c r="B13" s="74">
        <v>0</v>
      </c>
      <c r="C13" s="74">
        <v>0</v>
      </c>
      <c r="D13" s="74">
        <v>1</v>
      </c>
      <c r="E13" s="74">
        <v>3</v>
      </c>
      <c r="F13" s="74">
        <v>3</v>
      </c>
      <c r="G13" s="74">
        <v>3</v>
      </c>
      <c r="H13" s="74">
        <v>3</v>
      </c>
      <c r="I13" s="74">
        <v>3</v>
      </c>
      <c r="J13" s="74">
        <v>3</v>
      </c>
      <c r="K13" s="74">
        <v>0</v>
      </c>
      <c r="L13" s="54">
        <f t="shared" si="0"/>
        <v>19</v>
      </c>
    </row>
    <row r="14" spans="1:12" x14ac:dyDescent="0.25">
      <c r="A14" s="72" t="s">
        <v>166</v>
      </c>
      <c r="B14" s="74">
        <v>4</v>
      </c>
      <c r="C14" s="74">
        <v>4</v>
      </c>
      <c r="D14" s="74">
        <v>6</v>
      </c>
      <c r="E14" s="74">
        <v>8</v>
      </c>
      <c r="F14" s="74">
        <v>10</v>
      </c>
      <c r="G14" s="74">
        <v>13</v>
      </c>
      <c r="H14" s="74">
        <v>11</v>
      </c>
      <c r="I14" s="74">
        <v>11</v>
      </c>
      <c r="J14" s="74">
        <v>3</v>
      </c>
      <c r="K14" s="74">
        <v>0</v>
      </c>
      <c r="L14" s="54">
        <f t="shared" si="0"/>
        <v>70</v>
      </c>
    </row>
    <row r="15" spans="1:12" x14ac:dyDescent="0.25">
      <c r="A15" s="72" t="s">
        <v>167</v>
      </c>
      <c r="B15" s="74">
        <v>5</v>
      </c>
      <c r="C15" s="74">
        <v>10</v>
      </c>
      <c r="D15" s="74">
        <v>13</v>
      </c>
      <c r="E15" s="74">
        <v>12</v>
      </c>
      <c r="F15" s="74">
        <v>15</v>
      </c>
      <c r="G15" s="74">
        <v>15</v>
      </c>
      <c r="H15" s="74">
        <v>7</v>
      </c>
      <c r="I15" s="74">
        <v>7</v>
      </c>
      <c r="J15" s="74">
        <v>7</v>
      </c>
      <c r="K15" s="74">
        <v>7</v>
      </c>
      <c r="L15" s="54">
        <f t="shared" si="0"/>
        <v>98</v>
      </c>
    </row>
    <row r="16" spans="1:12" x14ac:dyDescent="0.25">
      <c r="A16" s="72" t="s">
        <v>168</v>
      </c>
      <c r="B16" s="74">
        <v>3</v>
      </c>
      <c r="C16" s="74">
        <v>3</v>
      </c>
      <c r="D16" s="74">
        <v>3</v>
      </c>
      <c r="E16" s="74">
        <v>4</v>
      </c>
      <c r="F16" s="74">
        <v>3</v>
      </c>
      <c r="G16" s="74">
        <v>2</v>
      </c>
      <c r="H16" s="74">
        <v>1</v>
      </c>
      <c r="I16" s="74">
        <v>0</v>
      </c>
      <c r="J16" s="74">
        <v>0</v>
      </c>
      <c r="K16" s="74">
        <v>0</v>
      </c>
      <c r="L16" s="54">
        <f t="shared" si="0"/>
        <v>19</v>
      </c>
    </row>
    <row r="17" spans="1:12" x14ac:dyDescent="0.25">
      <c r="A17" s="72" t="s">
        <v>169</v>
      </c>
      <c r="B17" s="74">
        <v>2</v>
      </c>
      <c r="C17" s="74">
        <v>2</v>
      </c>
      <c r="D17" s="74">
        <v>2</v>
      </c>
      <c r="E17" s="74">
        <v>1</v>
      </c>
      <c r="F17" s="74">
        <v>1</v>
      </c>
      <c r="G17" s="74">
        <v>1</v>
      </c>
      <c r="H17" s="74">
        <v>1</v>
      </c>
      <c r="I17" s="74">
        <v>1</v>
      </c>
      <c r="J17" s="74">
        <v>1</v>
      </c>
      <c r="K17" s="74">
        <v>1</v>
      </c>
      <c r="L17" s="54">
        <f t="shared" si="0"/>
        <v>13</v>
      </c>
    </row>
    <row r="18" spans="1:12" x14ac:dyDescent="0.25">
      <c r="A18" s="72" t="s">
        <v>170</v>
      </c>
      <c r="B18" s="74">
        <v>1</v>
      </c>
      <c r="C18" s="74">
        <v>7</v>
      </c>
      <c r="D18" s="74">
        <v>12</v>
      </c>
      <c r="E18" s="74">
        <v>20</v>
      </c>
      <c r="F18" s="74">
        <v>35</v>
      </c>
      <c r="G18" s="74">
        <v>28</v>
      </c>
      <c r="H18" s="74">
        <v>25</v>
      </c>
      <c r="I18" s="74">
        <v>10</v>
      </c>
      <c r="J18" s="74">
        <v>10</v>
      </c>
      <c r="K18" s="74">
        <v>10</v>
      </c>
      <c r="L18" s="54">
        <f t="shared" si="0"/>
        <v>158</v>
      </c>
    </row>
    <row r="19" spans="1:12" x14ac:dyDescent="0.25">
      <c r="A19" s="72" t="s">
        <v>171</v>
      </c>
      <c r="B19" s="74">
        <v>1</v>
      </c>
      <c r="C19" s="74">
        <v>0</v>
      </c>
      <c r="D19" s="74">
        <v>3</v>
      </c>
      <c r="E19" s="74">
        <v>3</v>
      </c>
      <c r="F19" s="74">
        <v>6</v>
      </c>
      <c r="G19" s="74">
        <v>0</v>
      </c>
      <c r="H19" s="74">
        <v>0</v>
      </c>
      <c r="I19" s="74">
        <v>0</v>
      </c>
      <c r="J19" s="74">
        <v>0</v>
      </c>
      <c r="K19" s="74">
        <v>0</v>
      </c>
      <c r="L19" s="54">
        <f t="shared" si="0"/>
        <v>13</v>
      </c>
    </row>
    <row r="20" spans="1:12" x14ac:dyDescent="0.25">
      <c r="A20" s="72" t="s">
        <v>172</v>
      </c>
      <c r="B20" s="74">
        <v>21</v>
      </c>
      <c r="C20" s="74">
        <v>27</v>
      </c>
      <c r="D20" s="74">
        <v>16</v>
      </c>
      <c r="E20" s="74">
        <v>16</v>
      </c>
      <c r="F20" s="74">
        <v>14</v>
      </c>
      <c r="G20" s="74">
        <v>7</v>
      </c>
      <c r="H20" s="74">
        <v>4</v>
      </c>
      <c r="I20" s="74">
        <v>4</v>
      </c>
      <c r="J20" s="74">
        <v>4</v>
      </c>
      <c r="K20" s="74">
        <v>4</v>
      </c>
      <c r="L20" s="54">
        <f t="shared" si="0"/>
        <v>117</v>
      </c>
    </row>
    <row r="21" spans="1:12" x14ac:dyDescent="0.25">
      <c r="A21" s="72" t="s">
        <v>173</v>
      </c>
      <c r="B21" s="74">
        <v>0</v>
      </c>
      <c r="C21" s="74">
        <v>0</v>
      </c>
      <c r="D21" s="74">
        <v>4</v>
      </c>
      <c r="E21" s="74">
        <v>7</v>
      </c>
      <c r="F21" s="74">
        <v>14</v>
      </c>
      <c r="G21" s="74">
        <v>14</v>
      </c>
      <c r="H21" s="74">
        <v>14</v>
      </c>
      <c r="I21" s="74">
        <v>14</v>
      </c>
      <c r="J21" s="74">
        <v>14</v>
      </c>
      <c r="K21" s="74">
        <v>4</v>
      </c>
      <c r="L21" s="54">
        <f t="shared" si="0"/>
        <v>85</v>
      </c>
    </row>
    <row r="22" spans="1:12" x14ac:dyDescent="0.25">
      <c r="A22" s="72" t="s">
        <v>174</v>
      </c>
      <c r="B22" s="74">
        <v>1</v>
      </c>
      <c r="C22" s="74">
        <v>1</v>
      </c>
      <c r="D22" s="74">
        <v>4</v>
      </c>
      <c r="E22" s="74">
        <v>5</v>
      </c>
      <c r="F22" s="74">
        <v>5</v>
      </c>
      <c r="G22" s="74">
        <v>5</v>
      </c>
      <c r="H22" s="74">
        <v>3</v>
      </c>
      <c r="I22" s="74">
        <v>2</v>
      </c>
      <c r="J22" s="74">
        <v>1</v>
      </c>
      <c r="K22" s="74">
        <v>1</v>
      </c>
      <c r="L22" s="54">
        <f t="shared" si="0"/>
        <v>28</v>
      </c>
    </row>
    <row r="23" spans="1:12" x14ac:dyDescent="0.25">
      <c r="A23" s="72" t="s">
        <v>175</v>
      </c>
      <c r="B23" s="74">
        <v>2</v>
      </c>
      <c r="C23" s="74">
        <v>1</v>
      </c>
      <c r="D23" s="74">
        <v>3</v>
      </c>
      <c r="E23" s="74">
        <v>2</v>
      </c>
      <c r="F23" s="74">
        <v>2</v>
      </c>
      <c r="G23" s="74">
        <v>2</v>
      </c>
      <c r="H23" s="74">
        <v>0</v>
      </c>
      <c r="I23" s="74">
        <v>0</v>
      </c>
      <c r="J23" s="74">
        <v>0</v>
      </c>
      <c r="K23" s="74">
        <v>0</v>
      </c>
      <c r="L23" s="54">
        <f t="shared" si="0"/>
        <v>12</v>
      </c>
    </row>
    <row r="24" spans="1:12" x14ac:dyDescent="0.25">
      <c r="A24" s="72" t="s">
        <v>176</v>
      </c>
      <c r="B24" s="74">
        <v>0</v>
      </c>
      <c r="C24" s="74">
        <v>2</v>
      </c>
      <c r="D24" s="74">
        <v>3</v>
      </c>
      <c r="E24" s="74">
        <v>4</v>
      </c>
      <c r="F24" s="74">
        <v>4</v>
      </c>
      <c r="G24" s="74">
        <v>1</v>
      </c>
      <c r="H24" s="74">
        <v>1</v>
      </c>
      <c r="I24" s="74">
        <v>0</v>
      </c>
      <c r="J24" s="74">
        <v>0</v>
      </c>
      <c r="K24" s="74">
        <v>0</v>
      </c>
      <c r="L24" s="54">
        <f t="shared" si="0"/>
        <v>15</v>
      </c>
    </row>
    <row r="25" spans="1:12" ht="15.75" thickBot="1" x14ac:dyDescent="0.3">
      <c r="A25" s="77" t="s">
        <v>138</v>
      </c>
      <c r="B25" s="78">
        <f t="shared" ref="B25:K25" si="1">SUM(B4:B24)</f>
        <v>92</v>
      </c>
      <c r="C25" s="78">
        <f t="shared" si="1"/>
        <v>135</v>
      </c>
      <c r="D25" s="78">
        <f t="shared" si="1"/>
        <v>155</v>
      </c>
      <c r="E25" s="78">
        <f t="shared" si="1"/>
        <v>176</v>
      </c>
      <c r="F25" s="78">
        <f t="shared" si="1"/>
        <v>225</v>
      </c>
      <c r="G25" s="78">
        <f t="shared" si="1"/>
        <v>174</v>
      </c>
      <c r="H25" s="78">
        <f t="shared" si="1"/>
        <v>144</v>
      </c>
      <c r="I25" s="78">
        <f t="shared" si="1"/>
        <v>113</v>
      </c>
      <c r="J25" s="78">
        <f t="shared" si="1"/>
        <v>100</v>
      </c>
      <c r="K25" s="78">
        <f t="shared" si="1"/>
        <v>80</v>
      </c>
      <c r="L25" s="78">
        <f t="shared" si="0"/>
        <v>1394</v>
      </c>
    </row>
    <row r="26" spans="1:12" ht="15.75" thickTop="1" x14ac:dyDescent="0.25"/>
    <row r="28" spans="1:12" x14ac:dyDescent="0.25">
      <c r="A28" s="73" t="s">
        <v>177</v>
      </c>
    </row>
    <row r="29" spans="1:12" x14ac:dyDescent="0.25">
      <c r="A29" s="72" t="s">
        <v>154</v>
      </c>
      <c r="B29" s="75" t="s">
        <v>145</v>
      </c>
      <c r="C29" s="75" t="s">
        <v>146</v>
      </c>
      <c r="D29" s="75" t="s">
        <v>147</v>
      </c>
      <c r="E29" s="75" t="s">
        <v>148</v>
      </c>
      <c r="F29" s="75" t="s">
        <v>149</v>
      </c>
      <c r="G29" s="75" t="s">
        <v>150</v>
      </c>
      <c r="H29" s="75" t="s">
        <v>151</v>
      </c>
      <c r="I29" s="75" t="s">
        <v>152</v>
      </c>
      <c r="J29" s="75" t="s">
        <v>153</v>
      </c>
      <c r="K29" s="75" t="s">
        <v>155</v>
      </c>
      <c r="L29" s="75" t="s">
        <v>138</v>
      </c>
    </row>
    <row r="30" spans="1:12" x14ac:dyDescent="0.25">
      <c r="A30" s="79" t="s">
        <v>166</v>
      </c>
      <c r="B30" s="80">
        <v>4</v>
      </c>
      <c r="C30" s="80">
        <v>4</v>
      </c>
      <c r="D30" s="80">
        <v>6</v>
      </c>
      <c r="E30" s="80">
        <v>8</v>
      </c>
      <c r="F30" s="80">
        <v>10</v>
      </c>
      <c r="G30" s="80">
        <v>13</v>
      </c>
      <c r="H30" s="80">
        <v>11</v>
      </c>
      <c r="I30" s="80">
        <v>11</v>
      </c>
      <c r="J30" s="80">
        <v>3</v>
      </c>
      <c r="K30" s="80">
        <v>0</v>
      </c>
      <c r="L30" s="81">
        <f t="shared" ref="L30:L31" si="2">SUM(B30:K30)</f>
        <v>70</v>
      </c>
    </row>
    <row r="31" spans="1:12" x14ac:dyDescent="0.25">
      <c r="A31" s="73" t="s">
        <v>178</v>
      </c>
      <c r="B31" s="82">
        <f>B30*90%</f>
        <v>3.6</v>
      </c>
      <c r="C31" s="82">
        <f t="shared" ref="C31:K31" si="3">C30*90%</f>
        <v>3.6</v>
      </c>
      <c r="D31" s="82">
        <f t="shared" si="3"/>
        <v>5.4</v>
      </c>
      <c r="E31" s="82">
        <f t="shared" si="3"/>
        <v>7.2</v>
      </c>
      <c r="F31" s="82">
        <f t="shared" si="3"/>
        <v>9</v>
      </c>
      <c r="G31" s="82">
        <f t="shared" si="3"/>
        <v>11.700000000000001</v>
      </c>
      <c r="H31" s="82">
        <f t="shared" si="3"/>
        <v>9.9</v>
      </c>
      <c r="I31" s="82">
        <f t="shared" si="3"/>
        <v>9.9</v>
      </c>
      <c r="J31" s="82">
        <f t="shared" si="3"/>
        <v>2.7</v>
      </c>
      <c r="K31" s="82">
        <f t="shared" si="3"/>
        <v>0</v>
      </c>
      <c r="L31" s="83">
        <f t="shared" si="2"/>
        <v>63</v>
      </c>
    </row>
    <row r="32" spans="1:12" x14ac:dyDescent="0.25">
      <c r="A32" s="73" t="s">
        <v>179</v>
      </c>
      <c r="B32" s="82">
        <f>B30*10%</f>
        <v>0.4</v>
      </c>
      <c r="C32" s="82">
        <f t="shared" ref="C32:L32" si="4">C30*10%</f>
        <v>0.4</v>
      </c>
      <c r="D32" s="82">
        <f t="shared" si="4"/>
        <v>0.60000000000000009</v>
      </c>
      <c r="E32" s="82">
        <f t="shared" si="4"/>
        <v>0.8</v>
      </c>
      <c r="F32" s="82">
        <f t="shared" si="4"/>
        <v>1</v>
      </c>
      <c r="G32" s="82">
        <f t="shared" si="4"/>
        <v>1.3</v>
      </c>
      <c r="H32" s="82">
        <f t="shared" si="4"/>
        <v>1.1000000000000001</v>
      </c>
      <c r="I32" s="82">
        <f t="shared" si="4"/>
        <v>1.1000000000000001</v>
      </c>
      <c r="J32" s="82">
        <f t="shared" si="4"/>
        <v>0.30000000000000004</v>
      </c>
      <c r="K32" s="82">
        <f t="shared" si="4"/>
        <v>0</v>
      </c>
      <c r="L32" s="82">
        <f t="shared" si="4"/>
        <v>7</v>
      </c>
    </row>
    <row r="33" spans="1:12" ht="15.75" thickBot="1" x14ac:dyDescent="0.3">
      <c r="A33" s="84" t="s">
        <v>180</v>
      </c>
      <c r="B33" s="78">
        <f t="shared" ref="B33:L33" si="5">SUM(B31:B32)</f>
        <v>4</v>
      </c>
      <c r="C33" s="78">
        <f t="shared" si="5"/>
        <v>4</v>
      </c>
      <c r="D33" s="78">
        <f t="shared" si="5"/>
        <v>6</v>
      </c>
      <c r="E33" s="78">
        <f t="shared" si="5"/>
        <v>8</v>
      </c>
      <c r="F33" s="78">
        <f t="shared" si="5"/>
        <v>10</v>
      </c>
      <c r="G33" s="78">
        <f t="shared" si="5"/>
        <v>13.000000000000002</v>
      </c>
      <c r="H33" s="78">
        <f t="shared" si="5"/>
        <v>11</v>
      </c>
      <c r="I33" s="78">
        <f t="shared" si="5"/>
        <v>11</v>
      </c>
      <c r="J33" s="78">
        <f t="shared" si="5"/>
        <v>3</v>
      </c>
      <c r="K33" s="78">
        <f t="shared" si="5"/>
        <v>0</v>
      </c>
      <c r="L33" s="78">
        <f t="shared" si="5"/>
        <v>70</v>
      </c>
    </row>
    <row r="34" spans="1:12" ht="15.75" thickTop="1" x14ac:dyDescent="0.25"/>
    <row r="35" spans="1:12" x14ac:dyDescent="0.25">
      <c r="A35" s="73" t="s">
        <v>181</v>
      </c>
    </row>
    <row r="37" spans="1:12" x14ac:dyDescent="0.25">
      <c r="A37" s="72" t="s">
        <v>154</v>
      </c>
      <c r="B37" s="74" t="s">
        <v>145</v>
      </c>
      <c r="C37" s="74" t="s">
        <v>146</v>
      </c>
      <c r="D37" s="74" t="s">
        <v>147</v>
      </c>
      <c r="E37" s="74" t="s">
        <v>148</v>
      </c>
      <c r="F37" s="74" t="s">
        <v>149</v>
      </c>
      <c r="G37" s="74" t="s">
        <v>150</v>
      </c>
      <c r="H37" s="74" t="s">
        <v>151</v>
      </c>
      <c r="I37" s="74" t="s">
        <v>152</v>
      </c>
      <c r="J37" s="74" t="s">
        <v>153</v>
      </c>
      <c r="K37" s="75" t="s">
        <v>155</v>
      </c>
      <c r="L37" s="75" t="s">
        <v>138</v>
      </c>
    </row>
    <row r="38" spans="1:12" x14ac:dyDescent="0.25">
      <c r="A38" s="72" t="s">
        <v>156</v>
      </c>
      <c r="B38" s="74">
        <v>4</v>
      </c>
      <c r="C38" s="74">
        <v>5</v>
      </c>
      <c r="D38" s="74">
        <v>5</v>
      </c>
      <c r="E38" s="74">
        <v>5</v>
      </c>
      <c r="F38" s="74">
        <v>7</v>
      </c>
      <c r="G38" s="74">
        <v>8</v>
      </c>
      <c r="H38" s="74">
        <v>4</v>
      </c>
      <c r="I38" s="74">
        <v>0</v>
      </c>
      <c r="J38" s="74">
        <v>0</v>
      </c>
      <c r="K38" s="74">
        <v>0</v>
      </c>
      <c r="L38" s="76">
        <f>SUM(B38:K38)</f>
        <v>38</v>
      </c>
    </row>
    <row r="39" spans="1:12" x14ac:dyDescent="0.25">
      <c r="A39" s="72" t="s">
        <v>157</v>
      </c>
      <c r="B39" s="74">
        <v>13</v>
      </c>
      <c r="C39" s="74">
        <v>7</v>
      </c>
      <c r="D39" s="74">
        <v>4</v>
      </c>
      <c r="E39" s="74">
        <v>4</v>
      </c>
      <c r="F39" s="74">
        <v>6</v>
      </c>
      <c r="G39" s="74">
        <v>6</v>
      </c>
      <c r="H39" s="74">
        <v>4</v>
      </c>
      <c r="I39" s="74">
        <v>2</v>
      </c>
      <c r="J39" s="74">
        <v>2</v>
      </c>
      <c r="K39" s="74">
        <v>2</v>
      </c>
      <c r="L39" s="54">
        <f t="shared" ref="L39:L57" si="6">SUM(B39:K39)</f>
        <v>50</v>
      </c>
    </row>
    <row r="40" spans="1:12" x14ac:dyDescent="0.25">
      <c r="A40" s="72" t="s">
        <v>158</v>
      </c>
      <c r="B40" s="74">
        <v>2</v>
      </c>
      <c r="C40" s="74">
        <v>2</v>
      </c>
      <c r="D40" s="74">
        <v>6</v>
      </c>
      <c r="E40" s="74">
        <v>4</v>
      </c>
      <c r="F40" s="74">
        <v>5</v>
      </c>
      <c r="G40" s="74">
        <v>6</v>
      </c>
      <c r="H40" s="74">
        <v>5</v>
      </c>
      <c r="I40" s="74">
        <v>5</v>
      </c>
      <c r="J40" s="74">
        <v>5</v>
      </c>
      <c r="K40" s="74">
        <v>5</v>
      </c>
      <c r="L40" s="54">
        <f t="shared" si="6"/>
        <v>45</v>
      </c>
    </row>
    <row r="41" spans="1:12" x14ac:dyDescent="0.25">
      <c r="A41" s="72" t="s">
        <v>159</v>
      </c>
      <c r="B41" s="74">
        <v>18</v>
      </c>
      <c r="C41" s="74">
        <v>25</v>
      </c>
      <c r="D41" s="74">
        <v>34</v>
      </c>
      <c r="E41" s="74">
        <v>32</v>
      </c>
      <c r="F41" s="74">
        <v>39</v>
      </c>
      <c r="G41" s="74">
        <v>24</v>
      </c>
      <c r="H41" s="74">
        <v>19</v>
      </c>
      <c r="I41" s="74">
        <v>15</v>
      </c>
      <c r="J41" s="74">
        <v>15</v>
      </c>
      <c r="K41" s="74">
        <v>15</v>
      </c>
      <c r="L41" s="54">
        <f t="shared" si="6"/>
        <v>236</v>
      </c>
    </row>
    <row r="42" spans="1:12" x14ac:dyDescent="0.25">
      <c r="A42" s="72" t="s">
        <v>160</v>
      </c>
      <c r="B42" s="74">
        <v>6</v>
      </c>
      <c r="C42" s="74">
        <v>15</v>
      </c>
      <c r="D42" s="74">
        <v>12</v>
      </c>
      <c r="E42" s="74">
        <v>19</v>
      </c>
      <c r="F42" s="74">
        <v>28</v>
      </c>
      <c r="G42" s="74">
        <v>22</v>
      </c>
      <c r="H42" s="74">
        <v>27</v>
      </c>
      <c r="I42" s="74">
        <v>27</v>
      </c>
      <c r="J42" s="74">
        <v>27</v>
      </c>
      <c r="K42" s="74">
        <v>27</v>
      </c>
      <c r="L42" s="54">
        <f t="shared" si="6"/>
        <v>210</v>
      </c>
    </row>
    <row r="43" spans="1:12" x14ac:dyDescent="0.25">
      <c r="A43" s="72" t="s">
        <v>161</v>
      </c>
      <c r="B43" s="74">
        <v>3</v>
      </c>
      <c r="C43" s="74">
        <v>3</v>
      </c>
      <c r="D43" s="74">
        <v>7</v>
      </c>
      <c r="E43" s="74">
        <v>12</v>
      </c>
      <c r="F43" s="74">
        <v>14</v>
      </c>
      <c r="G43" s="74">
        <v>10</v>
      </c>
      <c r="H43" s="74">
        <v>10</v>
      </c>
      <c r="I43" s="74">
        <v>8</v>
      </c>
      <c r="J43" s="74">
        <v>7</v>
      </c>
      <c r="K43" s="74">
        <v>3</v>
      </c>
      <c r="L43" s="54">
        <f t="shared" si="6"/>
        <v>77</v>
      </c>
    </row>
    <row r="44" spans="1:12" x14ac:dyDescent="0.25">
      <c r="A44" s="72" t="s">
        <v>162</v>
      </c>
      <c r="B44" s="74">
        <v>0</v>
      </c>
      <c r="C44" s="74">
        <v>9</v>
      </c>
      <c r="D44" s="74">
        <v>7</v>
      </c>
      <c r="E44" s="74">
        <v>5</v>
      </c>
      <c r="F44" s="74">
        <v>4</v>
      </c>
      <c r="G44" s="74">
        <v>4</v>
      </c>
      <c r="H44" s="74">
        <v>4</v>
      </c>
      <c r="I44" s="74">
        <v>3</v>
      </c>
      <c r="J44" s="74">
        <v>0</v>
      </c>
      <c r="K44" s="74">
        <v>0</v>
      </c>
      <c r="L44" s="54">
        <f t="shared" si="6"/>
        <v>36</v>
      </c>
    </row>
    <row r="45" spans="1:12" x14ac:dyDescent="0.25">
      <c r="A45" s="72" t="s">
        <v>163</v>
      </c>
      <c r="B45" s="74">
        <v>1</v>
      </c>
      <c r="C45" s="74">
        <v>7</v>
      </c>
      <c r="D45" s="74">
        <v>8</v>
      </c>
      <c r="E45" s="74">
        <v>10</v>
      </c>
      <c r="F45" s="74">
        <v>10</v>
      </c>
      <c r="G45" s="74">
        <v>3</v>
      </c>
      <c r="H45" s="74">
        <v>1</v>
      </c>
      <c r="I45" s="74">
        <v>1</v>
      </c>
      <c r="J45" s="74">
        <v>1</v>
      </c>
      <c r="K45" s="74">
        <v>1</v>
      </c>
      <c r="L45" s="54">
        <f t="shared" si="6"/>
        <v>43</v>
      </c>
    </row>
    <row r="46" spans="1:12" x14ac:dyDescent="0.25">
      <c r="A46" s="72" t="s">
        <v>164</v>
      </c>
      <c r="B46" s="74">
        <v>5</v>
      </c>
      <c r="C46" s="74">
        <v>5</v>
      </c>
      <c r="D46" s="74">
        <v>2</v>
      </c>
      <c r="E46" s="74">
        <v>0</v>
      </c>
      <c r="F46" s="74">
        <v>0</v>
      </c>
      <c r="G46" s="74">
        <v>0</v>
      </c>
      <c r="H46" s="74">
        <v>0</v>
      </c>
      <c r="I46" s="74">
        <v>0</v>
      </c>
      <c r="J46" s="74">
        <v>0</v>
      </c>
      <c r="K46" s="74">
        <v>0</v>
      </c>
      <c r="L46" s="54">
        <f t="shared" si="6"/>
        <v>12</v>
      </c>
    </row>
    <row r="47" spans="1:12" x14ac:dyDescent="0.25">
      <c r="A47" s="72" t="s">
        <v>165</v>
      </c>
      <c r="B47" s="74">
        <v>0</v>
      </c>
      <c r="C47" s="74">
        <v>0</v>
      </c>
      <c r="D47" s="74">
        <v>1</v>
      </c>
      <c r="E47" s="74">
        <v>3</v>
      </c>
      <c r="F47" s="74">
        <v>3</v>
      </c>
      <c r="G47" s="74">
        <v>3</v>
      </c>
      <c r="H47" s="74">
        <v>3</v>
      </c>
      <c r="I47" s="74">
        <v>3</v>
      </c>
      <c r="J47" s="74">
        <v>3</v>
      </c>
      <c r="K47" s="74">
        <v>0</v>
      </c>
      <c r="L47" s="54">
        <f t="shared" si="6"/>
        <v>19</v>
      </c>
    </row>
    <row r="48" spans="1:12" x14ac:dyDescent="0.25">
      <c r="A48" s="79" t="s">
        <v>167</v>
      </c>
      <c r="B48" s="85">
        <f>B15+B31</f>
        <v>8.6</v>
      </c>
      <c r="C48" s="85">
        <f t="shared" ref="C48:K48" si="7">C15+C31</f>
        <v>13.6</v>
      </c>
      <c r="D48" s="85">
        <f t="shared" si="7"/>
        <v>18.399999999999999</v>
      </c>
      <c r="E48" s="85">
        <f t="shared" si="7"/>
        <v>19.2</v>
      </c>
      <c r="F48" s="85">
        <f t="shared" si="7"/>
        <v>24</v>
      </c>
      <c r="G48" s="85">
        <f t="shared" si="7"/>
        <v>26.700000000000003</v>
      </c>
      <c r="H48" s="85">
        <f t="shared" si="7"/>
        <v>16.899999999999999</v>
      </c>
      <c r="I48" s="85">
        <f t="shared" si="7"/>
        <v>16.899999999999999</v>
      </c>
      <c r="J48" s="85">
        <f t="shared" si="7"/>
        <v>9.6999999999999993</v>
      </c>
      <c r="K48" s="85">
        <f t="shared" si="7"/>
        <v>7</v>
      </c>
      <c r="L48" s="81">
        <f t="shared" si="6"/>
        <v>161</v>
      </c>
    </row>
    <row r="49" spans="1:12" x14ac:dyDescent="0.25">
      <c r="A49" s="72" t="s">
        <v>168</v>
      </c>
      <c r="B49" s="74">
        <v>3</v>
      </c>
      <c r="C49" s="74">
        <v>3</v>
      </c>
      <c r="D49" s="74">
        <v>3</v>
      </c>
      <c r="E49" s="74">
        <v>4</v>
      </c>
      <c r="F49" s="74">
        <v>3</v>
      </c>
      <c r="G49" s="74">
        <v>2</v>
      </c>
      <c r="H49" s="74">
        <v>1</v>
      </c>
      <c r="I49" s="74">
        <v>0</v>
      </c>
      <c r="J49" s="74">
        <v>0</v>
      </c>
      <c r="K49" s="74">
        <v>0</v>
      </c>
      <c r="L49" s="54">
        <f t="shared" si="6"/>
        <v>19</v>
      </c>
    </row>
    <row r="50" spans="1:12" x14ac:dyDescent="0.25">
      <c r="A50" s="72" t="s">
        <v>169</v>
      </c>
      <c r="B50" s="74">
        <v>2</v>
      </c>
      <c r="C50" s="74">
        <v>2</v>
      </c>
      <c r="D50" s="74">
        <v>2</v>
      </c>
      <c r="E50" s="74">
        <v>1</v>
      </c>
      <c r="F50" s="74">
        <v>1</v>
      </c>
      <c r="G50" s="74">
        <v>1</v>
      </c>
      <c r="H50" s="74">
        <v>1</v>
      </c>
      <c r="I50" s="74">
        <v>1</v>
      </c>
      <c r="J50" s="74">
        <v>1</v>
      </c>
      <c r="K50" s="74">
        <v>1</v>
      </c>
      <c r="L50" s="54">
        <f t="shared" si="6"/>
        <v>13</v>
      </c>
    </row>
    <row r="51" spans="1:12" x14ac:dyDescent="0.25">
      <c r="A51" s="72" t="s">
        <v>170</v>
      </c>
      <c r="B51" s="86">
        <f>B18+B32</f>
        <v>1.4</v>
      </c>
      <c r="C51" s="86">
        <f t="shared" ref="C51:L51" si="8">C18+C32</f>
        <v>7.4</v>
      </c>
      <c r="D51" s="86">
        <f t="shared" si="8"/>
        <v>12.6</v>
      </c>
      <c r="E51" s="86">
        <f t="shared" si="8"/>
        <v>20.8</v>
      </c>
      <c r="F51" s="86">
        <f t="shared" si="8"/>
        <v>36</v>
      </c>
      <c r="G51" s="86">
        <f t="shared" si="8"/>
        <v>29.3</v>
      </c>
      <c r="H51" s="86">
        <f t="shared" si="8"/>
        <v>26.1</v>
      </c>
      <c r="I51" s="86">
        <f t="shared" si="8"/>
        <v>11.1</v>
      </c>
      <c r="J51" s="86">
        <f t="shared" si="8"/>
        <v>10.3</v>
      </c>
      <c r="K51" s="86">
        <f t="shared" si="8"/>
        <v>10</v>
      </c>
      <c r="L51" s="86">
        <f t="shared" si="8"/>
        <v>165</v>
      </c>
    </row>
    <row r="52" spans="1:12" x14ac:dyDescent="0.25">
      <c r="A52" s="72" t="s">
        <v>171</v>
      </c>
      <c r="B52" s="74">
        <v>1</v>
      </c>
      <c r="C52" s="74">
        <v>0</v>
      </c>
      <c r="D52" s="74">
        <v>3</v>
      </c>
      <c r="E52" s="74">
        <v>3</v>
      </c>
      <c r="F52" s="74">
        <v>6</v>
      </c>
      <c r="G52" s="74">
        <v>0</v>
      </c>
      <c r="H52" s="74">
        <v>0</v>
      </c>
      <c r="I52" s="74">
        <v>0</v>
      </c>
      <c r="J52" s="74">
        <v>0</v>
      </c>
      <c r="K52" s="74">
        <v>0</v>
      </c>
      <c r="L52" s="54">
        <f t="shared" si="6"/>
        <v>13</v>
      </c>
    </row>
    <row r="53" spans="1:12" x14ac:dyDescent="0.25">
      <c r="A53" s="72" t="s">
        <v>172</v>
      </c>
      <c r="B53" s="74">
        <v>21</v>
      </c>
      <c r="C53" s="74">
        <v>27</v>
      </c>
      <c r="D53" s="74">
        <v>16</v>
      </c>
      <c r="E53" s="74">
        <v>16</v>
      </c>
      <c r="F53" s="74">
        <v>14</v>
      </c>
      <c r="G53" s="74">
        <v>7</v>
      </c>
      <c r="H53" s="74">
        <v>4</v>
      </c>
      <c r="I53" s="74">
        <v>4</v>
      </c>
      <c r="J53" s="74">
        <v>4</v>
      </c>
      <c r="K53" s="74">
        <v>4</v>
      </c>
      <c r="L53" s="54">
        <f t="shared" si="6"/>
        <v>117</v>
      </c>
    </row>
    <row r="54" spans="1:12" x14ac:dyDescent="0.25">
      <c r="A54" s="72" t="s">
        <v>173</v>
      </c>
      <c r="B54" s="74">
        <v>0</v>
      </c>
      <c r="C54" s="74">
        <v>0</v>
      </c>
      <c r="D54" s="74">
        <v>4</v>
      </c>
      <c r="E54" s="74">
        <v>7</v>
      </c>
      <c r="F54" s="74">
        <v>14</v>
      </c>
      <c r="G54" s="74">
        <v>14</v>
      </c>
      <c r="H54" s="74">
        <v>14</v>
      </c>
      <c r="I54" s="74">
        <v>14</v>
      </c>
      <c r="J54" s="74">
        <v>14</v>
      </c>
      <c r="K54" s="74">
        <v>4</v>
      </c>
      <c r="L54" s="54">
        <f t="shared" si="6"/>
        <v>85</v>
      </c>
    </row>
    <row r="55" spans="1:12" x14ac:dyDescent="0.25">
      <c r="A55" s="72" t="s">
        <v>174</v>
      </c>
      <c r="B55" s="74">
        <v>1</v>
      </c>
      <c r="C55" s="74">
        <v>1</v>
      </c>
      <c r="D55" s="74">
        <v>4</v>
      </c>
      <c r="E55" s="74">
        <v>5</v>
      </c>
      <c r="F55" s="74">
        <v>5</v>
      </c>
      <c r="G55" s="74">
        <v>5</v>
      </c>
      <c r="H55" s="74">
        <v>3</v>
      </c>
      <c r="I55" s="74">
        <v>2</v>
      </c>
      <c r="J55" s="74">
        <v>1</v>
      </c>
      <c r="K55" s="74">
        <v>1</v>
      </c>
      <c r="L55" s="54">
        <f t="shared" si="6"/>
        <v>28</v>
      </c>
    </row>
    <row r="56" spans="1:12" x14ac:dyDescent="0.25">
      <c r="A56" s="72" t="s">
        <v>175</v>
      </c>
      <c r="B56" s="74">
        <v>2</v>
      </c>
      <c r="C56" s="74">
        <v>1</v>
      </c>
      <c r="D56" s="74">
        <v>3</v>
      </c>
      <c r="E56" s="74">
        <v>2</v>
      </c>
      <c r="F56" s="74">
        <v>2</v>
      </c>
      <c r="G56" s="74">
        <v>2</v>
      </c>
      <c r="H56" s="74">
        <v>0</v>
      </c>
      <c r="I56" s="74">
        <v>0</v>
      </c>
      <c r="J56" s="74">
        <v>0</v>
      </c>
      <c r="K56" s="74">
        <v>0</v>
      </c>
      <c r="L56" s="54">
        <f t="shared" si="6"/>
        <v>12</v>
      </c>
    </row>
    <row r="57" spans="1:12" x14ac:dyDescent="0.25">
      <c r="A57" s="72" t="s">
        <v>176</v>
      </c>
      <c r="B57" s="74">
        <v>0</v>
      </c>
      <c r="C57" s="74">
        <v>2</v>
      </c>
      <c r="D57" s="74">
        <v>3</v>
      </c>
      <c r="E57" s="74">
        <v>4</v>
      </c>
      <c r="F57" s="74">
        <v>4</v>
      </c>
      <c r="G57" s="74">
        <v>1</v>
      </c>
      <c r="H57" s="74">
        <v>1</v>
      </c>
      <c r="I57" s="74">
        <v>0</v>
      </c>
      <c r="J57" s="74">
        <v>0</v>
      </c>
      <c r="K57" s="74">
        <v>0</v>
      </c>
      <c r="L57" s="54">
        <f t="shared" si="6"/>
        <v>15</v>
      </c>
    </row>
    <row r="58" spans="1:12" ht="15.75" thickBot="1" x14ac:dyDescent="0.3">
      <c r="A58" s="87" t="s">
        <v>180</v>
      </c>
      <c r="B58" s="78">
        <f t="shared" ref="B58:L58" si="9">SUM(B38:B57)</f>
        <v>92</v>
      </c>
      <c r="C58" s="78">
        <f t="shared" si="9"/>
        <v>135</v>
      </c>
      <c r="D58" s="78">
        <f t="shared" si="9"/>
        <v>155</v>
      </c>
      <c r="E58" s="78">
        <f t="shared" si="9"/>
        <v>176</v>
      </c>
      <c r="F58" s="78">
        <f t="shared" si="9"/>
        <v>225</v>
      </c>
      <c r="G58" s="78">
        <f t="shared" si="9"/>
        <v>174</v>
      </c>
      <c r="H58" s="78">
        <f t="shared" si="9"/>
        <v>144</v>
      </c>
      <c r="I58" s="78">
        <f t="shared" si="9"/>
        <v>113</v>
      </c>
      <c r="J58" s="78">
        <f t="shared" si="9"/>
        <v>100</v>
      </c>
      <c r="K58" s="78">
        <f t="shared" si="9"/>
        <v>80</v>
      </c>
      <c r="L58" s="78">
        <f t="shared" si="9"/>
        <v>1394</v>
      </c>
    </row>
    <row r="59" spans="1:12" ht="15.75" thickTop="1" x14ac:dyDescent="0.25"/>
    <row r="60" spans="1:12" x14ac:dyDescent="0.25">
      <c r="A60" s="88" t="s">
        <v>182</v>
      </c>
    </row>
    <row r="61" spans="1:12" x14ac:dyDescent="0.25">
      <c r="A61" s="89" t="s">
        <v>183</v>
      </c>
      <c r="B61" s="90" t="s">
        <v>145</v>
      </c>
      <c r="C61" s="90" t="s">
        <v>146</v>
      </c>
      <c r="D61" s="90" t="s">
        <v>147</v>
      </c>
      <c r="E61" s="90" t="s">
        <v>148</v>
      </c>
      <c r="F61" s="90" t="s">
        <v>149</v>
      </c>
      <c r="G61" s="90" t="s">
        <v>150</v>
      </c>
      <c r="H61" s="90" t="s">
        <v>151</v>
      </c>
      <c r="I61" s="90" t="s">
        <v>152</v>
      </c>
      <c r="J61" s="90" t="s">
        <v>153</v>
      </c>
      <c r="K61" s="90" t="s">
        <v>155</v>
      </c>
      <c r="L61" s="90" t="s">
        <v>180</v>
      </c>
    </row>
    <row r="62" spans="1:12" x14ac:dyDescent="0.25">
      <c r="A62" s="89" t="s">
        <v>156</v>
      </c>
      <c r="B62" s="46">
        <v>4</v>
      </c>
      <c r="C62" s="46">
        <f>SUM(B38:C38)</f>
        <v>9</v>
      </c>
      <c r="D62" s="46">
        <f>SUM(B38:D38)</f>
        <v>14</v>
      </c>
      <c r="E62" s="46">
        <f>SUM(B38:E38)</f>
        <v>19</v>
      </c>
      <c r="F62" s="46">
        <f>SUM(B38:F38)</f>
        <v>26</v>
      </c>
      <c r="G62" s="46">
        <f>SUM(B38:G38)</f>
        <v>34</v>
      </c>
      <c r="H62" s="46">
        <f>SUM(B38:H38)</f>
        <v>38</v>
      </c>
      <c r="I62" s="46">
        <f>SUM(B38:I38)</f>
        <v>38</v>
      </c>
      <c r="J62" s="46">
        <f>SUM(B38:I38)</f>
        <v>38</v>
      </c>
      <c r="K62" s="46">
        <f>SUM(B38:K38)</f>
        <v>38</v>
      </c>
      <c r="L62" s="35">
        <f>L38</f>
        <v>38</v>
      </c>
    </row>
    <row r="63" spans="1:12" x14ac:dyDescent="0.25">
      <c r="A63" s="89" t="s">
        <v>157</v>
      </c>
      <c r="B63" s="46">
        <v>13</v>
      </c>
      <c r="C63" s="46">
        <f t="shared" ref="C63:C81" si="10">SUM(B39:C39)</f>
        <v>20</v>
      </c>
      <c r="D63" s="46">
        <f t="shared" ref="D63:D81" si="11">SUM(B39:D39)</f>
        <v>24</v>
      </c>
      <c r="E63" s="46">
        <f t="shared" ref="E63:E81" si="12">SUM(B39:E39)</f>
        <v>28</v>
      </c>
      <c r="F63" s="46">
        <f t="shared" ref="F63:F81" si="13">SUM(B39:F39)</f>
        <v>34</v>
      </c>
      <c r="G63" s="46">
        <f t="shared" ref="G63:G81" si="14">SUM(B39:G39)</f>
        <v>40</v>
      </c>
      <c r="H63" s="46">
        <f t="shared" ref="H63:H81" si="15">SUM(B39:H39)</f>
        <v>44</v>
      </c>
      <c r="I63" s="46">
        <f t="shared" ref="I63:I81" si="16">SUM(B39:I39)</f>
        <v>46</v>
      </c>
      <c r="J63" s="46">
        <f t="shared" ref="J63:J81" si="17">SUM(B39:I39)</f>
        <v>46</v>
      </c>
      <c r="K63" s="46">
        <f t="shared" ref="K63:K81" si="18">SUM(B39:K39)</f>
        <v>50</v>
      </c>
      <c r="L63" s="35">
        <f t="shared" ref="L63:L81" si="19">L39</f>
        <v>50</v>
      </c>
    </row>
    <row r="64" spans="1:12" x14ac:dyDescent="0.25">
      <c r="A64" s="89" t="s">
        <v>158</v>
      </c>
      <c r="B64" s="46">
        <v>2</v>
      </c>
      <c r="C64" s="46">
        <f t="shared" si="10"/>
        <v>4</v>
      </c>
      <c r="D64" s="46">
        <f t="shared" si="11"/>
        <v>10</v>
      </c>
      <c r="E64" s="46">
        <f t="shared" si="12"/>
        <v>14</v>
      </c>
      <c r="F64" s="46">
        <f t="shared" si="13"/>
        <v>19</v>
      </c>
      <c r="G64" s="46">
        <f t="shared" si="14"/>
        <v>25</v>
      </c>
      <c r="H64" s="46">
        <f t="shared" si="15"/>
        <v>30</v>
      </c>
      <c r="I64" s="46">
        <f t="shared" si="16"/>
        <v>35</v>
      </c>
      <c r="J64" s="46">
        <f t="shared" si="17"/>
        <v>35</v>
      </c>
      <c r="K64" s="46">
        <f t="shared" si="18"/>
        <v>45</v>
      </c>
      <c r="L64" s="35">
        <f t="shared" si="19"/>
        <v>45</v>
      </c>
    </row>
    <row r="65" spans="1:12" x14ac:dyDescent="0.25">
      <c r="A65" s="89" t="s">
        <v>159</v>
      </c>
      <c r="B65" s="46">
        <v>18</v>
      </c>
      <c r="C65" s="46">
        <f t="shared" si="10"/>
        <v>43</v>
      </c>
      <c r="D65" s="46">
        <f t="shared" si="11"/>
        <v>77</v>
      </c>
      <c r="E65" s="46">
        <f t="shared" si="12"/>
        <v>109</v>
      </c>
      <c r="F65" s="46">
        <f t="shared" si="13"/>
        <v>148</v>
      </c>
      <c r="G65" s="46">
        <f t="shared" si="14"/>
        <v>172</v>
      </c>
      <c r="H65" s="46">
        <f t="shared" si="15"/>
        <v>191</v>
      </c>
      <c r="I65" s="46">
        <f t="shared" si="16"/>
        <v>206</v>
      </c>
      <c r="J65" s="46">
        <f t="shared" si="17"/>
        <v>206</v>
      </c>
      <c r="K65" s="46">
        <f t="shared" si="18"/>
        <v>236</v>
      </c>
      <c r="L65" s="35">
        <f t="shared" si="19"/>
        <v>236</v>
      </c>
    </row>
    <row r="66" spans="1:12" x14ac:dyDescent="0.25">
      <c r="A66" s="89" t="s">
        <v>160</v>
      </c>
      <c r="B66" s="46">
        <v>6</v>
      </c>
      <c r="C66" s="46">
        <f t="shared" si="10"/>
        <v>21</v>
      </c>
      <c r="D66" s="46">
        <f t="shared" si="11"/>
        <v>33</v>
      </c>
      <c r="E66" s="46">
        <f t="shared" si="12"/>
        <v>52</v>
      </c>
      <c r="F66" s="46">
        <f t="shared" si="13"/>
        <v>80</v>
      </c>
      <c r="G66" s="46">
        <f t="shared" si="14"/>
        <v>102</v>
      </c>
      <c r="H66" s="46">
        <f t="shared" si="15"/>
        <v>129</v>
      </c>
      <c r="I66" s="46">
        <f t="shared" si="16"/>
        <v>156</v>
      </c>
      <c r="J66" s="46">
        <f t="shared" si="17"/>
        <v>156</v>
      </c>
      <c r="K66" s="46">
        <f t="shared" si="18"/>
        <v>210</v>
      </c>
      <c r="L66" s="35">
        <f t="shared" si="19"/>
        <v>210</v>
      </c>
    </row>
    <row r="67" spans="1:12" x14ac:dyDescent="0.25">
      <c r="A67" s="89" t="s">
        <v>161</v>
      </c>
      <c r="B67" s="46">
        <v>3</v>
      </c>
      <c r="C67" s="46">
        <f t="shared" si="10"/>
        <v>6</v>
      </c>
      <c r="D67" s="46">
        <f t="shared" si="11"/>
        <v>13</v>
      </c>
      <c r="E67" s="46">
        <f t="shared" si="12"/>
        <v>25</v>
      </c>
      <c r="F67" s="46">
        <f t="shared" si="13"/>
        <v>39</v>
      </c>
      <c r="G67" s="46">
        <f t="shared" si="14"/>
        <v>49</v>
      </c>
      <c r="H67" s="46">
        <f t="shared" si="15"/>
        <v>59</v>
      </c>
      <c r="I67" s="46">
        <f t="shared" si="16"/>
        <v>67</v>
      </c>
      <c r="J67" s="46">
        <f t="shared" si="17"/>
        <v>67</v>
      </c>
      <c r="K67" s="46">
        <f t="shared" si="18"/>
        <v>77</v>
      </c>
      <c r="L67" s="35">
        <f t="shared" si="19"/>
        <v>77</v>
      </c>
    </row>
    <row r="68" spans="1:12" x14ac:dyDescent="0.25">
      <c r="A68" s="89" t="s">
        <v>162</v>
      </c>
      <c r="B68" s="46">
        <v>0</v>
      </c>
      <c r="C68" s="46">
        <f t="shared" si="10"/>
        <v>9</v>
      </c>
      <c r="D68" s="46">
        <f t="shared" si="11"/>
        <v>16</v>
      </c>
      <c r="E68" s="46">
        <f t="shared" si="12"/>
        <v>21</v>
      </c>
      <c r="F68" s="46">
        <f t="shared" si="13"/>
        <v>25</v>
      </c>
      <c r="G68" s="46">
        <f t="shared" si="14"/>
        <v>29</v>
      </c>
      <c r="H68" s="46">
        <f t="shared" si="15"/>
        <v>33</v>
      </c>
      <c r="I68" s="46">
        <f t="shared" si="16"/>
        <v>36</v>
      </c>
      <c r="J68" s="46">
        <f t="shared" si="17"/>
        <v>36</v>
      </c>
      <c r="K68" s="46">
        <f t="shared" si="18"/>
        <v>36</v>
      </c>
      <c r="L68" s="35">
        <f t="shared" si="19"/>
        <v>36</v>
      </c>
    </row>
    <row r="69" spans="1:12" x14ac:dyDescent="0.25">
      <c r="A69" s="89" t="s">
        <v>163</v>
      </c>
      <c r="B69" s="46">
        <v>1</v>
      </c>
      <c r="C69" s="46">
        <f t="shared" si="10"/>
        <v>8</v>
      </c>
      <c r="D69" s="46">
        <f t="shared" si="11"/>
        <v>16</v>
      </c>
      <c r="E69" s="46">
        <f t="shared" si="12"/>
        <v>26</v>
      </c>
      <c r="F69" s="46">
        <f t="shared" si="13"/>
        <v>36</v>
      </c>
      <c r="G69" s="46">
        <f t="shared" si="14"/>
        <v>39</v>
      </c>
      <c r="H69" s="46">
        <f t="shared" si="15"/>
        <v>40</v>
      </c>
      <c r="I69" s="46">
        <f t="shared" si="16"/>
        <v>41</v>
      </c>
      <c r="J69" s="46">
        <f t="shared" si="17"/>
        <v>41</v>
      </c>
      <c r="K69" s="46">
        <f t="shared" si="18"/>
        <v>43</v>
      </c>
      <c r="L69" s="35">
        <f t="shared" si="19"/>
        <v>43</v>
      </c>
    </row>
    <row r="70" spans="1:12" x14ac:dyDescent="0.25">
      <c r="A70" s="89" t="s">
        <v>164</v>
      </c>
      <c r="B70" s="46">
        <v>5</v>
      </c>
      <c r="C70" s="46">
        <f t="shared" si="10"/>
        <v>10</v>
      </c>
      <c r="D70" s="46">
        <f t="shared" si="11"/>
        <v>12</v>
      </c>
      <c r="E70" s="46">
        <f t="shared" si="12"/>
        <v>12</v>
      </c>
      <c r="F70" s="46">
        <f t="shared" si="13"/>
        <v>12</v>
      </c>
      <c r="G70" s="46">
        <f t="shared" si="14"/>
        <v>12</v>
      </c>
      <c r="H70" s="46">
        <f t="shared" si="15"/>
        <v>12</v>
      </c>
      <c r="I70" s="46">
        <f t="shared" si="16"/>
        <v>12</v>
      </c>
      <c r="J70" s="46">
        <f t="shared" si="17"/>
        <v>12</v>
      </c>
      <c r="K70" s="46">
        <f t="shared" si="18"/>
        <v>12</v>
      </c>
      <c r="L70" s="35">
        <f t="shared" si="19"/>
        <v>12</v>
      </c>
    </row>
    <row r="71" spans="1:12" x14ac:dyDescent="0.25">
      <c r="A71" s="89" t="s">
        <v>165</v>
      </c>
      <c r="B71" s="46">
        <v>0</v>
      </c>
      <c r="C71" s="46">
        <f t="shared" si="10"/>
        <v>0</v>
      </c>
      <c r="D71" s="46">
        <f t="shared" si="11"/>
        <v>1</v>
      </c>
      <c r="E71" s="46">
        <f t="shared" si="12"/>
        <v>4</v>
      </c>
      <c r="F71" s="46">
        <f t="shared" si="13"/>
        <v>7</v>
      </c>
      <c r="G71" s="46">
        <f t="shared" si="14"/>
        <v>10</v>
      </c>
      <c r="H71" s="46">
        <f t="shared" si="15"/>
        <v>13</v>
      </c>
      <c r="I71" s="46">
        <f t="shared" si="16"/>
        <v>16</v>
      </c>
      <c r="J71" s="46">
        <f t="shared" si="17"/>
        <v>16</v>
      </c>
      <c r="K71" s="46">
        <f t="shared" si="18"/>
        <v>19</v>
      </c>
      <c r="L71" s="35">
        <f t="shared" si="19"/>
        <v>19</v>
      </c>
    </row>
    <row r="72" spans="1:12" x14ac:dyDescent="0.25">
      <c r="A72" s="91" t="s">
        <v>167</v>
      </c>
      <c r="B72" s="92">
        <f>B39+B55</f>
        <v>14</v>
      </c>
      <c r="C72" s="46">
        <f t="shared" si="10"/>
        <v>22.2</v>
      </c>
      <c r="D72" s="46">
        <f t="shared" si="11"/>
        <v>40.599999999999994</v>
      </c>
      <c r="E72" s="46">
        <f t="shared" si="12"/>
        <v>59.8</v>
      </c>
      <c r="F72" s="46">
        <f t="shared" si="13"/>
        <v>83.8</v>
      </c>
      <c r="G72" s="46">
        <f>SUM(B48:G48)</f>
        <v>110.5</v>
      </c>
      <c r="H72" s="46">
        <f t="shared" si="15"/>
        <v>127.4</v>
      </c>
      <c r="I72" s="46">
        <f t="shared" si="16"/>
        <v>144.30000000000001</v>
      </c>
      <c r="J72" s="46">
        <f t="shared" si="17"/>
        <v>144.30000000000001</v>
      </c>
      <c r="K72" s="46">
        <f t="shared" si="18"/>
        <v>161</v>
      </c>
      <c r="L72" s="35">
        <f t="shared" si="19"/>
        <v>161</v>
      </c>
    </row>
    <row r="73" spans="1:12" x14ac:dyDescent="0.25">
      <c r="A73" s="89" t="s">
        <v>168</v>
      </c>
      <c r="B73" s="46">
        <v>3</v>
      </c>
      <c r="C73" s="46">
        <f t="shared" si="10"/>
        <v>6</v>
      </c>
      <c r="D73" s="46">
        <f t="shared" si="11"/>
        <v>9</v>
      </c>
      <c r="E73" s="46">
        <f t="shared" si="12"/>
        <v>13</v>
      </c>
      <c r="F73" s="46">
        <f t="shared" si="13"/>
        <v>16</v>
      </c>
      <c r="G73" s="46">
        <f t="shared" si="14"/>
        <v>18</v>
      </c>
      <c r="H73" s="46">
        <f t="shared" si="15"/>
        <v>19</v>
      </c>
      <c r="I73" s="46">
        <f t="shared" si="16"/>
        <v>19</v>
      </c>
      <c r="J73" s="46">
        <f t="shared" si="17"/>
        <v>19</v>
      </c>
      <c r="K73" s="46">
        <f t="shared" si="18"/>
        <v>19</v>
      </c>
      <c r="L73" s="35">
        <f t="shared" si="19"/>
        <v>19</v>
      </c>
    </row>
    <row r="74" spans="1:12" x14ac:dyDescent="0.25">
      <c r="A74" s="89" t="s">
        <v>169</v>
      </c>
      <c r="B74" s="46">
        <v>2</v>
      </c>
      <c r="C74" s="46">
        <f t="shared" si="10"/>
        <v>4</v>
      </c>
      <c r="D74" s="46">
        <f t="shared" si="11"/>
        <v>6</v>
      </c>
      <c r="E74" s="46">
        <f t="shared" si="12"/>
        <v>7</v>
      </c>
      <c r="F74" s="46">
        <f t="shared" si="13"/>
        <v>8</v>
      </c>
      <c r="G74" s="46">
        <f t="shared" si="14"/>
        <v>9</v>
      </c>
      <c r="H74" s="46">
        <f t="shared" si="15"/>
        <v>10</v>
      </c>
      <c r="I74" s="46">
        <f t="shared" si="16"/>
        <v>11</v>
      </c>
      <c r="J74" s="46">
        <f t="shared" si="17"/>
        <v>11</v>
      </c>
      <c r="K74" s="46">
        <f t="shared" si="18"/>
        <v>13</v>
      </c>
      <c r="L74" s="35">
        <f t="shared" si="19"/>
        <v>13</v>
      </c>
    </row>
    <row r="75" spans="1:12" x14ac:dyDescent="0.25">
      <c r="A75" s="89" t="s">
        <v>170</v>
      </c>
      <c r="B75" s="46">
        <f>B42+B56</f>
        <v>8</v>
      </c>
      <c r="C75" s="46">
        <f t="shared" si="10"/>
        <v>8.8000000000000007</v>
      </c>
      <c r="D75" s="46">
        <f t="shared" si="11"/>
        <v>21.4</v>
      </c>
      <c r="E75" s="46">
        <f t="shared" si="12"/>
        <v>42.2</v>
      </c>
      <c r="F75" s="46">
        <f t="shared" si="13"/>
        <v>78.2</v>
      </c>
      <c r="G75" s="46">
        <f t="shared" si="14"/>
        <v>107.5</v>
      </c>
      <c r="H75" s="46">
        <f t="shared" si="15"/>
        <v>133.6</v>
      </c>
      <c r="I75" s="46">
        <f t="shared" si="16"/>
        <v>144.69999999999999</v>
      </c>
      <c r="J75" s="46">
        <f t="shared" si="17"/>
        <v>144.69999999999999</v>
      </c>
      <c r="K75" s="46">
        <f t="shared" si="18"/>
        <v>165</v>
      </c>
      <c r="L75" s="35">
        <f t="shared" si="19"/>
        <v>165</v>
      </c>
    </row>
    <row r="76" spans="1:12" x14ac:dyDescent="0.25">
      <c r="A76" s="89" t="s">
        <v>171</v>
      </c>
      <c r="B76" s="46">
        <v>1</v>
      </c>
      <c r="C76" s="46">
        <f t="shared" si="10"/>
        <v>1</v>
      </c>
      <c r="D76" s="46">
        <f t="shared" si="11"/>
        <v>4</v>
      </c>
      <c r="E76" s="46">
        <f t="shared" si="12"/>
        <v>7</v>
      </c>
      <c r="F76" s="46">
        <f t="shared" si="13"/>
        <v>13</v>
      </c>
      <c r="G76" s="46">
        <f t="shared" si="14"/>
        <v>13</v>
      </c>
      <c r="H76" s="46">
        <f t="shared" si="15"/>
        <v>13</v>
      </c>
      <c r="I76" s="46">
        <f t="shared" si="16"/>
        <v>13</v>
      </c>
      <c r="J76" s="46">
        <f t="shared" si="17"/>
        <v>13</v>
      </c>
      <c r="K76" s="46">
        <f t="shared" si="18"/>
        <v>13</v>
      </c>
      <c r="L76" s="35">
        <f t="shared" si="19"/>
        <v>13</v>
      </c>
    </row>
    <row r="77" spans="1:12" x14ac:dyDescent="0.25">
      <c r="A77" s="89" t="s">
        <v>172</v>
      </c>
      <c r="B77" s="46">
        <v>21</v>
      </c>
      <c r="C77" s="46">
        <f t="shared" si="10"/>
        <v>48</v>
      </c>
      <c r="D77" s="46">
        <f t="shared" si="11"/>
        <v>64</v>
      </c>
      <c r="E77" s="46">
        <f t="shared" si="12"/>
        <v>80</v>
      </c>
      <c r="F77" s="46">
        <f t="shared" si="13"/>
        <v>94</v>
      </c>
      <c r="G77" s="46">
        <f t="shared" si="14"/>
        <v>101</v>
      </c>
      <c r="H77" s="46">
        <f t="shared" si="15"/>
        <v>105</v>
      </c>
      <c r="I77" s="46">
        <f t="shared" si="16"/>
        <v>109</v>
      </c>
      <c r="J77" s="46">
        <f t="shared" si="17"/>
        <v>109</v>
      </c>
      <c r="K77" s="46">
        <f t="shared" si="18"/>
        <v>117</v>
      </c>
      <c r="L77" s="35">
        <f t="shared" si="19"/>
        <v>117</v>
      </c>
    </row>
    <row r="78" spans="1:12" x14ac:dyDescent="0.25">
      <c r="A78" s="89" t="s">
        <v>173</v>
      </c>
      <c r="B78" s="46">
        <v>0</v>
      </c>
      <c r="C78" s="46">
        <f t="shared" si="10"/>
        <v>0</v>
      </c>
      <c r="D78" s="46">
        <f t="shared" si="11"/>
        <v>4</v>
      </c>
      <c r="E78" s="46">
        <f t="shared" si="12"/>
        <v>11</v>
      </c>
      <c r="F78" s="46">
        <f t="shared" si="13"/>
        <v>25</v>
      </c>
      <c r="G78" s="46">
        <f t="shared" si="14"/>
        <v>39</v>
      </c>
      <c r="H78" s="46">
        <f t="shared" si="15"/>
        <v>53</v>
      </c>
      <c r="I78" s="46">
        <f t="shared" si="16"/>
        <v>67</v>
      </c>
      <c r="J78" s="46">
        <f t="shared" si="17"/>
        <v>67</v>
      </c>
      <c r="K78" s="46">
        <f t="shared" si="18"/>
        <v>85</v>
      </c>
      <c r="L78" s="35">
        <f t="shared" si="19"/>
        <v>85</v>
      </c>
    </row>
    <row r="79" spans="1:12" x14ac:dyDescent="0.25">
      <c r="A79" s="89" t="s">
        <v>174</v>
      </c>
      <c r="B79" s="46">
        <v>1</v>
      </c>
      <c r="C79" s="46">
        <f t="shared" si="10"/>
        <v>2</v>
      </c>
      <c r="D79" s="46">
        <f t="shared" si="11"/>
        <v>6</v>
      </c>
      <c r="E79" s="46">
        <f t="shared" si="12"/>
        <v>11</v>
      </c>
      <c r="F79" s="46">
        <f t="shared" si="13"/>
        <v>16</v>
      </c>
      <c r="G79" s="46">
        <f t="shared" si="14"/>
        <v>21</v>
      </c>
      <c r="H79" s="46">
        <f t="shared" si="15"/>
        <v>24</v>
      </c>
      <c r="I79" s="46">
        <f t="shared" si="16"/>
        <v>26</v>
      </c>
      <c r="J79" s="46">
        <f t="shared" si="17"/>
        <v>26</v>
      </c>
      <c r="K79" s="46">
        <f t="shared" si="18"/>
        <v>28</v>
      </c>
      <c r="L79" s="35">
        <f t="shared" si="19"/>
        <v>28</v>
      </c>
    </row>
    <row r="80" spans="1:12" x14ac:dyDescent="0.25">
      <c r="A80" s="89" t="s">
        <v>175</v>
      </c>
      <c r="B80" s="46">
        <v>2</v>
      </c>
      <c r="C80" s="46">
        <f t="shared" si="10"/>
        <v>3</v>
      </c>
      <c r="D80" s="46">
        <f t="shared" si="11"/>
        <v>6</v>
      </c>
      <c r="E80" s="46">
        <f t="shared" si="12"/>
        <v>8</v>
      </c>
      <c r="F80" s="46">
        <f t="shared" si="13"/>
        <v>10</v>
      </c>
      <c r="G80" s="46">
        <f t="shared" si="14"/>
        <v>12</v>
      </c>
      <c r="H80" s="46">
        <f t="shared" si="15"/>
        <v>12</v>
      </c>
      <c r="I80" s="46">
        <f t="shared" si="16"/>
        <v>12</v>
      </c>
      <c r="J80" s="46">
        <f t="shared" si="17"/>
        <v>12</v>
      </c>
      <c r="K80" s="46">
        <f t="shared" si="18"/>
        <v>12</v>
      </c>
      <c r="L80" s="35">
        <f t="shared" si="19"/>
        <v>12</v>
      </c>
    </row>
    <row r="81" spans="1:12" x14ac:dyDescent="0.25">
      <c r="A81" s="89" t="s">
        <v>176</v>
      </c>
      <c r="B81" s="46">
        <v>0</v>
      </c>
      <c r="C81" s="46">
        <f t="shared" si="10"/>
        <v>2</v>
      </c>
      <c r="D81" s="46">
        <f t="shared" si="11"/>
        <v>5</v>
      </c>
      <c r="E81" s="46">
        <f t="shared" si="12"/>
        <v>9</v>
      </c>
      <c r="F81" s="46">
        <f t="shared" si="13"/>
        <v>13</v>
      </c>
      <c r="G81" s="46">
        <f t="shared" si="14"/>
        <v>14</v>
      </c>
      <c r="H81" s="46">
        <f t="shared" si="15"/>
        <v>15</v>
      </c>
      <c r="I81" s="46">
        <f t="shared" si="16"/>
        <v>15</v>
      </c>
      <c r="J81" s="46">
        <f t="shared" si="17"/>
        <v>15</v>
      </c>
      <c r="K81" s="46">
        <f t="shared" si="18"/>
        <v>15</v>
      </c>
      <c r="L81" s="35">
        <f t="shared" si="19"/>
        <v>15</v>
      </c>
    </row>
    <row r="82" spans="1:12" x14ac:dyDescent="0.25">
      <c r="A82" s="93" t="s">
        <v>180</v>
      </c>
      <c r="K82" s="82">
        <f>SUM(K62:K81)</f>
        <v>1394</v>
      </c>
      <c r="L82" s="94">
        <f>SUM(L62:L81)</f>
        <v>1394</v>
      </c>
    </row>
    <row r="85" spans="1:12" x14ac:dyDescent="0.25">
      <c r="A85" s="88" t="s">
        <v>184</v>
      </c>
      <c r="B85" s="82"/>
      <c r="C85" s="82"/>
      <c r="D85" s="82"/>
      <c r="E85" s="82"/>
      <c r="F85" s="82"/>
      <c r="G85" s="82"/>
      <c r="H85" s="82"/>
      <c r="I85" s="82"/>
      <c r="J85" s="82"/>
      <c r="K85" s="82"/>
      <c r="L85" s="82"/>
    </row>
    <row r="86" spans="1:12" x14ac:dyDescent="0.25">
      <c r="A86" s="88" t="s">
        <v>185</v>
      </c>
    </row>
    <row r="87" spans="1:12" x14ac:dyDescent="0.25">
      <c r="A87" s="95" t="s">
        <v>143</v>
      </c>
      <c r="B87" s="47" t="s">
        <v>186</v>
      </c>
      <c r="C87" s="47" t="s">
        <v>145</v>
      </c>
      <c r="D87" s="47" t="s">
        <v>146</v>
      </c>
      <c r="E87" s="47" t="s">
        <v>147</v>
      </c>
      <c r="F87" s="47" t="s">
        <v>148</v>
      </c>
      <c r="G87" s="47" t="s">
        <v>149</v>
      </c>
      <c r="H87" s="47" t="s">
        <v>150</v>
      </c>
      <c r="I87" s="47" t="s">
        <v>151</v>
      </c>
      <c r="J87" s="47" t="s">
        <v>152</v>
      </c>
      <c r="K87" s="47" t="s">
        <v>153</v>
      </c>
      <c r="L87" s="80"/>
    </row>
    <row r="88" spans="1:12" x14ac:dyDescent="0.25">
      <c r="A88" s="89" t="s">
        <v>154</v>
      </c>
      <c r="B88" s="90" t="s">
        <v>145</v>
      </c>
      <c r="C88" s="90" t="s">
        <v>146</v>
      </c>
      <c r="D88" s="90" t="s">
        <v>147</v>
      </c>
      <c r="E88" s="90" t="s">
        <v>148</v>
      </c>
      <c r="F88" s="90" t="s">
        <v>149</v>
      </c>
      <c r="G88" s="90" t="s">
        <v>150</v>
      </c>
      <c r="H88" s="90" t="s">
        <v>151</v>
      </c>
      <c r="I88" s="90" t="s">
        <v>152</v>
      </c>
      <c r="J88" s="90" t="s">
        <v>153</v>
      </c>
      <c r="K88" s="90" t="s">
        <v>155</v>
      </c>
      <c r="L88" s="90" t="s">
        <v>180</v>
      </c>
    </row>
    <row r="89" spans="1:12" x14ac:dyDescent="0.25">
      <c r="A89" s="73" t="s">
        <v>187</v>
      </c>
      <c r="B89" s="82">
        <v>92</v>
      </c>
      <c r="C89" s="82">
        <v>135</v>
      </c>
      <c r="D89" s="82">
        <v>155</v>
      </c>
      <c r="E89" s="82">
        <v>176</v>
      </c>
      <c r="F89" s="82">
        <v>225</v>
      </c>
      <c r="G89" s="82">
        <v>174</v>
      </c>
      <c r="H89" s="82">
        <v>144</v>
      </c>
      <c r="I89" s="82">
        <v>113</v>
      </c>
      <c r="J89" s="82">
        <v>100</v>
      </c>
      <c r="K89" s="82">
        <v>80</v>
      </c>
      <c r="L89" s="82">
        <v>1394</v>
      </c>
    </row>
    <row r="90" spans="1:12" x14ac:dyDescent="0.25">
      <c r="A90" s="96" t="s">
        <v>188</v>
      </c>
      <c r="B90" s="82">
        <v>16</v>
      </c>
      <c r="C90" s="82">
        <v>22</v>
      </c>
      <c r="D90" s="82">
        <v>26</v>
      </c>
      <c r="E90" s="82">
        <v>30</v>
      </c>
      <c r="F90" s="82">
        <v>37</v>
      </c>
      <c r="G90" s="82">
        <v>28</v>
      </c>
      <c r="H90" s="82">
        <v>24</v>
      </c>
      <c r="I90" s="82">
        <v>20</v>
      </c>
      <c r="J90" s="82">
        <v>17</v>
      </c>
      <c r="K90" s="82">
        <v>14</v>
      </c>
      <c r="L90" s="82">
        <v>220</v>
      </c>
    </row>
    <row r="91" spans="1:12" ht="15.75" thickBot="1" x14ac:dyDescent="0.3">
      <c r="A91" s="97" t="s">
        <v>138</v>
      </c>
      <c r="B91" s="98">
        <f t="shared" ref="B91:L91" si="20">SUM(B89:B90)</f>
        <v>108</v>
      </c>
      <c r="C91" s="98">
        <f t="shared" si="20"/>
        <v>157</v>
      </c>
      <c r="D91" s="98">
        <f t="shared" si="20"/>
        <v>181</v>
      </c>
      <c r="E91" s="98">
        <f t="shared" si="20"/>
        <v>206</v>
      </c>
      <c r="F91" s="98">
        <f t="shared" si="20"/>
        <v>262</v>
      </c>
      <c r="G91" s="98">
        <f t="shared" si="20"/>
        <v>202</v>
      </c>
      <c r="H91" s="98">
        <f t="shared" si="20"/>
        <v>168</v>
      </c>
      <c r="I91" s="98">
        <f t="shared" si="20"/>
        <v>133</v>
      </c>
      <c r="J91" s="98">
        <f t="shared" si="20"/>
        <v>117</v>
      </c>
      <c r="K91" s="98">
        <f t="shared" si="20"/>
        <v>94</v>
      </c>
      <c r="L91" s="98">
        <f t="shared" si="20"/>
        <v>1614</v>
      </c>
    </row>
    <row r="92" spans="1:12" ht="15.75" thickTop="1" x14ac:dyDescent="0.25">
      <c r="B92" s="82"/>
      <c r="C92" s="82"/>
      <c r="D92" s="82"/>
      <c r="E92" s="82"/>
      <c r="F92" s="82"/>
      <c r="G92" s="82"/>
      <c r="H92" s="82"/>
      <c r="I92" s="82"/>
      <c r="J92" s="82"/>
      <c r="K92" s="82"/>
      <c r="L92" s="82"/>
    </row>
    <row r="93" spans="1:12" x14ac:dyDescent="0.25">
      <c r="A93" s="73" t="s">
        <v>189</v>
      </c>
      <c r="B93" s="82">
        <f>B91</f>
        <v>108</v>
      </c>
      <c r="C93" s="82">
        <f>SUM(B91:C91)</f>
        <v>265</v>
      </c>
      <c r="D93" s="82">
        <f>SUM(B91:D91)</f>
        <v>446</v>
      </c>
      <c r="E93" s="82">
        <f>SUM(B91:E91)</f>
        <v>652</v>
      </c>
      <c r="F93" s="82">
        <f>SUM(B91:F91)</f>
        <v>914</v>
      </c>
      <c r="G93" s="82">
        <f>SUM(B91:G91)</f>
        <v>1116</v>
      </c>
      <c r="H93" s="82">
        <f>SUM(B91:H91)</f>
        <v>1284</v>
      </c>
      <c r="I93" s="82">
        <f>SUM(B91:I91)</f>
        <v>1417</v>
      </c>
      <c r="J93" s="82">
        <f>SUM(B91:J91)</f>
        <v>1534</v>
      </c>
      <c r="K93" s="82">
        <f>SUM(B91:K91)</f>
        <v>1628</v>
      </c>
      <c r="L93" s="82"/>
    </row>
    <row r="94" spans="1:12" x14ac:dyDescent="0.25">
      <c r="B94" s="82"/>
      <c r="C94" s="82"/>
      <c r="D94" s="82"/>
      <c r="E94" s="82"/>
      <c r="F94" s="82"/>
      <c r="G94" s="82"/>
      <c r="H94" s="82"/>
      <c r="I94" s="82"/>
      <c r="J94" s="82"/>
      <c r="K94" s="82"/>
      <c r="L94" s="82"/>
    </row>
    <row r="95" spans="1:12" x14ac:dyDescent="0.25">
      <c r="B95" s="82"/>
      <c r="C95" s="82"/>
      <c r="D95" s="82"/>
      <c r="E95" s="82"/>
      <c r="F95" s="82"/>
      <c r="G95" s="82"/>
      <c r="H95" s="82"/>
      <c r="I95" s="82"/>
      <c r="J95" s="82"/>
      <c r="K95" s="82"/>
      <c r="L95" s="82"/>
    </row>
    <row r="96" spans="1:12" x14ac:dyDescent="0.25">
      <c r="B96" s="82"/>
      <c r="C96" s="82"/>
      <c r="D96" s="82"/>
      <c r="E96" s="82"/>
      <c r="F96" s="82"/>
      <c r="G96" s="82"/>
      <c r="H96" s="82"/>
      <c r="I96" s="82"/>
      <c r="J96" s="82"/>
      <c r="K96" s="82"/>
      <c r="L96" s="82"/>
    </row>
    <row r="97" spans="2:12" x14ac:dyDescent="0.25">
      <c r="B97" s="82"/>
      <c r="C97" s="82"/>
      <c r="D97" s="82"/>
      <c r="E97" s="82"/>
      <c r="F97" s="82"/>
      <c r="G97" s="82"/>
      <c r="H97" s="82"/>
      <c r="I97" s="82"/>
      <c r="J97" s="82"/>
      <c r="K97" s="82"/>
      <c r="L97" s="82"/>
    </row>
    <row r="98" spans="2:12" x14ac:dyDescent="0.25">
      <c r="B98" s="82"/>
      <c r="C98" s="82"/>
      <c r="D98" s="82"/>
      <c r="E98" s="82"/>
      <c r="F98" s="82"/>
      <c r="G98" s="82"/>
      <c r="H98" s="82"/>
      <c r="I98" s="82"/>
      <c r="J98" s="82"/>
      <c r="K98" s="82"/>
      <c r="L98" s="82"/>
    </row>
    <row r="99" spans="2:12" x14ac:dyDescent="0.25">
      <c r="B99" s="82"/>
      <c r="C99" s="82"/>
      <c r="D99" s="82"/>
      <c r="E99" s="82"/>
      <c r="F99" s="82"/>
      <c r="G99" s="82"/>
      <c r="H99" s="82"/>
      <c r="I99" s="82"/>
      <c r="J99" s="82"/>
      <c r="K99" s="82"/>
      <c r="L99" s="82"/>
    </row>
    <row r="100" spans="2:12" x14ac:dyDescent="0.25">
      <c r="B100" s="82"/>
      <c r="C100" s="82"/>
      <c r="D100" s="82"/>
      <c r="E100" s="82"/>
      <c r="F100" s="82"/>
      <c r="G100" s="82"/>
      <c r="H100" s="82"/>
      <c r="I100" s="82"/>
      <c r="J100" s="82"/>
      <c r="K100" s="82"/>
      <c r="L100" s="82"/>
    </row>
    <row r="101" spans="2:12" x14ac:dyDescent="0.25">
      <c r="B101" s="82"/>
      <c r="C101" s="82"/>
      <c r="D101" s="82"/>
      <c r="E101" s="82"/>
      <c r="F101" s="82"/>
      <c r="G101" s="82"/>
      <c r="H101" s="82"/>
      <c r="I101" s="82"/>
      <c r="J101" s="82"/>
      <c r="K101" s="82"/>
      <c r="L101" s="82"/>
    </row>
    <row r="102" spans="2:12" x14ac:dyDescent="0.25">
      <c r="B102" s="82"/>
      <c r="C102" s="82"/>
      <c r="D102" s="82"/>
      <c r="E102" s="82"/>
      <c r="F102" s="82"/>
      <c r="G102" s="82"/>
      <c r="H102" s="82"/>
      <c r="I102" s="82"/>
      <c r="J102" s="82"/>
      <c r="K102" s="82"/>
      <c r="L102" s="82"/>
    </row>
    <row r="103" spans="2:12" x14ac:dyDescent="0.25">
      <c r="B103" s="82"/>
      <c r="C103" s="82"/>
      <c r="D103" s="82"/>
      <c r="E103" s="82"/>
      <c r="F103" s="82"/>
      <c r="G103" s="82"/>
      <c r="H103" s="82"/>
      <c r="I103" s="82"/>
      <c r="J103" s="82"/>
      <c r="K103" s="82"/>
    </row>
    <row r="104" spans="2:12" x14ac:dyDescent="0.25">
      <c r="B104" s="82"/>
      <c r="C104" s="82"/>
    </row>
    <row r="105" spans="2:12" x14ac:dyDescent="0.25">
      <c r="B105" s="82"/>
      <c r="C105" s="82"/>
    </row>
    <row r="106" spans="2:12" x14ac:dyDescent="0.25">
      <c r="B106" s="82"/>
      <c r="C106" s="82"/>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L16"/>
  <sheetViews>
    <sheetView workbookViewId="0">
      <selection activeCell="D13" sqref="D13"/>
    </sheetView>
  </sheetViews>
  <sheetFormatPr defaultRowHeight="15" x14ac:dyDescent="0.25"/>
  <cols>
    <col min="1" max="1" width="18.5703125" customWidth="1"/>
  </cols>
  <sheetData>
    <row r="1" spans="1:12" x14ac:dyDescent="0.25">
      <c r="A1" s="72" t="s">
        <v>262</v>
      </c>
    </row>
    <row r="2" spans="1:12" x14ac:dyDescent="0.25">
      <c r="B2" s="144" t="s">
        <v>263</v>
      </c>
      <c r="C2" s="144" t="s">
        <v>264</v>
      </c>
      <c r="D2" s="144" t="s">
        <v>265</v>
      </c>
      <c r="E2" s="144" t="s">
        <v>266</v>
      </c>
      <c r="F2" s="144" t="s">
        <v>267</v>
      </c>
      <c r="G2" s="144" t="s">
        <v>268</v>
      </c>
      <c r="H2" s="144" t="s">
        <v>269</v>
      </c>
      <c r="I2" s="144" t="s">
        <v>270</v>
      </c>
      <c r="J2" s="144" t="s">
        <v>271</v>
      </c>
      <c r="K2" s="144" t="s">
        <v>272</v>
      </c>
    </row>
    <row r="3" spans="1:12" x14ac:dyDescent="0.25">
      <c r="A3" s="145" t="s">
        <v>273</v>
      </c>
      <c r="B3" s="146" t="s">
        <v>144</v>
      </c>
      <c r="C3" s="146" t="s">
        <v>145</v>
      </c>
      <c r="D3" s="146" t="s">
        <v>146</v>
      </c>
      <c r="E3" s="146" t="s">
        <v>147</v>
      </c>
      <c r="F3" s="146" t="s">
        <v>148</v>
      </c>
      <c r="G3" s="146" t="s">
        <v>149</v>
      </c>
      <c r="H3" s="146" t="s">
        <v>150</v>
      </c>
      <c r="I3" s="146" t="s">
        <v>151</v>
      </c>
      <c r="J3" s="146" t="s">
        <v>152</v>
      </c>
      <c r="K3" s="146" t="s">
        <v>153</v>
      </c>
      <c r="L3" s="146" t="s">
        <v>138</v>
      </c>
    </row>
    <row r="4" spans="1:12" x14ac:dyDescent="0.25">
      <c r="A4" s="145" t="s">
        <v>274</v>
      </c>
      <c r="B4" s="147" t="s">
        <v>145</v>
      </c>
      <c r="C4" s="147" t="s">
        <v>146</v>
      </c>
      <c r="D4" s="147" t="s">
        <v>147</v>
      </c>
      <c r="E4" s="147" t="s">
        <v>148</v>
      </c>
      <c r="F4" s="147" t="s">
        <v>149</v>
      </c>
      <c r="G4" s="147" t="s">
        <v>150</v>
      </c>
      <c r="H4" s="147" t="s">
        <v>151</v>
      </c>
      <c r="I4" s="147" t="s">
        <v>152</v>
      </c>
      <c r="J4" s="147" t="s">
        <v>153</v>
      </c>
      <c r="K4" s="147" t="s">
        <v>155</v>
      </c>
      <c r="L4" s="146"/>
    </row>
    <row r="5" spans="1:12" x14ac:dyDescent="0.25">
      <c r="A5" s="148" t="s">
        <v>275</v>
      </c>
      <c r="B5" s="144">
        <v>5</v>
      </c>
      <c r="C5" s="144">
        <v>9</v>
      </c>
      <c r="D5" s="144">
        <v>13</v>
      </c>
      <c r="E5" s="144">
        <v>14</v>
      </c>
      <c r="F5" s="144">
        <v>19</v>
      </c>
      <c r="G5" s="144">
        <v>15</v>
      </c>
      <c r="H5" s="144">
        <v>11</v>
      </c>
      <c r="I5" s="144">
        <v>8</v>
      </c>
      <c r="J5" s="144">
        <v>6</v>
      </c>
      <c r="K5" s="144">
        <v>6</v>
      </c>
      <c r="L5">
        <f>SUM(B5:K5)</f>
        <v>106</v>
      </c>
    </row>
    <row r="6" spans="1:12" x14ac:dyDescent="0.25">
      <c r="A6" s="148" t="s">
        <v>276</v>
      </c>
      <c r="B6" s="144">
        <v>7</v>
      </c>
      <c r="C6" s="144">
        <v>10</v>
      </c>
      <c r="D6" s="144">
        <v>11</v>
      </c>
      <c r="E6" s="144">
        <v>14</v>
      </c>
      <c r="F6" s="144">
        <v>15</v>
      </c>
      <c r="G6" s="144">
        <v>11</v>
      </c>
      <c r="H6" s="144">
        <v>12</v>
      </c>
      <c r="I6" s="144">
        <v>11</v>
      </c>
      <c r="J6" s="144">
        <v>11</v>
      </c>
      <c r="K6" s="144">
        <v>8</v>
      </c>
      <c r="L6">
        <f>SUM(B6:K6)</f>
        <v>110</v>
      </c>
    </row>
    <row r="7" spans="1:12" x14ac:dyDescent="0.25">
      <c r="A7" s="148" t="s">
        <v>277</v>
      </c>
      <c r="B7" s="144">
        <v>4</v>
      </c>
      <c r="C7" s="144">
        <v>3</v>
      </c>
      <c r="D7" s="144">
        <v>2</v>
      </c>
      <c r="E7" s="144">
        <v>2</v>
      </c>
      <c r="F7" s="144">
        <v>3</v>
      </c>
      <c r="G7" s="144">
        <v>2</v>
      </c>
      <c r="H7" s="144">
        <v>1</v>
      </c>
      <c r="I7" s="144">
        <v>1</v>
      </c>
      <c r="J7" s="144">
        <v>0</v>
      </c>
      <c r="K7" s="144">
        <v>0</v>
      </c>
      <c r="L7">
        <f>SUM(B7:K7)</f>
        <v>18</v>
      </c>
    </row>
    <row r="8" spans="1:12" x14ac:dyDescent="0.25">
      <c r="A8" s="148" t="s">
        <v>138</v>
      </c>
      <c r="B8" s="144">
        <v>16</v>
      </c>
      <c r="C8" s="144">
        <v>23</v>
      </c>
      <c r="D8" s="144">
        <v>26</v>
      </c>
      <c r="E8" s="144">
        <v>30</v>
      </c>
      <c r="F8" s="144">
        <v>37</v>
      </c>
      <c r="G8" s="144">
        <v>28</v>
      </c>
      <c r="H8" s="144">
        <v>24</v>
      </c>
      <c r="I8" s="144">
        <v>20</v>
      </c>
      <c r="J8" s="144">
        <v>17</v>
      </c>
      <c r="K8" s="144">
        <v>14</v>
      </c>
      <c r="L8">
        <f>SUM(B8:K8)</f>
        <v>235</v>
      </c>
    </row>
    <row r="10" spans="1:12" x14ac:dyDescent="0.25">
      <c r="A10" s="148" t="s">
        <v>182</v>
      </c>
      <c r="B10" s="146" t="s">
        <v>144</v>
      </c>
      <c r="C10" s="146" t="s">
        <v>145</v>
      </c>
      <c r="D10" s="146" t="s">
        <v>146</v>
      </c>
      <c r="E10" s="146" t="s">
        <v>147</v>
      </c>
      <c r="F10" s="146" t="s">
        <v>148</v>
      </c>
      <c r="G10" s="146" t="s">
        <v>149</v>
      </c>
      <c r="H10" s="146" t="s">
        <v>150</v>
      </c>
      <c r="I10" s="146" t="s">
        <v>151</v>
      </c>
      <c r="J10" s="146" t="s">
        <v>152</v>
      </c>
      <c r="K10" s="146" t="s">
        <v>153</v>
      </c>
      <c r="L10" s="146" t="s">
        <v>138</v>
      </c>
    </row>
    <row r="11" spans="1:12" x14ac:dyDescent="0.25">
      <c r="A11" s="145" t="s">
        <v>274</v>
      </c>
      <c r="B11" s="147" t="s">
        <v>145</v>
      </c>
      <c r="C11" s="147" t="s">
        <v>146</v>
      </c>
      <c r="D11" s="147" t="s">
        <v>147</v>
      </c>
      <c r="E11" s="147" t="s">
        <v>148</v>
      </c>
      <c r="F11" s="147" t="s">
        <v>149</v>
      </c>
      <c r="G11" s="147" t="s">
        <v>150</v>
      </c>
      <c r="H11" s="147" t="s">
        <v>151</v>
      </c>
      <c r="I11" s="147" t="s">
        <v>152</v>
      </c>
      <c r="J11" s="147" t="s">
        <v>153</v>
      </c>
      <c r="K11" s="147" t="s">
        <v>155</v>
      </c>
      <c r="L11" s="146"/>
    </row>
    <row r="12" spans="1:12" x14ac:dyDescent="0.25">
      <c r="A12" s="148" t="s">
        <v>275</v>
      </c>
      <c r="B12" s="52">
        <f>B5</f>
        <v>5</v>
      </c>
      <c r="C12" s="52">
        <f>B5+C5</f>
        <v>14</v>
      </c>
      <c r="D12" s="52">
        <f>SUM(B5:D5)</f>
        <v>27</v>
      </c>
      <c r="E12" s="52">
        <f>SUM(B5:E5)</f>
        <v>41</v>
      </c>
      <c r="F12" s="52">
        <f>SUM(B5:F5)</f>
        <v>60</v>
      </c>
      <c r="G12" s="52">
        <f>SUM(B5:G5)</f>
        <v>75</v>
      </c>
      <c r="H12" s="52">
        <f>SUM(B5:H5)</f>
        <v>86</v>
      </c>
      <c r="I12" s="52">
        <f>SUM(B5:I5)</f>
        <v>94</v>
      </c>
      <c r="J12" s="52">
        <f>SUM(B5:J5)</f>
        <v>100</v>
      </c>
      <c r="K12" s="52">
        <f>SUM(B5:K5)</f>
        <v>106</v>
      </c>
      <c r="L12" s="52">
        <f>SUM(K12)</f>
        <v>106</v>
      </c>
    </row>
    <row r="13" spans="1:12" x14ac:dyDescent="0.25">
      <c r="A13" s="148" t="s">
        <v>276</v>
      </c>
      <c r="B13" s="52">
        <f>B6</f>
        <v>7</v>
      </c>
      <c r="C13" s="52">
        <f>B6+C6</f>
        <v>17</v>
      </c>
      <c r="D13" s="52">
        <f>SUM(B6:D6)</f>
        <v>28</v>
      </c>
      <c r="E13" s="52">
        <f>SUM(B6:E6)</f>
        <v>42</v>
      </c>
      <c r="F13" s="52">
        <f>SUM(B6:F6)</f>
        <v>57</v>
      </c>
      <c r="G13" s="52">
        <f>SUM(B6:G6)</f>
        <v>68</v>
      </c>
      <c r="H13" s="52">
        <f>SUM(B6:H6)</f>
        <v>80</v>
      </c>
      <c r="I13" s="52">
        <f>SUM(B6:I6)</f>
        <v>91</v>
      </c>
      <c r="J13" s="52">
        <f>SUM(B6:J6)</f>
        <v>102</v>
      </c>
      <c r="K13" s="52">
        <f t="shared" ref="K13:K14" si="0">SUM(B6:K6)</f>
        <v>110</v>
      </c>
      <c r="L13" s="52">
        <f>SUM(K13)</f>
        <v>110</v>
      </c>
    </row>
    <row r="14" spans="1:12" x14ac:dyDescent="0.25">
      <c r="A14" s="148" t="s">
        <v>277</v>
      </c>
      <c r="B14" s="52">
        <f>B7</f>
        <v>4</v>
      </c>
      <c r="C14" s="52">
        <f>B7+C7</f>
        <v>7</v>
      </c>
      <c r="D14" s="52">
        <f>SUM(B7:D7)</f>
        <v>9</v>
      </c>
      <c r="E14" s="52">
        <f>SUM(B7:E7)</f>
        <v>11</v>
      </c>
      <c r="F14" s="52">
        <f>SUM(B7:F7)</f>
        <v>14</v>
      </c>
      <c r="G14" s="52">
        <f>SUM(B7:G7)</f>
        <v>16</v>
      </c>
      <c r="H14" s="52">
        <f>SUM(B7:H7)</f>
        <v>17</v>
      </c>
      <c r="I14" s="52">
        <f>SUM(B7:I7)</f>
        <v>18</v>
      </c>
      <c r="J14" s="52">
        <f>SUM(B7:J7)</f>
        <v>18</v>
      </c>
      <c r="K14" s="52">
        <f t="shared" si="0"/>
        <v>18</v>
      </c>
      <c r="L14" s="52">
        <f>SUM(K14)</f>
        <v>18</v>
      </c>
    </row>
    <row r="15" spans="1:12" ht="15.75" thickBot="1" x14ac:dyDescent="0.3">
      <c r="A15" s="149" t="s">
        <v>138</v>
      </c>
      <c r="B15" s="150">
        <f t="shared" ref="B15:K15" si="1">SUM(B12:B14)</f>
        <v>16</v>
      </c>
      <c r="C15" s="150">
        <f t="shared" si="1"/>
        <v>38</v>
      </c>
      <c r="D15" s="150">
        <f t="shared" si="1"/>
        <v>64</v>
      </c>
      <c r="E15" s="150">
        <f t="shared" si="1"/>
        <v>94</v>
      </c>
      <c r="F15" s="150">
        <f t="shared" si="1"/>
        <v>131</v>
      </c>
      <c r="G15" s="150">
        <f t="shared" si="1"/>
        <v>159</v>
      </c>
      <c r="H15" s="150">
        <f t="shared" si="1"/>
        <v>183</v>
      </c>
      <c r="I15" s="150">
        <f t="shared" si="1"/>
        <v>203</v>
      </c>
      <c r="J15" s="150">
        <f t="shared" si="1"/>
        <v>220</v>
      </c>
      <c r="K15" s="150">
        <f t="shared" si="1"/>
        <v>234</v>
      </c>
      <c r="L15" s="150">
        <f>SUM(L12:L14)</f>
        <v>234</v>
      </c>
    </row>
    <row r="16" spans="1:12" ht="15.75" thickTop="1" x14ac:dyDescent="0.25"/>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D52"/>
  <sheetViews>
    <sheetView zoomScale="80" workbookViewId="0">
      <selection activeCell="W15" sqref="W15"/>
    </sheetView>
  </sheetViews>
  <sheetFormatPr defaultRowHeight="12.75" x14ac:dyDescent="0.2"/>
  <cols>
    <col min="1" max="1" width="23.7109375" style="202" bestFit="1" customWidth="1"/>
    <col min="2" max="2" width="9.42578125" style="204" bestFit="1" customWidth="1"/>
    <col min="3" max="13" width="6.28515625" style="198" customWidth="1"/>
    <col min="14" max="18" width="6.28515625" style="203" customWidth="1"/>
    <col min="19" max="27" width="6.5703125" style="198" bestFit="1" customWidth="1"/>
    <col min="28" max="246" width="9.140625" style="198"/>
    <col min="247" max="247" width="23.7109375" style="198" bestFit="1" customWidth="1"/>
    <col min="248" max="274" width="6.28515625" style="198" customWidth="1"/>
    <col min="275" max="278" width="5.5703125" style="198" bestFit="1" customWidth="1"/>
    <col min="279" max="502" width="9.140625" style="198"/>
    <col min="503" max="503" width="23.7109375" style="198" bestFit="1" customWidth="1"/>
    <col min="504" max="530" width="6.28515625" style="198" customWidth="1"/>
    <col min="531" max="534" width="5.5703125" style="198" bestFit="1" customWidth="1"/>
    <col min="535" max="758" width="9.140625" style="198"/>
    <col min="759" max="759" width="23.7109375" style="198" bestFit="1" customWidth="1"/>
    <col min="760" max="786" width="6.28515625" style="198" customWidth="1"/>
    <col min="787" max="790" width="5.5703125" style="198" bestFit="1" customWidth="1"/>
    <col min="791" max="1014" width="9.140625" style="198"/>
    <col min="1015" max="1015" width="23.7109375" style="198" bestFit="1" customWidth="1"/>
    <col min="1016" max="1042" width="6.28515625" style="198" customWidth="1"/>
    <col min="1043" max="1046" width="5.5703125" style="198" bestFit="1" customWidth="1"/>
    <col min="1047" max="1270" width="9.140625" style="198"/>
    <col min="1271" max="1271" width="23.7109375" style="198" bestFit="1" customWidth="1"/>
    <col min="1272" max="1298" width="6.28515625" style="198" customWidth="1"/>
    <col min="1299" max="1302" width="5.5703125" style="198" bestFit="1" customWidth="1"/>
    <col min="1303" max="1526" width="9.140625" style="198"/>
    <col min="1527" max="1527" width="23.7109375" style="198" bestFit="1" customWidth="1"/>
    <col min="1528" max="1554" width="6.28515625" style="198" customWidth="1"/>
    <col min="1555" max="1558" width="5.5703125" style="198" bestFit="1" customWidth="1"/>
    <col min="1559" max="1782" width="9.140625" style="198"/>
    <col min="1783" max="1783" width="23.7109375" style="198" bestFit="1" customWidth="1"/>
    <col min="1784" max="1810" width="6.28515625" style="198" customWidth="1"/>
    <col min="1811" max="1814" width="5.5703125" style="198" bestFit="1" customWidth="1"/>
    <col min="1815" max="2038" width="9.140625" style="198"/>
    <col min="2039" max="2039" width="23.7109375" style="198" bestFit="1" customWidth="1"/>
    <col min="2040" max="2066" width="6.28515625" style="198" customWidth="1"/>
    <col min="2067" max="2070" width="5.5703125" style="198" bestFit="1" customWidth="1"/>
    <col min="2071" max="2294" width="9.140625" style="198"/>
    <col min="2295" max="2295" width="23.7109375" style="198" bestFit="1" customWidth="1"/>
    <col min="2296" max="2322" width="6.28515625" style="198" customWidth="1"/>
    <col min="2323" max="2326" width="5.5703125" style="198" bestFit="1" customWidth="1"/>
    <col min="2327" max="2550" width="9.140625" style="198"/>
    <col min="2551" max="2551" width="23.7109375" style="198" bestFit="1" customWidth="1"/>
    <col min="2552" max="2578" width="6.28515625" style="198" customWidth="1"/>
    <col min="2579" max="2582" width="5.5703125" style="198" bestFit="1" customWidth="1"/>
    <col min="2583" max="2806" width="9.140625" style="198"/>
    <col min="2807" max="2807" width="23.7109375" style="198" bestFit="1" customWidth="1"/>
    <col min="2808" max="2834" width="6.28515625" style="198" customWidth="1"/>
    <col min="2835" max="2838" width="5.5703125" style="198" bestFit="1" customWidth="1"/>
    <col min="2839" max="3062" width="9.140625" style="198"/>
    <col min="3063" max="3063" width="23.7109375" style="198" bestFit="1" customWidth="1"/>
    <col min="3064" max="3090" width="6.28515625" style="198" customWidth="1"/>
    <col min="3091" max="3094" width="5.5703125" style="198" bestFit="1" customWidth="1"/>
    <col min="3095" max="3318" width="9.140625" style="198"/>
    <col min="3319" max="3319" width="23.7109375" style="198" bestFit="1" customWidth="1"/>
    <col min="3320" max="3346" width="6.28515625" style="198" customWidth="1"/>
    <col min="3347" max="3350" width="5.5703125" style="198" bestFit="1" customWidth="1"/>
    <col min="3351" max="3574" width="9.140625" style="198"/>
    <col min="3575" max="3575" width="23.7109375" style="198" bestFit="1" customWidth="1"/>
    <col min="3576" max="3602" width="6.28515625" style="198" customWidth="1"/>
    <col min="3603" max="3606" width="5.5703125" style="198" bestFit="1" customWidth="1"/>
    <col min="3607" max="3830" width="9.140625" style="198"/>
    <col min="3831" max="3831" width="23.7109375" style="198" bestFit="1" customWidth="1"/>
    <col min="3832" max="3858" width="6.28515625" style="198" customWidth="1"/>
    <col min="3859" max="3862" width="5.5703125" style="198" bestFit="1" customWidth="1"/>
    <col min="3863" max="4086" width="9.140625" style="198"/>
    <col min="4087" max="4087" width="23.7109375" style="198" bestFit="1" customWidth="1"/>
    <col min="4088" max="4114" width="6.28515625" style="198" customWidth="1"/>
    <col min="4115" max="4118" width="5.5703125" style="198" bestFit="1" customWidth="1"/>
    <col min="4119" max="4342" width="9.140625" style="198"/>
    <col min="4343" max="4343" width="23.7109375" style="198" bestFit="1" customWidth="1"/>
    <col min="4344" max="4370" width="6.28515625" style="198" customWidth="1"/>
    <col min="4371" max="4374" width="5.5703125" style="198" bestFit="1" customWidth="1"/>
    <col min="4375" max="4598" width="9.140625" style="198"/>
    <col min="4599" max="4599" width="23.7109375" style="198" bestFit="1" customWidth="1"/>
    <col min="4600" max="4626" width="6.28515625" style="198" customWidth="1"/>
    <col min="4627" max="4630" width="5.5703125" style="198" bestFit="1" customWidth="1"/>
    <col min="4631" max="4854" width="9.140625" style="198"/>
    <col min="4855" max="4855" width="23.7109375" style="198" bestFit="1" customWidth="1"/>
    <col min="4856" max="4882" width="6.28515625" style="198" customWidth="1"/>
    <col min="4883" max="4886" width="5.5703125" style="198" bestFit="1" customWidth="1"/>
    <col min="4887" max="5110" width="9.140625" style="198"/>
    <col min="5111" max="5111" width="23.7109375" style="198" bestFit="1" customWidth="1"/>
    <col min="5112" max="5138" width="6.28515625" style="198" customWidth="1"/>
    <col min="5139" max="5142" width="5.5703125" style="198" bestFit="1" customWidth="1"/>
    <col min="5143" max="5366" width="9.140625" style="198"/>
    <col min="5367" max="5367" width="23.7109375" style="198" bestFit="1" customWidth="1"/>
    <col min="5368" max="5394" width="6.28515625" style="198" customWidth="1"/>
    <col min="5395" max="5398" width="5.5703125" style="198" bestFit="1" customWidth="1"/>
    <col min="5399" max="5622" width="9.140625" style="198"/>
    <col min="5623" max="5623" width="23.7109375" style="198" bestFit="1" customWidth="1"/>
    <col min="5624" max="5650" width="6.28515625" style="198" customWidth="1"/>
    <col min="5651" max="5654" width="5.5703125" style="198" bestFit="1" customWidth="1"/>
    <col min="5655" max="5878" width="9.140625" style="198"/>
    <col min="5879" max="5879" width="23.7109375" style="198" bestFit="1" customWidth="1"/>
    <col min="5880" max="5906" width="6.28515625" style="198" customWidth="1"/>
    <col min="5907" max="5910" width="5.5703125" style="198" bestFit="1" customWidth="1"/>
    <col min="5911" max="6134" width="9.140625" style="198"/>
    <col min="6135" max="6135" width="23.7109375" style="198" bestFit="1" customWidth="1"/>
    <col min="6136" max="6162" width="6.28515625" style="198" customWidth="1"/>
    <col min="6163" max="6166" width="5.5703125" style="198" bestFit="1" customWidth="1"/>
    <col min="6167" max="6390" width="9.140625" style="198"/>
    <col min="6391" max="6391" width="23.7109375" style="198" bestFit="1" customWidth="1"/>
    <col min="6392" max="6418" width="6.28515625" style="198" customWidth="1"/>
    <col min="6419" max="6422" width="5.5703125" style="198" bestFit="1" customWidth="1"/>
    <col min="6423" max="6646" width="9.140625" style="198"/>
    <col min="6647" max="6647" width="23.7109375" style="198" bestFit="1" customWidth="1"/>
    <col min="6648" max="6674" width="6.28515625" style="198" customWidth="1"/>
    <col min="6675" max="6678" width="5.5703125" style="198" bestFit="1" customWidth="1"/>
    <col min="6679" max="6902" width="9.140625" style="198"/>
    <col min="6903" max="6903" width="23.7109375" style="198" bestFit="1" customWidth="1"/>
    <col min="6904" max="6930" width="6.28515625" style="198" customWidth="1"/>
    <col min="6931" max="6934" width="5.5703125" style="198" bestFit="1" customWidth="1"/>
    <col min="6935" max="7158" width="9.140625" style="198"/>
    <col min="7159" max="7159" width="23.7109375" style="198" bestFit="1" customWidth="1"/>
    <col min="7160" max="7186" width="6.28515625" style="198" customWidth="1"/>
    <col min="7187" max="7190" width="5.5703125" style="198" bestFit="1" customWidth="1"/>
    <col min="7191" max="7414" width="9.140625" style="198"/>
    <col min="7415" max="7415" width="23.7109375" style="198" bestFit="1" customWidth="1"/>
    <col min="7416" max="7442" width="6.28515625" style="198" customWidth="1"/>
    <col min="7443" max="7446" width="5.5703125" style="198" bestFit="1" customWidth="1"/>
    <col min="7447" max="7670" width="9.140625" style="198"/>
    <col min="7671" max="7671" width="23.7109375" style="198" bestFit="1" customWidth="1"/>
    <col min="7672" max="7698" width="6.28515625" style="198" customWidth="1"/>
    <col min="7699" max="7702" width="5.5703125" style="198" bestFit="1" customWidth="1"/>
    <col min="7703" max="7926" width="9.140625" style="198"/>
    <col min="7927" max="7927" width="23.7109375" style="198" bestFit="1" customWidth="1"/>
    <col min="7928" max="7954" width="6.28515625" style="198" customWidth="1"/>
    <col min="7955" max="7958" width="5.5703125" style="198" bestFit="1" customWidth="1"/>
    <col min="7959" max="8182" width="9.140625" style="198"/>
    <col min="8183" max="8183" width="23.7109375" style="198" bestFit="1" customWidth="1"/>
    <col min="8184" max="8210" width="6.28515625" style="198" customWidth="1"/>
    <col min="8211" max="8214" width="5.5703125" style="198" bestFit="1" customWidth="1"/>
    <col min="8215" max="8438" width="9.140625" style="198"/>
    <col min="8439" max="8439" width="23.7109375" style="198" bestFit="1" customWidth="1"/>
    <col min="8440" max="8466" width="6.28515625" style="198" customWidth="1"/>
    <col min="8467" max="8470" width="5.5703125" style="198" bestFit="1" customWidth="1"/>
    <col min="8471" max="8694" width="9.140625" style="198"/>
    <col min="8695" max="8695" width="23.7109375" style="198" bestFit="1" customWidth="1"/>
    <col min="8696" max="8722" width="6.28515625" style="198" customWidth="1"/>
    <col min="8723" max="8726" width="5.5703125" style="198" bestFit="1" customWidth="1"/>
    <col min="8727" max="8950" width="9.140625" style="198"/>
    <col min="8951" max="8951" width="23.7109375" style="198" bestFit="1" customWidth="1"/>
    <col min="8952" max="8978" width="6.28515625" style="198" customWidth="1"/>
    <col min="8979" max="8982" width="5.5703125" style="198" bestFit="1" customWidth="1"/>
    <col min="8983" max="9206" width="9.140625" style="198"/>
    <col min="9207" max="9207" width="23.7109375" style="198" bestFit="1" customWidth="1"/>
    <col min="9208" max="9234" width="6.28515625" style="198" customWidth="1"/>
    <col min="9235" max="9238" width="5.5703125" style="198" bestFit="1" customWidth="1"/>
    <col min="9239" max="9462" width="9.140625" style="198"/>
    <col min="9463" max="9463" width="23.7109375" style="198" bestFit="1" customWidth="1"/>
    <col min="9464" max="9490" width="6.28515625" style="198" customWidth="1"/>
    <col min="9491" max="9494" width="5.5703125" style="198" bestFit="1" customWidth="1"/>
    <col min="9495" max="9718" width="9.140625" style="198"/>
    <col min="9719" max="9719" width="23.7109375" style="198" bestFit="1" customWidth="1"/>
    <col min="9720" max="9746" width="6.28515625" style="198" customWidth="1"/>
    <col min="9747" max="9750" width="5.5703125" style="198" bestFit="1" customWidth="1"/>
    <col min="9751" max="9974" width="9.140625" style="198"/>
    <col min="9975" max="9975" width="23.7109375" style="198" bestFit="1" customWidth="1"/>
    <col min="9976" max="10002" width="6.28515625" style="198" customWidth="1"/>
    <col min="10003" max="10006" width="5.5703125" style="198" bestFit="1" customWidth="1"/>
    <col min="10007" max="10230" width="9.140625" style="198"/>
    <col min="10231" max="10231" width="23.7109375" style="198" bestFit="1" customWidth="1"/>
    <col min="10232" max="10258" width="6.28515625" style="198" customWidth="1"/>
    <col min="10259" max="10262" width="5.5703125" style="198" bestFit="1" customWidth="1"/>
    <col min="10263" max="10486" width="9.140625" style="198"/>
    <col min="10487" max="10487" width="23.7109375" style="198" bestFit="1" customWidth="1"/>
    <col min="10488" max="10514" width="6.28515625" style="198" customWidth="1"/>
    <col min="10515" max="10518" width="5.5703125" style="198" bestFit="1" customWidth="1"/>
    <col min="10519" max="10742" width="9.140625" style="198"/>
    <col min="10743" max="10743" width="23.7109375" style="198" bestFit="1" customWidth="1"/>
    <col min="10744" max="10770" width="6.28515625" style="198" customWidth="1"/>
    <col min="10771" max="10774" width="5.5703125" style="198" bestFit="1" customWidth="1"/>
    <col min="10775" max="10998" width="9.140625" style="198"/>
    <col min="10999" max="10999" width="23.7109375" style="198" bestFit="1" customWidth="1"/>
    <col min="11000" max="11026" width="6.28515625" style="198" customWidth="1"/>
    <col min="11027" max="11030" width="5.5703125" style="198" bestFit="1" customWidth="1"/>
    <col min="11031" max="11254" width="9.140625" style="198"/>
    <col min="11255" max="11255" width="23.7109375" style="198" bestFit="1" customWidth="1"/>
    <col min="11256" max="11282" width="6.28515625" style="198" customWidth="1"/>
    <col min="11283" max="11286" width="5.5703125" style="198" bestFit="1" customWidth="1"/>
    <col min="11287" max="11510" width="9.140625" style="198"/>
    <col min="11511" max="11511" width="23.7109375" style="198" bestFit="1" customWidth="1"/>
    <col min="11512" max="11538" width="6.28515625" style="198" customWidth="1"/>
    <col min="11539" max="11542" width="5.5703125" style="198" bestFit="1" customWidth="1"/>
    <col min="11543" max="11766" width="9.140625" style="198"/>
    <col min="11767" max="11767" width="23.7109375" style="198" bestFit="1" customWidth="1"/>
    <col min="11768" max="11794" width="6.28515625" style="198" customWidth="1"/>
    <col min="11795" max="11798" width="5.5703125" style="198" bestFit="1" customWidth="1"/>
    <col min="11799" max="12022" width="9.140625" style="198"/>
    <col min="12023" max="12023" width="23.7109375" style="198" bestFit="1" customWidth="1"/>
    <col min="12024" max="12050" width="6.28515625" style="198" customWidth="1"/>
    <col min="12051" max="12054" width="5.5703125" style="198" bestFit="1" customWidth="1"/>
    <col min="12055" max="12278" width="9.140625" style="198"/>
    <col min="12279" max="12279" width="23.7109375" style="198" bestFit="1" customWidth="1"/>
    <col min="12280" max="12306" width="6.28515625" style="198" customWidth="1"/>
    <col min="12307" max="12310" width="5.5703125" style="198" bestFit="1" customWidth="1"/>
    <col min="12311" max="12534" width="9.140625" style="198"/>
    <col min="12535" max="12535" width="23.7109375" style="198" bestFit="1" customWidth="1"/>
    <col min="12536" max="12562" width="6.28515625" style="198" customWidth="1"/>
    <col min="12563" max="12566" width="5.5703125" style="198" bestFit="1" customWidth="1"/>
    <col min="12567" max="12790" width="9.140625" style="198"/>
    <col min="12791" max="12791" width="23.7109375" style="198" bestFit="1" customWidth="1"/>
    <col min="12792" max="12818" width="6.28515625" style="198" customWidth="1"/>
    <col min="12819" max="12822" width="5.5703125" style="198" bestFit="1" customWidth="1"/>
    <col min="12823" max="13046" width="9.140625" style="198"/>
    <col min="13047" max="13047" width="23.7109375" style="198" bestFit="1" customWidth="1"/>
    <col min="13048" max="13074" width="6.28515625" style="198" customWidth="1"/>
    <col min="13075" max="13078" width="5.5703125" style="198" bestFit="1" customWidth="1"/>
    <col min="13079" max="13302" width="9.140625" style="198"/>
    <col min="13303" max="13303" width="23.7109375" style="198" bestFit="1" customWidth="1"/>
    <col min="13304" max="13330" width="6.28515625" style="198" customWidth="1"/>
    <col min="13331" max="13334" width="5.5703125" style="198" bestFit="1" customWidth="1"/>
    <col min="13335" max="13558" width="9.140625" style="198"/>
    <col min="13559" max="13559" width="23.7109375" style="198" bestFit="1" customWidth="1"/>
    <col min="13560" max="13586" width="6.28515625" style="198" customWidth="1"/>
    <col min="13587" max="13590" width="5.5703125" style="198" bestFit="1" customWidth="1"/>
    <col min="13591" max="13814" width="9.140625" style="198"/>
    <col min="13815" max="13815" width="23.7109375" style="198" bestFit="1" customWidth="1"/>
    <col min="13816" max="13842" width="6.28515625" style="198" customWidth="1"/>
    <col min="13843" max="13846" width="5.5703125" style="198" bestFit="1" customWidth="1"/>
    <col min="13847" max="14070" width="9.140625" style="198"/>
    <col min="14071" max="14071" width="23.7109375" style="198" bestFit="1" customWidth="1"/>
    <col min="14072" max="14098" width="6.28515625" style="198" customWidth="1"/>
    <col min="14099" max="14102" width="5.5703125" style="198" bestFit="1" customWidth="1"/>
    <col min="14103" max="14326" width="9.140625" style="198"/>
    <col min="14327" max="14327" width="23.7109375" style="198" bestFit="1" customWidth="1"/>
    <col min="14328" max="14354" width="6.28515625" style="198" customWidth="1"/>
    <col min="14355" max="14358" width="5.5703125" style="198" bestFit="1" customWidth="1"/>
    <col min="14359" max="14582" width="9.140625" style="198"/>
    <col min="14583" max="14583" width="23.7109375" style="198" bestFit="1" customWidth="1"/>
    <col min="14584" max="14610" width="6.28515625" style="198" customWidth="1"/>
    <col min="14611" max="14614" width="5.5703125" style="198" bestFit="1" customWidth="1"/>
    <col min="14615" max="14838" width="9.140625" style="198"/>
    <col min="14839" max="14839" width="23.7109375" style="198" bestFit="1" customWidth="1"/>
    <col min="14840" max="14866" width="6.28515625" style="198" customWidth="1"/>
    <col min="14867" max="14870" width="5.5703125" style="198" bestFit="1" customWidth="1"/>
    <col min="14871" max="15094" width="9.140625" style="198"/>
    <col min="15095" max="15095" width="23.7109375" style="198" bestFit="1" customWidth="1"/>
    <col min="15096" max="15122" width="6.28515625" style="198" customWidth="1"/>
    <col min="15123" max="15126" width="5.5703125" style="198" bestFit="1" customWidth="1"/>
    <col min="15127" max="15350" width="9.140625" style="198"/>
    <col min="15351" max="15351" width="23.7109375" style="198" bestFit="1" customWidth="1"/>
    <col min="15352" max="15378" width="6.28515625" style="198" customWidth="1"/>
    <col min="15379" max="15382" width="5.5703125" style="198" bestFit="1" customWidth="1"/>
    <col min="15383" max="15606" width="9.140625" style="198"/>
    <col min="15607" max="15607" width="23.7109375" style="198" bestFit="1" customWidth="1"/>
    <col min="15608" max="15634" width="6.28515625" style="198" customWidth="1"/>
    <col min="15635" max="15638" width="5.5703125" style="198" bestFit="1" customWidth="1"/>
    <col min="15639" max="15862" width="9.140625" style="198"/>
    <col min="15863" max="15863" width="23.7109375" style="198" bestFit="1" customWidth="1"/>
    <col min="15864" max="15890" width="6.28515625" style="198" customWidth="1"/>
    <col min="15891" max="15894" width="5.5703125" style="198" bestFit="1" customWidth="1"/>
    <col min="15895" max="16118" width="9.140625" style="198"/>
    <col min="16119" max="16119" width="23.7109375" style="198" bestFit="1" customWidth="1"/>
    <col min="16120" max="16146" width="6.28515625" style="198" customWidth="1"/>
    <col min="16147" max="16150" width="5.5703125" style="198" bestFit="1" customWidth="1"/>
    <col min="16151" max="16384" width="9.140625" style="198"/>
  </cols>
  <sheetData>
    <row r="1" spans="1:30" s="194" customFormat="1" ht="13.5" thickBot="1" x14ac:dyDescent="0.25">
      <c r="A1" s="192"/>
      <c r="B1" s="193" t="s">
        <v>368</v>
      </c>
      <c r="C1" s="193">
        <v>1991</v>
      </c>
      <c r="D1" s="193">
        <v>1992</v>
      </c>
      <c r="E1" s="193">
        <v>1993</v>
      </c>
      <c r="F1" s="193">
        <v>1994</v>
      </c>
      <c r="G1" s="193">
        <v>1995</v>
      </c>
      <c r="H1" s="193">
        <v>1996</v>
      </c>
      <c r="I1" s="193">
        <v>1997</v>
      </c>
      <c r="J1" s="193">
        <v>1998</v>
      </c>
      <c r="K1" s="193">
        <v>1999</v>
      </c>
      <c r="L1" s="193">
        <v>2000</v>
      </c>
      <c r="M1" s="193">
        <v>2001</v>
      </c>
      <c r="N1" s="193">
        <v>2002</v>
      </c>
      <c r="O1" s="193">
        <v>2003</v>
      </c>
      <c r="P1" s="193">
        <v>2004</v>
      </c>
      <c r="Q1" s="193">
        <v>2005</v>
      </c>
      <c r="R1" s="193">
        <v>2006</v>
      </c>
      <c r="S1" s="193">
        <v>2007</v>
      </c>
      <c r="T1" s="193">
        <v>2008</v>
      </c>
      <c r="U1" s="193">
        <v>2009</v>
      </c>
      <c r="V1" s="193">
        <v>2010</v>
      </c>
      <c r="W1" s="193">
        <v>2011</v>
      </c>
      <c r="X1" s="193">
        <v>2012</v>
      </c>
      <c r="Y1" s="193">
        <v>2013</v>
      </c>
      <c r="Z1" s="193">
        <v>2014</v>
      </c>
      <c r="AA1" s="193">
        <v>2015</v>
      </c>
      <c r="AC1" s="194" t="s">
        <v>369</v>
      </c>
    </row>
    <row r="2" spans="1:30" x14ac:dyDescent="0.2">
      <c r="A2" s="195" t="s">
        <v>345</v>
      </c>
      <c r="B2" s="204">
        <v>850</v>
      </c>
      <c r="C2" s="196">
        <v>802</v>
      </c>
      <c r="D2" s="196">
        <v>826</v>
      </c>
      <c r="E2" s="196">
        <v>842</v>
      </c>
      <c r="F2" s="196">
        <v>842</v>
      </c>
      <c r="G2" s="196">
        <v>870</v>
      </c>
      <c r="H2" s="196">
        <v>885</v>
      </c>
      <c r="I2" s="196">
        <v>876</v>
      </c>
      <c r="J2" s="196">
        <v>853</v>
      </c>
      <c r="K2" s="196">
        <v>854</v>
      </c>
      <c r="L2" s="197">
        <v>850</v>
      </c>
      <c r="M2" s="197">
        <v>823</v>
      </c>
      <c r="N2" s="197">
        <v>835</v>
      </c>
      <c r="O2" s="196">
        <v>829</v>
      </c>
      <c r="P2" s="196">
        <v>831</v>
      </c>
      <c r="Q2" s="196">
        <v>809</v>
      </c>
      <c r="R2" s="196">
        <v>775</v>
      </c>
      <c r="S2" s="205">
        <v>750</v>
      </c>
      <c r="T2" s="205">
        <v>782</v>
      </c>
      <c r="U2" s="206">
        <v>779</v>
      </c>
      <c r="V2" s="205">
        <v>798</v>
      </c>
      <c r="W2" s="205">
        <v>784</v>
      </c>
      <c r="X2" s="207">
        <v>762</v>
      </c>
      <c r="Y2" s="208">
        <v>741</v>
      </c>
      <c r="Z2" s="208">
        <v>724</v>
      </c>
      <c r="AA2" s="209">
        <v>700</v>
      </c>
      <c r="AC2" s="198">
        <v>2002</v>
      </c>
      <c r="AD2" s="198">
        <v>96.8</v>
      </c>
    </row>
    <row r="3" spans="1:30" x14ac:dyDescent="0.2">
      <c r="A3" s="195" t="s">
        <v>346</v>
      </c>
      <c r="B3" s="204">
        <v>1165</v>
      </c>
      <c r="C3" s="196">
        <v>1005</v>
      </c>
      <c r="D3" s="196">
        <v>1042</v>
      </c>
      <c r="E3" s="196">
        <v>1054</v>
      </c>
      <c r="F3" s="196">
        <v>1086</v>
      </c>
      <c r="G3" s="196">
        <v>1072</v>
      </c>
      <c r="H3" s="196">
        <v>1082</v>
      </c>
      <c r="I3" s="196">
        <v>1062</v>
      </c>
      <c r="J3" s="196">
        <v>1061</v>
      </c>
      <c r="K3" s="196">
        <v>1091</v>
      </c>
      <c r="L3" s="197">
        <v>1126</v>
      </c>
      <c r="M3" s="197">
        <v>1085</v>
      </c>
      <c r="N3" s="197">
        <v>1115</v>
      </c>
      <c r="O3" s="196">
        <v>1109</v>
      </c>
      <c r="P3" s="196">
        <v>1096</v>
      </c>
      <c r="Q3" s="196">
        <v>1108</v>
      </c>
      <c r="R3" s="196">
        <v>1098</v>
      </c>
      <c r="S3" s="210">
        <v>1093</v>
      </c>
      <c r="T3" s="210">
        <v>1081</v>
      </c>
      <c r="U3" s="211">
        <v>1089</v>
      </c>
      <c r="V3" s="210">
        <v>1109</v>
      </c>
      <c r="W3" s="210">
        <v>1139</v>
      </c>
      <c r="X3" s="212">
        <v>1152</v>
      </c>
      <c r="Y3" s="213">
        <v>1145</v>
      </c>
      <c r="Z3" s="213">
        <v>1142</v>
      </c>
      <c r="AA3" s="196">
        <v>1159</v>
      </c>
      <c r="AC3" s="198">
        <v>2015</v>
      </c>
    </row>
    <row r="4" spans="1:30" x14ac:dyDescent="0.2">
      <c r="A4" s="195" t="s">
        <v>347</v>
      </c>
      <c r="B4" s="204">
        <v>1200</v>
      </c>
      <c r="C4" s="196">
        <v>1023</v>
      </c>
      <c r="D4" s="196">
        <v>1032</v>
      </c>
      <c r="E4" s="196">
        <v>1024</v>
      </c>
      <c r="F4" s="196">
        <v>1047</v>
      </c>
      <c r="G4" s="196">
        <v>1045</v>
      </c>
      <c r="H4" s="196">
        <v>1010</v>
      </c>
      <c r="I4" s="196">
        <v>963</v>
      </c>
      <c r="J4" s="196">
        <v>978</v>
      </c>
      <c r="K4" s="196">
        <v>1051</v>
      </c>
      <c r="L4" s="197">
        <v>1101</v>
      </c>
      <c r="M4" s="197">
        <v>1166</v>
      </c>
      <c r="N4" s="197">
        <v>1165</v>
      </c>
      <c r="O4" s="196">
        <v>1119</v>
      </c>
      <c r="P4" s="196">
        <v>1090</v>
      </c>
      <c r="Q4" s="196">
        <v>1025</v>
      </c>
      <c r="R4" s="196">
        <v>1021</v>
      </c>
      <c r="S4" s="210">
        <v>929</v>
      </c>
      <c r="T4" s="210">
        <v>933</v>
      </c>
      <c r="U4" s="211">
        <v>910</v>
      </c>
      <c r="V4" s="210">
        <v>895</v>
      </c>
      <c r="W4" s="210">
        <v>908</v>
      </c>
      <c r="X4" s="212">
        <v>920</v>
      </c>
      <c r="Y4" s="213">
        <v>978</v>
      </c>
      <c r="Z4" s="213">
        <v>1059</v>
      </c>
      <c r="AA4" s="196">
        <v>1067</v>
      </c>
      <c r="AC4" s="198">
        <v>2002</v>
      </c>
      <c r="AD4" s="198">
        <v>59.4</v>
      </c>
    </row>
    <row r="5" spans="1:30" x14ac:dyDescent="0.2">
      <c r="A5" s="195" t="s">
        <v>348</v>
      </c>
      <c r="B5" s="204">
        <v>600</v>
      </c>
      <c r="C5" s="196">
        <v>286</v>
      </c>
      <c r="D5" s="196">
        <v>274</v>
      </c>
      <c r="E5" s="196">
        <v>308</v>
      </c>
      <c r="F5" s="196">
        <v>295</v>
      </c>
      <c r="G5" s="196">
        <v>273</v>
      </c>
      <c r="H5" s="196">
        <v>279</v>
      </c>
      <c r="I5" s="196">
        <v>283</v>
      </c>
      <c r="J5" s="196">
        <v>293</v>
      </c>
      <c r="K5" s="196">
        <v>327</v>
      </c>
      <c r="L5" s="197">
        <v>348</v>
      </c>
      <c r="M5" s="197">
        <v>362</v>
      </c>
      <c r="N5" s="197">
        <v>387</v>
      </c>
      <c r="O5" s="196">
        <v>368</v>
      </c>
      <c r="P5" s="196">
        <v>339</v>
      </c>
      <c r="Q5" s="196">
        <v>317</v>
      </c>
      <c r="R5" s="196">
        <v>286</v>
      </c>
      <c r="S5" s="210">
        <v>299</v>
      </c>
      <c r="T5" s="210">
        <v>275</v>
      </c>
      <c r="U5" s="211">
        <v>281</v>
      </c>
      <c r="V5" s="210">
        <v>256</v>
      </c>
      <c r="W5" s="210">
        <v>251</v>
      </c>
      <c r="X5" s="212">
        <v>198</v>
      </c>
      <c r="Y5" s="213">
        <v>133</v>
      </c>
      <c r="Z5" s="213">
        <v>128</v>
      </c>
      <c r="AA5" s="196">
        <v>118</v>
      </c>
      <c r="AC5" s="198">
        <v>2002</v>
      </c>
      <c r="AD5" s="198">
        <v>81.599999999999994</v>
      </c>
    </row>
    <row r="6" spans="1:30" x14ac:dyDescent="0.2">
      <c r="A6" s="195" t="s">
        <v>349</v>
      </c>
      <c r="B6" s="204">
        <v>1400</v>
      </c>
      <c r="C6" s="196">
        <v>1104</v>
      </c>
      <c r="D6" s="196">
        <v>1130</v>
      </c>
      <c r="E6" s="196">
        <v>1195</v>
      </c>
      <c r="F6" s="196">
        <v>1246</v>
      </c>
      <c r="G6" s="196">
        <v>1229</v>
      </c>
      <c r="H6" s="196">
        <v>1300</v>
      </c>
      <c r="I6" s="196">
        <v>1277</v>
      </c>
      <c r="J6" s="196">
        <v>1285</v>
      </c>
      <c r="K6" s="196">
        <v>1286</v>
      </c>
      <c r="L6" s="197">
        <v>1295</v>
      </c>
      <c r="M6" s="197">
        <v>1300</v>
      </c>
      <c r="N6" s="197">
        <v>1341</v>
      </c>
      <c r="O6" s="196">
        <v>1335</v>
      </c>
      <c r="P6" s="196">
        <v>1337</v>
      </c>
      <c r="Q6" s="196">
        <v>1370</v>
      </c>
      <c r="R6" s="196">
        <v>1389</v>
      </c>
      <c r="S6" s="210">
        <v>1364</v>
      </c>
      <c r="T6" s="210">
        <v>1349</v>
      </c>
      <c r="U6" s="211">
        <v>1377</v>
      </c>
      <c r="V6" s="210">
        <v>1336</v>
      </c>
      <c r="W6" s="210">
        <v>1271</v>
      </c>
      <c r="X6" s="212">
        <v>1268</v>
      </c>
      <c r="Y6" s="213">
        <v>1209</v>
      </c>
      <c r="Z6" s="213">
        <v>1139</v>
      </c>
      <c r="AA6" s="196">
        <v>1118</v>
      </c>
      <c r="AC6" s="198">
        <v>2006</v>
      </c>
      <c r="AD6" s="198">
        <v>89.8</v>
      </c>
    </row>
    <row r="7" spans="1:30" x14ac:dyDescent="0.2">
      <c r="A7" s="195" t="s">
        <v>350</v>
      </c>
      <c r="B7" s="204">
        <v>600</v>
      </c>
      <c r="C7" s="196">
        <v>306</v>
      </c>
      <c r="D7" s="196">
        <v>304</v>
      </c>
      <c r="E7" s="196">
        <v>334</v>
      </c>
      <c r="F7" s="196">
        <v>328</v>
      </c>
      <c r="G7" s="196">
        <v>330</v>
      </c>
      <c r="H7" s="196">
        <v>386</v>
      </c>
      <c r="I7" s="196">
        <v>439</v>
      </c>
      <c r="J7" s="196">
        <v>457</v>
      </c>
      <c r="K7" s="196">
        <v>478</v>
      </c>
      <c r="L7" s="197">
        <v>483</v>
      </c>
      <c r="M7" s="197">
        <v>486</v>
      </c>
      <c r="N7" s="197">
        <v>496</v>
      </c>
      <c r="O7" s="196">
        <v>481</v>
      </c>
      <c r="P7" s="196">
        <v>460</v>
      </c>
      <c r="Q7" s="196">
        <v>452</v>
      </c>
      <c r="R7" s="196">
        <v>432</v>
      </c>
      <c r="S7" s="210">
        <v>472</v>
      </c>
      <c r="T7" s="210">
        <v>426</v>
      </c>
      <c r="U7" s="211">
        <v>397</v>
      </c>
      <c r="V7" s="210">
        <v>366</v>
      </c>
      <c r="W7" s="210">
        <v>400</v>
      </c>
      <c r="X7" s="212">
        <v>404</v>
      </c>
      <c r="Y7" s="213">
        <v>413</v>
      </c>
      <c r="Z7" s="213">
        <v>430</v>
      </c>
      <c r="AA7" s="196">
        <v>473</v>
      </c>
      <c r="AC7" s="198">
        <v>2002</v>
      </c>
      <c r="AD7" s="198">
        <v>41.9</v>
      </c>
    </row>
    <row r="8" spans="1:30" x14ac:dyDescent="0.2">
      <c r="A8" s="195" t="s">
        <v>351</v>
      </c>
      <c r="B8" s="204">
        <v>900</v>
      </c>
      <c r="C8" s="196">
        <v>889</v>
      </c>
      <c r="D8" s="196">
        <v>887</v>
      </c>
      <c r="E8" s="196">
        <v>883</v>
      </c>
      <c r="F8" s="196">
        <v>893</v>
      </c>
      <c r="G8" s="196">
        <v>877</v>
      </c>
      <c r="H8" s="196">
        <v>863</v>
      </c>
      <c r="I8" s="196">
        <v>839</v>
      </c>
      <c r="J8" s="196">
        <v>856</v>
      </c>
      <c r="K8" s="196">
        <v>871</v>
      </c>
      <c r="L8" s="197">
        <v>875</v>
      </c>
      <c r="M8" s="197">
        <v>899</v>
      </c>
      <c r="N8" s="197">
        <v>943</v>
      </c>
      <c r="O8" s="196">
        <v>961</v>
      </c>
      <c r="P8" s="196">
        <v>971</v>
      </c>
      <c r="Q8" s="196">
        <v>963</v>
      </c>
      <c r="R8" s="196">
        <v>967</v>
      </c>
      <c r="S8" s="210">
        <v>962</v>
      </c>
      <c r="T8" s="210">
        <v>903</v>
      </c>
      <c r="U8" s="211">
        <v>921</v>
      </c>
      <c r="V8" s="210">
        <v>869</v>
      </c>
      <c r="W8" s="210">
        <v>812</v>
      </c>
      <c r="X8" s="212">
        <v>776</v>
      </c>
      <c r="Y8" s="213">
        <v>775</v>
      </c>
      <c r="Z8" s="213">
        <v>762</v>
      </c>
      <c r="AA8" s="196">
        <v>722</v>
      </c>
      <c r="AC8" s="198">
        <v>2004</v>
      </c>
      <c r="AD8" s="198">
        <v>93.8</v>
      </c>
    </row>
    <row r="9" spans="1:30" x14ac:dyDescent="0.2">
      <c r="A9" s="195" t="s">
        <v>352</v>
      </c>
      <c r="B9" s="204">
        <v>600</v>
      </c>
      <c r="C9" s="196">
        <v>413</v>
      </c>
      <c r="D9" s="196">
        <v>429</v>
      </c>
      <c r="E9" s="196">
        <v>437</v>
      </c>
      <c r="F9" s="196">
        <v>422</v>
      </c>
      <c r="G9" s="196">
        <v>400</v>
      </c>
      <c r="H9" s="196">
        <v>385</v>
      </c>
      <c r="I9" s="196">
        <v>365</v>
      </c>
      <c r="J9" s="196">
        <v>363</v>
      </c>
      <c r="K9" s="196">
        <v>426</v>
      </c>
      <c r="L9" s="197">
        <v>433</v>
      </c>
      <c r="M9" s="197">
        <v>439</v>
      </c>
      <c r="N9" s="197">
        <v>452</v>
      </c>
      <c r="O9" s="196">
        <v>463</v>
      </c>
      <c r="P9" s="196">
        <v>464</v>
      </c>
      <c r="Q9" s="196">
        <v>477</v>
      </c>
      <c r="R9" s="196">
        <v>471</v>
      </c>
      <c r="S9" s="210">
        <v>492</v>
      </c>
      <c r="T9" s="210">
        <v>486</v>
      </c>
      <c r="U9" s="211">
        <v>458</v>
      </c>
      <c r="V9" s="210">
        <v>442</v>
      </c>
      <c r="W9" s="210">
        <v>458</v>
      </c>
      <c r="X9" s="212">
        <v>460</v>
      </c>
      <c r="Y9" s="213">
        <v>413</v>
      </c>
      <c r="Z9" s="213">
        <v>387</v>
      </c>
      <c r="AA9" s="196">
        <v>352</v>
      </c>
      <c r="AC9" s="198">
        <v>2007</v>
      </c>
      <c r="AD9" s="198">
        <v>69.099999999999994</v>
      </c>
    </row>
    <row r="10" spans="1:30" x14ac:dyDescent="0.2">
      <c r="A10" s="195" t="s">
        <v>353</v>
      </c>
      <c r="B10" s="204">
        <v>1150</v>
      </c>
      <c r="C10" s="196">
        <v>697</v>
      </c>
      <c r="D10" s="196">
        <v>697</v>
      </c>
      <c r="E10" s="196">
        <v>666</v>
      </c>
      <c r="F10" s="196">
        <v>730</v>
      </c>
      <c r="G10" s="196">
        <v>778</v>
      </c>
      <c r="H10" s="196">
        <v>803</v>
      </c>
      <c r="I10" s="196">
        <v>834</v>
      </c>
      <c r="J10" s="196">
        <v>883</v>
      </c>
      <c r="K10" s="196">
        <v>908</v>
      </c>
      <c r="L10" s="197">
        <v>979</v>
      </c>
      <c r="M10" s="197">
        <v>1027</v>
      </c>
      <c r="N10" s="197">
        <v>1018</v>
      </c>
      <c r="O10" s="196">
        <v>1112</v>
      </c>
      <c r="P10" s="196">
        <v>1130</v>
      </c>
      <c r="Q10" s="196">
        <v>1141</v>
      </c>
      <c r="R10" s="196">
        <v>1154</v>
      </c>
      <c r="S10" s="210">
        <v>1164</v>
      </c>
      <c r="T10" s="210">
        <v>1166</v>
      </c>
      <c r="U10" s="211">
        <v>1151</v>
      </c>
      <c r="V10" s="210">
        <v>1121</v>
      </c>
      <c r="W10" s="210">
        <v>1111</v>
      </c>
      <c r="X10" s="214">
        <v>1123</v>
      </c>
      <c r="Y10" s="213">
        <v>1127</v>
      </c>
      <c r="Z10" s="213">
        <v>1090</v>
      </c>
      <c r="AA10" s="197">
        <v>1085</v>
      </c>
      <c r="AC10" s="198">
        <v>2008</v>
      </c>
    </row>
    <row r="11" spans="1:30" x14ac:dyDescent="0.2">
      <c r="A11" s="195" t="s">
        <v>354</v>
      </c>
      <c r="B11" s="204">
        <v>900</v>
      </c>
      <c r="C11" s="196">
        <v>813</v>
      </c>
      <c r="D11" s="196">
        <v>887</v>
      </c>
      <c r="E11" s="196">
        <v>927</v>
      </c>
      <c r="F11" s="196">
        <v>937</v>
      </c>
      <c r="G11" s="196">
        <v>953</v>
      </c>
      <c r="H11" s="196">
        <v>965</v>
      </c>
      <c r="I11" s="196">
        <v>950</v>
      </c>
      <c r="J11" s="196">
        <v>898</v>
      </c>
      <c r="K11" s="196">
        <v>856</v>
      </c>
      <c r="L11" s="197">
        <v>845</v>
      </c>
      <c r="M11" s="197">
        <v>795</v>
      </c>
      <c r="N11" s="197">
        <v>760</v>
      </c>
      <c r="O11" s="196">
        <v>756</v>
      </c>
      <c r="P11" s="196">
        <v>729</v>
      </c>
      <c r="Q11" s="196">
        <v>695</v>
      </c>
      <c r="R11" s="196">
        <v>676</v>
      </c>
      <c r="S11" s="210">
        <v>674</v>
      </c>
      <c r="T11" s="210">
        <v>633</v>
      </c>
      <c r="U11" s="211">
        <v>607</v>
      </c>
      <c r="V11" s="210">
        <v>640</v>
      </c>
      <c r="W11" s="210">
        <v>628</v>
      </c>
      <c r="X11" s="212">
        <v>655</v>
      </c>
      <c r="Y11" s="213">
        <v>672</v>
      </c>
      <c r="Z11" s="213">
        <v>727</v>
      </c>
      <c r="AA11" s="196">
        <v>731</v>
      </c>
      <c r="AC11" s="198">
        <v>2002</v>
      </c>
    </row>
    <row r="12" spans="1:30" x14ac:dyDescent="0.2">
      <c r="A12" s="195" t="s">
        <v>355</v>
      </c>
      <c r="B12" s="204">
        <v>650</v>
      </c>
      <c r="C12" s="196">
        <v>434</v>
      </c>
      <c r="D12" s="196">
        <v>483</v>
      </c>
      <c r="E12" s="196">
        <v>558</v>
      </c>
      <c r="F12" s="196">
        <v>562</v>
      </c>
      <c r="G12" s="196">
        <v>559</v>
      </c>
      <c r="H12" s="196">
        <v>539</v>
      </c>
      <c r="I12" s="196">
        <v>530</v>
      </c>
      <c r="J12" s="196">
        <v>504</v>
      </c>
      <c r="K12" s="196">
        <v>476</v>
      </c>
      <c r="L12" s="197">
        <v>480</v>
      </c>
      <c r="M12" s="197">
        <v>481</v>
      </c>
      <c r="N12" s="197">
        <v>468</v>
      </c>
      <c r="O12" s="196">
        <v>486</v>
      </c>
      <c r="P12" s="196">
        <v>508</v>
      </c>
      <c r="Q12" s="196">
        <v>535</v>
      </c>
      <c r="R12" s="196">
        <v>544</v>
      </c>
      <c r="S12" s="210">
        <v>591</v>
      </c>
      <c r="T12" s="210">
        <v>620</v>
      </c>
      <c r="U12" s="211">
        <v>623</v>
      </c>
      <c r="V12" s="210">
        <v>615</v>
      </c>
      <c r="W12" s="210">
        <v>633</v>
      </c>
      <c r="X12" s="212">
        <v>630</v>
      </c>
      <c r="Y12" s="213">
        <v>610</v>
      </c>
      <c r="Z12" s="213">
        <v>618</v>
      </c>
      <c r="AA12" s="196">
        <v>615</v>
      </c>
      <c r="AC12" s="198">
        <v>2011</v>
      </c>
    </row>
    <row r="13" spans="1:30" s="201" customFormat="1" x14ac:dyDescent="0.2">
      <c r="A13" s="199" t="s">
        <v>356</v>
      </c>
      <c r="B13" s="204">
        <v>1200</v>
      </c>
      <c r="C13" s="200">
        <v>486</v>
      </c>
      <c r="D13" s="200">
        <v>516</v>
      </c>
      <c r="E13" s="200">
        <v>551</v>
      </c>
      <c r="F13" s="200">
        <v>593</v>
      </c>
      <c r="G13" s="200">
        <v>652</v>
      </c>
      <c r="H13" s="200">
        <v>760</v>
      </c>
      <c r="I13" s="200">
        <v>791</v>
      </c>
      <c r="J13" s="200">
        <v>836</v>
      </c>
      <c r="K13" s="200">
        <v>929</v>
      </c>
      <c r="L13" s="200">
        <v>946</v>
      </c>
      <c r="M13" s="200">
        <v>1009</v>
      </c>
      <c r="N13" s="200">
        <v>1028</v>
      </c>
      <c r="O13" s="200">
        <v>1044</v>
      </c>
      <c r="P13" s="200">
        <v>1031</v>
      </c>
      <c r="Q13" s="200">
        <v>1026</v>
      </c>
      <c r="R13" s="200">
        <v>1000</v>
      </c>
      <c r="S13" s="210">
        <v>991</v>
      </c>
      <c r="T13" s="210">
        <v>948</v>
      </c>
      <c r="U13" s="211">
        <v>981</v>
      </c>
      <c r="V13" s="210">
        <v>975</v>
      </c>
      <c r="W13" s="210">
        <v>986</v>
      </c>
      <c r="X13" s="215">
        <v>1021</v>
      </c>
      <c r="Y13" s="213">
        <v>1071</v>
      </c>
      <c r="Z13" s="213">
        <v>1075</v>
      </c>
      <c r="AA13" s="200">
        <v>1043</v>
      </c>
      <c r="AC13" s="201">
        <v>2014</v>
      </c>
    </row>
    <row r="14" spans="1:30" x14ac:dyDescent="0.2">
      <c r="A14" s="195" t="s">
        <v>357</v>
      </c>
      <c r="B14" s="204">
        <v>1300</v>
      </c>
      <c r="C14" s="196">
        <v>1097</v>
      </c>
      <c r="D14" s="196">
        <v>1082</v>
      </c>
      <c r="E14" s="196">
        <v>1105</v>
      </c>
      <c r="F14" s="196">
        <v>1090</v>
      </c>
      <c r="G14" s="196">
        <v>1094</v>
      </c>
      <c r="H14" s="196">
        <v>1117</v>
      </c>
      <c r="I14" s="196">
        <v>1095</v>
      </c>
      <c r="J14" s="196">
        <v>1102</v>
      </c>
      <c r="K14" s="196">
        <v>1101</v>
      </c>
      <c r="L14" s="197">
        <v>1096</v>
      </c>
      <c r="M14" s="197">
        <v>1105</v>
      </c>
      <c r="N14" s="197">
        <v>1101</v>
      </c>
      <c r="O14" s="196">
        <v>1127</v>
      </c>
      <c r="P14" s="196">
        <v>1104</v>
      </c>
      <c r="Q14" s="196">
        <v>1083</v>
      </c>
      <c r="R14" s="196">
        <v>1080</v>
      </c>
      <c r="S14" s="210">
        <v>1071</v>
      </c>
      <c r="T14" s="210">
        <v>1102</v>
      </c>
      <c r="U14" s="211">
        <v>1129</v>
      </c>
      <c r="V14" s="210">
        <v>1128</v>
      </c>
      <c r="W14" s="210">
        <v>1129</v>
      </c>
      <c r="X14" s="212">
        <v>1124</v>
      </c>
      <c r="Y14" s="213">
        <v>1095</v>
      </c>
      <c r="Z14" s="213">
        <v>1117</v>
      </c>
      <c r="AA14" s="196">
        <v>1149</v>
      </c>
      <c r="AC14" s="198">
        <v>2015</v>
      </c>
    </row>
    <row r="15" spans="1:30" x14ac:dyDescent="0.2">
      <c r="A15" s="195" t="s">
        <v>358</v>
      </c>
      <c r="B15" s="204">
        <v>950</v>
      </c>
      <c r="C15" s="196">
        <v>800</v>
      </c>
      <c r="D15" s="196">
        <v>820</v>
      </c>
      <c r="E15" s="196">
        <v>870</v>
      </c>
      <c r="F15" s="196">
        <v>927</v>
      </c>
      <c r="G15" s="196">
        <v>910</v>
      </c>
      <c r="H15" s="196">
        <v>913</v>
      </c>
      <c r="I15" s="196">
        <v>915</v>
      </c>
      <c r="J15" s="196">
        <v>927</v>
      </c>
      <c r="K15" s="196">
        <v>958</v>
      </c>
      <c r="L15" s="197">
        <v>975</v>
      </c>
      <c r="M15" s="197">
        <v>979</v>
      </c>
      <c r="N15" s="197">
        <v>980</v>
      </c>
      <c r="O15" s="196">
        <v>976</v>
      </c>
      <c r="P15" s="196">
        <v>980</v>
      </c>
      <c r="Q15" s="196">
        <v>970</v>
      </c>
      <c r="R15" s="196">
        <v>951</v>
      </c>
      <c r="S15" s="210">
        <v>936</v>
      </c>
      <c r="T15" s="210">
        <v>923</v>
      </c>
      <c r="U15" s="211">
        <v>912</v>
      </c>
      <c r="V15" s="210">
        <v>920</v>
      </c>
      <c r="W15" s="210">
        <v>901</v>
      </c>
      <c r="X15" s="212">
        <v>901</v>
      </c>
      <c r="Y15" s="213">
        <v>898</v>
      </c>
      <c r="Z15" s="213">
        <v>925</v>
      </c>
      <c r="AA15" s="196">
        <v>896</v>
      </c>
      <c r="AC15" s="198">
        <v>2004</v>
      </c>
    </row>
    <row r="16" spans="1:30" x14ac:dyDescent="0.2">
      <c r="A16" s="195" t="s">
        <v>359</v>
      </c>
      <c r="B16" s="204">
        <v>850</v>
      </c>
      <c r="C16" s="196">
        <v>741</v>
      </c>
      <c r="D16" s="196">
        <v>718</v>
      </c>
      <c r="E16" s="196">
        <v>676</v>
      </c>
      <c r="F16" s="196">
        <v>660</v>
      </c>
      <c r="G16" s="196">
        <v>639</v>
      </c>
      <c r="H16" s="196">
        <v>603</v>
      </c>
      <c r="I16" s="196">
        <v>653</v>
      </c>
      <c r="J16" s="196">
        <v>712</v>
      </c>
      <c r="K16" s="196">
        <v>775</v>
      </c>
      <c r="L16" s="197">
        <v>832</v>
      </c>
      <c r="M16" s="197">
        <v>825</v>
      </c>
      <c r="N16" s="197">
        <v>858</v>
      </c>
      <c r="O16" s="196">
        <v>848</v>
      </c>
      <c r="P16" s="196">
        <v>854</v>
      </c>
      <c r="Q16" s="196">
        <v>820</v>
      </c>
      <c r="R16" s="196">
        <v>757</v>
      </c>
      <c r="S16" s="210">
        <v>722</v>
      </c>
      <c r="T16" s="210">
        <v>712</v>
      </c>
      <c r="U16" s="211">
        <v>697</v>
      </c>
      <c r="V16" s="210">
        <v>676</v>
      </c>
      <c r="W16" s="210">
        <v>650</v>
      </c>
      <c r="X16" s="212">
        <v>636</v>
      </c>
      <c r="Y16" s="213">
        <v>605</v>
      </c>
      <c r="Z16" s="213">
        <v>556</v>
      </c>
      <c r="AA16" s="196">
        <v>551</v>
      </c>
      <c r="AC16" s="198">
        <v>2002</v>
      </c>
      <c r="AD16" s="198">
        <v>83.2</v>
      </c>
    </row>
    <row r="17" spans="1:30" x14ac:dyDescent="0.2">
      <c r="A17" s="195" t="s">
        <v>360</v>
      </c>
      <c r="B17" s="204">
        <v>1400</v>
      </c>
      <c r="C17" s="196">
        <v>1302</v>
      </c>
      <c r="D17" s="196">
        <v>1301</v>
      </c>
      <c r="E17" s="196">
        <v>1372</v>
      </c>
      <c r="F17" s="196">
        <v>1366</v>
      </c>
      <c r="G17" s="196">
        <v>1385</v>
      </c>
      <c r="H17" s="196">
        <v>1403</v>
      </c>
      <c r="I17" s="196">
        <v>1400</v>
      </c>
      <c r="J17" s="196">
        <v>1438</v>
      </c>
      <c r="K17" s="196">
        <v>1441</v>
      </c>
      <c r="L17" s="197">
        <v>1455</v>
      </c>
      <c r="M17" s="197">
        <v>1456</v>
      </c>
      <c r="N17" s="197">
        <v>1468</v>
      </c>
      <c r="O17" s="196">
        <v>1458</v>
      </c>
      <c r="P17" s="196">
        <v>1439</v>
      </c>
      <c r="Q17" s="196">
        <v>1451</v>
      </c>
      <c r="R17" s="196">
        <v>1444</v>
      </c>
      <c r="S17" s="210">
        <v>1436</v>
      </c>
      <c r="T17" s="210">
        <v>1430</v>
      </c>
      <c r="U17" s="211">
        <v>1421</v>
      </c>
      <c r="V17" s="210">
        <v>1417</v>
      </c>
      <c r="W17" s="210">
        <v>1342</v>
      </c>
      <c r="X17" s="212">
        <v>1304</v>
      </c>
      <c r="Y17" s="213">
        <v>1334</v>
      </c>
      <c r="Z17" s="213">
        <v>1298</v>
      </c>
      <c r="AA17" s="196">
        <v>1295</v>
      </c>
      <c r="AC17" s="198">
        <v>2002</v>
      </c>
    </row>
    <row r="18" spans="1:30" x14ac:dyDescent="0.2">
      <c r="A18" s="195" t="s">
        <v>361</v>
      </c>
      <c r="B18" s="204">
        <v>1000</v>
      </c>
      <c r="C18" s="196">
        <v>828</v>
      </c>
      <c r="D18" s="196">
        <v>809</v>
      </c>
      <c r="E18" s="196">
        <v>809</v>
      </c>
      <c r="F18" s="196">
        <v>791</v>
      </c>
      <c r="G18" s="196">
        <v>804</v>
      </c>
      <c r="H18" s="196">
        <v>808</v>
      </c>
      <c r="I18" s="196">
        <v>802</v>
      </c>
      <c r="J18" s="196">
        <v>817</v>
      </c>
      <c r="K18" s="196">
        <v>805</v>
      </c>
      <c r="L18" s="197">
        <v>808</v>
      </c>
      <c r="M18" s="197">
        <v>817</v>
      </c>
      <c r="N18" s="197">
        <v>833</v>
      </c>
      <c r="O18" s="196">
        <v>852</v>
      </c>
      <c r="P18" s="196">
        <v>889</v>
      </c>
      <c r="Q18" s="196">
        <v>879</v>
      </c>
      <c r="R18" s="196">
        <v>841</v>
      </c>
      <c r="S18" s="210">
        <v>801</v>
      </c>
      <c r="T18" s="210">
        <v>807</v>
      </c>
      <c r="U18" s="211">
        <v>786</v>
      </c>
      <c r="V18" s="210">
        <v>798</v>
      </c>
      <c r="W18" s="210">
        <v>789</v>
      </c>
      <c r="X18" s="212">
        <v>761</v>
      </c>
      <c r="Y18" s="213">
        <v>774</v>
      </c>
      <c r="Z18" s="213">
        <v>750</v>
      </c>
      <c r="AA18" s="196">
        <v>753</v>
      </c>
      <c r="AC18" s="198">
        <v>2004</v>
      </c>
    </row>
    <row r="19" spans="1:30" s="201" customFormat="1" x14ac:dyDescent="0.2">
      <c r="A19" s="199" t="s">
        <v>362</v>
      </c>
      <c r="B19" s="204">
        <v>900</v>
      </c>
      <c r="C19" s="200">
        <v>550</v>
      </c>
      <c r="D19" s="200">
        <v>553</v>
      </c>
      <c r="E19" s="200">
        <v>598</v>
      </c>
      <c r="F19" s="200">
        <v>607</v>
      </c>
      <c r="G19" s="200">
        <v>641</v>
      </c>
      <c r="H19" s="200">
        <v>703</v>
      </c>
      <c r="I19" s="200">
        <v>754</v>
      </c>
      <c r="J19" s="200">
        <v>791</v>
      </c>
      <c r="K19" s="200">
        <v>874</v>
      </c>
      <c r="L19" s="200">
        <v>939</v>
      </c>
      <c r="M19" s="200">
        <v>888</v>
      </c>
      <c r="N19" s="200">
        <v>874</v>
      </c>
      <c r="O19" s="200">
        <v>851</v>
      </c>
      <c r="P19" s="200">
        <v>831</v>
      </c>
      <c r="Q19" s="200">
        <v>778</v>
      </c>
      <c r="R19" s="200">
        <v>775</v>
      </c>
      <c r="S19" s="210">
        <v>780</v>
      </c>
      <c r="T19" s="210">
        <v>751</v>
      </c>
      <c r="U19" s="211">
        <v>719</v>
      </c>
      <c r="V19" s="210">
        <v>712</v>
      </c>
      <c r="W19" s="210">
        <v>729</v>
      </c>
      <c r="X19" s="215">
        <v>709</v>
      </c>
      <c r="Y19" s="213">
        <v>692</v>
      </c>
      <c r="Z19" s="213">
        <v>688</v>
      </c>
      <c r="AA19" s="200">
        <v>688</v>
      </c>
      <c r="AC19" s="201">
        <v>2002</v>
      </c>
    </row>
    <row r="20" spans="1:30" s="201" customFormat="1" x14ac:dyDescent="0.2">
      <c r="A20" s="199" t="s">
        <v>363</v>
      </c>
      <c r="B20" s="204">
        <v>750</v>
      </c>
      <c r="C20" s="200">
        <v>640</v>
      </c>
      <c r="D20" s="200">
        <v>632</v>
      </c>
      <c r="E20" s="200">
        <v>645</v>
      </c>
      <c r="F20" s="200">
        <v>665</v>
      </c>
      <c r="G20" s="200">
        <v>660</v>
      </c>
      <c r="H20" s="200">
        <v>651</v>
      </c>
      <c r="I20" s="200">
        <v>658</v>
      </c>
      <c r="J20" s="200">
        <v>640</v>
      </c>
      <c r="K20" s="200">
        <v>629</v>
      </c>
      <c r="L20" s="200">
        <v>662</v>
      </c>
      <c r="M20" s="200">
        <v>663</v>
      </c>
      <c r="N20" s="200">
        <v>686</v>
      </c>
      <c r="O20" s="200">
        <v>694</v>
      </c>
      <c r="P20" s="200">
        <v>708</v>
      </c>
      <c r="Q20" s="200">
        <v>734</v>
      </c>
      <c r="R20" s="200">
        <v>729</v>
      </c>
      <c r="S20" s="210">
        <v>713</v>
      </c>
      <c r="T20" s="210">
        <v>744</v>
      </c>
      <c r="U20" s="211">
        <v>764</v>
      </c>
      <c r="V20" s="210">
        <v>770</v>
      </c>
      <c r="W20" s="210">
        <v>763</v>
      </c>
      <c r="X20" s="215">
        <v>767</v>
      </c>
      <c r="Y20" s="213">
        <v>774</v>
      </c>
      <c r="Z20" s="213">
        <v>777</v>
      </c>
      <c r="AA20" s="200">
        <v>786</v>
      </c>
      <c r="AC20" s="201">
        <v>2015</v>
      </c>
    </row>
    <row r="21" spans="1:30" x14ac:dyDescent="0.2">
      <c r="A21" s="195" t="s">
        <v>364</v>
      </c>
      <c r="B21" s="204">
        <v>1200</v>
      </c>
      <c r="C21" s="196">
        <v>987</v>
      </c>
      <c r="D21" s="196">
        <v>1033</v>
      </c>
      <c r="E21" s="196">
        <v>1044</v>
      </c>
      <c r="F21" s="196">
        <v>1058</v>
      </c>
      <c r="G21" s="196">
        <v>1072</v>
      </c>
      <c r="H21" s="196">
        <v>1086</v>
      </c>
      <c r="I21" s="196">
        <v>1076</v>
      </c>
      <c r="J21" s="196">
        <v>1077</v>
      </c>
      <c r="K21" s="196">
        <v>1070</v>
      </c>
      <c r="L21" s="197">
        <v>1096</v>
      </c>
      <c r="M21" s="197">
        <v>1104</v>
      </c>
      <c r="N21" s="197">
        <v>1109</v>
      </c>
      <c r="O21" s="196">
        <v>1109</v>
      </c>
      <c r="P21" s="196">
        <v>1135</v>
      </c>
      <c r="Q21" s="196">
        <v>1153</v>
      </c>
      <c r="R21" s="196">
        <v>1168</v>
      </c>
      <c r="S21" s="210">
        <v>1177</v>
      </c>
      <c r="T21" s="210">
        <v>1198</v>
      </c>
      <c r="U21" s="211">
        <v>1225</v>
      </c>
      <c r="V21" s="210">
        <v>1258</v>
      </c>
      <c r="W21" s="210">
        <v>1250</v>
      </c>
      <c r="X21" s="214">
        <v>1231</v>
      </c>
      <c r="Y21" s="213">
        <v>1236</v>
      </c>
      <c r="Z21" s="213">
        <v>1242</v>
      </c>
      <c r="AA21" s="197">
        <v>1260</v>
      </c>
      <c r="AC21" s="198">
        <v>2015</v>
      </c>
    </row>
    <row r="22" spans="1:30" x14ac:dyDescent="0.2">
      <c r="A22" s="195" t="s">
        <v>365</v>
      </c>
      <c r="B22" s="204">
        <v>950</v>
      </c>
      <c r="C22" s="196">
        <v>807</v>
      </c>
      <c r="D22" s="196">
        <v>829</v>
      </c>
      <c r="E22" s="196">
        <v>887</v>
      </c>
      <c r="F22" s="196">
        <v>916</v>
      </c>
      <c r="G22" s="196">
        <v>880</v>
      </c>
      <c r="H22" s="196">
        <v>901</v>
      </c>
      <c r="I22" s="196">
        <v>895</v>
      </c>
      <c r="J22" s="196">
        <v>921</v>
      </c>
      <c r="K22" s="196">
        <v>957</v>
      </c>
      <c r="L22" s="197">
        <v>970</v>
      </c>
      <c r="M22" s="197">
        <v>983</v>
      </c>
      <c r="N22" s="197">
        <v>1005</v>
      </c>
      <c r="O22" s="196">
        <v>1008</v>
      </c>
      <c r="P22" s="196">
        <v>1001</v>
      </c>
      <c r="Q22" s="196">
        <v>1001</v>
      </c>
      <c r="R22" s="196">
        <v>992</v>
      </c>
      <c r="S22" s="210">
        <v>972</v>
      </c>
      <c r="T22" s="210">
        <v>913</v>
      </c>
      <c r="U22" s="211">
        <v>905</v>
      </c>
      <c r="V22" s="210">
        <v>912</v>
      </c>
      <c r="W22" s="210">
        <v>882</v>
      </c>
      <c r="X22" s="212">
        <v>879</v>
      </c>
      <c r="Y22" s="213">
        <v>851</v>
      </c>
      <c r="Z22" s="213">
        <v>848</v>
      </c>
      <c r="AA22" s="196">
        <v>793</v>
      </c>
      <c r="AC22" s="198">
        <v>2003</v>
      </c>
      <c r="AD22" s="198">
        <v>91.9</v>
      </c>
    </row>
    <row r="23" spans="1:30" x14ac:dyDescent="0.2">
      <c r="A23" s="195" t="s">
        <v>366</v>
      </c>
      <c r="B23" s="204">
        <v>900</v>
      </c>
      <c r="C23" s="196">
        <v>908</v>
      </c>
      <c r="D23" s="196">
        <v>937</v>
      </c>
      <c r="E23" s="196">
        <v>943</v>
      </c>
      <c r="F23" s="196">
        <v>923</v>
      </c>
      <c r="G23" s="196">
        <v>857</v>
      </c>
      <c r="H23" s="196">
        <v>830</v>
      </c>
      <c r="I23" s="196">
        <v>811</v>
      </c>
      <c r="J23" s="196">
        <v>760</v>
      </c>
      <c r="K23" s="196">
        <v>764</v>
      </c>
      <c r="L23" s="197">
        <v>774</v>
      </c>
      <c r="M23" s="197">
        <v>792</v>
      </c>
      <c r="N23" s="197">
        <v>780</v>
      </c>
      <c r="O23" s="196">
        <v>769</v>
      </c>
      <c r="P23" s="196">
        <v>754</v>
      </c>
      <c r="Q23" s="196">
        <v>720</v>
      </c>
      <c r="R23" s="196">
        <v>700</v>
      </c>
      <c r="S23" s="210">
        <v>641</v>
      </c>
      <c r="T23" s="210">
        <v>627</v>
      </c>
      <c r="U23" s="211">
        <v>562</v>
      </c>
      <c r="V23" s="210">
        <v>576</v>
      </c>
      <c r="W23" s="210">
        <v>560</v>
      </c>
      <c r="X23" s="212">
        <v>530</v>
      </c>
      <c r="Y23" s="213">
        <v>524</v>
      </c>
      <c r="Z23" s="213">
        <v>523</v>
      </c>
      <c r="AA23" s="196">
        <v>519</v>
      </c>
      <c r="AC23" s="198">
        <v>2002</v>
      </c>
    </row>
    <row r="24" spans="1:30" ht="13.5" thickBot="1" x14ac:dyDescent="0.25">
      <c r="A24" s="195" t="s">
        <v>367</v>
      </c>
      <c r="B24" s="204">
        <v>750</v>
      </c>
      <c r="C24" s="196">
        <v>393</v>
      </c>
      <c r="D24" s="196">
        <v>365</v>
      </c>
      <c r="E24" s="196">
        <v>347</v>
      </c>
      <c r="F24" s="196">
        <v>386</v>
      </c>
      <c r="G24" s="196">
        <v>449</v>
      </c>
      <c r="H24" s="196">
        <v>488</v>
      </c>
      <c r="I24" s="196">
        <v>506</v>
      </c>
      <c r="J24" s="196">
        <v>558</v>
      </c>
      <c r="K24" s="196">
        <v>576</v>
      </c>
      <c r="L24" s="197">
        <v>538</v>
      </c>
      <c r="M24" s="197">
        <v>527</v>
      </c>
      <c r="N24" s="197">
        <v>511</v>
      </c>
      <c r="O24" s="196">
        <v>490</v>
      </c>
      <c r="P24" s="196">
        <v>459</v>
      </c>
      <c r="Q24" s="196">
        <v>463</v>
      </c>
      <c r="R24" s="196">
        <v>439</v>
      </c>
      <c r="S24" s="210">
        <v>408</v>
      </c>
      <c r="T24" s="210">
        <v>403</v>
      </c>
      <c r="U24" s="211">
        <v>407</v>
      </c>
      <c r="V24" s="210">
        <v>375</v>
      </c>
      <c r="W24" s="210">
        <v>345</v>
      </c>
      <c r="X24" s="212">
        <v>303</v>
      </c>
      <c r="Y24" s="213">
        <v>296</v>
      </c>
      <c r="Z24" s="213">
        <v>274</v>
      </c>
      <c r="AA24" s="196">
        <v>290</v>
      </c>
      <c r="AC24" s="198">
        <v>2002</v>
      </c>
    </row>
    <row r="25" spans="1:30" x14ac:dyDescent="0.2">
      <c r="A25" s="216" t="s">
        <v>315</v>
      </c>
      <c r="B25" s="217"/>
      <c r="C25" s="218">
        <v>17311</v>
      </c>
      <c r="D25" s="218">
        <v>17586</v>
      </c>
      <c r="E25" s="218">
        <v>18075</v>
      </c>
      <c r="F25" s="218">
        <v>18370</v>
      </c>
      <c r="G25" s="218">
        <v>18429</v>
      </c>
      <c r="H25" s="218">
        <v>18760</v>
      </c>
      <c r="I25" s="218">
        <v>18774</v>
      </c>
      <c r="J25" s="218">
        <v>19010</v>
      </c>
      <c r="K25" s="218">
        <v>19503</v>
      </c>
      <c r="L25" s="218">
        <v>19906</v>
      </c>
      <c r="M25" s="218">
        <v>20011</v>
      </c>
      <c r="N25" s="218">
        <v>20213</v>
      </c>
      <c r="O25" s="218">
        <v>20245</v>
      </c>
      <c r="P25" s="218">
        <v>20140</v>
      </c>
      <c r="Q25" s="218">
        <v>19970</v>
      </c>
      <c r="R25" s="218">
        <v>19689</v>
      </c>
      <c r="S25" s="219">
        <f>SUM(S2:S24)</f>
        <v>19438</v>
      </c>
      <c r="T25" s="219">
        <f t="shared" ref="T25:AA25" si="0">SUM(T2:T24)</f>
        <v>19212</v>
      </c>
      <c r="U25" s="219">
        <f t="shared" si="0"/>
        <v>19101</v>
      </c>
      <c r="V25" s="219">
        <f t="shared" si="0"/>
        <v>18964</v>
      </c>
      <c r="W25" s="219">
        <f t="shared" si="0"/>
        <v>18721</v>
      </c>
      <c r="X25" s="219">
        <f t="shared" si="0"/>
        <v>18514</v>
      </c>
      <c r="Y25" s="219">
        <f t="shared" si="0"/>
        <v>18366</v>
      </c>
      <c r="Z25" s="219">
        <f t="shared" si="0"/>
        <v>18279</v>
      </c>
      <c r="AA25" s="219">
        <f t="shared" si="0"/>
        <v>18163</v>
      </c>
    </row>
    <row r="28" spans="1:30" ht="13.5" thickBot="1" x14ac:dyDescent="0.25">
      <c r="A28" s="192"/>
      <c r="B28" s="193" t="s">
        <v>368</v>
      </c>
      <c r="C28" s="193">
        <v>1991</v>
      </c>
      <c r="D28" s="193">
        <v>1992</v>
      </c>
      <c r="E28" s="193">
        <v>1993</v>
      </c>
      <c r="F28" s="193">
        <v>1994</v>
      </c>
      <c r="G28" s="193">
        <v>1995</v>
      </c>
      <c r="H28" s="193">
        <v>1996</v>
      </c>
      <c r="I28" s="193">
        <v>1997</v>
      </c>
      <c r="J28" s="193">
        <v>1998</v>
      </c>
      <c r="K28" s="193">
        <v>1999</v>
      </c>
      <c r="L28" s="193">
        <v>2000</v>
      </c>
      <c r="M28" s="193">
        <v>2001</v>
      </c>
      <c r="N28" s="193">
        <v>2002</v>
      </c>
      <c r="O28" s="193">
        <v>2003</v>
      </c>
      <c r="P28" s="193">
        <v>2004</v>
      </c>
      <c r="Q28" s="193">
        <v>2005</v>
      </c>
      <c r="R28" s="193">
        <v>2006</v>
      </c>
      <c r="S28" s="193">
        <v>2007</v>
      </c>
      <c r="T28" s="193">
        <v>2008</v>
      </c>
      <c r="U28" s="193">
        <v>2009</v>
      </c>
      <c r="V28" s="193">
        <v>2010</v>
      </c>
      <c r="W28" s="193">
        <v>2011</v>
      </c>
      <c r="X28" s="193">
        <v>2012</v>
      </c>
      <c r="Y28" s="193">
        <v>2013</v>
      </c>
      <c r="Z28" s="193">
        <v>2014</v>
      </c>
      <c r="AA28" s="193">
        <v>2015</v>
      </c>
    </row>
    <row r="29" spans="1:30" x14ac:dyDescent="0.2">
      <c r="A29" s="195" t="s">
        <v>345</v>
      </c>
      <c r="B29" s="204">
        <v>850</v>
      </c>
      <c r="C29" s="220">
        <f>C2/$B$2</f>
        <v>0.94352941176470584</v>
      </c>
      <c r="D29" s="220">
        <f t="shared" ref="D29:AA29" si="1">D2/$B$2</f>
        <v>0.97176470588235297</v>
      </c>
      <c r="E29" s="220">
        <f t="shared" si="1"/>
        <v>0.99058823529411766</v>
      </c>
      <c r="F29" s="220">
        <f t="shared" si="1"/>
        <v>0.99058823529411766</v>
      </c>
      <c r="G29" s="220">
        <f t="shared" si="1"/>
        <v>1.0235294117647058</v>
      </c>
      <c r="H29" s="220">
        <f t="shared" si="1"/>
        <v>1.0411764705882354</v>
      </c>
      <c r="I29" s="220">
        <f t="shared" si="1"/>
        <v>1.0305882352941176</v>
      </c>
      <c r="J29" s="220">
        <f t="shared" si="1"/>
        <v>1.0035294117647058</v>
      </c>
      <c r="K29" s="220">
        <f t="shared" si="1"/>
        <v>1.0047058823529411</v>
      </c>
      <c r="L29" s="220">
        <f t="shared" si="1"/>
        <v>1</v>
      </c>
      <c r="M29" s="220">
        <f t="shared" si="1"/>
        <v>0.96823529411764708</v>
      </c>
      <c r="N29" s="220">
        <f t="shared" si="1"/>
        <v>0.98235294117647054</v>
      </c>
      <c r="O29" s="220">
        <f t="shared" si="1"/>
        <v>0.97529411764705887</v>
      </c>
      <c r="P29" s="220">
        <f t="shared" si="1"/>
        <v>0.97764705882352942</v>
      </c>
      <c r="Q29" s="220">
        <f t="shared" si="1"/>
        <v>0.95176470588235296</v>
      </c>
      <c r="R29" s="220">
        <f t="shared" si="1"/>
        <v>0.91176470588235292</v>
      </c>
      <c r="S29" s="220">
        <f t="shared" si="1"/>
        <v>0.88235294117647056</v>
      </c>
      <c r="T29" s="220">
        <f t="shared" si="1"/>
        <v>0.92</v>
      </c>
      <c r="U29" s="220">
        <f t="shared" si="1"/>
        <v>0.91647058823529415</v>
      </c>
      <c r="V29" s="220">
        <f t="shared" si="1"/>
        <v>0.93882352941176472</v>
      </c>
      <c r="W29" s="220">
        <f t="shared" si="1"/>
        <v>0.9223529411764706</v>
      </c>
      <c r="X29" s="220">
        <f t="shared" si="1"/>
        <v>0.89647058823529413</v>
      </c>
      <c r="Y29" s="220">
        <f t="shared" si="1"/>
        <v>0.87176470588235289</v>
      </c>
      <c r="Z29" s="220">
        <f t="shared" si="1"/>
        <v>0.85176470588235298</v>
      </c>
      <c r="AA29" s="220">
        <f t="shared" si="1"/>
        <v>0.82352941176470584</v>
      </c>
    </row>
    <row r="30" spans="1:30" x14ac:dyDescent="0.2">
      <c r="A30" s="195" t="s">
        <v>346</v>
      </c>
      <c r="B30" s="204">
        <v>1165</v>
      </c>
      <c r="C30" s="220">
        <f>C3/$B$3</f>
        <v>0.86266094420600858</v>
      </c>
      <c r="D30" s="220">
        <f t="shared" ref="D30:AA30" si="2">D3/$B$3</f>
        <v>0.89442060085836905</v>
      </c>
      <c r="E30" s="220">
        <f t="shared" si="2"/>
        <v>0.90472103004291848</v>
      </c>
      <c r="F30" s="220">
        <f t="shared" si="2"/>
        <v>0.93218884120171674</v>
      </c>
      <c r="G30" s="220">
        <f t="shared" si="2"/>
        <v>0.92017167381974252</v>
      </c>
      <c r="H30" s="220">
        <f t="shared" si="2"/>
        <v>0.92875536480686693</v>
      </c>
      <c r="I30" s="220">
        <f t="shared" si="2"/>
        <v>0.91158798283261799</v>
      </c>
      <c r="J30" s="220">
        <f t="shared" si="2"/>
        <v>0.9107296137339056</v>
      </c>
      <c r="K30" s="220">
        <f t="shared" si="2"/>
        <v>0.93648068669527895</v>
      </c>
      <c r="L30" s="220">
        <f t="shared" si="2"/>
        <v>0.96652360515021463</v>
      </c>
      <c r="M30" s="220">
        <f t="shared" si="2"/>
        <v>0.93133047210300424</v>
      </c>
      <c r="N30" s="220">
        <f t="shared" si="2"/>
        <v>0.9570815450643777</v>
      </c>
      <c r="O30" s="220">
        <f t="shared" si="2"/>
        <v>0.95193133047210299</v>
      </c>
      <c r="P30" s="220">
        <f t="shared" si="2"/>
        <v>0.94077253218884116</v>
      </c>
      <c r="Q30" s="220">
        <f t="shared" si="2"/>
        <v>0.95107296137339059</v>
      </c>
      <c r="R30" s="220">
        <f t="shared" si="2"/>
        <v>0.94248927038626606</v>
      </c>
      <c r="S30" s="220">
        <f t="shared" si="2"/>
        <v>0.93819742489270386</v>
      </c>
      <c r="T30" s="220">
        <f t="shared" si="2"/>
        <v>0.92789699570815454</v>
      </c>
      <c r="U30" s="220">
        <f t="shared" si="2"/>
        <v>0.93476394849785405</v>
      </c>
      <c r="V30" s="220">
        <f t="shared" si="2"/>
        <v>0.95193133047210299</v>
      </c>
      <c r="W30" s="220">
        <f t="shared" si="2"/>
        <v>0.97768240343347634</v>
      </c>
      <c r="X30" s="220">
        <f t="shared" si="2"/>
        <v>0.98884120171673817</v>
      </c>
      <c r="Y30" s="220">
        <f t="shared" si="2"/>
        <v>0.98283261802575106</v>
      </c>
      <c r="Z30" s="220">
        <f t="shared" si="2"/>
        <v>0.98025751072961376</v>
      </c>
      <c r="AA30" s="220">
        <f t="shared" si="2"/>
        <v>0.99484978540772528</v>
      </c>
    </row>
    <row r="31" spans="1:30" x14ac:dyDescent="0.2">
      <c r="A31" s="195" t="s">
        <v>347</v>
      </c>
      <c r="B31" s="204">
        <v>1200</v>
      </c>
      <c r="C31" s="220">
        <f>C4/$B$4</f>
        <v>0.85250000000000004</v>
      </c>
      <c r="D31" s="220">
        <f t="shared" ref="D31:AA31" si="3">D4/$B$4</f>
        <v>0.86</v>
      </c>
      <c r="E31" s="220">
        <f t="shared" si="3"/>
        <v>0.85333333333333339</v>
      </c>
      <c r="F31" s="220">
        <f t="shared" si="3"/>
        <v>0.87250000000000005</v>
      </c>
      <c r="G31" s="220">
        <f t="shared" si="3"/>
        <v>0.87083333333333335</v>
      </c>
      <c r="H31" s="220">
        <f t="shared" si="3"/>
        <v>0.84166666666666667</v>
      </c>
      <c r="I31" s="220">
        <f t="shared" si="3"/>
        <v>0.80249999999999999</v>
      </c>
      <c r="J31" s="220">
        <f t="shared" si="3"/>
        <v>0.81499999999999995</v>
      </c>
      <c r="K31" s="220">
        <f t="shared" si="3"/>
        <v>0.87583333333333335</v>
      </c>
      <c r="L31" s="220">
        <f t="shared" si="3"/>
        <v>0.91749999999999998</v>
      </c>
      <c r="M31" s="220">
        <f t="shared" si="3"/>
        <v>0.97166666666666668</v>
      </c>
      <c r="N31" s="220">
        <f t="shared" si="3"/>
        <v>0.97083333333333333</v>
      </c>
      <c r="O31" s="220">
        <f t="shared" si="3"/>
        <v>0.9325</v>
      </c>
      <c r="P31" s="220">
        <f t="shared" si="3"/>
        <v>0.90833333333333333</v>
      </c>
      <c r="Q31" s="220">
        <f t="shared" si="3"/>
        <v>0.85416666666666663</v>
      </c>
      <c r="R31" s="220">
        <f t="shared" si="3"/>
        <v>0.85083333333333333</v>
      </c>
      <c r="S31" s="220">
        <f t="shared" si="3"/>
        <v>0.77416666666666667</v>
      </c>
      <c r="T31" s="220">
        <f t="shared" si="3"/>
        <v>0.77749999999999997</v>
      </c>
      <c r="U31" s="220">
        <f t="shared" si="3"/>
        <v>0.7583333333333333</v>
      </c>
      <c r="V31" s="220">
        <f t="shared" si="3"/>
        <v>0.74583333333333335</v>
      </c>
      <c r="W31" s="220">
        <f t="shared" si="3"/>
        <v>0.75666666666666671</v>
      </c>
      <c r="X31" s="220">
        <f t="shared" si="3"/>
        <v>0.76666666666666672</v>
      </c>
      <c r="Y31" s="220">
        <f t="shared" si="3"/>
        <v>0.81499999999999995</v>
      </c>
      <c r="Z31" s="220">
        <f t="shared" si="3"/>
        <v>0.88249999999999995</v>
      </c>
      <c r="AA31" s="220">
        <f t="shared" si="3"/>
        <v>0.88916666666666666</v>
      </c>
    </row>
    <row r="32" spans="1:30" x14ac:dyDescent="0.2">
      <c r="A32" s="195" t="s">
        <v>348</v>
      </c>
      <c r="B32" s="204">
        <v>600</v>
      </c>
      <c r="C32" s="220">
        <f>C5/$B$5</f>
        <v>0.47666666666666668</v>
      </c>
      <c r="D32" s="220">
        <f t="shared" ref="D32:AA32" si="4">D5/$B$5</f>
        <v>0.45666666666666667</v>
      </c>
      <c r="E32" s="220">
        <f t="shared" si="4"/>
        <v>0.51333333333333331</v>
      </c>
      <c r="F32" s="220">
        <f t="shared" si="4"/>
        <v>0.49166666666666664</v>
      </c>
      <c r="G32" s="220">
        <f t="shared" si="4"/>
        <v>0.45500000000000002</v>
      </c>
      <c r="H32" s="220">
        <f t="shared" si="4"/>
        <v>0.46500000000000002</v>
      </c>
      <c r="I32" s="220">
        <f t="shared" si="4"/>
        <v>0.47166666666666668</v>
      </c>
      <c r="J32" s="220">
        <f t="shared" si="4"/>
        <v>0.48833333333333334</v>
      </c>
      <c r="K32" s="220">
        <f t="shared" si="4"/>
        <v>0.54500000000000004</v>
      </c>
      <c r="L32" s="220">
        <f t="shared" si="4"/>
        <v>0.57999999999999996</v>
      </c>
      <c r="M32" s="220">
        <f t="shared" si="4"/>
        <v>0.60333333333333339</v>
      </c>
      <c r="N32" s="220">
        <f t="shared" si="4"/>
        <v>0.64500000000000002</v>
      </c>
      <c r="O32" s="220">
        <f t="shared" si="4"/>
        <v>0.61333333333333329</v>
      </c>
      <c r="P32" s="220">
        <f t="shared" si="4"/>
        <v>0.56499999999999995</v>
      </c>
      <c r="Q32" s="220">
        <f t="shared" si="4"/>
        <v>0.52833333333333332</v>
      </c>
      <c r="R32" s="220">
        <f t="shared" si="4"/>
        <v>0.47666666666666668</v>
      </c>
      <c r="S32" s="220">
        <f t="shared" si="4"/>
        <v>0.49833333333333335</v>
      </c>
      <c r="T32" s="220">
        <f t="shared" si="4"/>
        <v>0.45833333333333331</v>
      </c>
      <c r="U32" s="220">
        <f t="shared" si="4"/>
        <v>0.46833333333333332</v>
      </c>
      <c r="V32" s="220">
        <f t="shared" si="4"/>
        <v>0.42666666666666669</v>
      </c>
      <c r="W32" s="220">
        <f t="shared" si="4"/>
        <v>0.41833333333333333</v>
      </c>
      <c r="X32" s="220">
        <f t="shared" si="4"/>
        <v>0.33</v>
      </c>
      <c r="Y32" s="220">
        <f t="shared" si="4"/>
        <v>0.22166666666666668</v>
      </c>
      <c r="Z32" s="220">
        <f t="shared" si="4"/>
        <v>0.21333333333333335</v>
      </c>
      <c r="AA32" s="220">
        <f t="shared" si="4"/>
        <v>0.19666666666666666</v>
      </c>
    </row>
    <row r="33" spans="1:27" x14ac:dyDescent="0.2">
      <c r="A33" s="195" t="s">
        <v>349</v>
      </c>
      <c r="B33" s="204">
        <v>1400</v>
      </c>
      <c r="C33" s="220">
        <f>C6/$B$6</f>
        <v>0.78857142857142859</v>
      </c>
      <c r="D33" s="220">
        <f t="shared" ref="D33:AA33" si="5">D6/$B$6</f>
        <v>0.80714285714285716</v>
      </c>
      <c r="E33" s="220">
        <f t="shared" si="5"/>
        <v>0.85357142857142854</v>
      </c>
      <c r="F33" s="220">
        <f t="shared" si="5"/>
        <v>0.89</v>
      </c>
      <c r="G33" s="220">
        <f t="shared" si="5"/>
        <v>0.87785714285714289</v>
      </c>
      <c r="H33" s="220">
        <f t="shared" si="5"/>
        <v>0.9285714285714286</v>
      </c>
      <c r="I33" s="220">
        <f t="shared" si="5"/>
        <v>0.91214285714285714</v>
      </c>
      <c r="J33" s="220">
        <f t="shared" si="5"/>
        <v>0.91785714285714282</v>
      </c>
      <c r="K33" s="220">
        <f t="shared" si="5"/>
        <v>0.91857142857142859</v>
      </c>
      <c r="L33" s="220">
        <f t="shared" si="5"/>
        <v>0.92500000000000004</v>
      </c>
      <c r="M33" s="220">
        <f t="shared" si="5"/>
        <v>0.9285714285714286</v>
      </c>
      <c r="N33" s="220">
        <f t="shared" si="5"/>
        <v>0.95785714285714285</v>
      </c>
      <c r="O33" s="220">
        <f t="shared" si="5"/>
        <v>0.95357142857142863</v>
      </c>
      <c r="P33" s="220">
        <f t="shared" si="5"/>
        <v>0.95499999999999996</v>
      </c>
      <c r="Q33" s="220">
        <f t="shared" si="5"/>
        <v>0.97857142857142854</v>
      </c>
      <c r="R33" s="220">
        <f t="shared" si="5"/>
        <v>0.9921428571428571</v>
      </c>
      <c r="S33" s="220">
        <f t="shared" si="5"/>
        <v>0.97428571428571431</v>
      </c>
      <c r="T33" s="220">
        <f t="shared" si="5"/>
        <v>0.96357142857142852</v>
      </c>
      <c r="U33" s="220">
        <f t="shared" si="5"/>
        <v>0.98357142857142854</v>
      </c>
      <c r="V33" s="220">
        <f t="shared" si="5"/>
        <v>0.95428571428571429</v>
      </c>
      <c r="W33" s="220">
        <f t="shared" si="5"/>
        <v>0.90785714285714281</v>
      </c>
      <c r="X33" s="220">
        <f t="shared" si="5"/>
        <v>0.90571428571428569</v>
      </c>
      <c r="Y33" s="220">
        <f t="shared" si="5"/>
        <v>0.86357142857142855</v>
      </c>
      <c r="Z33" s="220">
        <f t="shared" si="5"/>
        <v>0.81357142857142861</v>
      </c>
      <c r="AA33" s="220">
        <f t="shared" si="5"/>
        <v>0.7985714285714286</v>
      </c>
    </row>
    <row r="34" spans="1:27" x14ac:dyDescent="0.2">
      <c r="A34" s="195" t="s">
        <v>350</v>
      </c>
      <c r="B34" s="204">
        <v>600</v>
      </c>
      <c r="C34" s="220">
        <f>C7/$B$7</f>
        <v>0.51</v>
      </c>
      <c r="D34" s="220">
        <f t="shared" ref="D34:AA34" si="6">D7/$B$7</f>
        <v>0.50666666666666671</v>
      </c>
      <c r="E34" s="220">
        <f t="shared" si="6"/>
        <v>0.55666666666666664</v>
      </c>
      <c r="F34" s="220">
        <f t="shared" si="6"/>
        <v>0.54666666666666663</v>
      </c>
      <c r="G34" s="220">
        <f t="shared" si="6"/>
        <v>0.55000000000000004</v>
      </c>
      <c r="H34" s="220">
        <f t="shared" si="6"/>
        <v>0.64333333333333331</v>
      </c>
      <c r="I34" s="220">
        <f t="shared" si="6"/>
        <v>0.73166666666666669</v>
      </c>
      <c r="J34" s="220">
        <f t="shared" si="6"/>
        <v>0.76166666666666671</v>
      </c>
      <c r="K34" s="220">
        <f t="shared" si="6"/>
        <v>0.79666666666666663</v>
      </c>
      <c r="L34" s="220">
        <f t="shared" si="6"/>
        <v>0.80500000000000005</v>
      </c>
      <c r="M34" s="220">
        <f t="shared" si="6"/>
        <v>0.81</v>
      </c>
      <c r="N34" s="220">
        <f t="shared" si="6"/>
        <v>0.82666666666666666</v>
      </c>
      <c r="O34" s="220">
        <f t="shared" si="6"/>
        <v>0.80166666666666664</v>
      </c>
      <c r="P34" s="220">
        <f t="shared" si="6"/>
        <v>0.76666666666666672</v>
      </c>
      <c r="Q34" s="220">
        <f t="shared" si="6"/>
        <v>0.7533333333333333</v>
      </c>
      <c r="R34" s="220">
        <f t="shared" si="6"/>
        <v>0.72</v>
      </c>
      <c r="S34" s="220">
        <f t="shared" si="6"/>
        <v>0.78666666666666663</v>
      </c>
      <c r="T34" s="220">
        <f t="shared" si="6"/>
        <v>0.71</v>
      </c>
      <c r="U34" s="220">
        <f t="shared" si="6"/>
        <v>0.66166666666666663</v>
      </c>
      <c r="V34" s="220">
        <f t="shared" si="6"/>
        <v>0.61</v>
      </c>
      <c r="W34" s="220">
        <f t="shared" si="6"/>
        <v>0.66666666666666663</v>
      </c>
      <c r="X34" s="220">
        <f t="shared" si="6"/>
        <v>0.67333333333333334</v>
      </c>
      <c r="Y34" s="220">
        <f t="shared" si="6"/>
        <v>0.68833333333333335</v>
      </c>
      <c r="Z34" s="220">
        <f t="shared" si="6"/>
        <v>0.71666666666666667</v>
      </c>
      <c r="AA34" s="220">
        <f t="shared" si="6"/>
        <v>0.78833333333333333</v>
      </c>
    </row>
    <row r="35" spans="1:27" x14ac:dyDescent="0.2">
      <c r="A35" s="195" t="s">
        <v>351</v>
      </c>
      <c r="B35" s="204">
        <v>900</v>
      </c>
      <c r="C35" s="220">
        <f>C8/$B$8</f>
        <v>0.98777777777777775</v>
      </c>
      <c r="D35" s="220">
        <f t="shared" ref="D35:AA35" si="7">D8/$B$8</f>
        <v>0.98555555555555552</v>
      </c>
      <c r="E35" s="220">
        <f t="shared" si="7"/>
        <v>0.98111111111111116</v>
      </c>
      <c r="F35" s="220">
        <f t="shared" si="7"/>
        <v>0.99222222222222223</v>
      </c>
      <c r="G35" s="220">
        <f t="shared" si="7"/>
        <v>0.97444444444444445</v>
      </c>
      <c r="H35" s="220">
        <f t="shared" si="7"/>
        <v>0.9588888888888889</v>
      </c>
      <c r="I35" s="220">
        <f t="shared" si="7"/>
        <v>0.93222222222222217</v>
      </c>
      <c r="J35" s="220">
        <f t="shared" si="7"/>
        <v>0.95111111111111113</v>
      </c>
      <c r="K35" s="220">
        <f t="shared" si="7"/>
        <v>0.96777777777777774</v>
      </c>
      <c r="L35" s="220">
        <f t="shared" si="7"/>
        <v>0.97222222222222221</v>
      </c>
      <c r="M35" s="220">
        <f t="shared" si="7"/>
        <v>0.99888888888888894</v>
      </c>
      <c r="N35" s="220">
        <f t="shared" si="7"/>
        <v>1.0477777777777777</v>
      </c>
      <c r="O35" s="220">
        <f t="shared" si="7"/>
        <v>1.0677777777777777</v>
      </c>
      <c r="P35" s="220">
        <f t="shared" si="7"/>
        <v>1.0788888888888888</v>
      </c>
      <c r="Q35" s="220">
        <f t="shared" si="7"/>
        <v>1.07</v>
      </c>
      <c r="R35" s="220">
        <f t="shared" si="7"/>
        <v>1.0744444444444445</v>
      </c>
      <c r="S35" s="220">
        <f t="shared" si="7"/>
        <v>1.068888888888889</v>
      </c>
      <c r="T35" s="220">
        <f t="shared" si="7"/>
        <v>1.0033333333333334</v>
      </c>
      <c r="U35" s="220">
        <f t="shared" si="7"/>
        <v>1.0233333333333334</v>
      </c>
      <c r="V35" s="220">
        <f t="shared" si="7"/>
        <v>0.9655555555555555</v>
      </c>
      <c r="W35" s="220">
        <f t="shared" si="7"/>
        <v>0.90222222222222226</v>
      </c>
      <c r="X35" s="220">
        <f t="shared" si="7"/>
        <v>0.86222222222222222</v>
      </c>
      <c r="Y35" s="220">
        <f t="shared" si="7"/>
        <v>0.86111111111111116</v>
      </c>
      <c r="Z35" s="220">
        <f t="shared" si="7"/>
        <v>0.84666666666666668</v>
      </c>
      <c r="AA35" s="220">
        <f t="shared" si="7"/>
        <v>0.80222222222222217</v>
      </c>
    </row>
    <row r="36" spans="1:27" x14ac:dyDescent="0.2">
      <c r="A36" s="195" t="s">
        <v>352</v>
      </c>
      <c r="B36" s="204">
        <v>600</v>
      </c>
      <c r="C36" s="220">
        <f>C9/$B$9</f>
        <v>0.68833333333333335</v>
      </c>
      <c r="D36" s="220">
        <f t="shared" ref="D36:AA36" si="8">D9/$B$9</f>
        <v>0.71499999999999997</v>
      </c>
      <c r="E36" s="220">
        <f t="shared" si="8"/>
        <v>0.72833333333333339</v>
      </c>
      <c r="F36" s="220">
        <f t="shared" si="8"/>
        <v>0.70333333333333337</v>
      </c>
      <c r="G36" s="220">
        <f t="shared" si="8"/>
        <v>0.66666666666666663</v>
      </c>
      <c r="H36" s="220">
        <f t="shared" si="8"/>
        <v>0.64166666666666672</v>
      </c>
      <c r="I36" s="220">
        <f t="shared" si="8"/>
        <v>0.60833333333333328</v>
      </c>
      <c r="J36" s="220">
        <f t="shared" si="8"/>
        <v>0.60499999999999998</v>
      </c>
      <c r="K36" s="220">
        <f t="shared" si="8"/>
        <v>0.71</v>
      </c>
      <c r="L36" s="220">
        <f t="shared" si="8"/>
        <v>0.72166666666666668</v>
      </c>
      <c r="M36" s="220">
        <f t="shared" si="8"/>
        <v>0.73166666666666669</v>
      </c>
      <c r="N36" s="220">
        <f t="shared" si="8"/>
        <v>0.7533333333333333</v>
      </c>
      <c r="O36" s="220">
        <f t="shared" si="8"/>
        <v>0.77166666666666661</v>
      </c>
      <c r="P36" s="220">
        <f t="shared" si="8"/>
        <v>0.77333333333333332</v>
      </c>
      <c r="Q36" s="220">
        <f t="shared" si="8"/>
        <v>0.79500000000000004</v>
      </c>
      <c r="R36" s="220">
        <f t="shared" si="8"/>
        <v>0.78500000000000003</v>
      </c>
      <c r="S36" s="220">
        <f t="shared" si="8"/>
        <v>0.82</v>
      </c>
      <c r="T36" s="220">
        <f t="shared" si="8"/>
        <v>0.81</v>
      </c>
      <c r="U36" s="220">
        <f t="shared" si="8"/>
        <v>0.76333333333333331</v>
      </c>
      <c r="V36" s="220">
        <f t="shared" si="8"/>
        <v>0.73666666666666669</v>
      </c>
      <c r="W36" s="220">
        <f t="shared" si="8"/>
        <v>0.76333333333333331</v>
      </c>
      <c r="X36" s="220">
        <f t="shared" si="8"/>
        <v>0.76666666666666672</v>
      </c>
      <c r="Y36" s="220">
        <f t="shared" si="8"/>
        <v>0.68833333333333335</v>
      </c>
      <c r="Z36" s="220">
        <f t="shared" si="8"/>
        <v>0.64500000000000002</v>
      </c>
      <c r="AA36" s="220">
        <f t="shared" si="8"/>
        <v>0.58666666666666667</v>
      </c>
    </row>
    <row r="37" spans="1:27" x14ac:dyDescent="0.2">
      <c r="A37" s="195" t="s">
        <v>353</v>
      </c>
      <c r="B37" s="204">
        <v>1150</v>
      </c>
      <c r="C37" s="220">
        <f>C10/$B$10</f>
        <v>0.60608695652173916</v>
      </c>
      <c r="D37" s="220">
        <f t="shared" ref="D37:AA37" si="9">D10/$B$10</f>
        <v>0.60608695652173916</v>
      </c>
      <c r="E37" s="220">
        <f t="shared" si="9"/>
        <v>0.57913043478260873</v>
      </c>
      <c r="F37" s="220">
        <f t="shared" si="9"/>
        <v>0.63478260869565217</v>
      </c>
      <c r="G37" s="220">
        <f t="shared" si="9"/>
        <v>0.67652173913043478</v>
      </c>
      <c r="H37" s="220">
        <f t="shared" si="9"/>
        <v>0.69826086956521738</v>
      </c>
      <c r="I37" s="220">
        <f t="shared" si="9"/>
        <v>0.72521739130434781</v>
      </c>
      <c r="J37" s="220">
        <f t="shared" si="9"/>
        <v>0.76782608695652177</v>
      </c>
      <c r="K37" s="220">
        <f t="shared" si="9"/>
        <v>0.78956521739130436</v>
      </c>
      <c r="L37" s="220">
        <f t="shared" si="9"/>
        <v>0.85130434782608699</v>
      </c>
      <c r="M37" s="220">
        <f t="shared" si="9"/>
        <v>0.89304347826086961</v>
      </c>
      <c r="N37" s="220">
        <f t="shared" si="9"/>
        <v>0.88521739130434784</v>
      </c>
      <c r="O37" s="220">
        <f t="shared" si="9"/>
        <v>0.96695652173913038</v>
      </c>
      <c r="P37" s="220">
        <f t="shared" si="9"/>
        <v>0.9826086956521739</v>
      </c>
      <c r="Q37" s="220">
        <f t="shared" si="9"/>
        <v>0.99217391304347824</v>
      </c>
      <c r="R37" s="220">
        <f t="shared" si="9"/>
        <v>1.0034782608695652</v>
      </c>
      <c r="S37" s="220">
        <f t="shared" si="9"/>
        <v>1.0121739130434784</v>
      </c>
      <c r="T37" s="220">
        <f t="shared" si="9"/>
        <v>1.0139130434782608</v>
      </c>
      <c r="U37" s="220">
        <f t="shared" si="9"/>
        <v>1.0008695652173913</v>
      </c>
      <c r="V37" s="220">
        <f t="shared" si="9"/>
        <v>0.97478260869565214</v>
      </c>
      <c r="W37" s="220">
        <f t="shared" si="9"/>
        <v>0.96608695652173915</v>
      </c>
      <c r="X37" s="220">
        <f t="shared" si="9"/>
        <v>0.97652173913043483</v>
      </c>
      <c r="Y37" s="220">
        <f t="shared" si="9"/>
        <v>0.98</v>
      </c>
      <c r="Z37" s="220">
        <f t="shared" si="9"/>
        <v>0.94782608695652171</v>
      </c>
      <c r="AA37" s="220">
        <f t="shared" si="9"/>
        <v>0.94347826086956521</v>
      </c>
    </row>
    <row r="38" spans="1:27" x14ac:dyDescent="0.2">
      <c r="A38" s="195" t="s">
        <v>354</v>
      </c>
      <c r="B38" s="204">
        <v>900</v>
      </c>
      <c r="C38" s="220">
        <f>C11/$B$11</f>
        <v>0.90333333333333332</v>
      </c>
      <c r="D38" s="220">
        <f t="shared" ref="D38:AA38" si="10">D11/$B$11</f>
        <v>0.98555555555555552</v>
      </c>
      <c r="E38" s="220">
        <f t="shared" si="10"/>
        <v>1.03</v>
      </c>
      <c r="F38" s="220">
        <f t="shared" si="10"/>
        <v>1.0411111111111111</v>
      </c>
      <c r="G38" s="220">
        <f t="shared" si="10"/>
        <v>1.058888888888889</v>
      </c>
      <c r="H38" s="220">
        <f t="shared" si="10"/>
        <v>1.0722222222222222</v>
      </c>
      <c r="I38" s="220">
        <f t="shared" si="10"/>
        <v>1.0555555555555556</v>
      </c>
      <c r="J38" s="220">
        <f t="shared" si="10"/>
        <v>0.99777777777777776</v>
      </c>
      <c r="K38" s="220">
        <f t="shared" si="10"/>
        <v>0.95111111111111113</v>
      </c>
      <c r="L38" s="220">
        <f t="shared" si="10"/>
        <v>0.93888888888888888</v>
      </c>
      <c r="M38" s="220">
        <f t="shared" si="10"/>
        <v>0.8833333333333333</v>
      </c>
      <c r="N38" s="220">
        <f t="shared" si="10"/>
        <v>0.84444444444444444</v>
      </c>
      <c r="O38" s="220">
        <f t="shared" si="10"/>
        <v>0.84</v>
      </c>
      <c r="P38" s="220">
        <f t="shared" si="10"/>
        <v>0.81</v>
      </c>
      <c r="Q38" s="220">
        <f t="shared" si="10"/>
        <v>0.77222222222222225</v>
      </c>
      <c r="R38" s="220">
        <f t="shared" si="10"/>
        <v>0.75111111111111106</v>
      </c>
      <c r="S38" s="220">
        <f t="shared" si="10"/>
        <v>0.74888888888888894</v>
      </c>
      <c r="T38" s="220">
        <f t="shared" si="10"/>
        <v>0.70333333333333337</v>
      </c>
      <c r="U38" s="220">
        <f t="shared" si="10"/>
        <v>0.6744444444444444</v>
      </c>
      <c r="V38" s="220">
        <f t="shared" si="10"/>
        <v>0.71111111111111114</v>
      </c>
      <c r="W38" s="220">
        <f t="shared" si="10"/>
        <v>0.69777777777777783</v>
      </c>
      <c r="X38" s="220">
        <f t="shared" si="10"/>
        <v>0.72777777777777775</v>
      </c>
      <c r="Y38" s="220">
        <f t="shared" si="10"/>
        <v>0.7466666666666667</v>
      </c>
      <c r="Z38" s="220">
        <f t="shared" si="10"/>
        <v>0.80777777777777782</v>
      </c>
      <c r="AA38" s="220">
        <f t="shared" si="10"/>
        <v>0.81222222222222218</v>
      </c>
    </row>
    <row r="39" spans="1:27" x14ac:dyDescent="0.2">
      <c r="A39" s="195" t="s">
        <v>355</v>
      </c>
      <c r="B39" s="204">
        <v>650</v>
      </c>
      <c r="C39" s="220">
        <f>C12/$B$12</f>
        <v>0.6676923076923077</v>
      </c>
      <c r="D39" s="220">
        <f t="shared" ref="D39:AA39" si="11">D12/$B$12</f>
        <v>0.74307692307692308</v>
      </c>
      <c r="E39" s="220">
        <f t="shared" si="11"/>
        <v>0.8584615384615385</v>
      </c>
      <c r="F39" s="220">
        <f t="shared" si="11"/>
        <v>0.86461538461538456</v>
      </c>
      <c r="G39" s="220">
        <f t="shared" si="11"/>
        <v>0.86</v>
      </c>
      <c r="H39" s="220">
        <f t="shared" si="11"/>
        <v>0.82923076923076922</v>
      </c>
      <c r="I39" s="220">
        <f t="shared" si="11"/>
        <v>0.81538461538461537</v>
      </c>
      <c r="J39" s="220">
        <f t="shared" si="11"/>
        <v>0.77538461538461534</v>
      </c>
      <c r="K39" s="220">
        <f t="shared" si="11"/>
        <v>0.73230769230769233</v>
      </c>
      <c r="L39" s="220">
        <f t="shared" si="11"/>
        <v>0.7384615384615385</v>
      </c>
      <c r="M39" s="220">
        <f t="shared" si="11"/>
        <v>0.74</v>
      </c>
      <c r="N39" s="220">
        <f t="shared" si="11"/>
        <v>0.72</v>
      </c>
      <c r="O39" s="220">
        <f t="shared" si="11"/>
        <v>0.74769230769230766</v>
      </c>
      <c r="P39" s="220">
        <f t="shared" si="11"/>
        <v>0.78153846153846152</v>
      </c>
      <c r="Q39" s="220">
        <f t="shared" si="11"/>
        <v>0.82307692307692304</v>
      </c>
      <c r="R39" s="220">
        <f t="shared" si="11"/>
        <v>0.83692307692307688</v>
      </c>
      <c r="S39" s="220">
        <f t="shared" si="11"/>
        <v>0.90923076923076918</v>
      </c>
      <c r="T39" s="220">
        <f t="shared" si="11"/>
        <v>0.9538461538461539</v>
      </c>
      <c r="U39" s="220">
        <f t="shared" si="11"/>
        <v>0.95846153846153848</v>
      </c>
      <c r="V39" s="220">
        <f t="shared" si="11"/>
        <v>0.94615384615384612</v>
      </c>
      <c r="W39" s="220">
        <f t="shared" si="11"/>
        <v>0.97384615384615381</v>
      </c>
      <c r="X39" s="220">
        <f t="shared" si="11"/>
        <v>0.96923076923076923</v>
      </c>
      <c r="Y39" s="220">
        <f t="shared" si="11"/>
        <v>0.93846153846153846</v>
      </c>
      <c r="Z39" s="220">
        <f t="shared" si="11"/>
        <v>0.95076923076923081</v>
      </c>
      <c r="AA39" s="220">
        <f t="shared" si="11"/>
        <v>0.94615384615384612</v>
      </c>
    </row>
    <row r="40" spans="1:27" x14ac:dyDescent="0.2">
      <c r="A40" s="199" t="s">
        <v>356</v>
      </c>
      <c r="B40" s="204">
        <v>1200</v>
      </c>
      <c r="C40" s="220">
        <f>C13/$B$13</f>
        <v>0.40500000000000003</v>
      </c>
      <c r="D40" s="220">
        <f t="shared" ref="D40:AA40" si="12">D13/$B$13</f>
        <v>0.43</v>
      </c>
      <c r="E40" s="220">
        <f t="shared" si="12"/>
        <v>0.45916666666666667</v>
      </c>
      <c r="F40" s="220">
        <f t="shared" si="12"/>
        <v>0.49416666666666664</v>
      </c>
      <c r="G40" s="220">
        <f t="shared" si="12"/>
        <v>0.54333333333333333</v>
      </c>
      <c r="H40" s="220">
        <f t="shared" si="12"/>
        <v>0.6333333333333333</v>
      </c>
      <c r="I40" s="220">
        <f t="shared" si="12"/>
        <v>0.65916666666666668</v>
      </c>
      <c r="J40" s="220">
        <f t="shared" si="12"/>
        <v>0.69666666666666666</v>
      </c>
      <c r="K40" s="220">
        <f t="shared" si="12"/>
        <v>0.77416666666666667</v>
      </c>
      <c r="L40" s="220">
        <f t="shared" si="12"/>
        <v>0.78833333333333333</v>
      </c>
      <c r="M40" s="220">
        <f t="shared" si="12"/>
        <v>0.84083333333333332</v>
      </c>
      <c r="N40" s="220">
        <f t="shared" si="12"/>
        <v>0.85666666666666669</v>
      </c>
      <c r="O40" s="220">
        <f t="shared" si="12"/>
        <v>0.87</v>
      </c>
      <c r="P40" s="220">
        <f t="shared" si="12"/>
        <v>0.85916666666666663</v>
      </c>
      <c r="Q40" s="220">
        <f t="shared" si="12"/>
        <v>0.85499999999999998</v>
      </c>
      <c r="R40" s="220">
        <f t="shared" si="12"/>
        <v>0.83333333333333337</v>
      </c>
      <c r="S40" s="220">
        <f t="shared" si="12"/>
        <v>0.82583333333333331</v>
      </c>
      <c r="T40" s="220">
        <f t="shared" si="12"/>
        <v>0.79</v>
      </c>
      <c r="U40" s="220">
        <f t="shared" si="12"/>
        <v>0.8175</v>
      </c>
      <c r="V40" s="220">
        <f t="shared" si="12"/>
        <v>0.8125</v>
      </c>
      <c r="W40" s="220">
        <f t="shared" si="12"/>
        <v>0.82166666666666666</v>
      </c>
      <c r="X40" s="220">
        <f t="shared" si="12"/>
        <v>0.85083333333333333</v>
      </c>
      <c r="Y40" s="220">
        <f t="shared" si="12"/>
        <v>0.89249999999999996</v>
      </c>
      <c r="Z40" s="220">
        <f t="shared" si="12"/>
        <v>0.89583333333333337</v>
      </c>
      <c r="AA40" s="220">
        <f t="shared" si="12"/>
        <v>0.86916666666666664</v>
      </c>
    </row>
    <row r="41" spans="1:27" x14ac:dyDescent="0.2">
      <c r="A41" s="195" t="s">
        <v>357</v>
      </c>
      <c r="B41" s="204">
        <v>1300</v>
      </c>
      <c r="C41" s="220">
        <f>C14/$B$14</f>
        <v>0.8438461538461538</v>
      </c>
      <c r="D41" s="220">
        <f t="shared" ref="D41:AA41" si="13">D14/$B$14</f>
        <v>0.8323076923076923</v>
      </c>
      <c r="E41" s="220">
        <f t="shared" si="13"/>
        <v>0.85</v>
      </c>
      <c r="F41" s="220">
        <f t="shared" si="13"/>
        <v>0.83846153846153848</v>
      </c>
      <c r="G41" s="220">
        <f t="shared" si="13"/>
        <v>0.84153846153846157</v>
      </c>
      <c r="H41" s="220">
        <f t="shared" si="13"/>
        <v>0.85923076923076924</v>
      </c>
      <c r="I41" s="220">
        <f t="shared" si="13"/>
        <v>0.84230769230769231</v>
      </c>
      <c r="J41" s="220">
        <f t="shared" si="13"/>
        <v>0.84769230769230774</v>
      </c>
      <c r="K41" s="220">
        <f t="shared" si="13"/>
        <v>0.84692307692307689</v>
      </c>
      <c r="L41" s="220">
        <f t="shared" si="13"/>
        <v>0.84307692307692306</v>
      </c>
      <c r="M41" s="220">
        <f t="shared" si="13"/>
        <v>0.85</v>
      </c>
      <c r="N41" s="220">
        <f t="shared" si="13"/>
        <v>0.84692307692307689</v>
      </c>
      <c r="O41" s="220">
        <f t="shared" si="13"/>
        <v>0.86692307692307691</v>
      </c>
      <c r="P41" s="220">
        <f t="shared" si="13"/>
        <v>0.84923076923076923</v>
      </c>
      <c r="Q41" s="220">
        <f t="shared" si="13"/>
        <v>0.83307692307692305</v>
      </c>
      <c r="R41" s="220">
        <f t="shared" si="13"/>
        <v>0.83076923076923082</v>
      </c>
      <c r="S41" s="220">
        <f t="shared" si="13"/>
        <v>0.82384615384615389</v>
      </c>
      <c r="T41" s="220">
        <f t="shared" si="13"/>
        <v>0.84769230769230774</v>
      </c>
      <c r="U41" s="220">
        <f t="shared" si="13"/>
        <v>0.86846153846153851</v>
      </c>
      <c r="V41" s="220">
        <f t="shared" si="13"/>
        <v>0.86769230769230765</v>
      </c>
      <c r="W41" s="220">
        <f t="shared" si="13"/>
        <v>0.86846153846153851</v>
      </c>
      <c r="X41" s="220">
        <f t="shared" si="13"/>
        <v>0.86461538461538456</v>
      </c>
      <c r="Y41" s="220">
        <f t="shared" si="13"/>
        <v>0.84230769230769231</v>
      </c>
      <c r="Z41" s="220">
        <f t="shared" si="13"/>
        <v>0.85923076923076924</v>
      </c>
      <c r="AA41" s="220">
        <f t="shared" si="13"/>
        <v>0.88384615384615384</v>
      </c>
    </row>
    <row r="42" spans="1:27" x14ac:dyDescent="0.2">
      <c r="A42" s="195" t="s">
        <v>358</v>
      </c>
      <c r="B42" s="204">
        <v>950</v>
      </c>
      <c r="C42" s="220">
        <f>C15/$B$15</f>
        <v>0.84210526315789469</v>
      </c>
      <c r="D42" s="220">
        <f t="shared" ref="D42:AA42" si="14">D15/$B$15</f>
        <v>0.86315789473684212</v>
      </c>
      <c r="E42" s="220">
        <f t="shared" si="14"/>
        <v>0.91578947368421049</v>
      </c>
      <c r="F42" s="220">
        <f t="shared" si="14"/>
        <v>0.97578947368421054</v>
      </c>
      <c r="G42" s="220">
        <f t="shared" si="14"/>
        <v>0.95789473684210524</v>
      </c>
      <c r="H42" s="220">
        <f t="shared" si="14"/>
        <v>0.96105263157894738</v>
      </c>
      <c r="I42" s="220">
        <f t="shared" si="14"/>
        <v>0.9631578947368421</v>
      </c>
      <c r="J42" s="220">
        <f t="shared" si="14"/>
        <v>0.97578947368421054</v>
      </c>
      <c r="K42" s="220">
        <f t="shared" si="14"/>
        <v>1.0084210526315789</v>
      </c>
      <c r="L42" s="220">
        <f t="shared" si="14"/>
        <v>1.0263157894736843</v>
      </c>
      <c r="M42" s="220">
        <f t="shared" si="14"/>
        <v>1.0305263157894737</v>
      </c>
      <c r="N42" s="220">
        <f t="shared" si="14"/>
        <v>1.0315789473684212</v>
      </c>
      <c r="O42" s="220">
        <f t="shared" si="14"/>
        <v>1.0273684210526315</v>
      </c>
      <c r="P42" s="220">
        <f t="shared" si="14"/>
        <v>1.0315789473684212</v>
      </c>
      <c r="Q42" s="220">
        <f t="shared" si="14"/>
        <v>1.0210526315789474</v>
      </c>
      <c r="R42" s="220">
        <f t="shared" si="14"/>
        <v>1.0010526315789474</v>
      </c>
      <c r="S42" s="220">
        <f t="shared" si="14"/>
        <v>0.98526315789473684</v>
      </c>
      <c r="T42" s="220">
        <f t="shared" si="14"/>
        <v>0.9715789473684211</v>
      </c>
      <c r="U42" s="220">
        <f t="shared" si="14"/>
        <v>0.96</v>
      </c>
      <c r="V42" s="220">
        <f t="shared" si="14"/>
        <v>0.96842105263157896</v>
      </c>
      <c r="W42" s="220">
        <f t="shared" si="14"/>
        <v>0.94842105263157894</v>
      </c>
      <c r="X42" s="220">
        <f t="shared" si="14"/>
        <v>0.94842105263157894</v>
      </c>
      <c r="Y42" s="220">
        <f t="shared" si="14"/>
        <v>0.94526315789473681</v>
      </c>
      <c r="Z42" s="220">
        <f t="shared" si="14"/>
        <v>0.97368421052631582</v>
      </c>
      <c r="AA42" s="220">
        <f t="shared" si="14"/>
        <v>0.94315789473684208</v>
      </c>
    </row>
    <row r="43" spans="1:27" x14ac:dyDescent="0.2">
      <c r="A43" s="195" t="s">
        <v>359</v>
      </c>
      <c r="B43" s="204">
        <v>850</v>
      </c>
      <c r="C43" s="220">
        <f>C16/$B$16</f>
        <v>0.87176470588235289</v>
      </c>
      <c r="D43" s="220">
        <f t="shared" ref="D43:AA43" si="15">D16/$B$16</f>
        <v>0.8447058823529412</v>
      </c>
      <c r="E43" s="220">
        <f t="shared" si="15"/>
        <v>0.79529411764705882</v>
      </c>
      <c r="F43" s="220">
        <f t="shared" si="15"/>
        <v>0.77647058823529413</v>
      </c>
      <c r="G43" s="220">
        <f t="shared" si="15"/>
        <v>0.75176470588235289</v>
      </c>
      <c r="H43" s="220">
        <f t="shared" si="15"/>
        <v>0.70941176470588241</v>
      </c>
      <c r="I43" s="220">
        <f t="shared" si="15"/>
        <v>0.76823529411764702</v>
      </c>
      <c r="J43" s="220">
        <f t="shared" si="15"/>
        <v>0.83764705882352941</v>
      </c>
      <c r="K43" s="220">
        <f t="shared" si="15"/>
        <v>0.91176470588235292</v>
      </c>
      <c r="L43" s="220">
        <f t="shared" si="15"/>
        <v>0.97882352941176476</v>
      </c>
      <c r="M43" s="220">
        <f t="shared" si="15"/>
        <v>0.97058823529411764</v>
      </c>
      <c r="N43" s="220">
        <f t="shared" si="15"/>
        <v>1.0094117647058825</v>
      </c>
      <c r="O43" s="220">
        <f t="shared" si="15"/>
        <v>0.99764705882352944</v>
      </c>
      <c r="P43" s="220">
        <f t="shared" si="15"/>
        <v>1.0047058823529411</v>
      </c>
      <c r="Q43" s="220">
        <f t="shared" si="15"/>
        <v>0.96470588235294119</v>
      </c>
      <c r="R43" s="220">
        <f t="shared" si="15"/>
        <v>0.89058823529411768</v>
      </c>
      <c r="S43" s="220">
        <f t="shared" si="15"/>
        <v>0.84941176470588231</v>
      </c>
      <c r="T43" s="220">
        <f t="shared" si="15"/>
        <v>0.83764705882352941</v>
      </c>
      <c r="U43" s="220">
        <f t="shared" si="15"/>
        <v>0.82</v>
      </c>
      <c r="V43" s="220">
        <f t="shared" si="15"/>
        <v>0.79529411764705882</v>
      </c>
      <c r="W43" s="220">
        <f t="shared" si="15"/>
        <v>0.76470588235294112</v>
      </c>
      <c r="X43" s="220">
        <f t="shared" si="15"/>
        <v>0.74823529411764711</v>
      </c>
      <c r="Y43" s="220">
        <f t="shared" si="15"/>
        <v>0.71176470588235297</v>
      </c>
      <c r="Z43" s="220">
        <f t="shared" si="15"/>
        <v>0.65411764705882358</v>
      </c>
      <c r="AA43" s="220">
        <f t="shared" si="15"/>
        <v>0.64823529411764702</v>
      </c>
    </row>
    <row r="44" spans="1:27" x14ac:dyDescent="0.2">
      <c r="A44" s="195" t="s">
        <v>360</v>
      </c>
      <c r="B44" s="204">
        <v>1400</v>
      </c>
      <c r="C44" s="220">
        <f>C17/$B$17</f>
        <v>0.93</v>
      </c>
      <c r="D44" s="220">
        <f t="shared" ref="D44:AA44" si="16">D17/$B$17</f>
        <v>0.92928571428571427</v>
      </c>
      <c r="E44" s="220">
        <f t="shared" si="16"/>
        <v>0.98</v>
      </c>
      <c r="F44" s="220">
        <f t="shared" si="16"/>
        <v>0.97571428571428576</v>
      </c>
      <c r="G44" s="220">
        <f t="shared" si="16"/>
        <v>0.98928571428571432</v>
      </c>
      <c r="H44" s="220">
        <f t="shared" si="16"/>
        <v>1.0021428571428572</v>
      </c>
      <c r="I44" s="220">
        <f t="shared" si="16"/>
        <v>1</v>
      </c>
      <c r="J44" s="220">
        <f t="shared" si="16"/>
        <v>1.0271428571428571</v>
      </c>
      <c r="K44" s="220">
        <f t="shared" si="16"/>
        <v>1.0292857142857144</v>
      </c>
      <c r="L44" s="220">
        <f t="shared" si="16"/>
        <v>1.0392857142857144</v>
      </c>
      <c r="M44" s="220">
        <f t="shared" si="16"/>
        <v>1.04</v>
      </c>
      <c r="N44" s="220">
        <f t="shared" si="16"/>
        <v>1.0485714285714285</v>
      </c>
      <c r="O44" s="220">
        <f t="shared" si="16"/>
        <v>1.0414285714285714</v>
      </c>
      <c r="P44" s="220">
        <f t="shared" si="16"/>
        <v>1.0278571428571428</v>
      </c>
      <c r="Q44" s="220">
        <f t="shared" si="16"/>
        <v>1.0364285714285715</v>
      </c>
      <c r="R44" s="220">
        <f t="shared" si="16"/>
        <v>1.0314285714285714</v>
      </c>
      <c r="S44" s="220">
        <f t="shared" si="16"/>
        <v>1.0257142857142858</v>
      </c>
      <c r="T44" s="220">
        <f t="shared" si="16"/>
        <v>1.0214285714285714</v>
      </c>
      <c r="U44" s="220">
        <f t="shared" si="16"/>
        <v>1.0149999999999999</v>
      </c>
      <c r="V44" s="220">
        <f t="shared" si="16"/>
        <v>1.0121428571428572</v>
      </c>
      <c r="W44" s="220">
        <f t="shared" si="16"/>
        <v>0.95857142857142852</v>
      </c>
      <c r="X44" s="220">
        <f t="shared" si="16"/>
        <v>0.93142857142857138</v>
      </c>
      <c r="Y44" s="220">
        <f t="shared" si="16"/>
        <v>0.95285714285714285</v>
      </c>
      <c r="Z44" s="220">
        <f t="shared" si="16"/>
        <v>0.92714285714285716</v>
      </c>
      <c r="AA44" s="220">
        <f t="shared" si="16"/>
        <v>0.92500000000000004</v>
      </c>
    </row>
    <row r="45" spans="1:27" x14ac:dyDescent="0.2">
      <c r="A45" s="195" t="s">
        <v>361</v>
      </c>
      <c r="B45" s="204">
        <v>1000</v>
      </c>
      <c r="C45" s="220">
        <f>C18/$B$18</f>
        <v>0.82799999999999996</v>
      </c>
      <c r="D45" s="220">
        <f t="shared" ref="D45:AA45" si="17">D18/$B$18</f>
        <v>0.80900000000000005</v>
      </c>
      <c r="E45" s="220">
        <f t="shared" si="17"/>
        <v>0.80900000000000005</v>
      </c>
      <c r="F45" s="220">
        <f t="shared" si="17"/>
        <v>0.79100000000000004</v>
      </c>
      <c r="G45" s="220">
        <f t="shared" si="17"/>
        <v>0.80400000000000005</v>
      </c>
      <c r="H45" s="220">
        <f t="shared" si="17"/>
        <v>0.80800000000000005</v>
      </c>
      <c r="I45" s="220">
        <f t="shared" si="17"/>
        <v>0.80200000000000005</v>
      </c>
      <c r="J45" s="220">
        <f t="shared" si="17"/>
        <v>0.81699999999999995</v>
      </c>
      <c r="K45" s="220">
        <f t="shared" si="17"/>
        <v>0.80500000000000005</v>
      </c>
      <c r="L45" s="220">
        <f t="shared" si="17"/>
        <v>0.80800000000000005</v>
      </c>
      <c r="M45" s="220">
        <f t="shared" si="17"/>
        <v>0.81699999999999995</v>
      </c>
      <c r="N45" s="220">
        <f t="shared" si="17"/>
        <v>0.83299999999999996</v>
      </c>
      <c r="O45" s="220">
        <f t="shared" si="17"/>
        <v>0.85199999999999998</v>
      </c>
      <c r="P45" s="220">
        <f t="shared" si="17"/>
        <v>0.88900000000000001</v>
      </c>
      <c r="Q45" s="220">
        <f t="shared" si="17"/>
        <v>0.879</v>
      </c>
      <c r="R45" s="220">
        <f t="shared" si="17"/>
        <v>0.84099999999999997</v>
      </c>
      <c r="S45" s="220">
        <f t="shared" si="17"/>
        <v>0.80100000000000005</v>
      </c>
      <c r="T45" s="220">
        <f t="shared" si="17"/>
        <v>0.80700000000000005</v>
      </c>
      <c r="U45" s="220">
        <f t="shared" si="17"/>
        <v>0.78600000000000003</v>
      </c>
      <c r="V45" s="220">
        <f t="shared" si="17"/>
        <v>0.79800000000000004</v>
      </c>
      <c r="W45" s="220">
        <f t="shared" si="17"/>
        <v>0.78900000000000003</v>
      </c>
      <c r="X45" s="220">
        <f t="shared" si="17"/>
        <v>0.76100000000000001</v>
      </c>
      <c r="Y45" s="220">
        <f t="shared" si="17"/>
        <v>0.77400000000000002</v>
      </c>
      <c r="Z45" s="220">
        <f t="shared" si="17"/>
        <v>0.75</v>
      </c>
      <c r="AA45" s="220">
        <f t="shared" si="17"/>
        <v>0.753</v>
      </c>
    </row>
    <row r="46" spans="1:27" x14ac:dyDescent="0.2">
      <c r="A46" s="199" t="s">
        <v>362</v>
      </c>
      <c r="B46" s="204">
        <v>900</v>
      </c>
      <c r="C46" s="220">
        <f>C19/$B$19</f>
        <v>0.61111111111111116</v>
      </c>
      <c r="D46" s="220">
        <f t="shared" ref="D46:AA46" si="18">D19/$B$19</f>
        <v>0.61444444444444446</v>
      </c>
      <c r="E46" s="220">
        <f t="shared" si="18"/>
        <v>0.66444444444444439</v>
      </c>
      <c r="F46" s="220">
        <f t="shared" si="18"/>
        <v>0.6744444444444444</v>
      </c>
      <c r="G46" s="220">
        <f t="shared" si="18"/>
        <v>0.7122222222222222</v>
      </c>
      <c r="H46" s="220">
        <f t="shared" si="18"/>
        <v>0.78111111111111109</v>
      </c>
      <c r="I46" s="220">
        <f t="shared" si="18"/>
        <v>0.83777777777777773</v>
      </c>
      <c r="J46" s="220">
        <f t="shared" si="18"/>
        <v>0.87888888888888894</v>
      </c>
      <c r="K46" s="220">
        <f t="shared" si="18"/>
        <v>0.97111111111111115</v>
      </c>
      <c r="L46" s="220">
        <f t="shared" si="18"/>
        <v>1.0433333333333332</v>
      </c>
      <c r="M46" s="220">
        <f t="shared" si="18"/>
        <v>0.98666666666666669</v>
      </c>
      <c r="N46" s="220">
        <f t="shared" si="18"/>
        <v>0.97111111111111115</v>
      </c>
      <c r="O46" s="220">
        <f t="shared" si="18"/>
        <v>0.94555555555555559</v>
      </c>
      <c r="P46" s="220">
        <f t="shared" si="18"/>
        <v>0.92333333333333334</v>
      </c>
      <c r="Q46" s="220">
        <f t="shared" si="18"/>
        <v>0.86444444444444446</v>
      </c>
      <c r="R46" s="220">
        <f t="shared" si="18"/>
        <v>0.86111111111111116</v>
      </c>
      <c r="S46" s="220">
        <f t="shared" si="18"/>
        <v>0.8666666666666667</v>
      </c>
      <c r="T46" s="220">
        <f t="shared" si="18"/>
        <v>0.83444444444444443</v>
      </c>
      <c r="U46" s="220">
        <f t="shared" si="18"/>
        <v>0.79888888888888887</v>
      </c>
      <c r="V46" s="220">
        <f t="shared" si="18"/>
        <v>0.7911111111111111</v>
      </c>
      <c r="W46" s="220">
        <f t="shared" si="18"/>
        <v>0.81</v>
      </c>
      <c r="X46" s="220">
        <f t="shared" si="18"/>
        <v>0.7877777777777778</v>
      </c>
      <c r="Y46" s="220">
        <f t="shared" si="18"/>
        <v>0.76888888888888884</v>
      </c>
      <c r="Z46" s="220">
        <f t="shared" si="18"/>
        <v>0.76444444444444448</v>
      </c>
      <c r="AA46" s="220">
        <f t="shared" si="18"/>
        <v>0.76444444444444448</v>
      </c>
    </row>
    <row r="47" spans="1:27" x14ac:dyDescent="0.2">
      <c r="A47" s="199" t="s">
        <v>363</v>
      </c>
      <c r="B47" s="204">
        <v>750</v>
      </c>
      <c r="C47" s="220">
        <f>C20/$B$20</f>
        <v>0.85333333333333339</v>
      </c>
      <c r="D47" s="220">
        <f t="shared" ref="D47:AA47" si="19">D20/$B$20</f>
        <v>0.84266666666666667</v>
      </c>
      <c r="E47" s="220">
        <f t="shared" si="19"/>
        <v>0.86</v>
      </c>
      <c r="F47" s="220">
        <f t="shared" si="19"/>
        <v>0.88666666666666671</v>
      </c>
      <c r="G47" s="220">
        <f t="shared" si="19"/>
        <v>0.88</v>
      </c>
      <c r="H47" s="220">
        <f t="shared" si="19"/>
        <v>0.86799999999999999</v>
      </c>
      <c r="I47" s="220">
        <f t="shared" si="19"/>
        <v>0.8773333333333333</v>
      </c>
      <c r="J47" s="220">
        <f t="shared" si="19"/>
        <v>0.85333333333333339</v>
      </c>
      <c r="K47" s="220">
        <f t="shared" si="19"/>
        <v>0.83866666666666667</v>
      </c>
      <c r="L47" s="220">
        <f t="shared" si="19"/>
        <v>0.88266666666666671</v>
      </c>
      <c r="M47" s="220">
        <f t="shared" si="19"/>
        <v>0.88400000000000001</v>
      </c>
      <c r="N47" s="220">
        <f t="shared" si="19"/>
        <v>0.91466666666666663</v>
      </c>
      <c r="O47" s="220">
        <f t="shared" si="19"/>
        <v>0.92533333333333334</v>
      </c>
      <c r="P47" s="220">
        <f t="shared" si="19"/>
        <v>0.94399999999999995</v>
      </c>
      <c r="Q47" s="220">
        <f t="shared" si="19"/>
        <v>0.97866666666666668</v>
      </c>
      <c r="R47" s="220">
        <f t="shared" si="19"/>
        <v>0.97199999999999998</v>
      </c>
      <c r="S47" s="220">
        <f t="shared" si="19"/>
        <v>0.95066666666666666</v>
      </c>
      <c r="T47" s="220">
        <f t="shared" si="19"/>
        <v>0.99199999999999999</v>
      </c>
      <c r="U47" s="220">
        <f t="shared" si="19"/>
        <v>1.0186666666666666</v>
      </c>
      <c r="V47" s="220">
        <f t="shared" si="19"/>
        <v>1.0266666666666666</v>
      </c>
      <c r="W47" s="220">
        <f t="shared" si="19"/>
        <v>1.0173333333333334</v>
      </c>
      <c r="X47" s="220">
        <f t="shared" si="19"/>
        <v>1.0226666666666666</v>
      </c>
      <c r="Y47" s="220">
        <f t="shared" si="19"/>
        <v>1.032</v>
      </c>
      <c r="Z47" s="220">
        <f t="shared" si="19"/>
        <v>1.036</v>
      </c>
      <c r="AA47" s="220">
        <f t="shared" si="19"/>
        <v>1.048</v>
      </c>
    </row>
    <row r="48" spans="1:27" x14ac:dyDescent="0.2">
      <c r="A48" s="195" t="s">
        <v>364</v>
      </c>
      <c r="B48" s="204">
        <v>1200</v>
      </c>
      <c r="C48" s="220">
        <f>C21/$B$21</f>
        <v>0.82250000000000001</v>
      </c>
      <c r="D48" s="220">
        <f t="shared" ref="D48:AA48" si="20">D21/$B$21</f>
        <v>0.86083333333333334</v>
      </c>
      <c r="E48" s="220">
        <f t="shared" si="20"/>
        <v>0.87</v>
      </c>
      <c r="F48" s="220">
        <f t="shared" si="20"/>
        <v>0.88166666666666671</v>
      </c>
      <c r="G48" s="220">
        <f t="shared" si="20"/>
        <v>0.89333333333333331</v>
      </c>
      <c r="H48" s="220">
        <f t="shared" si="20"/>
        <v>0.90500000000000003</v>
      </c>
      <c r="I48" s="220">
        <f t="shared" si="20"/>
        <v>0.89666666666666661</v>
      </c>
      <c r="J48" s="220">
        <f t="shared" si="20"/>
        <v>0.89749999999999996</v>
      </c>
      <c r="K48" s="220">
        <f t="shared" si="20"/>
        <v>0.89166666666666672</v>
      </c>
      <c r="L48" s="220">
        <f t="shared" si="20"/>
        <v>0.91333333333333333</v>
      </c>
      <c r="M48" s="220">
        <f t="shared" si="20"/>
        <v>0.92</v>
      </c>
      <c r="N48" s="220">
        <f t="shared" si="20"/>
        <v>0.92416666666666669</v>
      </c>
      <c r="O48" s="220">
        <f t="shared" si="20"/>
        <v>0.92416666666666669</v>
      </c>
      <c r="P48" s="220">
        <f t="shared" si="20"/>
        <v>0.9458333333333333</v>
      </c>
      <c r="Q48" s="220">
        <f t="shared" si="20"/>
        <v>0.96083333333333332</v>
      </c>
      <c r="R48" s="220">
        <f t="shared" si="20"/>
        <v>0.97333333333333338</v>
      </c>
      <c r="S48" s="220">
        <f t="shared" si="20"/>
        <v>0.98083333333333333</v>
      </c>
      <c r="T48" s="220">
        <f t="shared" si="20"/>
        <v>0.99833333333333329</v>
      </c>
      <c r="U48" s="220">
        <f t="shared" si="20"/>
        <v>1.0208333333333333</v>
      </c>
      <c r="V48" s="220">
        <f t="shared" si="20"/>
        <v>1.0483333333333333</v>
      </c>
      <c r="W48" s="220">
        <f t="shared" si="20"/>
        <v>1.0416666666666667</v>
      </c>
      <c r="X48" s="220">
        <f t="shared" si="20"/>
        <v>1.0258333333333334</v>
      </c>
      <c r="Y48" s="220">
        <f t="shared" si="20"/>
        <v>1.03</v>
      </c>
      <c r="Z48" s="220">
        <f t="shared" si="20"/>
        <v>1.0349999999999999</v>
      </c>
      <c r="AA48" s="220">
        <f t="shared" si="20"/>
        <v>1.05</v>
      </c>
    </row>
    <row r="49" spans="1:27" x14ac:dyDescent="0.2">
      <c r="A49" s="195" t="s">
        <v>365</v>
      </c>
      <c r="B49" s="204">
        <v>950</v>
      </c>
      <c r="C49" s="220">
        <f>C22/$B$22</f>
        <v>0.84947368421052627</v>
      </c>
      <c r="D49" s="220">
        <f t="shared" ref="D49:AA49" si="21">D22/$B$22</f>
        <v>0.87263157894736842</v>
      </c>
      <c r="E49" s="220">
        <f t="shared" si="21"/>
        <v>0.93368421052631578</v>
      </c>
      <c r="F49" s="220">
        <f t="shared" si="21"/>
        <v>0.96421052631578952</v>
      </c>
      <c r="G49" s="220">
        <f t="shared" si="21"/>
        <v>0.9263157894736842</v>
      </c>
      <c r="H49" s="220">
        <f t="shared" si="21"/>
        <v>0.94842105263157894</v>
      </c>
      <c r="I49" s="220">
        <f t="shared" si="21"/>
        <v>0.94210526315789478</v>
      </c>
      <c r="J49" s="220">
        <f t="shared" si="21"/>
        <v>0.96947368421052627</v>
      </c>
      <c r="K49" s="220">
        <f t="shared" si="21"/>
        <v>1.0073684210526315</v>
      </c>
      <c r="L49" s="220">
        <f t="shared" si="21"/>
        <v>1.0210526315789474</v>
      </c>
      <c r="M49" s="220">
        <f t="shared" si="21"/>
        <v>1.0347368421052632</v>
      </c>
      <c r="N49" s="220">
        <f t="shared" si="21"/>
        <v>1.0578947368421052</v>
      </c>
      <c r="O49" s="220">
        <f t="shared" si="21"/>
        <v>1.0610526315789475</v>
      </c>
      <c r="P49" s="220">
        <f t="shared" si="21"/>
        <v>1.0536842105263158</v>
      </c>
      <c r="Q49" s="220">
        <f t="shared" si="21"/>
        <v>1.0536842105263158</v>
      </c>
      <c r="R49" s="220">
        <f t="shared" si="21"/>
        <v>1.0442105263157895</v>
      </c>
      <c r="S49" s="220">
        <f t="shared" si="21"/>
        <v>1.023157894736842</v>
      </c>
      <c r="T49" s="220">
        <f t="shared" si="21"/>
        <v>0.96105263157894738</v>
      </c>
      <c r="U49" s="220">
        <f t="shared" si="21"/>
        <v>0.95263157894736838</v>
      </c>
      <c r="V49" s="220">
        <f t="shared" si="21"/>
        <v>0.96</v>
      </c>
      <c r="W49" s="220">
        <f t="shared" si="21"/>
        <v>0.92842105263157892</v>
      </c>
      <c r="X49" s="220">
        <f t="shared" si="21"/>
        <v>0.92526315789473679</v>
      </c>
      <c r="Y49" s="220">
        <f t="shared" si="21"/>
        <v>0.89578947368421058</v>
      </c>
      <c r="Z49" s="220">
        <f t="shared" si="21"/>
        <v>0.89263157894736844</v>
      </c>
      <c r="AA49" s="220">
        <f t="shared" si="21"/>
        <v>0.83473684210526311</v>
      </c>
    </row>
    <row r="50" spans="1:27" x14ac:dyDescent="0.2">
      <c r="A50" s="195" t="s">
        <v>366</v>
      </c>
      <c r="B50" s="204">
        <v>900</v>
      </c>
      <c r="C50" s="220">
        <f>C23/$B$23</f>
        <v>1.0088888888888889</v>
      </c>
      <c r="D50" s="220">
        <f t="shared" ref="D50:AA50" si="22">D23/$B$23</f>
        <v>1.0411111111111111</v>
      </c>
      <c r="E50" s="220">
        <f t="shared" si="22"/>
        <v>1.0477777777777777</v>
      </c>
      <c r="F50" s="220">
        <f t="shared" si="22"/>
        <v>1.0255555555555556</v>
      </c>
      <c r="G50" s="220">
        <f t="shared" si="22"/>
        <v>0.95222222222222219</v>
      </c>
      <c r="H50" s="220">
        <f t="shared" si="22"/>
        <v>0.92222222222222228</v>
      </c>
      <c r="I50" s="220">
        <f t="shared" si="22"/>
        <v>0.90111111111111108</v>
      </c>
      <c r="J50" s="220">
        <f t="shared" si="22"/>
        <v>0.84444444444444444</v>
      </c>
      <c r="K50" s="220">
        <f t="shared" si="22"/>
        <v>0.84888888888888892</v>
      </c>
      <c r="L50" s="220">
        <f t="shared" si="22"/>
        <v>0.86</v>
      </c>
      <c r="M50" s="220">
        <f t="shared" si="22"/>
        <v>0.88</v>
      </c>
      <c r="N50" s="220">
        <f t="shared" si="22"/>
        <v>0.8666666666666667</v>
      </c>
      <c r="O50" s="220">
        <f t="shared" si="22"/>
        <v>0.85444444444444445</v>
      </c>
      <c r="P50" s="220">
        <f t="shared" si="22"/>
        <v>0.83777777777777773</v>
      </c>
      <c r="Q50" s="220">
        <f t="shared" si="22"/>
        <v>0.8</v>
      </c>
      <c r="R50" s="220">
        <f t="shared" si="22"/>
        <v>0.77777777777777779</v>
      </c>
      <c r="S50" s="220">
        <f t="shared" si="22"/>
        <v>0.7122222222222222</v>
      </c>
      <c r="T50" s="220">
        <f t="shared" si="22"/>
        <v>0.69666666666666666</v>
      </c>
      <c r="U50" s="220">
        <f t="shared" si="22"/>
        <v>0.62444444444444447</v>
      </c>
      <c r="V50" s="220">
        <f t="shared" si="22"/>
        <v>0.64</v>
      </c>
      <c r="W50" s="220">
        <f t="shared" si="22"/>
        <v>0.62222222222222223</v>
      </c>
      <c r="X50" s="220">
        <f t="shared" si="22"/>
        <v>0.58888888888888891</v>
      </c>
      <c r="Y50" s="220">
        <f t="shared" si="22"/>
        <v>0.5822222222222222</v>
      </c>
      <c r="Z50" s="220">
        <f t="shared" si="22"/>
        <v>0.58111111111111113</v>
      </c>
      <c r="AA50" s="220">
        <f t="shared" si="22"/>
        <v>0.57666666666666666</v>
      </c>
    </row>
    <row r="51" spans="1:27" ht="13.5" thickBot="1" x14ac:dyDescent="0.25">
      <c r="A51" s="195" t="s">
        <v>367</v>
      </c>
      <c r="B51" s="204">
        <v>750</v>
      </c>
      <c r="C51" s="220">
        <f>C24/$B$24</f>
        <v>0.52400000000000002</v>
      </c>
      <c r="D51" s="220">
        <f t="shared" ref="D51:AA51" si="23">D24/$B$24</f>
        <v>0.48666666666666669</v>
      </c>
      <c r="E51" s="220">
        <f t="shared" si="23"/>
        <v>0.46266666666666667</v>
      </c>
      <c r="F51" s="220">
        <f t="shared" si="23"/>
        <v>0.51466666666666672</v>
      </c>
      <c r="G51" s="220">
        <f t="shared" si="23"/>
        <v>0.59866666666666668</v>
      </c>
      <c r="H51" s="220">
        <f t="shared" si="23"/>
        <v>0.65066666666666662</v>
      </c>
      <c r="I51" s="220">
        <f t="shared" si="23"/>
        <v>0.67466666666666664</v>
      </c>
      <c r="J51" s="220">
        <f t="shared" si="23"/>
        <v>0.74399999999999999</v>
      </c>
      <c r="K51" s="220">
        <f t="shared" si="23"/>
        <v>0.76800000000000002</v>
      </c>
      <c r="L51" s="220">
        <f t="shared" si="23"/>
        <v>0.71733333333333338</v>
      </c>
      <c r="M51" s="220">
        <f t="shared" si="23"/>
        <v>0.70266666666666666</v>
      </c>
      <c r="N51" s="220">
        <f t="shared" si="23"/>
        <v>0.68133333333333335</v>
      </c>
      <c r="O51" s="220">
        <f t="shared" si="23"/>
        <v>0.65333333333333332</v>
      </c>
      <c r="P51" s="220">
        <f t="shared" si="23"/>
        <v>0.61199999999999999</v>
      </c>
      <c r="Q51" s="220">
        <f t="shared" si="23"/>
        <v>0.61733333333333329</v>
      </c>
      <c r="R51" s="220">
        <f t="shared" si="23"/>
        <v>0.58533333333333337</v>
      </c>
      <c r="S51" s="220">
        <f t="shared" si="23"/>
        <v>0.54400000000000004</v>
      </c>
      <c r="T51" s="220">
        <f t="shared" si="23"/>
        <v>0.53733333333333333</v>
      </c>
      <c r="U51" s="220">
        <f t="shared" si="23"/>
        <v>0.54266666666666663</v>
      </c>
      <c r="V51" s="220">
        <f t="shared" si="23"/>
        <v>0.5</v>
      </c>
      <c r="W51" s="220">
        <f t="shared" si="23"/>
        <v>0.46</v>
      </c>
      <c r="X51" s="220">
        <f t="shared" si="23"/>
        <v>0.40400000000000003</v>
      </c>
      <c r="Y51" s="220">
        <f t="shared" si="23"/>
        <v>0.39466666666666667</v>
      </c>
      <c r="Z51" s="220">
        <f t="shared" si="23"/>
        <v>0.36533333333333334</v>
      </c>
      <c r="AA51" s="220">
        <f t="shared" si="23"/>
        <v>0.38666666666666666</v>
      </c>
    </row>
    <row r="52" spans="1:27" x14ac:dyDescent="0.2">
      <c r="A52" s="216"/>
      <c r="B52" s="217"/>
      <c r="C52" s="218"/>
      <c r="D52" s="218"/>
      <c r="E52" s="218"/>
      <c r="F52" s="218"/>
      <c r="G52" s="218"/>
      <c r="H52" s="218"/>
      <c r="I52" s="218"/>
      <c r="J52" s="218"/>
      <c r="K52" s="218"/>
      <c r="L52" s="218"/>
      <c r="M52" s="218"/>
      <c r="N52" s="218"/>
      <c r="O52" s="218"/>
      <c r="P52" s="218"/>
      <c r="Q52" s="218"/>
      <c r="R52" s="218"/>
      <c r="S52" s="219"/>
      <c r="T52" s="219"/>
      <c r="U52" s="219"/>
      <c r="V52" s="219"/>
      <c r="W52" s="219"/>
      <c r="X52" s="219"/>
      <c r="Y52" s="219"/>
      <c r="Z52" s="219"/>
      <c r="AA52" s="219"/>
    </row>
  </sheetData>
  <conditionalFormatting sqref="C2:AA2 A2 CG2:XFD2">
    <cfRule type="colorScale" priority="72">
      <colorScale>
        <cfvo type="min"/>
        <cfvo type="percentile" val="50"/>
        <cfvo type="max"/>
        <color rgb="FF63BE7B"/>
        <color rgb="FFFFEB84"/>
        <color rgb="FFF8696B"/>
      </colorScale>
    </cfRule>
  </conditionalFormatting>
  <conditionalFormatting sqref="C3:AA3 A3 CG3:XFD3">
    <cfRule type="colorScale" priority="71">
      <colorScale>
        <cfvo type="min"/>
        <cfvo type="percentile" val="50"/>
        <cfvo type="max"/>
        <color rgb="FF63BE7B"/>
        <color rgb="FFFFEB84"/>
        <color rgb="FFF8696B"/>
      </colorScale>
    </cfRule>
  </conditionalFormatting>
  <conditionalFormatting sqref="C4:AA4 A4 CG4:XFD4">
    <cfRule type="colorScale" priority="70">
      <colorScale>
        <cfvo type="min"/>
        <cfvo type="percentile" val="50"/>
        <cfvo type="max"/>
        <color rgb="FF63BE7B"/>
        <color rgb="FFFFEB84"/>
        <color rgb="FFF8696B"/>
      </colorScale>
    </cfRule>
  </conditionalFormatting>
  <conditionalFormatting sqref="C5:AA5 A5 CG5:XFD5">
    <cfRule type="colorScale" priority="69">
      <colorScale>
        <cfvo type="min"/>
        <cfvo type="percentile" val="50"/>
        <cfvo type="max"/>
        <color rgb="FF63BE7B"/>
        <color rgb="FFFFEB84"/>
        <color rgb="FFF8696B"/>
      </colorScale>
    </cfRule>
  </conditionalFormatting>
  <conditionalFormatting sqref="C6:AA6 A6 CG6:XFD6">
    <cfRule type="colorScale" priority="68">
      <colorScale>
        <cfvo type="min"/>
        <cfvo type="percentile" val="50"/>
        <cfvo type="max"/>
        <color rgb="FF63BE7B"/>
        <color rgb="FFFFEB84"/>
        <color rgb="FFF8696B"/>
      </colorScale>
    </cfRule>
  </conditionalFormatting>
  <conditionalFormatting sqref="C7:AA7 A7 CG7:XFD7">
    <cfRule type="colorScale" priority="67">
      <colorScale>
        <cfvo type="min"/>
        <cfvo type="percentile" val="50"/>
        <cfvo type="max"/>
        <color rgb="FF63BE7B"/>
        <color rgb="FFFFEB84"/>
        <color rgb="FFF8696B"/>
      </colorScale>
    </cfRule>
  </conditionalFormatting>
  <conditionalFormatting sqref="C8:AA8 A8 CG8:XFD8">
    <cfRule type="colorScale" priority="66">
      <colorScale>
        <cfvo type="min"/>
        <cfvo type="percentile" val="50"/>
        <cfvo type="max"/>
        <color rgb="FF63BE7B"/>
        <color rgb="FFFFEB84"/>
        <color rgb="FFF8696B"/>
      </colorScale>
    </cfRule>
  </conditionalFormatting>
  <conditionalFormatting sqref="C9:AA9 A9 CG9:XFD9">
    <cfRule type="colorScale" priority="65">
      <colorScale>
        <cfvo type="min"/>
        <cfvo type="percentile" val="50"/>
        <cfvo type="max"/>
        <color rgb="FF63BE7B"/>
        <color rgb="FFFFEB84"/>
        <color rgb="FFF8696B"/>
      </colorScale>
    </cfRule>
  </conditionalFormatting>
  <conditionalFormatting sqref="C10:AA10 A10 CG10:XFD10">
    <cfRule type="colorScale" priority="64">
      <colorScale>
        <cfvo type="min"/>
        <cfvo type="percentile" val="50"/>
        <cfvo type="max"/>
        <color rgb="FF63BE7B"/>
        <color rgb="FFFFEB84"/>
        <color rgb="FFF8696B"/>
      </colorScale>
    </cfRule>
  </conditionalFormatting>
  <conditionalFormatting sqref="C11:AA11 A11 CG11:XFD11">
    <cfRule type="colorScale" priority="63">
      <colorScale>
        <cfvo type="min"/>
        <cfvo type="percentile" val="50"/>
        <cfvo type="max"/>
        <color rgb="FF63BE7B"/>
        <color rgb="FFFFEB84"/>
        <color rgb="FFF8696B"/>
      </colorScale>
    </cfRule>
  </conditionalFormatting>
  <conditionalFormatting sqref="C12:AA12 A12 CG12:XFD12">
    <cfRule type="colorScale" priority="62">
      <colorScale>
        <cfvo type="min"/>
        <cfvo type="percentile" val="50"/>
        <cfvo type="max"/>
        <color rgb="FF63BE7B"/>
        <color rgb="FFFFEB84"/>
        <color rgb="FFF8696B"/>
      </colorScale>
    </cfRule>
  </conditionalFormatting>
  <conditionalFormatting sqref="C13:AA13 A13 CG13:XFD13">
    <cfRule type="colorScale" priority="61">
      <colorScale>
        <cfvo type="min"/>
        <cfvo type="percentile" val="50"/>
        <cfvo type="max"/>
        <color rgb="FF63BE7B"/>
        <color rgb="FFFFEB84"/>
        <color rgb="FFF8696B"/>
      </colorScale>
    </cfRule>
  </conditionalFormatting>
  <conditionalFormatting sqref="C14:AA14 A14 CG14:XFD14">
    <cfRule type="colorScale" priority="60">
      <colorScale>
        <cfvo type="min"/>
        <cfvo type="percentile" val="50"/>
        <cfvo type="max"/>
        <color rgb="FF63BE7B"/>
        <color rgb="FFFFEB84"/>
        <color rgb="FFF8696B"/>
      </colorScale>
    </cfRule>
  </conditionalFormatting>
  <conditionalFormatting sqref="C15:AA15 A15 CG15:XFD15">
    <cfRule type="colorScale" priority="59">
      <colorScale>
        <cfvo type="min"/>
        <cfvo type="percentile" val="50"/>
        <cfvo type="max"/>
        <color rgb="FF63BE7B"/>
        <color rgb="FFFFEB84"/>
        <color rgb="FFF8696B"/>
      </colorScale>
    </cfRule>
  </conditionalFormatting>
  <conditionalFormatting sqref="C16:AA16 A16 CG16:XFD16">
    <cfRule type="colorScale" priority="58">
      <colorScale>
        <cfvo type="min"/>
        <cfvo type="percentile" val="50"/>
        <cfvo type="max"/>
        <color rgb="FF63BE7B"/>
        <color rgb="FFFFEB84"/>
        <color rgb="FFF8696B"/>
      </colorScale>
    </cfRule>
  </conditionalFormatting>
  <conditionalFormatting sqref="C17:AA17 A17 CG17:XFD17">
    <cfRule type="colorScale" priority="57">
      <colorScale>
        <cfvo type="min"/>
        <cfvo type="percentile" val="50"/>
        <cfvo type="max"/>
        <color rgb="FF63BE7B"/>
        <color rgb="FFFFEB84"/>
        <color rgb="FFF8696B"/>
      </colorScale>
    </cfRule>
  </conditionalFormatting>
  <conditionalFormatting sqref="C18:AA18 A18 CG18:XFD18">
    <cfRule type="colorScale" priority="56">
      <colorScale>
        <cfvo type="min"/>
        <cfvo type="percentile" val="50"/>
        <cfvo type="max"/>
        <color rgb="FF63BE7B"/>
        <color rgb="FFFFEB84"/>
        <color rgb="FFF8696B"/>
      </colorScale>
    </cfRule>
  </conditionalFormatting>
  <conditionalFormatting sqref="C19:AA19 A19 CG19:XFD19">
    <cfRule type="colorScale" priority="55">
      <colorScale>
        <cfvo type="min"/>
        <cfvo type="percentile" val="50"/>
        <cfvo type="max"/>
        <color rgb="FF63BE7B"/>
        <color rgb="FFFFEB84"/>
        <color rgb="FFF8696B"/>
      </colorScale>
    </cfRule>
  </conditionalFormatting>
  <conditionalFormatting sqref="C20:AA20 A20 CG20:XFD20">
    <cfRule type="colorScale" priority="54">
      <colorScale>
        <cfvo type="min"/>
        <cfvo type="percentile" val="50"/>
        <cfvo type="max"/>
        <color rgb="FF63BE7B"/>
        <color rgb="FFFFEB84"/>
        <color rgb="FFF8696B"/>
      </colorScale>
    </cfRule>
  </conditionalFormatting>
  <conditionalFormatting sqref="C21:AA21 A21 CG21:XFD21">
    <cfRule type="colorScale" priority="53">
      <colorScale>
        <cfvo type="min"/>
        <cfvo type="percentile" val="50"/>
        <cfvo type="max"/>
        <color rgb="FF63BE7B"/>
        <color rgb="FFFFEB84"/>
        <color rgb="FFF8696B"/>
      </colorScale>
    </cfRule>
  </conditionalFormatting>
  <conditionalFormatting sqref="C22:AA22 A22 CG22:XFD22">
    <cfRule type="colorScale" priority="52">
      <colorScale>
        <cfvo type="min"/>
        <cfvo type="percentile" val="50"/>
        <cfvo type="max"/>
        <color rgb="FF63BE7B"/>
        <color rgb="FFFFEB84"/>
        <color rgb="FFF8696B"/>
      </colorScale>
    </cfRule>
  </conditionalFormatting>
  <conditionalFormatting sqref="C23:AA23 A23 CG23:XFD23">
    <cfRule type="colorScale" priority="51">
      <colorScale>
        <cfvo type="min"/>
        <cfvo type="percentile" val="50"/>
        <cfvo type="max"/>
        <color rgb="FF63BE7B"/>
        <color rgb="FFFFEB84"/>
        <color rgb="FFF8696B"/>
      </colorScale>
    </cfRule>
  </conditionalFormatting>
  <conditionalFormatting sqref="C24:AA24 A24 CG24:XFD24">
    <cfRule type="colorScale" priority="50">
      <colorScale>
        <cfvo type="min"/>
        <cfvo type="percentile" val="50"/>
        <cfvo type="max"/>
        <color rgb="FF63BE7B"/>
        <color rgb="FFFFEB84"/>
        <color rgb="FFF8696B"/>
      </colorScale>
    </cfRule>
  </conditionalFormatting>
  <conditionalFormatting sqref="C2:R2">
    <cfRule type="colorScale" priority="96">
      <colorScale>
        <cfvo type="min"/>
        <cfvo type="percentile" val="50"/>
        <cfvo type="max"/>
        <color rgb="FF63BE7B"/>
        <color rgb="FFFFEB84"/>
        <color rgb="FFF8696B"/>
      </colorScale>
    </cfRule>
  </conditionalFormatting>
  <conditionalFormatting sqref="C3:R3">
    <cfRule type="colorScale" priority="97">
      <colorScale>
        <cfvo type="min"/>
        <cfvo type="percentile" val="50"/>
        <cfvo type="max"/>
        <color rgb="FF63BE7B"/>
        <color rgb="FFFFEB84"/>
        <color rgb="FFF8696B"/>
      </colorScale>
    </cfRule>
  </conditionalFormatting>
  <conditionalFormatting sqref="C4:R4">
    <cfRule type="colorScale" priority="98">
      <colorScale>
        <cfvo type="min"/>
        <cfvo type="percentile" val="50"/>
        <cfvo type="max"/>
        <color rgb="FF63BE7B"/>
        <color rgb="FFFFEB84"/>
        <color rgb="FFF8696B"/>
      </colorScale>
    </cfRule>
  </conditionalFormatting>
  <conditionalFormatting sqref="C5:R5">
    <cfRule type="colorScale" priority="99">
      <colorScale>
        <cfvo type="min"/>
        <cfvo type="percentile" val="50"/>
        <cfvo type="max"/>
        <color rgb="FF63BE7B"/>
        <color rgb="FFFFEB84"/>
        <color rgb="FFF8696B"/>
      </colorScale>
    </cfRule>
  </conditionalFormatting>
  <conditionalFormatting sqref="C6:R6">
    <cfRule type="colorScale" priority="100">
      <colorScale>
        <cfvo type="min"/>
        <cfvo type="percentile" val="50"/>
        <cfvo type="max"/>
        <color rgb="FF63BE7B"/>
        <color rgb="FFFFEB84"/>
        <color rgb="FFF8696B"/>
      </colorScale>
    </cfRule>
  </conditionalFormatting>
  <conditionalFormatting sqref="C7:R7">
    <cfRule type="colorScale" priority="101">
      <colorScale>
        <cfvo type="min"/>
        <cfvo type="percentile" val="50"/>
        <cfvo type="max"/>
        <color rgb="FF63BE7B"/>
        <color rgb="FFFFEB84"/>
        <color rgb="FFF8696B"/>
      </colorScale>
    </cfRule>
  </conditionalFormatting>
  <conditionalFormatting sqref="C8:R8">
    <cfRule type="colorScale" priority="102">
      <colorScale>
        <cfvo type="min"/>
        <cfvo type="percentile" val="50"/>
        <cfvo type="max"/>
        <color rgb="FF63BE7B"/>
        <color rgb="FFFFEB84"/>
        <color rgb="FFF8696B"/>
      </colorScale>
    </cfRule>
  </conditionalFormatting>
  <conditionalFormatting sqref="C9:R9">
    <cfRule type="colorScale" priority="103">
      <colorScale>
        <cfvo type="min"/>
        <cfvo type="percentile" val="50"/>
        <cfvo type="max"/>
        <color rgb="FF63BE7B"/>
        <color rgb="FFFFEB84"/>
        <color rgb="FFF8696B"/>
      </colorScale>
    </cfRule>
  </conditionalFormatting>
  <conditionalFormatting sqref="C10:R10">
    <cfRule type="colorScale" priority="104">
      <colorScale>
        <cfvo type="min"/>
        <cfvo type="percentile" val="50"/>
        <cfvo type="max"/>
        <color rgb="FF63BE7B"/>
        <color rgb="FFFFEB84"/>
        <color rgb="FFF8696B"/>
      </colorScale>
    </cfRule>
  </conditionalFormatting>
  <conditionalFormatting sqref="C11:R11">
    <cfRule type="colorScale" priority="105">
      <colorScale>
        <cfvo type="min"/>
        <cfvo type="percentile" val="50"/>
        <cfvo type="max"/>
        <color rgb="FF63BE7B"/>
        <color rgb="FFFFEB84"/>
        <color rgb="FFF8696B"/>
      </colorScale>
    </cfRule>
  </conditionalFormatting>
  <conditionalFormatting sqref="C12:R12">
    <cfRule type="colorScale" priority="106">
      <colorScale>
        <cfvo type="min"/>
        <cfvo type="percentile" val="50"/>
        <cfvo type="max"/>
        <color rgb="FF63BE7B"/>
        <color rgb="FFFFEB84"/>
        <color rgb="FFF8696B"/>
      </colorScale>
    </cfRule>
  </conditionalFormatting>
  <conditionalFormatting sqref="C13:R13">
    <cfRule type="colorScale" priority="107">
      <colorScale>
        <cfvo type="min"/>
        <cfvo type="percentile" val="50"/>
        <cfvo type="max"/>
        <color rgb="FF63BE7B"/>
        <color rgb="FFFFEB84"/>
        <color rgb="FFF8696B"/>
      </colorScale>
    </cfRule>
  </conditionalFormatting>
  <conditionalFormatting sqref="C14:R14">
    <cfRule type="colorScale" priority="108">
      <colorScale>
        <cfvo type="min"/>
        <cfvo type="percentile" val="50"/>
        <cfvo type="max"/>
        <color rgb="FF63BE7B"/>
        <color rgb="FFFFEB84"/>
        <color rgb="FFF8696B"/>
      </colorScale>
    </cfRule>
  </conditionalFormatting>
  <conditionalFormatting sqref="C15:R15">
    <cfRule type="colorScale" priority="109">
      <colorScale>
        <cfvo type="min"/>
        <cfvo type="percentile" val="50"/>
        <cfvo type="max"/>
        <color rgb="FF63BE7B"/>
        <color rgb="FFFFEB84"/>
        <color rgb="FFF8696B"/>
      </colorScale>
    </cfRule>
  </conditionalFormatting>
  <conditionalFormatting sqref="C16:R16">
    <cfRule type="colorScale" priority="110">
      <colorScale>
        <cfvo type="min"/>
        <cfvo type="percentile" val="50"/>
        <cfvo type="max"/>
        <color rgb="FF63BE7B"/>
        <color rgb="FFFFEB84"/>
        <color rgb="FFF8696B"/>
      </colorScale>
    </cfRule>
  </conditionalFormatting>
  <conditionalFormatting sqref="C17:R17">
    <cfRule type="colorScale" priority="111">
      <colorScale>
        <cfvo type="min"/>
        <cfvo type="percentile" val="50"/>
        <cfvo type="max"/>
        <color rgb="FF63BE7B"/>
        <color rgb="FFFFEB84"/>
        <color rgb="FFF8696B"/>
      </colorScale>
    </cfRule>
  </conditionalFormatting>
  <conditionalFormatting sqref="C18:R18">
    <cfRule type="colorScale" priority="112">
      <colorScale>
        <cfvo type="min"/>
        <cfvo type="percentile" val="50"/>
        <cfvo type="max"/>
        <color rgb="FF63BE7B"/>
        <color rgb="FFFFEB84"/>
        <color rgb="FFF8696B"/>
      </colorScale>
    </cfRule>
  </conditionalFormatting>
  <conditionalFormatting sqref="C19:R19">
    <cfRule type="colorScale" priority="113">
      <colorScale>
        <cfvo type="min"/>
        <cfvo type="percentile" val="50"/>
        <cfvo type="max"/>
        <color rgb="FF63BE7B"/>
        <color rgb="FFFFEB84"/>
        <color rgb="FFF8696B"/>
      </colorScale>
    </cfRule>
  </conditionalFormatting>
  <conditionalFormatting sqref="C20:R20">
    <cfRule type="colorScale" priority="114">
      <colorScale>
        <cfvo type="min"/>
        <cfvo type="percentile" val="50"/>
        <cfvo type="max"/>
        <color rgb="FF63BE7B"/>
        <color rgb="FFFFEB84"/>
        <color rgb="FFF8696B"/>
      </colorScale>
    </cfRule>
  </conditionalFormatting>
  <conditionalFormatting sqref="C21:R21">
    <cfRule type="colorScale" priority="115">
      <colorScale>
        <cfvo type="min"/>
        <cfvo type="percentile" val="50"/>
        <cfvo type="max"/>
        <color rgb="FF63BE7B"/>
        <color rgb="FFFFEB84"/>
        <color rgb="FFF8696B"/>
      </colorScale>
    </cfRule>
  </conditionalFormatting>
  <conditionalFormatting sqref="C22:R22">
    <cfRule type="colorScale" priority="116">
      <colorScale>
        <cfvo type="min"/>
        <cfvo type="percentile" val="50"/>
        <cfvo type="max"/>
        <color rgb="FF63BE7B"/>
        <color rgb="FFFFEB84"/>
        <color rgb="FFF8696B"/>
      </colorScale>
    </cfRule>
  </conditionalFormatting>
  <conditionalFormatting sqref="C23:R23">
    <cfRule type="colorScale" priority="117">
      <colorScale>
        <cfvo type="min"/>
        <cfvo type="percentile" val="50"/>
        <cfvo type="max"/>
        <color rgb="FF63BE7B"/>
        <color rgb="FFFFEB84"/>
        <color rgb="FFF8696B"/>
      </colorScale>
    </cfRule>
  </conditionalFormatting>
  <conditionalFormatting sqref="C24:R24">
    <cfRule type="colorScale" priority="118">
      <colorScale>
        <cfvo type="min"/>
        <cfvo type="percentile" val="50"/>
        <cfvo type="max"/>
        <color rgb="FF63BE7B"/>
        <color rgb="FFFFEB84"/>
        <color rgb="FFF8696B"/>
      </colorScale>
    </cfRule>
  </conditionalFormatting>
  <conditionalFormatting sqref="A29">
    <cfRule type="colorScale" priority="49">
      <colorScale>
        <cfvo type="min"/>
        <cfvo type="percentile" val="50"/>
        <cfvo type="max"/>
        <color rgb="FF63BE7B"/>
        <color rgb="FFFFEB84"/>
        <color rgb="FFF8696B"/>
      </colorScale>
    </cfRule>
  </conditionalFormatting>
  <conditionalFormatting sqref="A30">
    <cfRule type="colorScale" priority="48">
      <colorScale>
        <cfvo type="min"/>
        <cfvo type="percentile" val="50"/>
        <cfvo type="max"/>
        <color rgb="FF63BE7B"/>
        <color rgb="FFFFEB84"/>
        <color rgb="FFF8696B"/>
      </colorScale>
    </cfRule>
  </conditionalFormatting>
  <conditionalFormatting sqref="A31">
    <cfRule type="colorScale" priority="47">
      <colorScale>
        <cfvo type="min"/>
        <cfvo type="percentile" val="50"/>
        <cfvo type="max"/>
        <color rgb="FF63BE7B"/>
        <color rgb="FFFFEB84"/>
        <color rgb="FFF8696B"/>
      </colorScale>
    </cfRule>
  </conditionalFormatting>
  <conditionalFormatting sqref="A32">
    <cfRule type="colorScale" priority="46">
      <colorScale>
        <cfvo type="min"/>
        <cfvo type="percentile" val="50"/>
        <cfvo type="max"/>
        <color rgb="FF63BE7B"/>
        <color rgb="FFFFEB84"/>
        <color rgb="FFF8696B"/>
      </colorScale>
    </cfRule>
  </conditionalFormatting>
  <conditionalFormatting sqref="A33">
    <cfRule type="colorScale" priority="45">
      <colorScale>
        <cfvo type="min"/>
        <cfvo type="percentile" val="50"/>
        <cfvo type="max"/>
        <color rgb="FF63BE7B"/>
        <color rgb="FFFFEB84"/>
        <color rgb="FFF8696B"/>
      </colorScale>
    </cfRule>
  </conditionalFormatting>
  <conditionalFormatting sqref="A34">
    <cfRule type="colorScale" priority="44">
      <colorScale>
        <cfvo type="min"/>
        <cfvo type="percentile" val="50"/>
        <cfvo type="max"/>
        <color rgb="FF63BE7B"/>
        <color rgb="FFFFEB84"/>
        <color rgb="FFF8696B"/>
      </colorScale>
    </cfRule>
  </conditionalFormatting>
  <conditionalFormatting sqref="A35">
    <cfRule type="colorScale" priority="43">
      <colorScale>
        <cfvo type="min"/>
        <cfvo type="percentile" val="50"/>
        <cfvo type="max"/>
        <color rgb="FF63BE7B"/>
        <color rgb="FFFFEB84"/>
        <color rgb="FFF8696B"/>
      </colorScale>
    </cfRule>
  </conditionalFormatting>
  <conditionalFormatting sqref="A36">
    <cfRule type="colorScale" priority="42">
      <colorScale>
        <cfvo type="min"/>
        <cfvo type="percentile" val="50"/>
        <cfvo type="max"/>
        <color rgb="FF63BE7B"/>
        <color rgb="FFFFEB84"/>
        <color rgb="FFF8696B"/>
      </colorScale>
    </cfRule>
  </conditionalFormatting>
  <conditionalFormatting sqref="A37">
    <cfRule type="colorScale" priority="41">
      <colorScale>
        <cfvo type="min"/>
        <cfvo type="percentile" val="50"/>
        <cfvo type="max"/>
        <color rgb="FF63BE7B"/>
        <color rgb="FFFFEB84"/>
        <color rgb="FFF8696B"/>
      </colorScale>
    </cfRule>
  </conditionalFormatting>
  <conditionalFormatting sqref="A38">
    <cfRule type="colorScale" priority="40">
      <colorScale>
        <cfvo type="min"/>
        <cfvo type="percentile" val="50"/>
        <cfvo type="max"/>
        <color rgb="FF63BE7B"/>
        <color rgb="FFFFEB84"/>
        <color rgb="FFF8696B"/>
      </colorScale>
    </cfRule>
  </conditionalFormatting>
  <conditionalFormatting sqref="A39">
    <cfRule type="colorScale" priority="39">
      <colorScale>
        <cfvo type="min"/>
        <cfvo type="percentile" val="50"/>
        <cfvo type="max"/>
        <color rgb="FF63BE7B"/>
        <color rgb="FFFFEB84"/>
        <color rgb="FFF8696B"/>
      </colorScale>
    </cfRule>
  </conditionalFormatting>
  <conditionalFormatting sqref="A40">
    <cfRule type="colorScale" priority="38">
      <colorScale>
        <cfvo type="min"/>
        <cfvo type="percentile" val="50"/>
        <cfvo type="max"/>
        <color rgb="FF63BE7B"/>
        <color rgb="FFFFEB84"/>
        <color rgb="FFF8696B"/>
      </colorScale>
    </cfRule>
  </conditionalFormatting>
  <conditionalFormatting sqref="A41">
    <cfRule type="colorScale" priority="37">
      <colorScale>
        <cfvo type="min"/>
        <cfvo type="percentile" val="50"/>
        <cfvo type="max"/>
        <color rgb="FF63BE7B"/>
        <color rgb="FFFFEB84"/>
        <color rgb="FFF8696B"/>
      </colorScale>
    </cfRule>
  </conditionalFormatting>
  <conditionalFormatting sqref="A42">
    <cfRule type="colorScale" priority="36">
      <colorScale>
        <cfvo type="min"/>
        <cfvo type="percentile" val="50"/>
        <cfvo type="max"/>
        <color rgb="FF63BE7B"/>
        <color rgb="FFFFEB84"/>
        <color rgb="FFF8696B"/>
      </colorScale>
    </cfRule>
  </conditionalFormatting>
  <conditionalFormatting sqref="A43">
    <cfRule type="colorScale" priority="35">
      <colorScale>
        <cfvo type="min"/>
        <cfvo type="percentile" val="50"/>
        <cfvo type="max"/>
        <color rgb="FF63BE7B"/>
        <color rgb="FFFFEB84"/>
        <color rgb="FFF8696B"/>
      </colorScale>
    </cfRule>
  </conditionalFormatting>
  <conditionalFormatting sqref="A44">
    <cfRule type="colorScale" priority="34">
      <colorScale>
        <cfvo type="min"/>
        <cfvo type="percentile" val="50"/>
        <cfvo type="max"/>
        <color rgb="FF63BE7B"/>
        <color rgb="FFFFEB84"/>
        <color rgb="FFF8696B"/>
      </colorScale>
    </cfRule>
  </conditionalFormatting>
  <conditionalFormatting sqref="A45">
    <cfRule type="colorScale" priority="33">
      <colorScale>
        <cfvo type="min"/>
        <cfvo type="percentile" val="50"/>
        <cfvo type="max"/>
        <color rgb="FF63BE7B"/>
        <color rgb="FFFFEB84"/>
        <color rgb="FFF8696B"/>
      </colorScale>
    </cfRule>
  </conditionalFormatting>
  <conditionalFormatting sqref="A46">
    <cfRule type="colorScale" priority="32">
      <colorScale>
        <cfvo type="min"/>
        <cfvo type="percentile" val="50"/>
        <cfvo type="max"/>
        <color rgb="FF63BE7B"/>
        <color rgb="FFFFEB84"/>
        <color rgb="FFF8696B"/>
      </colorScale>
    </cfRule>
  </conditionalFormatting>
  <conditionalFormatting sqref="A47">
    <cfRule type="colorScale" priority="31">
      <colorScale>
        <cfvo type="min"/>
        <cfvo type="percentile" val="50"/>
        <cfvo type="max"/>
        <color rgb="FF63BE7B"/>
        <color rgb="FFFFEB84"/>
        <color rgb="FFF8696B"/>
      </colorScale>
    </cfRule>
  </conditionalFormatting>
  <conditionalFormatting sqref="A48">
    <cfRule type="colorScale" priority="30">
      <colorScale>
        <cfvo type="min"/>
        <cfvo type="percentile" val="50"/>
        <cfvo type="max"/>
        <color rgb="FF63BE7B"/>
        <color rgb="FFFFEB84"/>
        <color rgb="FFF8696B"/>
      </colorScale>
    </cfRule>
  </conditionalFormatting>
  <conditionalFormatting sqref="A49">
    <cfRule type="colorScale" priority="29">
      <colorScale>
        <cfvo type="min"/>
        <cfvo type="percentile" val="50"/>
        <cfvo type="max"/>
        <color rgb="FF63BE7B"/>
        <color rgb="FFFFEB84"/>
        <color rgb="FFF8696B"/>
      </colorScale>
    </cfRule>
  </conditionalFormatting>
  <conditionalFormatting sqref="A50">
    <cfRule type="colorScale" priority="28">
      <colorScale>
        <cfvo type="min"/>
        <cfvo type="percentile" val="50"/>
        <cfvo type="max"/>
        <color rgb="FF63BE7B"/>
        <color rgb="FFFFEB84"/>
        <color rgb="FFF8696B"/>
      </colorScale>
    </cfRule>
  </conditionalFormatting>
  <conditionalFormatting sqref="A51">
    <cfRule type="colorScale" priority="27">
      <colorScale>
        <cfvo type="min"/>
        <cfvo type="percentile" val="50"/>
        <cfvo type="max"/>
        <color rgb="FF63BE7B"/>
        <color rgb="FFFFEB84"/>
        <color rgb="FFF8696B"/>
      </colorScale>
    </cfRule>
  </conditionalFormatting>
  <conditionalFormatting sqref="C29:AA51">
    <cfRule type="cellIs" dxfId="1" priority="1" operator="between">
      <formula>0.9</formula>
      <formula>1</formula>
    </cfRule>
    <cfRule type="cellIs" dxfId="0" priority="2" operator="greaterThan">
      <formula>1</formula>
    </cfRule>
  </conditionalFormatting>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A86"/>
  <sheetViews>
    <sheetView topLeftCell="L25" workbookViewId="0">
      <selection activeCell="Z44" sqref="Z44"/>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 customWidth="1"/>
    <col min="16" max="17" width="8" customWidth="1"/>
    <col min="18" max="24" width="9.140625" style="39"/>
  </cols>
  <sheetData>
    <row r="1" spans="1:24" ht="18.75" x14ac:dyDescent="0.3">
      <c r="A1" s="102" t="s">
        <v>97</v>
      </c>
    </row>
    <row r="2" spans="1:24" x14ac:dyDescent="0.25">
      <c r="A2" t="s">
        <v>400</v>
      </c>
    </row>
    <row r="4" spans="1:24" x14ac:dyDescent="0.25">
      <c r="A4" s="21" t="s">
        <v>192</v>
      </c>
    </row>
    <row r="5" spans="1:24" x14ac:dyDescent="0.25">
      <c r="A5" s="21"/>
    </row>
    <row r="6" spans="1:24" x14ac:dyDescent="0.25">
      <c r="A6" s="21" t="s">
        <v>193</v>
      </c>
      <c r="C6" s="100">
        <f>VLOOKUP(A1,'Projection Summary'!A5:C50,3,FALSE)</f>
        <v>850</v>
      </c>
    </row>
    <row r="7" spans="1:24" x14ac:dyDescent="0.25">
      <c r="A7" s="21" t="s">
        <v>191</v>
      </c>
      <c r="B7" s="21"/>
      <c r="C7" s="100">
        <f>VLOOKUP(A1,'Projection Summary'!A5:C50,2,FALSE)</f>
        <v>160</v>
      </c>
    </row>
    <row r="9" spans="1:24" ht="15.75" x14ac:dyDescent="0.25">
      <c r="A9" s="129" t="s">
        <v>197</v>
      </c>
      <c r="R9" s="129" t="s">
        <v>198</v>
      </c>
      <c r="T9" s="173"/>
    </row>
    <row r="10" spans="1:24" x14ac:dyDescent="0.25">
      <c r="A10" s="21"/>
    </row>
    <row r="11" spans="1:24" x14ac:dyDescent="0.25">
      <c r="A11" s="21" t="s">
        <v>227</v>
      </c>
      <c r="K11" s="406" t="s">
        <v>137</v>
      </c>
      <c r="L11" s="407"/>
      <c r="M11" s="412" t="s">
        <v>139</v>
      </c>
      <c r="N11" s="49"/>
      <c r="O11" s="394" t="s">
        <v>136</v>
      </c>
      <c r="R11" s="21" t="s">
        <v>228</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81</v>
      </c>
      <c r="C13" s="19">
        <f>VLOOKUP($A$1,'Primary Catchment Analysis'!$A$3:$BE$25, 38, FALSE)</f>
        <v>86</v>
      </c>
      <c r="D13" s="27">
        <f>VLOOKUP($A$1,'Primary Catchment Analysis'!$A$3:$BE$25, 39, FALSE)</f>
        <v>76</v>
      </c>
      <c r="E13" s="27">
        <f>VLOOKUP($A$1,'Primary Catchment Analysis'!$A$3:$BE$25, 40, FALSE)</f>
        <v>78</v>
      </c>
      <c r="F13" s="27">
        <f>VLOOKUP($A$1,'Primary Catchment Analysis'!$A$3:$BE$25, 41, FALSE)</f>
        <v>83</v>
      </c>
      <c r="G13" s="125">
        <f>VLOOKUP($A$1,'Primary Catchment Analysis'!$A$3:$BE$25, 42, FALSE)</f>
        <v>75</v>
      </c>
      <c r="H13" s="28">
        <f>VLOOKUP($A$1,'Primary Catchment Analysis'!$A$3:$BE$25, 43, FALSE)</f>
        <v>67</v>
      </c>
      <c r="I13" s="28">
        <f>VLOOKUP($A$1,'S1 Catchment Analysis'!A3:I25, 7, FALSE)</f>
        <v>67</v>
      </c>
      <c r="J13" s="23"/>
      <c r="K13" s="410"/>
      <c r="L13" s="411"/>
      <c r="M13" s="399"/>
      <c r="N13" s="50"/>
      <c r="O13" s="399"/>
      <c r="P13" s="50"/>
      <c r="Q13" s="25">
        <f>A13</f>
        <v>2013</v>
      </c>
      <c r="R13" s="69">
        <f>VLOOKUP($A$1,'Secondary Rolls'!$A$3:$BE$25, 37, FALSE)</f>
        <v>125</v>
      </c>
      <c r="S13" s="53">
        <f>VLOOKUP($A$1,'Secondary Rolls'!$A$3:$BE$25, 38, FALSE)</f>
        <v>119</v>
      </c>
      <c r="T13" s="53">
        <f>VLOOKUP($A$1,'Secondary Rolls'!$A$3:$BE$25, 39, FALSE)</f>
        <v>125</v>
      </c>
      <c r="U13" s="61">
        <f>VLOOKUP($A$1,'Secondary Rolls'!$A$3:$BE$25, 40, FALSE)</f>
        <v>139</v>
      </c>
      <c r="V13" s="63">
        <f>VLOOKUP($A$1,'Secondary Rolls'!$A$3:$BE$25, 41, FALSE)</f>
        <v>131</v>
      </c>
      <c r="W13" s="53">
        <f>VLOOKUP($A$1,'Secondary Rolls'!$A$3:$BE$25, 42, FALSE)</f>
        <v>102</v>
      </c>
      <c r="X13" s="62">
        <f t="shared" ref="X13:X18" si="0">SUM(R13:W13)</f>
        <v>741</v>
      </c>
    </row>
    <row r="14" spans="1:24" ht="15.75" thickBot="1" x14ac:dyDescent="0.3">
      <c r="A14" s="25">
        <f>VLOOKUP($A$12,'S1 Catchment Analysis'!A2:I2, 6, FALSE)</f>
        <v>2014</v>
      </c>
      <c r="B14" s="45">
        <f>VLOOKUP($A$1,'Primary Catchment Analysis'!$A$3:$BE$25, 30, FALSE)</f>
        <v>96</v>
      </c>
      <c r="C14" s="44">
        <f>VLOOKUP($A$1,'Primary Catchment Analysis'!$A$3:$BE$25, 31, FALSE)</f>
        <v>87</v>
      </c>
      <c r="D14" s="19">
        <f>VLOOKUP($A$1,'Primary Catchment Analysis'!$A$3:$BE$25, 32, FALSE)</f>
        <v>86</v>
      </c>
      <c r="E14" s="27">
        <f>VLOOKUP($A$1,'Primary Catchment Analysis'!$A$3:$BE$25, 33, FALSE)</f>
        <v>79</v>
      </c>
      <c r="F14" s="27">
        <f>VLOOKUP($A$1,'Primary Catchment Analysis'!$A$3:$BE$25, 34, FALSE)</f>
        <v>80</v>
      </c>
      <c r="G14" s="125">
        <f>VLOOKUP($A$1,'Primary Catchment Analysis'!$A$3:$BE$25, 35, FALSE)</f>
        <v>84</v>
      </c>
      <c r="H14" s="28">
        <f>VLOOKUP($A$1,'Primary Catchment Analysis'!$A$3:$BE$25, 36, FALSE)</f>
        <v>76</v>
      </c>
      <c r="I14" s="27">
        <f>VLOOKUP($A$1,'S1 Catchment Analysis'!A3:I25, 6, FALSE)</f>
        <v>62</v>
      </c>
      <c r="J14" s="23"/>
      <c r="K14" s="400">
        <f>VLOOKUP($A$1,'S1 Catchment Retained'!A2:I25, 6, FALSE)</f>
        <v>61</v>
      </c>
      <c r="L14" s="401"/>
      <c r="M14" s="110">
        <f t="shared" ref="M14:M18" si="1">(K14/I14)</f>
        <v>0.9838709677419355</v>
      </c>
      <c r="N14" s="50"/>
      <c r="O14" s="111">
        <f t="shared" ref="O14:O15" si="2">R14-K14</f>
        <v>46</v>
      </c>
      <c r="P14" s="50"/>
      <c r="Q14" s="25">
        <f t="shared" ref="Q14:Q18" si="3">A14</f>
        <v>2014</v>
      </c>
      <c r="R14" s="67">
        <f>VLOOKUP($A$1,'Secondary Rolls'!$A$3:$BE$25, 30, FALSE)</f>
        <v>107</v>
      </c>
      <c r="S14" s="69">
        <f>VLOOKUP($A$1,'Secondary Rolls'!$A$3:$BE$25, 31, FALSE)</f>
        <v>129</v>
      </c>
      <c r="T14" s="53">
        <f>VLOOKUP($A$1,'Secondary Rolls'!$A$3:$BE$25, 32, FALSE)</f>
        <v>120</v>
      </c>
      <c r="U14" s="61">
        <f>VLOOKUP($A$1,'Secondary Rolls'!$A$3:$BE$25, 33, FALSE)</f>
        <v>127</v>
      </c>
      <c r="V14" s="64">
        <f>VLOOKUP($A$1,'Secondary Rolls'!$A$3:$BE$25, 34, FALSE)</f>
        <v>130</v>
      </c>
      <c r="W14" s="116">
        <f>VLOOKUP($A$1,'Secondary Rolls'!$A$3:$BE$25, 35, FALSE)</f>
        <v>111</v>
      </c>
      <c r="X14" s="62">
        <f t="shared" si="0"/>
        <v>724</v>
      </c>
    </row>
    <row r="15" spans="1:24" ht="15.75" thickBot="1" x14ac:dyDescent="0.3">
      <c r="A15" s="25">
        <f>VLOOKUP($A$12,'S1 Catchment Analysis'!A2:I2, 5, FALSE)</f>
        <v>2015</v>
      </c>
      <c r="B15" s="19">
        <f>VLOOKUP($A$1,'Primary Catchment Analysis'!$A$3:$BE$25, 23, FALSE)</f>
        <v>79</v>
      </c>
      <c r="C15" s="45">
        <f>VLOOKUP($A$1,'Primary Catchment Analysis'!$A$3:$BE$25, 24, FALSE)</f>
        <v>97</v>
      </c>
      <c r="D15" s="44">
        <f>VLOOKUP($A$1,'Primary Catchment Analysis'!$A$3:$BE$25, 25, FALSE)</f>
        <v>89</v>
      </c>
      <c r="E15" s="19">
        <f>VLOOKUP($A$1,'Primary Catchment Analysis'!$A$3:$BE$25, 26, FALSE)</f>
        <v>85</v>
      </c>
      <c r="F15" s="27">
        <f>VLOOKUP($A$1,'Primary Catchment Analysis'!$A$3:$BE$25, 27, FALSE)</f>
        <v>80</v>
      </c>
      <c r="G15" s="125">
        <f>VLOOKUP($A$1,'Primary Catchment Analysis'!$A$3:$BE$25, 28, FALSE)</f>
        <v>81</v>
      </c>
      <c r="H15" s="30">
        <f>VLOOKUP($A$1,'Primary Catchment Analysis'!$A$3:$BE$25, 29, FALSE)</f>
        <v>85</v>
      </c>
      <c r="I15" s="29">
        <f>VLOOKUP($A$1,'S1 Catchment Analysis'!A3:I25, 5, FALSE)</f>
        <v>64</v>
      </c>
      <c r="J15" s="23"/>
      <c r="K15" s="400">
        <f>VLOOKUP($A$1,'S1 Catchment Retained'!A2:I25, 5, FALSE)</f>
        <v>62</v>
      </c>
      <c r="L15" s="401"/>
      <c r="M15" s="110">
        <f t="shared" si="1"/>
        <v>0.96875</v>
      </c>
      <c r="N15" s="50"/>
      <c r="O15" s="111">
        <f t="shared" si="2"/>
        <v>53</v>
      </c>
      <c r="P15" s="50"/>
      <c r="Q15" s="25">
        <f t="shared" si="3"/>
        <v>2015</v>
      </c>
      <c r="R15" s="68">
        <f>VLOOKUP($A$1,'Secondary Rolls'!$A$3:$BE$25, 23, FALSE)</f>
        <v>115</v>
      </c>
      <c r="S15" s="67">
        <f>VLOOKUP($A$1,'Secondary Rolls'!$A$3:$BE$25, 24, FALSE)</f>
        <v>105</v>
      </c>
      <c r="T15" s="69">
        <f>VLOOKUP($A$1,'Secondary Rolls'!$A$3:$BE$25, 25, FALSE)</f>
        <v>130</v>
      </c>
      <c r="U15" s="61">
        <f>VLOOKUP($A$1,'Secondary Rolls'!$A$3:$BE$25, 26, FALSE)</f>
        <v>118</v>
      </c>
      <c r="V15" s="114">
        <f>VLOOKUP($A$1,'Secondary Rolls'!$A$3:$BE$25, 27, FALSE)</f>
        <v>119</v>
      </c>
      <c r="W15" s="64">
        <f>VLOOKUP($A$1,'Secondary Rolls'!$A$3:$BE$25, 28, FALSE)</f>
        <v>113</v>
      </c>
      <c r="X15" s="62">
        <f t="shared" si="0"/>
        <v>700</v>
      </c>
    </row>
    <row r="16" spans="1:24" ht="15.75" thickBot="1" x14ac:dyDescent="0.3">
      <c r="A16" s="25">
        <f>VLOOKUP($A$12,'S1 Catchment Analysis'!A2:I2, 4, FALSE)</f>
        <v>2016</v>
      </c>
      <c r="B16" s="44">
        <f>VLOOKUP($A$1,'Primary Catchment Analysis'!$A$3:$BE$25, 16, FALSE)</f>
        <v>105</v>
      </c>
      <c r="C16" s="19">
        <f>VLOOKUP($A$1,'Primary Catchment Analysis'!$A$3:$BE$25, 17, FALSE)</f>
        <v>85</v>
      </c>
      <c r="D16" s="45">
        <f>VLOOKUP($A$1,'Primary Catchment Analysis'!$A$3:$BE$25, 18, FALSE)</f>
        <v>93</v>
      </c>
      <c r="E16" s="44">
        <f>VLOOKUP($A$1,'Primary Catchment Analysis'!$A$3:$BE$25, 19, FALSE)</f>
        <v>96</v>
      </c>
      <c r="F16" s="19">
        <f>VLOOKUP($A$1,'Primary Catchment Analysis'!$A$3:$BE$25, 20, FALSE)</f>
        <v>87</v>
      </c>
      <c r="G16" s="125">
        <f>VLOOKUP($A$1,'Primary Catchment Analysis'!$A$3:$BE$25, 21, FALSE)</f>
        <v>83</v>
      </c>
      <c r="H16" s="112">
        <f>VLOOKUP($A$1,'Primary Catchment Analysis'!$A$3:$BE$25, 22, FALSE)</f>
        <v>85</v>
      </c>
      <c r="I16" s="30">
        <f>VLOOKUP($A$1,'S1 Catchment Analysis'!A3:I25, 4, FALSE)</f>
        <v>83</v>
      </c>
      <c r="J16" s="23"/>
      <c r="K16" s="400">
        <f>VLOOKUP($A$1,'S1 Catchment Retained'!A2:I25, 4, FALSE)</f>
        <v>80</v>
      </c>
      <c r="L16" s="401"/>
      <c r="M16" s="56">
        <f t="shared" si="1"/>
        <v>0.96385542168674698</v>
      </c>
      <c r="N16" s="50"/>
      <c r="O16" s="103">
        <f t="shared" ref="O16:O17" si="4">R16-K16</f>
        <v>53</v>
      </c>
      <c r="P16" s="50"/>
      <c r="Q16" s="25">
        <f t="shared" si="3"/>
        <v>2016</v>
      </c>
      <c r="R16" s="69">
        <f>VLOOKUP($A$1,'Secondary Rolls'!$A$3:$BE$25, 16, FALSE)</f>
        <v>133</v>
      </c>
      <c r="S16" s="68">
        <f>VLOOKUP($A$1,'Secondary Rolls'!$A$3:$BE$25, 17, FALSE)</f>
        <v>121</v>
      </c>
      <c r="T16" s="67">
        <f>VLOOKUP($A$1,'Secondary Rolls'!$A$3:$BE$25, 18, FALSE)</f>
        <v>102</v>
      </c>
      <c r="U16" s="71">
        <f>VLOOKUP($A$1,'Secondary Rolls'!$A$3:$BE$25, 19, FALSE)</f>
        <v>134</v>
      </c>
      <c r="V16" s="115">
        <f>VLOOKUP($A$1,'Secondary Rolls'!$A$3:$BE$25, 20, FALSE)</f>
        <v>113</v>
      </c>
      <c r="W16" s="65">
        <f>VLOOKUP($A$1,'Secondary Rolls'!$A$3:$BE$25, 21, FALSE)</f>
        <v>92</v>
      </c>
      <c r="X16" s="62">
        <f t="shared" si="0"/>
        <v>695</v>
      </c>
    </row>
    <row r="17" spans="1:27" ht="15.75" thickBot="1" x14ac:dyDescent="0.3">
      <c r="A17" s="258">
        <f>VLOOKUP($A$12,'S1 Catchment Analysis'!A2:I2, 3, FALSE)</f>
        <v>2017</v>
      </c>
      <c r="B17" s="259">
        <f>VLOOKUP($A$1,'Primary Catchment Analysis'!$A$3:$BE$25, 9, FALSE)</f>
        <v>92</v>
      </c>
      <c r="C17" s="260">
        <f>VLOOKUP($A$1,'Primary Catchment Analysis'!$A$3:$BE$25, 10, FALSE)</f>
        <v>103</v>
      </c>
      <c r="D17" s="261">
        <f>VLOOKUP($A$1,'Primary Catchment Analysis'!$A$3:$BE$25, 11, FALSE)</f>
        <v>89</v>
      </c>
      <c r="E17" s="259">
        <f>VLOOKUP($A$1,'Primary Catchment Analysis'!$A$3:$BE$25, 12, FALSE)</f>
        <v>96</v>
      </c>
      <c r="F17" s="260">
        <f>VLOOKUP($A$1,'Primary Catchment Analysis'!$A$3:$BE$25, 13, FALSE)</f>
        <v>92</v>
      </c>
      <c r="G17" s="262">
        <f>VLOOKUP($A$1,'Primary Catchment Analysis'!$A$3:$BE$25, 14, FALSE)</f>
        <v>84</v>
      </c>
      <c r="H17" s="113">
        <f>VLOOKUP($A$1,'Primary Catchment Analysis'!$A$3:$BE$25, 15, FALSE)</f>
        <v>84</v>
      </c>
      <c r="I17" s="31">
        <f>VLOOKUP($A$1,'S1 Catchment Analysis'!A3:I25, 3, FALSE)</f>
        <v>79</v>
      </c>
      <c r="J17" s="23"/>
      <c r="K17" s="402">
        <f>VLOOKUP($A$1,'S1 Catchment Retained'!A2:I25, 3, FALSE)</f>
        <v>75</v>
      </c>
      <c r="L17" s="403"/>
      <c r="M17" s="57">
        <f t="shared" si="1"/>
        <v>0.94936708860759489</v>
      </c>
      <c r="N17" s="50"/>
      <c r="O17" s="104">
        <f t="shared" si="4"/>
        <v>60</v>
      </c>
      <c r="P17" s="50"/>
      <c r="Q17" s="25">
        <f t="shared" si="3"/>
        <v>2017</v>
      </c>
      <c r="R17" s="264">
        <f>VLOOKUP($A$1,'Secondary Rolls'!$A$3:$BE$25, 9, FALSE)</f>
        <v>135</v>
      </c>
      <c r="S17" s="265">
        <f>VLOOKUP($A$1,'Secondary Rolls'!$A$3:$BE$25, 10, FALSE)</f>
        <v>139</v>
      </c>
      <c r="T17" s="266">
        <f>VLOOKUP($A$1,'Secondary Rolls'!$A$3:$BE$25, 11, FALSE)</f>
        <v>121</v>
      </c>
      <c r="U17" s="267">
        <f>VLOOKUP($A$1,'Secondary Rolls'!$A$3:$BE$25, 12, FALSE)</f>
        <v>108</v>
      </c>
      <c r="V17" s="268">
        <f>VLOOKUP($A$1,'Secondary Rolls'!$A$3:$BE$25, 13, FALSE)</f>
        <v>122</v>
      </c>
      <c r="W17" s="269">
        <f>VLOOKUP($A$1,'Secondary Rolls'!$A$3:$BE$25, 14, FALSE)</f>
        <v>96</v>
      </c>
      <c r="X17" s="116">
        <f t="shared" si="0"/>
        <v>721</v>
      </c>
    </row>
    <row r="18" spans="1:27" ht="15.75" thickBot="1" x14ac:dyDescent="0.3">
      <c r="A18" s="25">
        <f>VLOOKUP($A$12,'S1 Catchment Analysis'!A2:I2, 2, FALSE)</f>
        <v>2018</v>
      </c>
      <c r="B18" s="19">
        <f>VLOOKUP($A$1,'Primary Catchment Analysis'!$A$3:$BE$25, 2, FALSE)</f>
        <v>86</v>
      </c>
      <c r="C18" s="45">
        <f>VLOOKUP($A$1,'Primary Catchment Analysis'!$A$3:$BE$25, 3, FALSE)</f>
        <v>97</v>
      </c>
      <c r="D18" s="44">
        <f>VLOOKUP($A$1,'Primary Catchment Analysis'!$A$3:$BE$25, 4, FALSE)</f>
        <v>108</v>
      </c>
      <c r="E18" s="19">
        <f>VLOOKUP($A$1,'Primary Catchment Analysis'!$A$3:$BE$25, 5, FALSE)</f>
        <v>87</v>
      </c>
      <c r="F18" s="45">
        <f>VLOOKUP($A$1,'Primary Catchment Analysis'!$A$3:$BE$25, 6, FALSE)</f>
        <v>94</v>
      </c>
      <c r="G18" s="273">
        <f>VLOOKUP($A$1,'Primary Catchment Analysis'!$A$3:$BE$25, 7, FALSE)</f>
        <v>91</v>
      </c>
      <c r="H18" s="274">
        <f>VLOOKUP($A$1,'Primary Catchment Analysis'!$A$3:$BE$25, 8, FALSE)</f>
        <v>90</v>
      </c>
      <c r="I18" s="32">
        <f>VLOOKUP($A$1,'S1 Catchment Analysis'!A3:I25, 2, FALSE)</f>
        <v>85</v>
      </c>
      <c r="J18" s="23"/>
      <c r="K18" s="392">
        <f>VLOOKUP($A$1,'S1 Catchment Retained'!A2:I25, 2, FALSE)</f>
        <v>80</v>
      </c>
      <c r="L18" s="393"/>
      <c r="M18" s="58">
        <f t="shared" si="1"/>
        <v>0.94117647058823528</v>
      </c>
      <c r="N18" s="50"/>
      <c r="O18" s="105">
        <f>R18-K18</f>
        <v>54</v>
      </c>
      <c r="P18" s="50"/>
      <c r="Q18" s="25">
        <f t="shared" si="3"/>
        <v>2018</v>
      </c>
      <c r="R18" s="68">
        <f>VLOOKUP($A$1,'Secondary Rolls'!$A$3:$BE$25, 2, FALSE)</f>
        <v>134</v>
      </c>
      <c r="S18" s="67">
        <f>VLOOKUP($A$1,'Secondary Rolls'!$A$3:$BE$25, 3, FALSE)</f>
        <v>137</v>
      </c>
      <c r="T18" s="69">
        <f>VLOOKUP($A$1,'Secondary Rolls'!$A$3:$BE$25, 4, FALSE)</f>
        <v>140</v>
      </c>
      <c r="U18" s="68">
        <f>VLOOKUP($A$1,'Secondary Rolls'!$A$3:$BE$25, 5, FALSE)</f>
        <v>128</v>
      </c>
      <c r="V18" s="67">
        <f>VLOOKUP($A$1,'Secondary Rolls'!$A$3:$BE$25, 6, FALSE)</f>
        <v>92</v>
      </c>
      <c r="W18" s="69">
        <f>VLOOKUP($A$1,'Secondary Rolls'!$A$3:$BE$25, 7, FALSE)</f>
        <v>103</v>
      </c>
      <c r="X18" s="53">
        <f t="shared" si="0"/>
        <v>734</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4" t="s">
        <v>211</v>
      </c>
      <c r="P19" s="60"/>
      <c r="Q19" s="131"/>
      <c r="T19" s="386" t="s">
        <v>212</v>
      </c>
      <c r="U19" s="387"/>
      <c r="V19" s="118" t="s">
        <v>140</v>
      </c>
      <c r="W19" s="119" t="s">
        <v>141</v>
      </c>
    </row>
    <row r="20" spans="1:27" x14ac:dyDescent="0.25">
      <c r="A20" s="388"/>
      <c r="B20" s="388"/>
      <c r="C20" s="40">
        <f>AVERAGE(((B15-C16)/B15),((B16-C17)/B16),((B17-C18)/B17))</f>
        <v>-3.7083191375981685E-2</v>
      </c>
      <c r="D20" s="40">
        <f t="shared" ref="D20:I20" si="5">AVERAGE(((C15-D16)/C15),((C16-D17)/C16),((C17-D18)/C17))</f>
        <v>-1.8121799815912751E-2</v>
      </c>
      <c r="E20" s="40">
        <f t="shared" si="5"/>
        <v>-2.9479279932342634E-2</v>
      </c>
      <c r="F20" s="40">
        <f t="shared" si="5"/>
        <v>1.2990196078431373E-2</v>
      </c>
      <c r="G20" s="40">
        <f t="shared" si="5"/>
        <v>2.6174412793603199E-3</v>
      </c>
      <c r="H20" s="40">
        <f t="shared" si="5"/>
        <v>-4.4286493416346162E-2</v>
      </c>
      <c r="I20" s="40">
        <f t="shared" si="5"/>
        <v>2.7404295051353875E-2</v>
      </c>
      <c r="K20" s="389">
        <f>AVERAGE(M16:M18)</f>
        <v>0.95146632696085909</v>
      </c>
      <c r="L20" s="390"/>
      <c r="M20" s="391"/>
      <c r="O20" s="51">
        <f>ROUNDUP((AVERAGE(O16:O18)),0)</f>
        <v>56</v>
      </c>
      <c r="T20" s="388"/>
      <c r="U20" s="388"/>
      <c r="V20" s="40">
        <f>AVERAGE(((U15-V16)/U15),((U16-V17)/U16),((U17-V18)/U17))</f>
        <v>9.3357756103350162E-2</v>
      </c>
      <c r="W20" s="40">
        <f>AVERAGE(((V15-W16)/V15),((V16-W17)/V16),((V17-W18)/V17))</f>
        <v>0.17769031303221997</v>
      </c>
    </row>
    <row r="21" spans="1:27" x14ac:dyDescent="0.25">
      <c r="A21" s="21"/>
      <c r="K21" s="59"/>
      <c r="L21" s="59"/>
    </row>
    <row r="22" spans="1:27" x14ac:dyDescent="0.25">
      <c r="A22" s="21" t="s">
        <v>229</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Projections'!C5+'P1 Catchment Projections'!C6</f>
        <v>124</v>
      </c>
      <c r="C24" s="34">
        <f>ROUNDUP((B18-(B18*$C$20)),0)</f>
        <v>90</v>
      </c>
      <c r="D24" s="42">
        <f>ROUNDUP((C18-(C18*$D$20)),0)</f>
        <v>99</v>
      </c>
      <c r="E24" s="43">
        <f>ROUNDUP((D18-(D18*$E$20)),0)</f>
        <v>112</v>
      </c>
      <c r="F24" s="41">
        <f>ROUNDUP((E18-(E18*$F$20)),0)</f>
        <v>86</v>
      </c>
      <c r="G24" s="42">
        <f>ROUNDUP((F18-(F18*$G$20)),0)</f>
        <v>94</v>
      </c>
      <c r="H24" s="43">
        <f>ROUNDUP((G18-(G18*$H$20)),0)</f>
        <v>96</v>
      </c>
      <c r="I24" s="99">
        <f>ROUNDUP((H18-(H18*$I$20)),0)</f>
        <v>88</v>
      </c>
      <c r="J24" s="23"/>
      <c r="K24" s="59"/>
      <c r="L24" s="59"/>
      <c r="Z24" s="109"/>
      <c r="AA24" s="109"/>
    </row>
    <row r="25" spans="1:27" x14ac:dyDescent="0.25">
      <c r="A25" s="25">
        <f>A24+1</f>
        <v>2020</v>
      </c>
      <c r="B25" s="37">
        <f>'P1 Catchment Projections'!D5+'P1 Catchment Projections'!D6</f>
        <v>98</v>
      </c>
      <c r="C25" s="34">
        <f t="shared" ref="C25:C33" si="6">ROUNDUP((B24-(B24*$C$20)),0)</f>
        <v>129</v>
      </c>
      <c r="D25" s="34">
        <f t="shared" ref="D25:D33" si="7">ROUNDUP((C24-(C24*$D$20)),0)</f>
        <v>92</v>
      </c>
      <c r="E25" s="42">
        <f t="shared" ref="E25:E33" si="8">ROUNDUP((D24-(D24*$E$20)),0)</f>
        <v>102</v>
      </c>
      <c r="F25" s="43">
        <f t="shared" ref="F25:F33" si="9">ROUNDUP((E24-(E24*$F$20)),0)</f>
        <v>111</v>
      </c>
      <c r="G25" s="41">
        <f t="shared" ref="G25:G33" si="10">ROUNDUP((F24-(F24*$G$20)),0)</f>
        <v>86</v>
      </c>
      <c r="H25" s="42">
        <f t="shared" ref="H25:H33" si="11">ROUNDUP((G24-(G24*$H$20)),0)</f>
        <v>99</v>
      </c>
      <c r="I25" s="99">
        <f t="shared" ref="I25:I37" si="12">ROUNDUP((H24-(H24*$I$20)),0)</f>
        <v>94</v>
      </c>
      <c r="J25" s="23"/>
      <c r="K25" s="59"/>
      <c r="L25" s="59"/>
      <c r="Z25" s="109"/>
      <c r="AA25" s="109"/>
    </row>
    <row r="26" spans="1:27" x14ac:dyDescent="0.25">
      <c r="A26" s="25">
        <f>A25+1</f>
        <v>2021</v>
      </c>
      <c r="B26" s="37">
        <f>'P1 Catchment Projections'!E5+'P1 Catchment Projections'!E6</f>
        <v>86</v>
      </c>
      <c r="C26" s="34">
        <f t="shared" si="6"/>
        <v>102</v>
      </c>
      <c r="D26" s="34">
        <f t="shared" si="7"/>
        <v>132</v>
      </c>
      <c r="E26" s="34">
        <f t="shared" si="8"/>
        <v>95</v>
      </c>
      <c r="F26" s="42">
        <f t="shared" si="9"/>
        <v>101</v>
      </c>
      <c r="G26" s="43">
        <f t="shared" si="10"/>
        <v>111</v>
      </c>
      <c r="H26" s="41">
        <f t="shared" si="11"/>
        <v>90</v>
      </c>
      <c r="I26" s="99">
        <f t="shared" si="12"/>
        <v>97</v>
      </c>
      <c r="J26" s="23"/>
      <c r="K26" s="59"/>
      <c r="L26" s="59"/>
      <c r="Z26" s="109"/>
      <c r="AA26" s="109"/>
    </row>
    <row r="27" spans="1:27" x14ac:dyDescent="0.25">
      <c r="A27" s="25">
        <f>A26+1</f>
        <v>2022</v>
      </c>
      <c r="B27" s="37">
        <f>'P1 Catchment Projections'!F5+'P1 Catchment Projections'!F6</f>
        <v>93</v>
      </c>
      <c r="C27" s="34">
        <f t="shared" si="6"/>
        <v>90</v>
      </c>
      <c r="D27" s="34">
        <f t="shared" si="7"/>
        <v>104</v>
      </c>
      <c r="E27" s="34">
        <f t="shared" si="8"/>
        <v>136</v>
      </c>
      <c r="F27" s="34">
        <f t="shared" si="9"/>
        <v>94</v>
      </c>
      <c r="G27" s="42">
        <f t="shared" si="10"/>
        <v>101</v>
      </c>
      <c r="H27" s="43">
        <f t="shared" si="11"/>
        <v>116</v>
      </c>
      <c r="I27" s="99">
        <f t="shared" si="12"/>
        <v>88</v>
      </c>
      <c r="J27" s="23"/>
      <c r="K27" s="59"/>
      <c r="L27" s="59"/>
      <c r="Z27" s="109"/>
      <c r="AA27" s="109"/>
    </row>
    <row r="28" spans="1:27" x14ac:dyDescent="0.25">
      <c r="A28" s="25">
        <f t="shared" ref="A28:A37" si="13">A27+1</f>
        <v>2023</v>
      </c>
      <c r="B28" s="37">
        <f>'P1 Catchment Projections'!G5+'P1 Catchment Projections'!G6</f>
        <v>93</v>
      </c>
      <c r="C28" s="34">
        <f t="shared" si="6"/>
        <v>97</v>
      </c>
      <c r="D28" s="34">
        <f t="shared" si="7"/>
        <v>92</v>
      </c>
      <c r="E28" s="34">
        <f t="shared" si="8"/>
        <v>108</v>
      </c>
      <c r="F28" s="34">
        <f t="shared" si="9"/>
        <v>135</v>
      </c>
      <c r="G28" s="34">
        <f t="shared" si="10"/>
        <v>94</v>
      </c>
      <c r="H28" s="42">
        <f t="shared" si="11"/>
        <v>106</v>
      </c>
      <c r="I28" s="99">
        <f t="shared" si="12"/>
        <v>113</v>
      </c>
      <c r="J28" s="23"/>
      <c r="K28" s="59"/>
      <c r="L28" s="59"/>
      <c r="Z28" s="109"/>
      <c r="AA28" s="109"/>
    </row>
    <row r="29" spans="1:27" x14ac:dyDescent="0.25">
      <c r="A29" s="25">
        <f t="shared" si="13"/>
        <v>2024</v>
      </c>
      <c r="B29" s="37">
        <f>'P1 Catchment Projections'!H5+'P1 Catchment Projections'!H6</f>
        <v>95</v>
      </c>
      <c r="C29" s="34">
        <f t="shared" si="6"/>
        <v>97</v>
      </c>
      <c r="D29" s="34">
        <f t="shared" si="7"/>
        <v>99</v>
      </c>
      <c r="E29" s="34">
        <f t="shared" si="8"/>
        <v>95</v>
      </c>
      <c r="F29" s="34">
        <f t="shared" si="9"/>
        <v>107</v>
      </c>
      <c r="G29" s="34">
        <f t="shared" si="10"/>
        <v>135</v>
      </c>
      <c r="H29" s="34">
        <f t="shared" si="11"/>
        <v>99</v>
      </c>
      <c r="I29" s="99">
        <f t="shared" si="12"/>
        <v>104</v>
      </c>
      <c r="K29" s="59"/>
      <c r="L29" s="59"/>
      <c r="Z29" s="109"/>
      <c r="AA29" s="109"/>
    </row>
    <row r="30" spans="1:27" x14ac:dyDescent="0.25">
      <c r="A30" s="25">
        <f t="shared" si="13"/>
        <v>2025</v>
      </c>
      <c r="B30" s="37">
        <f>'P1 Catchment Projections'!I5+'P1 Catchment Projections'!I6</f>
        <v>96</v>
      </c>
      <c r="C30" s="34">
        <f t="shared" si="6"/>
        <v>99</v>
      </c>
      <c r="D30" s="34">
        <f t="shared" si="7"/>
        <v>99</v>
      </c>
      <c r="E30" s="34">
        <f t="shared" si="8"/>
        <v>102</v>
      </c>
      <c r="F30" s="34">
        <f t="shared" si="9"/>
        <v>94</v>
      </c>
      <c r="G30" s="34">
        <f t="shared" si="10"/>
        <v>107</v>
      </c>
      <c r="H30" s="34">
        <f t="shared" si="11"/>
        <v>141</v>
      </c>
      <c r="I30" s="99">
        <f t="shared" si="12"/>
        <v>97</v>
      </c>
      <c r="K30" s="59"/>
      <c r="L30" s="59"/>
      <c r="Z30" s="109"/>
      <c r="AA30" s="109"/>
    </row>
    <row r="31" spans="1:27" x14ac:dyDescent="0.25">
      <c r="A31" s="25">
        <f t="shared" si="13"/>
        <v>2026</v>
      </c>
      <c r="B31" s="37">
        <f>'P1 Catchment Projections'!J5+'P1 Catchment Projections'!J6</f>
        <v>97</v>
      </c>
      <c r="C31" s="34">
        <f t="shared" si="6"/>
        <v>100</v>
      </c>
      <c r="D31" s="34">
        <f t="shared" si="7"/>
        <v>101</v>
      </c>
      <c r="E31" s="34">
        <f t="shared" si="8"/>
        <v>102</v>
      </c>
      <c r="F31" s="34">
        <f t="shared" si="9"/>
        <v>101</v>
      </c>
      <c r="G31" s="34">
        <f t="shared" si="10"/>
        <v>94</v>
      </c>
      <c r="H31" s="34">
        <f t="shared" si="11"/>
        <v>112</v>
      </c>
      <c r="I31" s="99">
        <f t="shared" si="12"/>
        <v>138</v>
      </c>
      <c r="K31" s="59"/>
      <c r="L31" s="59"/>
      <c r="Z31" s="109"/>
      <c r="AA31" s="109"/>
    </row>
    <row r="32" spans="1:27" x14ac:dyDescent="0.25">
      <c r="A32" s="25">
        <f t="shared" si="13"/>
        <v>2027</v>
      </c>
      <c r="B32" s="37">
        <f>'P1 Catchment Projections'!K5+'P1 Catchment Projections'!K6</f>
        <v>97</v>
      </c>
      <c r="C32" s="34">
        <f t="shared" si="6"/>
        <v>101</v>
      </c>
      <c r="D32" s="34">
        <f t="shared" si="7"/>
        <v>102</v>
      </c>
      <c r="E32" s="34">
        <f t="shared" si="8"/>
        <v>104</v>
      </c>
      <c r="F32" s="34">
        <f t="shared" si="9"/>
        <v>101</v>
      </c>
      <c r="G32" s="34">
        <f t="shared" si="10"/>
        <v>101</v>
      </c>
      <c r="H32" s="34">
        <f t="shared" si="11"/>
        <v>99</v>
      </c>
      <c r="I32" s="99">
        <f t="shared" si="12"/>
        <v>109</v>
      </c>
      <c r="K32" s="59"/>
      <c r="L32" s="59"/>
      <c r="Z32" s="109"/>
      <c r="AA32" s="109"/>
    </row>
    <row r="33" spans="1:27" x14ac:dyDescent="0.25">
      <c r="A33" s="25">
        <f t="shared" si="13"/>
        <v>2028</v>
      </c>
      <c r="B33" s="37">
        <f>'P1 Catchment Projections'!L5+'P1 Catchment Projections'!L6</f>
        <v>98</v>
      </c>
      <c r="C33" s="34">
        <f t="shared" si="6"/>
        <v>101</v>
      </c>
      <c r="D33" s="34">
        <f t="shared" si="7"/>
        <v>103</v>
      </c>
      <c r="E33" s="34">
        <f t="shared" si="8"/>
        <v>106</v>
      </c>
      <c r="F33" s="34">
        <f t="shared" si="9"/>
        <v>103</v>
      </c>
      <c r="G33" s="34">
        <f t="shared" si="10"/>
        <v>101</v>
      </c>
      <c r="H33" s="34">
        <f t="shared" si="11"/>
        <v>106</v>
      </c>
      <c r="I33" s="99">
        <f t="shared" si="12"/>
        <v>97</v>
      </c>
      <c r="K33" s="59"/>
      <c r="L33" s="59"/>
      <c r="Z33" s="109"/>
      <c r="AA33" s="109"/>
    </row>
    <row r="34" spans="1:27" x14ac:dyDescent="0.25">
      <c r="A34" s="25">
        <f t="shared" si="13"/>
        <v>2029</v>
      </c>
      <c r="B34" s="37">
        <f>'P1 Catchment Projections'!M5+'P1 Catchment Projections'!M6</f>
        <v>99</v>
      </c>
      <c r="C34" s="34">
        <f t="shared" ref="C34:C37" si="14">ROUNDUP((B33-(B33*$C$20)),0)</f>
        <v>102</v>
      </c>
      <c r="D34" s="34">
        <f t="shared" ref="D34:D37" si="15">ROUNDUP((C33-(C33*$D$20)),0)</f>
        <v>103</v>
      </c>
      <c r="E34" s="34">
        <f t="shared" ref="E34:E37" si="16">ROUNDUP((D33-(D33*$E$20)),0)</f>
        <v>107</v>
      </c>
      <c r="F34" s="34">
        <f t="shared" ref="F34:F37" si="17">ROUNDUP((E33-(E33*$F$20)),0)</f>
        <v>105</v>
      </c>
      <c r="G34" s="34">
        <f t="shared" ref="G34:G37" si="18">ROUNDUP((F33-(F33*$G$20)),0)</f>
        <v>103</v>
      </c>
      <c r="H34" s="34">
        <f t="shared" ref="H34:H37" si="19">ROUNDUP((G33-(G33*$H$20)),0)</f>
        <v>106</v>
      </c>
      <c r="I34" s="99">
        <f t="shared" si="12"/>
        <v>104</v>
      </c>
      <c r="K34" s="59"/>
      <c r="L34" s="59"/>
      <c r="Z34" s="109"/>
      <c r="AA34" s="109"/>
    </row>
    <row r="35" spans="1:27" x14ac:dyDescent="0.25">
      <c r="A35" s="25">
        <f t="shared" si="13"/>
        <v>2030</v>
      </c>
      <c r="B35" s="37">
        <f>'P1 Catchment Projections'!N5+'P1 Catchment Projections'!N6</f>
        <v>99</v>
      </c>
      <c r="C35" s="34">
        <f t="shared" si="14"/>
        <v>103</v>
      </c>
      <c r="D35" s="34">
        <f t="shared" si="15"/>
        <v>104</v>
      </c>
      <c r="E35" s="34">
        <f t="shared" si="16"/>
        <v>107</v>
      </c>
      <c r="F35" s="34">
        <f t="shared" si="17"/>
        <v>106</v>
      </c>
      <c r="G35" s="34">
        <f t="shared" si="18"/>
        <v>105</v>
      </c>
      <c r="H35" s="34">
        <f t="shared" si="19"/>
        <v>108</v>
      </c>
      <c r="I35" s="99">
        <f t="shared" si="12"/>
        <v>104</v>
      </c>
      <c r="K35" s="59"/>
      <c r="L35" s="59"/>
      <c r="Z35" s="109"/>
      <c r="AA35" s="109"/>
    </row>
    <row r="36" spans="1:27" x14ac:dyDescent="0.25">
      <c r="A36" s="25">
        <f t="shared" si="13"/>
        <v>2031</v>
      </c>
      <c r="B36" s="37">
        <f>'P1 Catchment Projections'!O5+'P1 Catchment Projections'!O6</f>
        <v>99</v>
      </c>
      <c r="C36" s="34">
        <f t="shared" si="14"/>
        <v>103</v>
      </c>
      <c r="D36" s="34">
        <f t="shared" si="15"/>
        <v>105</v>
      </c>
      <c r="E36" s="34">
        <f t="shared" si="16"/>
        <v>108</v>
      </c>
      <c r="F36" s="34">
        <f t="shared" si="17"/>
        <v>106</v>
      </c>
      <c r="G36" s="34">
        <f t="shared" si="18"/>
        <v>106</v>
      </c>
      <c r="H36" s="34">
        <f t="shared" si="19"/>
        <v>110</v>
      </c>
      <c r="I36" s="99">
        <f t="shared" si="12"/>
        <v>106</v>
      </c>
      <c r="K36" s="59"/>
      <c r="L36" s="59"/>
      <c r="Z36" s="109"/>
      <c r="AA36" s="109"/>
    </row>
    <row r="37" spans="1:27" x14ac:dyDescent="0.25">
      <c r="A37" s="25">
        <f t="shared" si="13"/>
        <v>2032</v>
      </c>
      <c r="B37" s="37">
        <f>'P1 Catchment Projections'!P5+'P1 Catchment Projections'!P6</f>
        <v>99</v>
      </c>
      <c r="C37" s="34">
        <f t="shared" si="14"/>
        <v>103</v>
      </c>
      <c r="D37" s="34">
        <f t="shared" si="15"/>
        <v>105</v>
      </c>
      <c r="E37" s="34">
        <f t="shared" si="16"/>
        <v>109</v>
      </c>
      <c r="F37" s="34">
        <f t="shared" si="17"/>
        <v>107</v>
      </c>
      <c r="G37" s="34">
        <f t="shared" si="18"/>
        <v>106</v>
      </c>
      <c r="H37" s="34">
        <f t="shared" si="19"/>
        <v>111</v>
      </c>
      <c r="I37" s="99">
        <f t="shared" si="12"/>
        <v>107</v>
      </c>
      <c r="K37" s="59"/>
      <c r="L37" s="59"/>
      <c r="Z37" s="109"/>
      <c r="AA37" s="109"/>
    </row>
    <row r="38" spans="1:27" x14ac:dyDescent="0.25">
      <c r="K38" s="59"/>
      <c r="L38" s="59"/>
    </row>
    <row r="39" spans="1:27" x14ac:dyDescent="0.25">
      <c r="A39" s="21" t="s">
        <v>229</v>
      </c>
      <c r="K39" s="394" t="s">
        <v>190</v>
      </c>
      <c r="L39" s="55"/>
      <c r="M39" s="394" t="s">
        <v>203</v>
      </c>
      <c r="N39" s="106"/>
      <c r="O39" s="395" t="s">
        <v>204</v>
      </c>
      <c r="R39" s="21" t="s">
        <v>230</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128</v>
      </c>
      <c r="C41" s="34">
        <f>C24+VLOOKUP($A$1,'Pri Housing Generation'!$A$96:$DQ$118, 11, FALSE)</f>
        <v>92</v>
      </c>
      <c r="D41" s="42">
        <f>D24+VLOOKUP($A$1,'Pri Housing Generation'!$A$96:$DQ$118, 12, FALSE)</f>
        <v>101</v>
      </c>
      <c r="E41" s="43">
        <f>E24+VLOOKUP($A$1,'Pri Housing Generation'!$A$96:$DQ$118, 13, FALSE)</f>
        <v>114</v>
      </c>
      <c r="F41" s="41">
        <f>F24+VLOOKUP($A$1,'Pri Housing Generation'!$A$96:$DQ$118, 14, FALSE)</f>
        <v>88</v>
      </c>
      <c r="G41" s="42">
        <f>G24+VLOOKUP($A$1,'Pri Housing Generation'!$A$96:$DQ$118, 15, FALSE)</f>
        <v>96</v>
      </c>
      <c r="H41" s="43">
        <f>H24+VLOOKUP($A$1,'Pri Housing Generation'!$A$96:$DQ$118, 16, FALSE)</f>
        <v>98</v>
      </c>
      <c r="I41" s="99">
        <f>ROUNDUP((H18-(H18*$I$20)),0)</f>
        <v>88</v>
      </c>
      <c r="K41" s="35">
        <f>'Sec Housing Generation'!I3</f>
        <v>2</v>
      </c>
      <c r="L41" s="83"/>
      <c r="M41" s="107">
        <f t="shared" ref="M41:M54" si="20">$K$20</f>
        <v>0.95146632696085909</v>
      </c>
      <c r="O41" s="35">
        <f t="shared" ref="O41:O54" si="21">ROUNDUP(((I41+K41)*M41),0)+$N$67</f>
        <v>112</v>
      </c>
      <c r="Q41" s="25">
        <f>A41</f>
        <v>2019</v>
      </c>
      <c r="R41" s="20">
        <f t="shared" ref="R41:R54" si="22">IF(O41&lt;$C$7,(IF((O41+$O$20)&gt;$C$7,$C$7,(O41+$O$20))),(IF((O41+$O$20)&lt;(CEILING((O41),20)),(O41+$O$20),(CEILING((O41),20)))))</f>
        <v>160</v>
      </c>
      <c r="S41" s="53">
        <f>R18</f>
        <v>134</v>
      </c>
      <c r="T41" s="67">
        <f>S18</f>
        <v>137</v>
      </c>
      <c r="U41" s="69">
        <f>T18</f>
        <v>140</v>
      </c>
      <c r="V41" s="41">
        <f>ROUNDUP((U18-(U18*$V$20)),0)</f>
        <v>117</v>
      </c>
      <c r="W41" s="42">
        <f>ROUNDUP((V18-(V18*$W$20)),0)</f>
        <v>76</v>
      </c>
      <c r="X41" s="101">
        <f t="shared" ref="X41:X50" si="23">SUM(R41:W41)</f>
        <v>764</v>
      </c>
    </row>
    <row r="42" spans="1:27" x14ac:dyDescent="0.25">
      <c r="A42" s="25">
        <f t="shared" ref="A42:A54" si="24">A25</f>
        <v>2020</v>
      </c>
      <c r="B42" s="37">
        <f>B25+VLOOKUP($A$1,'Pri Housing Generation'!$A$96:$DQ$118, 18, FALSE)</f>
        <v>103</v>
      </c>
      <c r="C42" s="34">
        <f>C25+VLOOKUP($A$1,'Pri Housing Generation'!$A$96:$DQ$118, 19, FALSE)</f>
        <v>134</v>
      </c>
      <c r="D42" s="34">
        <f>D25+VLOOKUP($A$1,'Pri Housing Generation'!$A$96:$DQ$118, 20, FALSE)</f>
        <v>96</v>
      </c>
      <c r="E42" s="42">
        <f>E25+VLOOKUP($A$1,'Pri Housing Generation'!$A$96:$DQ$118, 21, FALSE)</f>
        <v>106</v>
      </c>
      <c r="F42" s="43">
        <f>F25+VLOOKUP($A$1,'Pri Housing Generation'!$A$96:$DQ$118, 22, FALSE)</f>
        <v>114</v>
      </c>
      <c r="G42" s="41">
        <f>G25+VLOOKUP($A$1,'Pri Housing Generation'!$A$96:$DQ$118, 23, FALSE)</f>
        <v>89</v>
      </c>
      <c r="H42" s="42">
        <f>H25+VLOOKUP($A$1,'Pri Housing Generation'!$A$96:$DQ$118, 24, FALSE)</f>
        <v>102</v>
      </c>
      <c r="I42" s="99">
        <f t="shared" ref="I42:I54" si="25">ROUNDUP((H41-(H41*$I$20)),0)</f>
        <v>96</v>
      </c>
      <c r="K42" s="35">
        <f>'Sec Housing Generation'!P3</f>
        <v>3</v>
      </c>
      <c r="L42" s="83"/>
      <c r="M42" s="107">
        <f t="shared" si="20"/>
        <v>0.95146632696085909</v>
      </c>
      <c r="O42" s="35">
        <f t="shared" si="21"/>
        <v>121</v>
      </c>
      <c r="Q42" s="25">
        <f t="shared" ref="Q42:Q54" si="26">A42</f>
        <v>2020</v>
      </c>
      <c r="R42" s="20">
        <f t="shared" si="22"/>
        <v>160</v>
      </c>
      <c r="S42" s="53">
        <f t="shared" ref="S42:U50" si="27">R41</f>
        <v>160</v>
      </c>
      <c r="T42" s="53">
        <f t="shared" si="27"/>
        <v>134</v>
      </c>
      <c r="U42" s="67">
        <f t="shared" si="27"/>
        <v>137</v>
      </c>
      <c r="V42" s="43">
        <f t="shared" ref="V42:V50" si="28">ROUNDUP((U41-(U41*$V$20)),0)</f>
        <v>127</v>
      </c>
      <c r="W42" s="41">
        <f t="shared" ref="W42:W50" si="29">ROUNDUP((V41-(V41*$W$20)),0)</f>
        <v>97</v>
      </c>
      <c r="X42" s="101">
        <f t="shared" si="23"/>
        <v>815</v>
      </c>
    </row>
    <row r="43" spans="1:27" x14ac:dyDescent="0.25">
      <c r="A43" s="25">
        <f t="shared" si="24"/>
        <v>2021</v>
      </c>
      <c r="B43" s="37">
        <f>B26+VLOOKUP($A$1,'Pri Housing Generation'!$A$96:$DQ$118, 26, FALSE)</f>
        <v>92</v>
      </c>
      <c r="C43" s="34">
        <f>C26+VLOOKUP($A$1,'Pri Housing Generation'!$A$96:$DQ$118, 27, FALSE)</f>
        <v>108</v>
      </c>
      <c r="D43" s="34">
        <f>D26+VLOOKUP($A$1,'Pri Housing Generation'!$A$96:$DQ$118, 28, FALSE)</f>
        <v>138</v>
      </c>
      <c r="E43" s="34">
        <f>E26+VLOOKUP($A$1,'Pri Housing Generation'!$A$96:$DQ$118, 29, FALSE)</f>
        <v>100</v>
      </c>
      <c r="F43" s="42">
        <f>F26+VLOOKUP($A$1,'Pri Housing Generation'!$A$96:$DQ$118, 30, FALSE)</f>
        <v>105</v>
      </c>
      <c r="G43" s="43">
        <f>G26+VLOOKUP($A$1,'Pri Housing Generation'!$A$96:$DQ$118, 31, FALSE)</f>
        <v>115</v>
      </c>
      <c r="H43" s="41">
        <f>H26+VLOOKUP($A$1,'Pri Housing Generation'!$A$96:$DQ$118, 32, FALSE)</f>
        <v>94</v>
      </c>
      <c r="I43" s="99">
        <f t="shared" si="25"/>
        <v>100</v>
      </c>
      <c r="K43" s="35">
        <f>'Sec Housing Generation'!W3</f>
        <v>4</v>
      </c>
      <c r="L43" s="83"/>
      <c r="M43" s="107">
        <f t="shared" si="20"/>
        <v>0.95146632696085909</v>
      </c>
      <c r="O43" s="35">
        <f t="shared" si="21"/>
        <v>125</v>
      </c>
      <c r="Q43" s="25">
        <f t="shared" si="26"/>
        <v>2021</v>
      </c>
      <c r="R43" s="20">
        <f t="shared" si="22"/>
        <v>160</v>
      </c>
      <c r="S43" s="53">
        <f t="shared" si="27"/>
        <v>160</v>
      </c>
      <c r="T43" s="53">
        <f t="shared" si="27"/>
        <v>160</v>
      </c>
      <c r="U43" s="53">
        <f t="shared" si="27"/>
        <v>134</v>
      </c>
      <c r="V43" s="42">
        <f t="shared" si="28"/>
        <v>125</v>
      </c>
      <c r="W43" s="43">
        <f t="shared" si="29"/>
        <v>105</v>
      </c>
      <c r="X43" s="101">
        <f t="shared" si="23"/>
        <v>844</v>
      </c>
    </row>
    <row r="44" spans="1:27" x14ac:dyDescent="0.25">
      <c r="A44" s="25">
        <f t="shared" si="24"/>
        <v>2022</v>
      </c>
      <c r="B44" s="37">
        <f>B27+VLOOKUP($A$1,'Pri Housing Generation'!$A$96:$DQ$118, 34, FALSE)</f>
        <v>100</v>
      </c>
      <c r="C44" s="34">
        <f>C27+VLOOKUP($A$1,'Pri Housing Generation'!$A$96:$DQ$118, 35, FALSE)</f>
        <v>97</v>
      </c>
      <c r="D44" s="34">
        <f>D27+VLOOKUP($A$1,'Pri Housing Generation'!$A$96:$DQ$118, 36, FALSE)</f>
        <v>111</v>
      </c>
      <c r="E44" s="34">
        <f>E27+VLOOKUP($A$1,'Pri Housing Generation'!$A$96:$DQ$118, 37, FALSE)</f>
        <v>143</v>
      </c>
      <c r="F44" s="34">
        <f>F27+VLOOKUP($A$1,'Pri Housing Generation'!$A$96:$DQ$118, 38, FALSE)</f>
        <v>100</v>
      </c>
      <c r="G44" s="42">
        <f>G27+VLOOKUP($A$1,'Pri Housing Generation'!$A$96:$DQ$118, 39, FALSE)</f>
        <v>106</v>
      </c>
      <c r="H44" s="43">
        <f>H27+VLOOKUP($A$1,'Pri Housing Generation'!$A$96:$DQ$118, 40, FALSE)</f>
        <v>121</v>
      </c>
      <c r="I44" s="99">
        <f t="shared" si="25"/>
        <v>92</v>
      </c>
      <c r="K44" s="35">
        <f>'Sec Housing Generation'!AD3</f>
        <v>5</v>
      </c>
      <c r="L44" s="83"/>
      <c r="M44" s="107">
        <f t="shared" si="20"/>
        <v>0.95146632696085909</v>
      </c>
      <c r="O44" s="35">
        <f t="shared" si="21"/>
        <v>119</v>
      </c>
      <c r="Q44" s="25">
        <f t="shared" si="26"/>
        <v>2022</v>
      </c>
      <c r="R44" s="20">
        <f t="shared" si="22"/>
        <v>160</v>
      </c>
      <c r="S44" s="53">
        <f t="shared" si="27"/>
        <v>160</v>
      </c>
      <c r="T44" s="53">
        <f t="shared" si="27"/>
        <v>160</v>
      </c>
      <c r="U44" s="53">
        <f t="shared" si="27"/>
        <v>160</v>
      </c>
      <c r="V44" s="34">
        <f t="shared" si="28"/>
        <v>122</v>
      </c>
      <c r="W44" s="42">
        <f t="shared" si="29"/>
        <v>103</v>
      </c>
      <c r="X44" s="101">
        <f t="shared" si="23"/>
        <v>865</v>
      </c>
    </row>
    <row r="45" spans="1:27" x14ac:dyDescent="0.25">
      <c r="A45" s="25">
        <f t="shared" si="24"/>
        <v>2023</v>
      </c>
      <c r="B45" s="37">
        <f>B28+VLOOKUP($A$1,'Pri Housing Generation'!$A$96:$DQ$118, 42, FALSE)</f>
        <v>100</v>
      </c>
      <c r="C45" s="34">
        <f>C28+VLOOKUP($A$1,'Pri Housing Generation'!$A$96:$DQ$118, 43, FALSE)</f>
        <v>104</v>
      </c>
      <c r="D45" s="34">
        <f>D28+VLOOKUP($A$1,'Pri Housing Generation'!$A$96:$DQ$118, 44, FALSE)</f>
        <v>99</v>
      </c>
      <c r="E45" s="34">
        <f>E28+VLOOKUP($A$1,'Pri Housing Generation'!$A$96:$DQ$118, 45, FALSE)</f>
        <v>115</v>
      </c>
      <c r="F45" s="34">
        <f>F28+VLOOKUP($A$1,'Pri Housing Generation'!$A$96:$DQ$118, 46, FALSE)</f>
        <v>141</v>
      </c>
      <c r="G45" s="34">
        <f>G28+VLOOKUP($A$1,'Pri Housing Generation'!$A$96:$DQ$118, 47, FALSE)</f>
        <v>99</v>
      </c>
      <c r="H45" s="42">
        <f>H28+VLOOKUP($A$1,'Pri Housing Generation'!$A$96:$DQ$118, 48, FALSE)</f>
        <v>111</v>
      </c>
      <c r="I45" s="99">
        <f t="shared" si="25"/>
        <v>118</v>
      </c>
      <c r="J45" s="181"/>
      <c r="K45" s="35">
        <f>'Sec Housing Generation'!AK3</f>
        <v>5</v>
      </c>
      <c r="L45" s="83"/>
      <c r="M45" s="107">
        <f t="shared" si="20"/>
        <v>0.95146632696085909</v>
      </c>
      <c r="O45" s="35">
        <f t="shared" si="21"/>
        <v>144</v>
      </c>
      <c r="Q45" s="25">
        <f t="shared" si="26"/>
        <v>2023</v>
      </c>
      <c r="R45" s="20">
        <f t="shared" si="22"/>
        <v>160</v>
      </c>
      <c r="S45" s="53">
        <f t="shared" si="27"/>
        <v>160</v>
      </c>
      <c r="T45" s="53">
        <f t="shared" si="27"/>
        <v>160</v>
      </c>
      <c r="U45" s="53">
        <f t="shared" si="27"/>
        <v>160</v>
      </c>
      <c r="V45" s="34">
        <f t="shared" si="28"/>
        <v>146</v>
      </c>
      <c r="W45" s="34">
        <f t="shared" si="29"/>
        <v>101</v>
      </c>
      <c r="X45" s="101">
        <f t="shared" si="23"/>
        <v>887</v>
      </c>
    </row>
    <row r="46" spans="1:27" x14ac:dyDescent="0.25">
      <c r="A46" s="25">
        <f t="shared" si="24"/>
        <v>2024</v>
      </c>
      <c r="B46" s="37">
        <f>B29+VLOOKUP($A$1,'Pri Housing Generation'!$A$96:$DQ$118, 50, FALSE)</f>
        <v>102</v>
      </c>
      <c r="C46" s="34">
        <f>C29+VLOOKUP($A$1,'Pri Housing Generation'!$A$96:$DQ$118, 51, FALSE)</f>
        <v>104</v>
      </c>
      <c r="D46" s="34">
        <f>D29+VLOOKUP($A$1,'Pri Housing Generation'!$A$96:$DQ$118, 52, FALSE)</f>
        <v>106</v>
      </c>
      <c r="E46" s="34">
        <f>E29+VLOOKUP($A$1,'Pri Housing Generation'!$A$96:$DQ$118, 53, FALSE)</f>
        <v>102</v>
      </c>
      <c r="F46" s="34">
        <f>F29+VLOOKUP($A$1,'Pri Housing Generation'!$A$96:$DQ$118, 54, FALSE)</f>
        <v>113</v>
      </c>
      <c r="G46" s="34">
        <f>G29+VLOOKUP($A$1,'Pri Housing Generation'!$A$96:$DQ$118, 55, FALSE)</f>
        <v>140</v>
      </c>
      <c r="H46" s="34">
        <f>H29+VLOOKUP($A$1,'Pri Housing Generation'!$A$96:$DQ$118, 56, FALSE)</f>
        <v>104</v>
      </c>
      <c r="I46" s="99">
        <f t="shared" si="25"/>
        <v>108</v>
      </c>
      <c r="J46" s="181"/>
      <c r="K46" s="35">
        <f>'Sec Housing Generation'!AR3</f>
        <v>5</v>
      </c>
      <c r="L46" s="83"/>
      <c r="M46" s="107">
        <f>K20</f>
        <v>0.95146632696085909</v>
      </c>
      <c r="O46" s="35">
        <f t="shared" si="21"/>
        <v>134</v>
      </c>
      <c r="Q46" s="25">
        <f t="shared" si="26"/>
        <v>2024</v>
      </c>
      <c r="R46" s="20">
        <f t="shared" si="22"/>
        <v>160</v>
      </c>
      <c r="S46" s="53">
        <f t="shared" si="27"/>
        <v>160</v>
      </c>
      <c r="T46" s="53">
        <f t="shared" si="27"/>
        <v>160</v>
      </c>
      <c r="U46" s="53">
        <f t="shared" si="27"/>
        <v>160</v>
      </c>
      <c r="V46" s="34">
        <f t="shared" si="28"/>
        <v>146</v>
      </c>
      <c r="W46" s="34">
        <f t="shared" si="29"/>
        <v>121</v>
      </c>
      <c r="X46" s="101">
        <f t="shared" si="23"/>
        <v>907</v>
      </c>
    </row>
    <row r="47" spans="1:27" x14ac:dyDescent="0.25">
      <c r="A47" s="25">
        <f t="shared" si="24"/>
        <v>2025</v>
      </c>
      <c r="B47" s="37">
        <f>B30+VLOOKUP($A$1,'Pri Housing Generation'!$A$96:$DQ$118, 58, FALSE)</f>
        <v>103</v>
      </c>
      <c r="C47" s="34">
        <f>C30+VLOOKUP($A$1,'Pri Housing Generation'!$A$96:$DQ$118, 59, FALSE)</f>
        <v>106</v>
      </c>
      <c r="D47" s="34">
        <f>D30+VLOOKUP($A$1,'Pri Housing Generation'!$A$96:$DQ$118, 60, FALSE)</f>
        <v>106</v>
      </c>
      <c r="E47" s="34">
        <f>E30+VLOOKUP($A$1,'Pri Housing Generation'!$A$96:$DQ$118, 61, FALSE)</f>
        <v>109</v>
      </c>
      <c r="F47" s="34">
        <f>F30+VLOOKUP($A$1,'Pri Housing Generation'!$A$96:$DQ$118, 62, FALSE)</f>
        <v>100</v>
      </c>
      <c r="G47" s="34">
        <f>G30+VLOOKUP($A$1,'Pri Housing Generation'!$A$96:$DQ$118, 63, FALSE)</f>
        <v>112</v>
      </c>
      <c r="H47" s="34">
        <f>H30+VLOOKUP($A$1,'Pri Housing Generation'!$A$96:$DQ$118, 64, FALSE)</f>
        <v>146</v>
      </c>
      <c r="I47" s="99">
        <f t="shared" si="25"/>
        <v>102</v>
      </c>
      <c r="J47" s="181"/>
      <c r="K47" s="83"/>
      <c r="L47" s="83"/>
      <c r="M47" s="107">
        <f t="shared" si="20"/>
        <v>0.95146632696085909</v>
      </c>
      <c r="O47" s="35">
        <f t="shared" si="21"/>
        <v>124</v>
      </c>
      <c r="Q47" s="25">
        <f t="shared" si="26"/>
        <v>2025</v>
      </c>
      <c r="R47" s="20">
        <f t="shared" si="22"/>
        <v>160</v>
      </c>
      <c r="S47" s="53">
        <f t="shared" si="27"/>
        <v>160</v>
      </c>
      <c r="T47" s="53">
        <f t="shared" si="27"/>
        <v>160</v>
      </c>
      <c r="U47" s="53">
        <f t="shared" si="27"/>
        <v>160</v>
      </c>
      <c r="V47" s="34">
        <f t="shared" si="28"/>
        <v>146</v>
      </c>
      <c r="W47" s="34">
        <f t="shared" si="29"/>
        <v>121</v>
      </c>
      <c r="X47" s="101">
        <f t="shared" si="23"/>
        <v>907</v>
      </c>
    </row>
    <row r="48" spans="1:27" x14ac:dyDescent="0.25">
      <c r="A48" s="25">
        <f t="shared" si="24"/>
        <v>2026</v>
      </c>
      <c r="B48" s="37">
        <f>B31+VLOOKUP($A$1,'Pri Housing Generation'!$A$96:$DQ$118, 66, FALSE)</f>
        <v>104</v>
      </c>
      <c r="C48" s="34">
        <f>C31+VLOOKUP($A$1,'Pri Housing Generation'!$A$96:$DQ$118, 67, FALSE)</f>
        <v>107</v>
      </c>
      <c r="D48" s="34">
        <f>D31+VLOOKUP($A$1,'Pri Housing Generation'!$A$96:$DQ$118, 68, FALSE)</f>
        <v>108</v>
      </c>
      <c r="E48" s="34">
        <f>E31+VLOOKUP($A$1,'Pri Housing Generation'!$A$96:$DQ$118, 69, FALSE)</f>
        <v>109</v>
      </c>
      <c r="F48" s="34">
        <f>F31+VLOOKUP($A$1,'Pri Housing Generation'!$A$96:$DQ$118, 70, FALSE)</f>
        <v>107</v>
      </c>
      <c r="G48" s="34">
        <f>G31+VLOOKUP($A$1,'Pri Housing Generation'!$A$96:$DQ$118, 71, FALSE)</f>
        <v>99</v>
      </c>
      <c r="H48" s="34">
        <f>H31+VLOOKUP($A$1,'Pri Housing Generation'!$A$96:$DQ$118, 72, FALSE)</f>
        <v>117</v>
      </c>
      <c r="I48" s="99">
        <f t="shared" si="25"/>
        <v>142</v>
      </c>
      <c r="J48" s="181"/>
      <c r="K48" s="83"/>
      <c r="L48" s="83"/>
      <c r="M48" s="107">
        <f t="shared" si="20"/>
        <v>0.95146632696085909</v>
      </c>
      <c r="O48" s="35">
        <f t="shared" si="21"/>
        <v>162</v>
      </c>
      <c r="Q48" s="25">
        <f t="shared" si="26"/>
        <v>2026</v>
      </c>
      <c r="R48" s="20">
        <f t="shared" si="22"/>
        <v>180</v>
      </c>
      <c r="S48" s="53">
        <f t="shared" si="27"/>
        <v>160</v>
      </c>
      <c r="T48" s="53">
        <f t="shared" si="27"/>
        <v>160</v>
      </c>
      <c r="U48" s="53">
        <f t="shared" si="27"/>
        <v>160</v>
      </c>
      <c r="V48" s="34">
        <f t="shared" si="28"/>
        <v>146</v>
      </c>
      <c r="W48" s="34">
        <f t="shared" si="29"/>
        <v>121</v>
      </c>
      <c r="X48" s="101">
        <f t="shared" si="23"/>
        <v>927</v>
      </c>
    </row>
    <row r="49" spans="1:24" x14ac:dyDescent="0.25">
      <c r="A49" s="25">
        <f t="shared" si="24"/>
        <v>2027</v>
      </c>
      <c r="B49" s="37">
        <f>B32+VLOOKUP($A$1,'Pri Housing Generation'!$A$96:$DQ$118, 74, FALSE)</f>
        <v>104</v>
      </c>
      <c r="C49" s="34">
        <f>C32+VLOOKUP($A$1,'Pri Housing Generation'!$A$96:$DQ$118, 75, FALSE)</f>
        <v>108</v>
      </c>
      <c r="D49" s="34">
        <f>D32+VLOOKUP($A$1,'Pri Housing Generation'!$A$96:$DQ$118, 76, FALSE)</f>
        <v>109</v>
      </c>
      <c r="E49" s="34">
        <f>E32+VLOOKUP($A$1,'Pri Housing Generation'!$A$96:$DQ$118, 77, FALSE)</f>
        <v>111</v>
      </c>
      <c r="F49" s="34">
        <f>F32+VLOOKUP($A$1,'Pri Housing Generation'!$A$96:$DQ$118, 78, FALSE)</f>
        <v>107</v>
      </c>
      <c r="G49" s="34">
        <f>G32+VLOOKUP($A$1,'Pri Housing Generation'!$A$96:$DQ$118, 79, FALSE)</f>
        <v>106</v>
      </c>
      <c r="H49" s="34">
        <f>H32+VLOOKUP($A$1,'Pri Housing Generation'!$A$96:$DQ$118, 80, FALSE)</f>
        <v>104</v>
      </c>
      <c r="I49" s="99">
        <f t="shared" si="25"/>
        <v>114</v>
      </c>
      <c r="J49" s="181"/>
      <c r="K49" s="83"/>
      <c r="L49" s="83"/>
      <c r="M49" s="107">
        <f t="shared" si="20"/>
        <v>0.95146632696085909</v>
      </c>
      <c r="O49" s="35">
        <f t="shared" si="21"/>
        <v>135</v>
      </c>
      <c r="Q49" s="25">
        <f t="shared" si="26"/>
        <v>2027</v>
      </c>
      <c r="R49" s="20">
        <f t="shared" si="22"/>
        <v>160</v>
      </c>
      <c r="S49" s="53">
        <f t="shared" si="27"/>
        <v>180</v>
      </c>
      <c r="T49" s="53">
        <f t="shared" si="27"/>
        <v>160</v>
      </c>
      <c r="U49" s="53">
        <f t="shared" si="27"/>
        <v>160</v>
      </c>
      <c r="V49" s="34">
        <f t="shared" si="28"/>
        <v>146</v>
      </c>
      <c r="W49" s="34">
        <f t="shared" si="29"/>
        <v>121</v>
      </c>
      <c r="X49" s="101">
        <f t="shared" si="23"/>
        <v>927</v>
      </c>
    </row>
    <row r="50" spans="1:24" x14ac:dyDescent="0.25">
      <c r="A50" s="25">
        <f t="shared" si="24"/>
        <v>2028</v>
      </c>
      <c r="B50" s="37">
        <f>B33+VLOOKUP($A$1,'Pri Housing Generation'!$A$96:$DQ$118, 82, FALSE)</f>
        <v>105</v>
      </c>
      <c r="C50" s="34">
        <f>C33+VLOOKUP($A$1,'Pri Housing Generation'!$A$96:$DQ$118, 83, FALSE)</f>
        <v>108</v>
      </c>
      <c r="D50" s="34">
        <f>D33+VLOOKUP($A$1,'Pri Housing Generation'!$A$96:$DQ$118, 84, FALSE)</f>
        <v>110</v>
      </c>
      <c r="E50" s="34">
        <f>E33+VLOOKUP($A$1,'Pri Housing Generation'!$A$96:$DQ$118, 85, FALSE)</f>
        <v>113</v>
      </c>
      <c r="F50" s="34">
        <f>F33+VLOOKUP($A$1,'Pri Housing Generation'!$A$96:$DQ$118, 86, FALSE)</f>
        <v>109</v>
      </c>
      <c r="G50" s="34">
        <f>G33+VLOOKUP($A$1,'Pri Housing Generation'!$A$96:$DQ$118, 87, FALSE)</f>
        <v>106</v>
      </c>
      <c r="H50" s="34">
        <f>H33+VLOOKUP($A$1,'Pri Housing Generation'!$A$96:$DQ$118, 88, FALSE)</f>
        <v>111</v>
      </c>
      <c r="I50" s="99">
        <f t="shared" si="25"/>
        <v>102</v>
      </c>
      <c r="J50" s="181"/>
      <c r="K50" s="83"/>
      <c r="L50" s="83"/>
      <c r="M50" s="107">
        <f t="shared" si="20"/>
        <v>0.95146632696085909</v>
      </c>
      <c r="O50" s="35">
        <f t="shared" si="21"/>
        <v>124</v>
      </c>
      <c r="Q50" s="25">
        <f t="shared" si="26"/>
        <v>2028</v>
      </c>
      <c r="R50" s="20">
        <f t="shared" si="22"/>
        <v>160</v>
      </c>
      <c r="S50" s="53">
        <f t="shared" si="27"/>
        <v>160</v>
      </c>
      <c r="T50" s="53">
        <f t="shared" si="27"/>
        <v>180</v>
      </c>
      <c r="U50" s="53">
        <f t="shared" si="27"/>
        <v>160</v>
      </c>
      <c r="V50" s="34">
        <f t="shared" si="28"/>
        <v>146</v>
      </c>
      <c r="W50" s="34">
        <f t="shared" si="29"/>
        <v>121</v>
      </c>
      <c r="X50" s="101">
        <f t="shared" si="23"/>
        <v>927</v>
      </c>
    </row>
    <row r="51" spans="1:24" x14ac:dyDescent="0.25">
      <c r="A51" s="25">
        <f t="shared" si="24"/>
        <v>2029</v>
      </c>
      <c r="B51" s="37">
        <f>B34+VLOOKUP($A$1,'Pri Housing Generation'!$A$96:$DQ$118, 90, FALSE)</f>
        <v>106</v>
      </c>
      <c r="C51" s="34">
        <f>C34+VLOOKUP($A$1,'Pri Housing Generation'!$A$96:$DQ$118, 91, FALSE)</f>
        <v>109</v>
      </c>
      <c r="D51" s="34">
        <f>D34+VLOOKUP($A$1,'Pri Housing Generation'!$A$96:$DQ$118, 92, FALSE)</f>
        <v>110</v>
      </c>
      <c r="E51" s="34">
        <f>E34+VLOOKUP($A$1,'Pri Housing Generation'!$A$96:$DQ$118, 93, FALSE)</f>
        <v>114</v>
      </c>
      <c r="F51" s="34">
        <f>F34+VLOOKUP($A$1,'Pri Housing Generation'!$A$96:$DQ$118, 94, FALSE)</f>
        <v>111</v>
      </c>
      <c r="G51" s="34">
        <f>G34+VLOOKUP($A$1,'Pri Housing Generation'!$A$96:$DQ$118, 95, FALSE)</f>
        <v>108</v>
      </c>
      <c r="H51" s="34">
        <f>H34+VLOOKUP($A$1,'Pri Housing Generation'!$A$96:$DQ$118, 96, FALSE)</f>
        <v>111</v>
      </c>
      <c r="I51" s="99">
        <f t="shared" si="25"/>
        <v>108</v>
      </c>
      <c r="J51" s="181"/>
      <c r="K51" s="83"/>
      <c r="L51" s="83"/>
      <c r="M51" s="107">
        <f t="shared" si="20"/>
        <v>0.95146632696085909</v>
      </c>
      <c r="O51" s="35">
        <f t="shared" si="21"/>
        <v>129</v>
      </c>
      <c r="Q51" s="25">
        <f t="shared" si="26"/>
        <v>2029</v>
      </c>
      <c r="R51" s="20">
        <f t="shared" si="22"/>
        <v>160</v>
      </c>
      <c r="S51" s="53">
        <f t="shared" ref="S51:S54" si="30">R50</f>
        <v>160</v>
      </c>
      <c r="T51" s="53">
        <f t="shared" ref="T51:T54" si="31">S50</f>
        <v>160</v>
      </c>
      <c r="U51" s="53">
        <f t="shared" ref="U51:U54" si="32">T50</f>
        <v>180</v>
      </c>
      <c r="V51" s="34">
        <f t="shared" ref="V51:V54" si="33">ROUNDUP((U50-(U50*$V$20)),0)</f>
        <v>146</v>
      </c>
      <c r="W51" s="34">
        <f t="shared" ref="W51:W54" si="34">ROUNDUP((V50-(V50*$W$20)),0)</f>
        <v>121</v>
      </c>
      <c r="X51" s="101">
        <f t="shared" ref="X51:X54" si="35">SUM(R51:W51)</f>
        <v>927</v>
      </c>
    </row>
    <row r="52" spans="1:24" x14ac:dyDescent="0.25">
      <c r="A52" s="25">
        <f t="shared" si="24"/>
        <v>2030</v>
      </c>
      <c r="B52" s="37">
        <f>B35+VLOOKUP($A$1,'Pri Housing Generation'!$A$96:$DQ$118, 98, FALSE)</f>
        <v>106</v>
      </c>
      <c r="C52" s="34">
        <f>C35+VLOOKUP($A$1,'Pri Housing Generation'!$A$96:$DQ$118, 99, FALSE)</f>
        <v>110</v>
      </c>
      <c r="D52" s="34">
        <f>D35+VLOOKUP($A$1,'Pri Housing Generation'!$A$96:$DQ$118, 100, FALSE)</f>
        <v>111</v>
      </c>
      <c r="E52" s="34">
        <f>E35+VLOOKUP($A$1,'Pri Housing Generation'!$A$96:$DQ$118, 101, FALSE)</f>
        <v>114</v>
      </c>
      <c r="F52" s="34">
        <f>F35+VLOOKUP($A$1,'Pri Housing Generation'!$A$96:$DQ$118, 102, FALSE)</f>
        <v>112</v>
      </c>
      <c r="G52" s="34">
        <f>G35+VLOOKUP($A$1,'Pri Housing Generation'!$A$96:$DQ$118, 103, FALSE)</f>
        <v>110</v>
      </c>
      <c r="H52" s="34">
        <f>H35+VLOOKUP($A$1,'Pri Housing Generation'!$A$96:$DQ$118, 104, FALSE)</f>
        <v>113</v>
      </c>
      <c r="I52" s="99">
        <f t="shared" si="25"/>
        <v>108</v>
      </c>
      <c r="J52" s="54"/>
      <c r="K52" s="83"/>
      <c r="L52" s="83"/>
      <c r="M52" s="107">
        <f t="shared" si="20"/>
        <v>0.95146632696085909</v>
      </c>
      <c r="O52" s="35">
        <f t="shared" si="21"/>
        <v>129</v>
      </c>
      <c r="Q52" s="25">
        <f t="shared" si="26"/>
        <v>2030</v>
      </c>
      <c r="R52" s="20">
        <f t="shared" si="22"/>
        <v>160</v>
      </c>
      <c r="S52" s="53">
        <f t="shared" si="30"/>
        <v>160</v>
      </c>
      <c r="T52" s="53">
        <f t="shared" si="31"/>
        <v>160</v>
      </c>
      <c r="U52" s="53">
        <f t="shared" si="32"/>
        <v>160</v>
      </c>
      <c r="V52" s="34">
        <f t="shared" si="33"/>
        <v>164</v>
      </c>
      <c r="W52" s="34">
        <f t="shared" si="34"/>
        <v>121</v>
      </c>
      <c r="X52" s="101">
        <f t="shared" si="35"/>
        <v>925</v>
      </c>
    </row>
    <row r="53" spans="1:24" x14ac:dyDescent="0.25">
      <c r="A53" s="25">
        <f t="shared" si="24"/>
        <v>2031</v>
      </c>
      <c r="B53" s="37">
        <f>B36+VLOOKUP($A$1,'Pri Housing Generation'!$A$96:$DQ$118, 106, FALSE)</f>
        <v>106</v>
      </c>
      <c r="C53" s="34">
        <f>C36+VLOOKUP($A$1,'Pri Housing Generation'!$A$96:$DQ$118, 107, FALSE)</f>
        <v>110</v>
      </c>
      <c r="D53" s="34">
        <f>D36+VLOOKUP($A$1,'Pri Housing Generation'!$A$96:$DQ$118, 108, FALSE)</f>
        <v>112</v>
      </c>
      <c r="E53" s="34">
        <f>E36+VLOOKUP($A$1,'Pri Housing Generation'!$A$96:$DQ$118, 109, FALSE)</f>
        <v>115</v>
      </c>
      <c r="F53" s="34">
        <f>F36+VLOOKUP($A$1,'Pri Housing Generation'!$A$96:$DQ$118, 110, FALSE)</f>
        <v>112</v>
      </c>
      <c r="G53" s="34">
        <f>G36+VLOOKUP($A$1,'Pri Housing Generation'!$A$96:$DQ$118, 111, FALSE)</f>
        <v>111</v>
      </c>
      <c r="H53" s="34">
        <f>H36+VLOOKUP($A$1,'Pri Housing Generation'!$A$96:$DQ$118, 112, FALSE)</f>
        <v>115</v>
      </c>
      <c r="I53" s="99">
        <f t="shared" si="25"/>
        <v>110</v>
      </c>
      <c r="J53" s="54"/>
      <c r="K53" s="83"/>
      <c r="L53" s="83"/>
      <c r="M53" s="107">
        <f t="shared" si="20"/>
        <v>0.95146632696085909</v>
      </c>
      <c r="O53" s="35">
        <f t="shared" si="21"/>
        <v>131</v>
      </c>
      <c r="Q53" s="25">
        <f t="shared" si="26"/>
        <v>2031</v>
      </c>
      <c r="R53" s="20">
        <f t="shared" si="22"/>
        <v>160</v>
      </c>
      <c r="S53" s="53">
        <f t="shared" si="30"/>
        <v>160</v>
      </c>
      <c r="T53" s="53">
        <f t="shared" si="31"/>
        <v>160</v>
      </c>
      <c r="U53" s="53">
        <f t="shared" si="32"/>
        <v>160</v>
      </c>
      <c r="V53" s="34">
        <f t="shared" si="33"/>
        <v>146</v>
      </c>
      <c r="W53" s="34">
        <f t="shared" si="34"/>
        <v>135</v>
      </c>
      <c r="X53" s="101">
        <f t="shared" si="35"/>
        <v>921</v>
      </c>
    </row>
    <row r="54" spans="1:24" x14ac:dyDescent="0.25">
      <c r="A54" s="25">
        <f t="shared" si="24"/>
        <v>2032</v>
      </c>
      <c r="B54" s="37">
        <f>B37+VLOOKUP($A$1,'Pri Housing Generation'!$A$96:$DQ$118, 114, FALSE)</f>
        <v>106</v>
      </c>
      <c r="C54" s="34">
        <f>C37+VLOOKUP($A$1,'Pri Housing Generation'!$A$96:$DQ$118, 115, FALSE)</f>
        <v>110</v>
      </c>
      <c r="D54" s="34">
        <f>D37+VLOOKUP($A$1,'Pri Housing Generation'!$A$96:$DQ$118, 116, FALSE)</f>
        <v>112</v>
      </c>
      <c r="E54" s="34">
        <f>E37+VLOOKUP($A$1,'Pri Housing Generation'!$A$96:$DQ$118, 117, FALSE)</f>
        <v>116</v>
      </c>
      <c r="F54" s="34">
        <f>F37+VLOOKUP($A$1,'Pri Housing Generation'!$A$96:$DQ$118, 118, FALSE)</f>
        <v>113</v>
      </c>
      <c r="G54" s="34">
        <f>G37+VLOOKUP($A$1,'Pri Housing Generation'!$A$96:$DQ$118, 119, FALSE)</f>
        <v>111</v>
      </c>
      <c r="H54" s="34">
        <f>H37+VLOOKUP($A$1,'Pri Housing Generation'!$A$96:$DQ$118, 120, FALSE)</f>
        <v>116</v>
      </c>
      <c r="I54" s="99">
        <f t="shared" si="25"/>
        <v>112</v>
      </c>
      <c r="K54" s="83"/>
      <c r="L54" s="83"/>
      <c r="M54" s="107">
        <f t="shared" si="20"/>
        <v>0.95146632696085909</v>
      </c>
      <c r="O54" s="35">
        <f t="shared" si="21"/>
        <v>133</v>
      </c>
      <c r="Q54" s="25">
        <f t="shared" si="26"/>
        <v>2032</v>
      </c>
      <c r="R54" s="20">
        <f t="shared" si="22"/>
        <v>160</v>
      </c>
      <c r="S54" s="53">
        <f t="shared" si="30"/>
        <v>160</v>
      </c>
      <c r="T54" s="53">
        <f t="shared" si="31"/>
        <v>160</v>
      </c>
      <c r="U54" s="53">
        <f t="shared" si="32"/>
        <v>160</v>
      </c>
      <c r="V54" s="34">
        <f t="shared" si="33"/>
        <v>146</v>
      </c>
      <c r="W54" s="34">
        <f t="shared" si="34"/>
        <v>121</v>
      </c>
      <c r="X54" s="101">
        <f t="shared" si="35"/>
        <v>907</v>
      </c>
    </row>
    <row r="56" spans="1:24" ht="15.75" x14ac:dyDescent="0.25">
      <c r="A56" s="129" t="s">
        <v>223</v>
      </c>
      <c r="F56" s="131"/>
      <c r="G56" s="131"/>
      <c r="H56" s="181"/>
      <c r="I56" s="131"/>
      <c r="J56" s="131"/>
      <c r="M56" s="416" t="s">
        <v>318</v>
      </c>
      <c r="N56" s="417"/>
    </row>
    <row r="57" spans="1:24" x14ac:dyDescent="0.25">
      <c r="F57" s="131"/>
      <c r="G57" s="131"/>
      <c r="H57" s="181"/>
      <c r="I57" s="131"/>
      <c r="J57" s="131"/>
      <c r="M57" s="417"/>
      <c r="N57" s="417"/>
    </row>
    <row r="58" spans="1:24" x14ac:dyDescent="0.25">
      <c r="A58" s="21" t="s">
        <v>224</v>
      </c>
      <c r="H58" s="181"/>
      <c r="M58" s="417"/>
      <c r="N58" s="417"/>
    </row>
    <row r="59" spans="1:24" x14ac:dyDescent="0.25">
      <c r="A59" s="21"/>
      <c r="H59" s="181"/>
      <c r="M59" s="418"/>
      <c r="N59" s="418"/>
    </row>
    <row r="60" spans="1:24" ht="33" customHeight="1" x14ac:dyDescent="0.25">
      <c r="A60" s="136"/>
      <c r="B60" s="137" t="s">
        <v>225</v>
      </c>
      <c r="C60" s="413" t="s">
        <v>226</v>
      </c>
      <c r="D60" s="414"/>
      <c r="H60" s="181"/>
      <c r="M60" s="136"/>
      <c r="N60" s="139" t="s">
        <v>225</v>
      </c>
      <c r="O60" s="130"/>
    </row>
    <row r="61" spans="1:24" x14ac:dyDescent="0.25">
      <c r="A61" s="25">
        <v>2011</v>
      </c>
      <c r="B61" s="128">
        <v>0</v>
      </c>
      <c r="C61" s="415">
        <f>1-(I13/(I13+B61))</f>
        <v>0</v>
      </c>
      <c r="D61" s="388"/>
      <c r="H61" s="181"/>
      <c r="M61" s="25">
        <v>2013</v>
      </c>
      <c r="N61" s="128">
        <v>30</v>
      </c>
      <c r="O61" s="54"/>
    </row>
    <row r="62" spans="1:24" x14ac:dyDescent="0.25">
      <c r="A62" s="25">
        <v>2012</v>
      </c>
      <c r="B62" s="128">
        <v>0</v>
      </c>
      <c r="C62" s="415">
        <f>1-(I14/(I14+B62))</f>
        <v>0</v>
      </c>
      <c r="D62" s="388"/>
      <c r="H62" s="181"/>
      <c r="M62" s="25">
        <v>2014</v>
      </c>
      <c r="N62" s="128">
        <v>22</v>
      </c>
      <c r="O62" s="54"/>
    </row>
    <row r="63" spans="1:24" x14ac:dyDescent="0.25">
      <c r="A63" s="25">
        <v>2013</v>
      </c>
      <c r="B63" s="128">
        <v>1</v>
      </c>
      <c r="C63" s="415">
        <f>1-(I15/(I15+B63))</f>
        <v>1.538461538461533E-2</v>
      </c>
      <c r="D63" s="388"/>
      <c r="H63" s="181"/>
      <c r="K63" s="181"/>
      <c r="M63" s="25">
        <v>2015</v>
      </c>
      <c r="N63" s="128">
        <v>20</v>
      </c>
      <c r="O63" s="54"/>
      <c r="S63" s="82"/>
    </row>
    <row r="64" spans="1:24" x14ac:dyDescent="0.25">
      <c r="A64" s="25">
        <v>2014</v>
      </c>
      <c r="B64" s="128">
        <v>0</v>
      </c>
      <c r="C64" s="415">
        <f>1-(I16/(I16+B64))</f>
        <v>0</v>
      </c>
      <c r="D64" s="388"/>
      <c r="H64" s="181"/>
      <c r="K64" s="181"/>
      <c r="M64" s="25">
        <v>2016</v>
      </c>
      <c r="N64" s="128">
        <v>30</v>
      </c>
      <c r="O64" s="54"/>
      <c r="S64" s="82"/>
    </row>
    <row r="65" spans="1:24" x14ac:dyDescent="0.25">
      <c r="A65" s="25">
        <v>2015</v>
      </c>
      <c r="B65" s="128">
        <v>0</v>
      </c>
      <c r="C65" s="415">
        <f>1-(I17/(I17+B65))</f>
        <v>0</v>
      </c>
      <c r="D65" s="388"/>
      <c r="H65" s="181"/>
      <c r="K65" s="181"/>
      <c r="M65" s="25">
        <v>2017</v>
      </c>
      <c r="N65" s="128">
        <v>25</v>
      </c>
      <c r="O65" s="54"/>
      <c r="S65" s="82"/>
    </row>
    <row r="66" spans="1:24" x14ac:dyDescent="0.25">
      <c r="A66" s="25">
        <v>2016</v>
      </c>
      <c r="B66" s="128">
        <v>0</v>
      </c>
      <c r="C66" s="404">
        <v>0</v>
      </c>
      <c r="D66" s="405"/>
      <c r="H66" s="181"/>
      <c r="K66" s="181"/>
      <c r="M66" s="25">
        <v>2018</v>
      </c>
      <c r="N66" s="128">
        <v>21</v>
      </c>
      <c r="O66" s="54"/>
      <c r="S66" s="82"/>
    </row>
    <row r="67" spans="1:24" x14ac:dyDescent="0.25">
      <c r="A67" s="21"/>
      <c r="H67" s="181"/>
      <c r="K67" s="181"/>
      <c r="M67" s="278" t="s">
        <v>319</v>
      </c>
      <c r="N67" s="174">
        <f>ROUNDUP((AVERAGE(N64:N66)),0)</f>
        <v>26</v>
      </c>
      <c r="S67" s="82"/>
    </row>
    <row r="68" spans="1:24" x14ac:dyDescent="0.25">
      <c r="A68" s="21" t="s">
        <v>213</v>
      </c>
      <c r="K68" s="181"/>
      <c r="M68" s="175" t="s">
        <v>321</v>
      </c>
      <c r="S68" s="82"/>
    </row>
    <row r="69" spans="1:24" x14ac:dyDescent="0.25">
      <c r="A69" s="176" t="s">
        <v>322</v>
      </c>
      <c r="K69" s="181"/>
      <c r="S69" s="82"/>
    </row>
    <row r="70" spans="1:24" x14ac:dyDescent="0.25">
      <c r="A70" t="s">
        <v>323</v>
      </c>
      <c r="K70" s="54"/>
      <c r="S70" s="82"/>
    </row>
    <row r="71" spans="1:24" x14ac:dyDescent="0.25">
      <c r="A71" t="s">
        <v>324</v>
      </c>
      <c r="K71" s="54"/>
      <c r="S71" s="82"/>
    </row>
    <row r="72" spans="1:24" x14ac:dyDescent="0.25">
      <c r="A72" s="177" t="s">
        <v>320</v>
      </c>
      <c r="K72" s="54"/>
    </row>
    <row r="75" spans="1:24" x14ac:dyDescent="0.25">
      <c r="K75" s="131"/>
    </row>
    <row r="76" spans="1:24" x14ac:dyDescent="0.25">
      <c r="K76" s="131"/>
    </row>
    <row r="77" spans="1:24" x14ac:dyDescent="0.25">
      <c r="R77" s="131"/>
      <c r="S77" s="131"/>
    </row>
    <row r="78" spans="1:24" x14ac:dyDescent="0.25">
      <c r="R78" s="131"/>
      <c r="S78" s="131"/>
    </row>
    <row r="79" spans="1:24" x14ac:dyDescent="0.25">
      <c r="P79" s="130"/>
      <c r="Q79" s="130"/>
      <c r="R79"/>
      <c r="S79"/>
      <c r="W79"/>
      <c r="X79"/>
    </row>
    <row r="80" spans="1:24" x14ac:dyDescent="0.25">
      <c r="P80" s="54"/>
      <c r="Q80" s="54"/>
      <c r="R80"/>
      <c r="S80"/>
      <c r="W80"/>
      <c r="X80"/>
    </row>
    <row r="81" spans="16:24" x14ac:dyDescent="0.25">
      <c r="P81" s="54"/>
      <c r="Q81" s="54"/>
      <c r="R81"/>
      <c r="S81"/>
      <c r="W81"/>
      <c r="X81"/>
    </row>
    <row r="82" spans="16:24" x14ac:dyDescent="0.25">
      <c r="P82" s="54"/>
      <c r="Q82" s="54"/>
      <c r="R82"/>
      <c r="S82"/>
      <c r="W82"/>
      <c r="X82"/>
    </row>
    <row r="83" spans="16:24" x14ac:dyDescent="0.25">
      <c r="P83" s="54"/>
      <c r="Q83" s="54"/>
      <c r="R83"/>
      <c r="S83"/>
      <c r="W83"/>
      <c r="X83"/>
    </row>
    <row r="84" spans="16:24" x14ac:dyDescent="0.25">
      <c r="P84" s="54"/>
      <c r="Q84" s="54"/>
      <c r="R84"/>
      <c r="S84"/>
      <c r="W84"/>
      <c r="X84"/>
    </row>
    <row r="85" spans="16:24" x14ac:dyDescent="0.25">
      <c r="P85" s="54"/>
      <c r="Q85" s="54"/>
      <c r="R85"/>
      <c r="S85"/>
      <c r="W85"/>
      <c r="X85"/>
    </row>
    <row r="86" spans="16:24" x14ac:dyDescent="0.25">
      <c r="R86"/>
      <c r="S86"/>
    </row>
  </sheetData>
  <mergeCells count="23">
    <mergeCell ref="C66:D66"/>
    <mergeCell ref="K15:L15"/>
    <mergeCell ref="K14:L14"/>
    <mergeCell ref="K11:L13"/>
    <mergeCell ref="M11:M13"/>
    <mergeCell ref="C60:D60"/>
    <mergeCell ref="C61:D61"/>
    <mergeCell ref="M56:N59"/>
    <mergeCell ref="C62:D62"/>
    <mergeCell ref="C63:D63"/>
    <mergeCell ref="C64:D64"/>
    <mergeCell ref="C65:D65"/>
    <mergeCell ref="O11:O13"/>
    <mergeCell ref="K16:L16"/>
    <mergeCell ref="K17:L17"/>
    <mergeCell ref="A19:B20"/>
    <mergeCell ref="K19:M19"/>
    <mergeCell ref="T19:U20"/>
    <mergeCell ref="K20:M20"/>
    <mergeCell ref="K18:L18"/>
    <mergeCell ref="M39:M40"/>
    <mergeCell ref="O39:O40"/>
    <mergeCell ref="K39:K40"/>
  </mergeCells>
  <conditionalFormatting sqref="R41:R54">
    <cfRule type="cellIs" dxfId="47" priority="3" operator="greaterThan">
      <formula>$C$7</formula>
    </cfRule>
  </conditionalFormatting>
  <conditionalFormatting sqref="X41:X54">
    <cfRule type="cellIs" dxfId="46" priority="2"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A85"/>
  <sheetViews>
    <sheetView workbookViewId="0">
      <selection activeCell="O15" sqref="O15"/>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92</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1200</v>
      </c>
    </row>
    <row r="7" spans="1:24" x14ac:dyDescent="0.25">
      <c r="A7" s="21" t="s">
        <v>191</v>
      </c>
      <c r="B7" s="21"/>
      <c r="C7" s="100">
        <f>VLOOKUP(A1,'Projection Summary'!A5:C50,2,FALSE)</f>
        <v>200</v>
      </c>
    </row>
    <row r="9" spans="1:24" ht="15.75" x14ac:dyDescent="0.25">
      <c r="A9" s="129" t="s">
        <v>222</v>
      </c>
      <c r="R9" s="129" t="s">
        <v>198</v>
      </c>
      <c r="T9" s="173"/>
    </row>
    <row r="10" spans="1:24" x14ac:dyDescent="0.25">
      <c r="A10" s="21"/>
    </row>
    <row r="11" spans="1:24" x14ac:dyDescent="0.25">
      <c r="A11" s="21" t="s">
        <v>218</v>
      </c>
      <c r="K11" s="406" t="s">
        <v>137</v>
      </c>
      <c r="L11" s="407"/>
      <c r="M11" s="412" t="s">
        <v>139</v>
      </c>
      <c r="N11" s="49"/>
      <c r="O11" s="394" t="s">
        <v>136</v>
      </c>
      <c r="R11" s="21" t="s">
        <v>219</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205</v>
      </c>
      <c r="C13" s="19">
        <f>VLOOKUP($A$1,'Primary Catchment Analysis'!$A$3:$BE$25, 38, FALSE)</f>
        <v>214</v>
      </c>
      <c r="D13" s="27">
        <f>VLOOKUP($A$1,'Primary Catchment Analysis'!$A$3:$BE$25, 39, FALSE)</f>
        <v>214</v>
      </c>
      <c r="E13" s="27">
        <f>VLOOKUP($A$1,'Primary Catchment Analysis'!$A$3:$BE$25, 40, FALSE)</f>
        <v>183</v>
      </c>
      <c r="F13" s="27">
        <f>VLOOKUP($A$1,'Primary Catchment Analysis'!$A$3:$BE$25, 41, FALSE)</f>
        <v>181</v>
      </c>
      <c r="G13" s="33">
        <f>VLOOKUP($A$1,'Primary Catchment Analysis'!$A$3:$BE$25, 42, FALSE)</f>
        <v>201</v>
      </c>
      <c r="H13" s="28">
        <f>VLOOKUP($A$1,'Primary Catchment Analysis'!$A$3:$BE$25, 43, FALSE)</f>
        <v>157</v>
      </c>
      <c r="I13" s="28">
        <f>VLOOKUP($A$1,'S1 Catchment Analysis'!A3:I25, 7, FALSE)</f>
        <v>174</v>
      </c>
      <c r="J13" s="23"/>
      <c r="K13" s="410"/>
      <c r="L13" s="411"/>
      <c r="M13" s="399"/>
      <c r="N13" s="50"/>
      <c r="O13" s="399"/>
      <c r="P13" s="50"/>
      <c r="Q13" s="25">
        <f>A13</f>
        <v>2013</v>
      </c>
      <c r="R13" s="69">
        <f>VLOOKUP($A$1,'Secondary Rolls'!$A$3:$BE$25, 37, FALSE)</f>
        <v>200</v>
      </c>
      <c r="S13" s="53">
        <f>VLOOKUP($A$1,'Secondary Rolls'!$A$3:$BE$25, 38, FALSE)</f>
        <v>199</v>
      </c>
      <c r="T13" s="53">
        <f>VLOOKUP($A$1,'Secondary Rolls'!$A$3:$BE$25, 39, FALSE)</f>
        <v>198</v>
      </c>
      <c r="U13" s="122">
        <f>VLOOKUP($A$1,'Secondary Rolls'!$A$3:$BE$25, 40, FALSE)</f>
        <v>200</v>
      </c>
      <c r="V13" s="63">
        <f>VLOOKUP($A$1,'Secondary Rolls'!$A$3:$BE$25, 41, FALSE)</f>
        <v>191</v>
      </c>
      <c r="W13" s="53">
        <f>VLOOKUP($A$1,'Secondary Rolls'!$A$3:$BE$25, 42, FALSE)</f>
        <v>157</v>
      </c>
      <c r="X13" s="62">
        <f t="shared" ref="X13:X17" si="0">SUM(R13:W13)</f>
        <v>1145</v>
      </c>
    </row>
    <row r="14" spans="1:24" ht="15.75" thickBot="1" x14ac:dyDescent="0.3">
      <c r="A14" s="25">
        <f>VLOOKUP($A$12,'S1 Catchment Analysis'!A2:I2, 6, FALSE)</f>
        <v>2014</v>
      </c>
      <c r="B14" s="45">
        <f>VLOOKUP($A$1,'Primary Catchment Analysis'!$A$3:$BE$25, 30, FALSE)</f>
        <v>225</v>
      </c>
      <c r="C14" s="44">
        <f>VLOOKUP($A$1,'Primary Catchment Analysis'!$A$3:$BE$25, 31, FALSE)</f>
        <v>212</v>
      </c>
      <c r="D14" s="19">
        <f>VLOOKUP($A$1,'Primary Catchment Analysis'!$A$3:$BE$25, 32, FALSE)</f>
        <v>215</v>
      </c>
      <c r="E14" s="27">
        <f>VLOOKUP($A$1,'Primary Catchment Analysis'!$A$3:$BE$25, 33, FALSE)</f>
        <v>217</v>
      </c>
      <c r="F14" s="27">
        <f>VLOOKUP($A$1,'Primary Catchment Analysis'!$A$3:$BE$25, 34, FALSE)</f>
        <v>193</v>
      </c>
      <c r="G14" s="33">
        <f>VLOOKUP($A$1,'Primary Catchment Analysis'!$A$3:$BE$25, 35, FALSE)</f>
        <v>187</v>
      </c>
      <c r="H14" s="28">
        <f>VLOOKUP($A$1,'Primary Catchment Analysis'!$A$3:$BE$25, 36, FALSE)</f>
        <v>199</v>
      </c>
      <c r="I14" s="27">
        <f>VLOOKUP($A$1,'S1 Catchment Analysis'!A3:I25, 6, FALSE)</f>
        <v>166</v>
      </c>
      <c r="J14" s="23"/>
      <c r="K14" s="400">
        <f>VLOOKUP($A$1,'S1 Catchment Retained'!A2:I25, 6, FALSE)</f>
        <v>161</v>
      </c>
      <c r="L14" s="401"/>
      <c r="M14" s="110">
        <f t="shared" ref="M14:M18" si="1">(K14/I14)</f>
        <v>0.96987951807228912</v>
      </c>
      <c r="N14" s="50"/>
      <c r="O14" s="111">
        <f t="shared" ref="O14:O18" si="2">R14-K14</f>
        <v>39</v>
      </c>
      <c r="P14" s="50"/>
      <c r="Q14" s="25">
        <f t="shared" ref="Q14:Q18" si="3">A14</f>
        <v>2014</v>
      </c>
      <c r="R14" s="67">
        <f>VLOOKUP($A$1,'Secondary Rolls'!$A$3:$BE$25, 30, FALSE)</f>
        <v>200</v>
      </c>
      <c r="S14" s="69">
        <f>VLOOKUP($A$1,'Secondary Rolls'!$A$3:$BE$25, 31, FALSE)</f>
        <v>200</v>
      </c>
      <c r="T14" s="61">
        <f>VLOOKUP($A$1,'Secondary Rolls'!$A$3:$BE$25, 32, FALSE)</f>
        <v>200</v>
      </c>
      <c r="U14" s="61">
        <f>VLOOKUP($A$1,'Secondary Rolls'!$A$3:$BE$25, 33, FALSE)</f>
        <v>199</v>
      </c>
      <c r="V14" s="64">
        <f>VLOOKUP($A$1,'Secondary Rolls'!$A$3:$BE$25, 34, FALSE)</f>
        <v>180</v>
      </c>
      <c r="W14" s="116">
        <f>VLOOKUP($A$1,'Secondary Rolls'!$A$3:$BE$25, 35, FALSE)</f>
        <v>163</v>
      </c>
      <c r="X14" s="62">
        <f t="shared" si="0"/>
        <v>1142</v>
      </c>
    </row>
    <row r="15" spans="1:24" ht="15.75" thickBot="1" x14ac:dyDescent="0.3">
      <c r="A15" s="25">
        <f>VLOOKUP($A$12,'S1 Catchment Analysis'!A2:I2, 5, FALSE)</f>
        <v>2015</v>
      </c>
      <c r="B15" s="19">
        <f>VLOOKUP($A$1,'Primary Catchment Analysis'!$A$3:$BE$25, 23, FALSE)</f>
        <v>224</v>
      </c>
      <c r="C15" s="45">
        <f>VLOOKUP($A$1,'Primary Catchment Analysis'!$A$3:$BE$25, 24, FALSE)</f>
        <v>228</v>
      </c>
      <c r="D15" s="44">
        <f>VLOOKUP($A$1,'Primary Catchment Analysis'!$A$3:$BE$25, 25, FALSE)</f>
        <v>216</v>
      </c>
      <c r="E15" s="19">
        <f>VLOOKUP($A$1,'Primary Catchment Analysis'!$A$3:$BE$25, 26, FALSE)</f>
        <v>221</v>
      </c>
      <c r="F15" s="27">
        <f>VLOOKUP($A$1,'Primary Catchment Analysis'!$A$3:$BE$25, 27, FALSE)</f>
        <v>222</v>
      </c>
      <c r="G15" s="33">
        <f>VLOOKUP($A$1,'Primary Catchment Analysis'!$A$3:$BE$25, 28, FALSE)</f>
        <v>203</v>
      </c>
      <c r="H15" s="30">
        <f>VLOOKUP($A$1,'Primary Catchment Analysis'!$A$3:$BE$25, 29, FALSE)</f>
        <v>187</v>
      </c>
      <c r="I15" s="29">
        <f>VLOOKUP($A$1,'S1 Catchment Analysis'!A3:I25, 5, FALSE)</f>
        <v>207</v>
      </c>
      <c r="J15" s="23"/>
      <c r="K15" s="400">
        <f>VLOOKUP($A$1,'S1 Catchment Retained'!A2:I25, 5, FALSE)</f>
        <v>201</v>
      </c>
      <c r="L15" s="401"/>
      <c r="M15" s="110">
        <f t="shared" si="1"/>
        <v>0.97101449275362317</v>
      </c>
      <c r="N15" s="50"/>
      <c r="O15" s="111">
        <f t="shared" si="2"/>
        <v>6</v>
      </c>
      <c r="P15" s="50"/>
      <c r="Q15" s="25">
        <f t="shared" si="3"/>
        <v>2015</v>
      </c>
      <c r="R15" s="68">
        <f>VLOOKUP($A$1,'Secondary Rolls'!$A$3:$BE$25, 23, FALSE)</f>
        <v>207</v>
      </c>
      <c r="S15" s="67">
        <f>VLOOKUP($A$1,'Secondary Rolls'!$A$3:$BE$25, 24, FALSE)</f>
        <v>200</v>
      </c>
      <c r="T15" s="71">
        <f>VLOOKUP($A$1,'Secondary Rolls'!$A$3:$BE$25, 25, FALSE)</f>
        <v>200</v>
      </c>
      <c r="U15" s="61">
        <f>VLOOKUP($A$1,'Secondary Rolls'!$A$3:$BE$25, 26, FALSE)</f>
        <v>200</v>
      </c>
      <c r="V15" s="123">
        <f>VLOOKUP($A$1,'Secondary Rolls'!$A$3:$BE$25, 27, FALSE)</f>
        <v>190</v>
      </c>
      <c r="W15" s="64">
        <f>VLOOKUP($A$1,'Secondary Rolls'!$A$3:$BE$25, 28, FALSE)</f>
        <v>162</v>
      </c>
      <c r="X15" s="62">
        <f t="shared" si="0"/>
        <v>1159</v>
      </c>
    </row>
    <row r="16" spans="1:24" ht="15.75" thickBot="1" x14ac:dyDescent="0.3">
      <c r="A16" s="25">
        <f>VLOOKUP($A$12,'S1 Catchment Analysis'!A2:I2, 4, FALSE)</f>
        <v>2016</v>
      </c>
      <c r="B16" s="44">
        <f>VLOOKUP($A$1,'Primary Catchment Analysis'!$A$3:$BE$25, 16, FALSE)</f>
        <v>219</v>
      </c>
      <c r="C16" s="19">
        <f>VLOOKUP($A$1,'Primary Catchment Analysis'!$A$3:$BE$25, 17, FALSE)</f>
        <v>235</v>
      </c>
      <c r="D16" s="45">
        <f>VLOOKUP($A$1,'Primary Catchment Analysis'!$A$3:$BE$25, 18, FALSE)</f>
        <v>230</v>
      </c>
      <c r="E16" s="44">
        <f>VLOOKUP($A$1,'Primary Catchment Analysis'!$A$3:$BE$25, 19, FALSE)</f>
        <v>224</v>
      </c>
      <c r="F16" s="19">
        <f>VLOOKUP($A$1,'Primary Catchment Analysis'!$A$3:$BE$25, 20, FALSE)</f>
        <v>223</v>
      </c>
      <c r="G16" s="33">
        <f>VLOOKUP($A$1,'Primary Catchment Analysis'!$A$3:$BE$25, 21, FALSE)</f>
        <v>230</v>
      </c>
      <c r="H16" s="112">
        <f>VLOOKUP($A$1,'Primary Catchment Analysis'!$A$3:$BE$25, 22, FALSE)</f>
        <v>203</v>
      </c>
      <c r="I16" s="30">
        <f>VLOOKUP($A$1,'S1 Catchment Analysis'!A3:I25, 4, FALSE)</f>
        <v>193</v>
      </c>
      <c r="J16" s="23"/>
      <c r="K16" s="400">
        <f>VLOOKUP($A$1,'S1 Catchment Retained'!A2:I25, 4, FALSE)</f>
        <v>188</v>
      </c>
      <c r="L16" s="401"/>
      <c r="M16" s="56">
        <f t="shared" si="1"/>
        <v>0.97409326424870468</v>
      </c>
      <c r="N16" s="50"/>
      <c r="O16" s="103">
        <f t="shared" si="2"/>
        <v>11</v>
      </c>
      <c r="P16" s="50"/>
      <c r="Q16" s="25">
        <f t="shared" si="3"/>
        <v>2016</v>
      </c>
      <c r="R16" s="69">
        <f>VLOOKUP($A$1,'Secondary Rolls'!$A$3:$BE$25, 16, FALSE)</f>
        <v>199</v>
      </c>
      <c r="S16" s="68">
        <f>VLOOKUP($A$1,'Secondary Rolls'!$A$3:$BE$25, 17, FALSE)</f>
        <v>214</v>
      </c>
      <c r="T16" s="70">
        <f>VLOOKUP($A$1,'Secondary Rolls'!$A$3:$BE$25, 18, FALSE)</f>
        <v>199</v>
      </c>
      <c r="U16" s="71">
        <f>VLOOKUP($A$1,'Secondary Rolls'!$A$3:$BE$25, 19, FALSE)</f>
        <v>198</v>
      </c>
      <c r="V16" s="66">
        <f>VLOOKUP($A$1,'Secondary Rolls'!$A$3:$BE$25, 20, FALSE)</f>
        <v>192</v>
      </c>
      <c r="W16" s="65">
        <f>VLOOKUP($A$1,'Secondary Rolls'!$A$3:$BE$25, 21, FALSE)</f>
        <v>158</v>
      </c>
      <c r="X16" s="62">
        <f t="shared" si="0"/>
        <v>1160</v>
      </c>
    </row>
    <row r="17" spans="1:27" ht="15.75" thickBot="1" x14ac:dyDescent="0.3">
      <c r="A17" s="258">
        <f>VLOOKUP($A$12,'S1 Catchment Analysis'!A2:I2, 3, FALSE)</f>
        <v>2017</v>
      </c>
      <c r="B17" s="259">
        <f>VLOOKUP($A$1,'Primary Catchment Analysis'!$A$3:$BE$25, 9, FALSE)</f>
        <v>221</v>
      </c>
      <c r="C17" s="260">
        <f>VLOOKUP($A$1,'Primary Catchment Analysis'!$A$3:$BE$25, 10, FALSE)</f>
        <v>229</v>
      </c>
      <c r="D17" s="261">
        <f>VLOOKUP($A$1,'Primary Catchment Analysis'!$A$3:$BE$25, 11, FALSE)</f>
        <v>243</v>
      </c>
      <c r="E17" s="259">
        <f>VLOOKUP($A$1,'Primary Catchment Analysis'!$A$3:$BE$25, 12, FALSE)</f>
        <v>236</v>
      </c>
      <c r="F17" s="260">
        <f>VLOOKUP($A$1,'Primary Catchment Analysis'!$A$3:$BE$25, 13, FALSE)</f>
        <v>230</v>
      </c>
      <c r="G17" s="262">
        <f>VLOOKUP($A$1,'Primary Catchment Analysis'!$A$3:$BE$25, 14, FALSE)</f>
        <v>223</v>
      </c>
      <c r="H17" s="113">
        <f>VLOOKUP($A$1,'Primary Catchment Analysis'!$A$3:$BE$25, 15, FALSE)</f>
        <v>240</v>
      </c>
      <c r="I17" s="31">
        <f>VLOOKUP($A$1,'S1 Catchment Analysis'!A3:I25, 3, FALSE)</f>
        <v>219</v>
      </c>
      <c r="J17" s="23"/>
      <c r="K17" s="402">
        <f>VLOOKUP($A$1,'S1 Catchment Retained'!A2:I25, 3, FALSE)</f>
        <v>211</v>
      </c>
      <c r="L17" s="403"/>
      <c r="M17" s="57">
        <f t="shared" si="1"/>
        <v>0.9634703196347032</v>
      </c>
      <c r="N17" s="50"/>
      <c r="O17" s="104">
        <f t="shared" si="2"/>
        <v>7</v>
      </c>
      <c r="P17" s="50"/>
      <c r="Q17" s="25">
        <f t="shared" si="3"/>
        <v>2017</v>
      </c>
      <c r="R17" s="264">
        <f>VLOOKUP($A$1,'Secondary Rolls'!$A$3:$BE$25, 9, FALSE)</f>
        <v>218</v>
      </c>
      <c r="S17" s="265">
        <f>VLOOKUP($A$1,'Secondary Rolls'!$A$3:$BE$25, 10, FALSE)</f>
        <v>198</v>
      </c>
      <c r="T17" s="266">
        <f>VLOOKUP($A$1,'Secondary Rolls'!$A$3:$BE$25, 11, FALSE)</f>
        <v>214</v>
      </c>
      <c r="U17" s="270">
        <f>VLOOKUP($A$1,'Secondary Rolls'!$A$3:$BE$25, 12, FALSE)</f>
        <v>198</v>
      </c>
      <c r="V17" s="271">
        <f>VLOOKUP($A$1,'Secondary Rolls'!$A$3:$BE$25, 13, FALSE)</f>
        <v>193</v>
      </c>
      <c r="W17" s="272">
        <f>VLOOKUP($A$1,'Secondary Rolls'!$A$3:$BE$25, 14, FALSE)</f>
        <v>175</v>
      </c>
      <c r="X17" s="116">
        <f t="shared" si="0"/>
        <v>1196</v>
      </c>
    </row>
    <row r="18" spans="1:27" ht="15.75" thickBot="1" x14ac:dyDescent="0.3">
      <c r="A18" s="25">
        <f>VLOOKUP($A$12,'S1 Catchment Analysis'!A2:I2, 2, FALSE)</f>
        <v>2018</v>
      </c>
      <c r="B18" s="19">
        <f>VLOOKUP($A$1,'Primary Catchment Analysis'!$A$3:$BE$25, 2, FALSE)</f>
        <v>233</v>
      </c>
      <c r="C18" s="45">
        <f>VLOOKUP($A$1,'Primary Catchment Analysis'!$A$3:$BE$25, 3, FALSE)</f>
        <v>213</v>
      </c>
      <c r="D18" s="44">
        <f>VLOOKUP($A$1,'Primary Catchment Analysis'!$A$3:$BE$25, 4, FALSE)</f>
        <v>232</v>
      </c>
      <c r="E18" s="19">
        <f>VLOOKUP($A$1,'Primary Catchment Analysis'!$A$3:$BE$25, 5, FALSE)</f>
        <v>256</v>
      </c>
      <c r="F18" s="45">
        <f>VLOOKUP($A$1,'Primary Catchment Analysis'!$A$3:$BE$25, 6, FALSE)</f>
        <v>242</v>
      </c>
      <c r="G18" s="273">
        <f>VLOOKUP($A$1,'Primary Catchment Analysis'!$A$3:$BE$25, 7, FALSE)</f>
        <v>229</v>
      </c>
      <c r="H18" s="274">
        <f>VLOOKUP($A$1,'Primary Catchment Analysis'!$A$3:$BE$25, 8, FALSE)</f>
        <v>228</v>
      </c>
      <c r="I18" s="32">
        <f>VLOOKUP($A$1,'S1 Catchment Analysis'!A3:I25, 2, FALSE)</f>
        <v>260</v>
      </c>
      <c r="J18" s="23"/>
      <c r="K18" s="392">
        <f>VLOOKUP($A$1,'S1 Catchment Retained'!A2:I25, 2, FALSE)</f>
        <v>252</v>
      </c>
      <c r="L18" s="393"/>
      <c r="M18" s="58">
        <f t="shared" si="1"/>
        <v>0.96923076923076923</v>
      </c>
      <c r="N18" s="50"/>
      <c r="O18" s="105">
        <f t="shared" si="2"/>
        <v>4</v>
      </c>
      <c r="P18" s="50"/>
      <c r="Q18" s="25">
        <f t="shared" si="3"/>
        <v>2018</v>
      </c>
      <c r="R18" s="68">
        <f>VLOOKUP($A$1,'Secondary Rolls'!$A$3:$BE$25, 2, FALSE)</f>
        <v>256</v>
      </c>
      <c r="S18" s="67">
        <f>VLOOKUP($A$1,'Secondary Rolls'!$A$3:$BE$25, 3, FALSE)</f>
        <v>220</v>
      </c>
      <c r="T18" s="69">
        <f>VLOOKUP($A$1,'Secondary Rolls'!$A$3:$BE$25, 4, FALSE)</f>
        <v>200</v>
      </c>
      <c r="U18" s="68">
        <f>VLOOKUP($A$1,'Secondary Rolls'!$A$3:$BE$25, 5, FALSE)</f>
        <v>214</v>
      </c>
      <c r="V18" s="67">
        <f>VLOOKUP($A$1,'Secondary Rolls'!$A$3:$BE$25, 6, FALSE)</f>
        <v>193</v>
      </c>
      <c r="W18" s="69">
        <f>VLOOKUP($A$1,'Secondary Rolls'!$A$3:$BE$25, 7, FALSE)</f>
        <v>172</v>
      </c>
      <c r="X18" s="53">
        <f t="shared" ref="X18" si="4">SUM(R18:W18)</f>
        <v>1255</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0" t="s">
        <v>211</v>
      </c>
      <c r="P19" s="117"/>
      <c r="Q19" s="131"/>
      <c r="R19" s="131"/>
      <c r="T19" s="386" t="s">
        <v>212</v>
      </c>
      <c r="U19" s="387"/>
      <c r="V19" s="118" t="s">
        <v>140</v>
      </c>
      <c r="W19" s="119" t="s">
        <v>141</v>
      </c>
    </row>
    <row r="20" spans="1:27" x14ac:dyDescent="0.25">
      <c r="A20" s="388"/>
      <c r="B20" s="388"/>
      <c r="C20" s="40">
        <f>AVERAGE(((B15-C16)/B15),((B16-C17)/B16),((B17-C18)/B17))</f>
        <v>-1.9523382763713137E-2</v>
      </c>
      <c r="D20" s="40">
        <f t="shared" ref="D20:I20" si="5">AVERAGE(((C15-D16)/C15),((C16-D17)/C16),((C17-D18)/C17))</f>
        <v>-1.8638306565757823E-2</v>
      </c>
      <c r="E20" s="40">
        <f t="shared" si="5"/>
        <v>-3.8873978648535812E-2</v>
      </c>
      <c r="F20" s="40">
        <f t="shared" si="5"/>
        <v>-2.041973895164324E-2</v>
      </c>
      <c r="G20" s="40">
        <f t="shared" si="5"/>
        <v>-1.056273664969317E-2</v>
      </c>
      <c r="H20" s="40">
        <f t="shared" si="5"/>
        <v>-2.1966595177747447E-2</v>
      </c>
      <c r="I20" s="40">
        <f t="shared" si="5"/>
        <v>-6.4745542940269116E-2</v>
      </c>
      <c r="K20" s="389">
        <f>AVERAGE(M16:M18)</f>
        <v>0.968931451038059</v>
      </c>
      <c r="L20" s="390"/>
      <c r="M20" s="391"/>
      <c r="O20" s="51">
        <f>ROUNDUP((AVERAGE(O16:O18)),0)</f>
        <v>8</v>
      </c>
      <c r="T20" s="388"/>
      <c r="U20" s="388"/>
      <c r="V20" s="40">
        <f>AVERAGE(((U15-V16)/U15),((U16-V17)/U16),((U17-V18)/U17))</f>
        <v>3.0168350168350167E-2</v>
      </c>
      <c r="W20" s="40">
        <f>AVERAGE(((V15-W16)/V15),((V16-W17)/V16),((V17-W18)/V17))</f>
        <v>0.12192366981789533</v>
      </c>
    </row>
    <row r="21" spans="1:27" x14ac:dyDescent="0.25">
      <c r="A21" s="21"/>
      <c r="K21" s="59"/>
      <c r="L21" s="59"/>
    </row>
    <row r="22" spans="1:27" x14ac:dyDescent="0.25">
      <c r="A22" s="21" t="s">
        <v>220</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Projections'!C7+'P1 Catchment Projections'!C8+'P1 Catchment Projections'!C9</f>
        <v>231</v>
      </c>
      <c r="C24" s="34">
        <f>ROUNDUP((B18-(B18*$C$20)),0)</f>
        <v>238</v>
      </c>
      <c r="D24" s="42">
        <f>ROUNDUP((C18-(C18*$D$20)),0)</f>
        <v>217</v>
      </c>
      <c r="E24" s="43">
        <f>ROUNDUP((D18-(D18*$E$20)),0)</f>
        <v>242</v>
      </c>
      <c r="F24" s="41">
        <f>ROUNDUP((E18-(E18*$F$20)),0)</f>
        <v>262</v>
      </c>
      <c r="G24" s="42">
        <f>ROUNDUP((F18-(F18*$G$20)),0)</f>
        <v>245</v>
      </c>
      <c r="H24" s="43">
        <f>ROUNDUP((G18-(G18*$H$20)),0)</f>
        <v>235</v>
      </c>
      <c r="I24" s="99">
        <f>ROUNDUP((H18-(H18*$I$20)),0)</f>
        <v>243</v>
      </c>
      <c r="J24" s="23"/>
      <c r="K24" s="59"/>
      <c r="L24" s="59"/>
      <c r="Z24" s="109"/>
      <c r="AA24" s="109"/>
    </row>
    <row r="25" spans="1:27" x14ac:dyDescent="0.25">
      <c r="A25" s="25">
        <f>A24+1</f>
        <v>2020</v>
      </c>
      <c r="B25" s="37">
        <f>'P1 Catchment Projections'!D7+'P1 Catchment Projections'!D8+'P1 Catchment Projections'!D9</f>
        <v>269</v>
      </c>
      <c r="C25" s="34">
        <f t="shared" ref="C25:C37" si="6">ROUNDUP((B24-(B24*$C$20)),0)</f>
        <v>236</v>
      </c>
      <c r="D25" s="34">
        <f t="shared" ref="D25:D37" si="7">ROUNDUP((C24-(C24*$D$20)),0)</f>
        <v>243</v>
      </c>
      <c r="E25" s="42">
        <f t="shared" ref="E25:E37" si="8">ROUNDUP((D24-(D24*$E$20)),0)</f>
        <v>226</v>
      </c>
      <c r="F25" s="43">
        <f t="shared" ref="F25:F37" si="9">ROUNDUP((E24-(E24*$F$20)),0)</f>
        <v>247</v>
      </c>
      <c r="G25" s="41">
        <f t="shared" ref="G25:G37" si="10">ROUNDUP((F24-(F24*$G$20)),0)</f>
        <v>265</v>
      </c>
      <c r="H25" s="42">
        <f t="shared" ref="H25:H37" si="11">ROUNDUP((G24-(G24*$H$20)),0)</f>
        <v>251</v>
      </c>
      <c r="I25" s="99">
        <f t="shared" ref="I25:I37" si="12">ROUNDUP((H24-(H24*$I$20)),0)</f>
        <v>251</v>
      </c>
      <c r="J25" s="23"/>
      <c r="K25" s="59"/>
      <c r="L25" s="59"/>
      <c r="Z25" s="109"/>
      <c r="AA25" s="109"/>
    </row>
    <row r="26" spans="1:27" x14ac:dyDescent="0.25">
      <c r="A26" s="25">
        <f>A25+1</f>
        <v>2021</v>
      </c>
      <c r="B26" s="37">
        <f>'P1 Catchment Projections'!E7+'P1 Catchment Projections'!E8+'P1 Catchment Projections'!E9</f>
        <v>222</v>
      </c>
      <c r="C26" s="34">
        <f t="shared" si="6"/>
        <v>275</v>
      </c>
      <c r="D26" s="34">
        <f t="shared" si="7"/>
        <v>241</v>
      </c>
      <c r="E26" s="34">
        <f t="shared" si="8"/>
        <v>253</v>
      </c>
      <c r="F26" s="42">
        <f t="shared" si="9"/>
        <v>231</v>
      </c>
      <c r="G26" s="43">
        <f t="shared" si="10"/>
        <v>250</v>
      </c>
      <c r="H26" s="41">
        <f t="shared" si="11"/>
        <v>271</v>
      </c>
      <c r="I26" s="99">
        <f t="shared" si="12"/>
        <v>268</v>
      </c>
      <c r="J26" s="23"/>
      <c r="K26" s="59"/>
      <c r="L26" s="59"/>
      <c r="Z26" s="109"/>
      <c r="AA26" s="109"/>
    </row>
    <row r="27" spans="1:27" x14ac:dyDescent="0.25">
      <c r="A27" s="25">
        <f>A26+1</f>
        <v>2022</v>
      </c>
      <c r="B27" s="37">
        <f>'P1 Catchment Projections'!F7+'P1 Catchment Projections'!F8+'P1 Catchment Projections'!F9</f>
        <v>222</v>
      </c>
      <c r="C27" s="34">
        <f t="shared" si="6"/>
        <v>227</v>
      </c>
      <c r="D27" s="34">
        <f t="shared" si="7"/>
        <v>281</v>
      </c>
      <c r="E27" s="34">
        <f t="shared" si="8"/>
        <v>251</v>
      </c>
      <c r="F27" s="34">
        <f t="shared" si="9"/>
        <v>259</v>
      </c>
      <c r="G27" s="42">
        <f t="shared" si="10"/>
        <v>234</v>
      </c>
      <c r="H27" s="43">
        <f t="shared" si="11"/>
        <v>256</v>
      </c>
      <c r="I27" s="99">
        <f t="shared" si="12"/>
        <v>289</v>
      </c>
      <c r="J27" s="23"/>
      <c r="K27" s="59"/>
      <c r="L27" s="59"/>
      <c r="Z27" s="109"/>
      <c r="AA27" s="109"/>
    </row>
    <row r="28" spans="1:27" x14ac:dyDescent="0.25">
      <c r="A28" s="25">
        <f t="shared" ref="A28:A37" si="13">A27+1</f>
        <v>2023</v>
      </c>
      <c r="B28" s="37">
        <f>'P1 Catchment Projections'!G7+'P1 Catchment Projections'!G8+'P1 Catchment Projections'!G9</f>
        <v>223</v>
      </c>
      <c r="C28" s="34">
        <f t="shared" si="6"/>
        <v>227</v>
      </c>
      <c r="D28" s="34">
        <f t="shared" si="7"/>
        <v>232</v>
      </c>
      <c r="E28" s="34">
        <f t="shared" si="8"/>
        <v>292</v>
      </c>
      <c r="F28" s="34">
        <f t="shared" si="9"/>
        <v>257</v>
      </c>
      <c r="G28" s="34">
        <f t="shared" si="10"/>
        <v>262</v>
      </c>
      <c r="H28" s="42">
        <f t="shared" si="11"/>
        <v>240</v>
      </c>
      <c r="I28" s="99">
        <f t="shared" si="12"/>
        <v>273</v>
      </c>
      <c r="J28" s="23"/>
      <c r="K28" s="59"/>
      <c r="L28" s="59"/>
      <c r="Z28" s="109"/>
      <c r="AA28" s="109"/>
    </row>
    <row r="29" spans="1:27" x14ac:dyDescent="0.25">
      <c r="A29" s="25">
        <f t="shared" si="13"/>
        <v>2024</v>
      </c>
      <c r="B29" s="37">
        <f>'P1 Catchment Projections'!H7+'P1 Catchment Projections'!H8+'P1 Catchment Projections'!H9</f>
        <v>227</v>
      </c>
      <c r="C29" s="34">
        <f t="shared" si="6"/>
        <v>228</v>
      </c>
      <c r="D29" s="34">
        <f t="shared" si="7"/>
        <v>232</v>
      </c>
      <c r="E29" s="34">
        <f t="shared" si="8"/>
        <v>242</v>
      </c>
      <c r="F29" s="34">
        <f t="shared" si="9"/>
        <v>298</v>
      </c>
      <c r="G29" s="34">
        <f t="shared" si="10"/>
        <v>260</v>
      </c>
      <c r="H29" s="34">
        <f t="shared" si="11"/>
        <v>268</v>
      </c>
      <c r="I29" s="99">
        <f t="shared" si="12"/>
        <v>256</v>
      </c>
      <c r="K29" s="59"/>
      <c r="L29" s="59"/>
      <c r="Z29" s="109"/>
      <c r="AA29" s="109"/>
    </row>
    <row r="30" spans="1:27" x14ac:dyDescent="0.25">
      <c r="A30" s="25">
        <f t="shared" si="13"/>
        <v>2025</v>
      </c>
      <c r="B30" s="37">
        <f>'P1 Catchment Projections'!I7+'P1 Catchment Projections'!I8+'P1 Catchment Projections'!I9</f>
        <v>230</v>
      </c>
      <c r="C30" s="34">
        <f t="shared" si="6"/>
        <v>232</v>
      </c>
      <c r="D30" s="34">
        <f t="shared" si="7"/>
        <v>233</v>
      </c>
      <c r="E30" s="34">
        <f t="shared" si="8"/>
        <v>242</v>
      </c>
      <c r="F30" s="34">
        <f t="shared" si="9"/>
        <v>247</v>
      </c>
      <c r="G30" s="34">
        <f t="shared" si="10"/>
        <v>302</v>
      </c>
      <c r="H30" s="34">
        <f t="shared" si="11"/>
        <v>266</v>
      </c>
      <c r="I30" s="99">
        <f t="shared" si="12"/>
        <v>286</v>
      </c>
      <c r="K30" s="59"/>
      <c r="L30" s="59"/>
      <c r="Z30" s="109"/>
      <c r="AA30" s="109"/>
    </row>
    <row r="31" spans="1:27" x14ac:dyDescent="0.25">
      <c r="A31" s="25">
        <f t="shared" si="13"/>
        <v>2026</v>
      </c>
      <c r="B31" s="37">
        <f>'P1 Catchment Projections'!J7+'P1 Catchment Projections'!J8+'P1 Catchment Projections'!J9</f>
        <v>231</v>
      </c>
      <c r="C31" s="34">
        <f t="shared" si="6"/>
        <v>235</v>
      </c>
      <c r="D31" s="34">
        <f t="shared" si="7"/>
        <v>237</v>
      </c>
      <c r="E31" s="34">
        <f t="shared" si="8"/>
        <v>243</v>
      </c>
      <c r="F31" s="34">
        <f t="shared" si="9"/>
        <v>247</v>
      </c>
      <c r="G31" s="34">
        <f t="shared" si="10"/>
        <v>250</v>
      </c>
      <c r="H31" s="34">
        <f t="shared" si="11"/>
        <v>309</v>
      </c>
      <c r="I31" s="99">
        <f t="shared" si="12"/>
        <v>284</v>
      </c>
      <c r="K31" s="59"/>
      <c r="L31" s="59"/>
      <c r="Z31" s="109"/>
      <c r="AA31" s="109"/>
    </row>
    <row r="32" spans="1:27" x14ac:dyDescent="0.25">
      <c r="A32" s="25">
        <f t="shared" si="13"/>
        <v>2027</v>
      </c>
      <c r="B32" s="37">
        <f>'P1 Catchment Projections'!K7+'P1 Catchment Projections'!K8+'P1 Catchment Projections'!K9</f>
        <v>234</v>
      </c>
      <c r="C32" s="34">
        <f t="shared" si="6"/>
        <v>236</v>
      </c>
      <c r="D32" s="34">
        <f t="shared" si="7"/>
        <v>240</v>
      </c>
      <c r="E32" s="34">
        <f t="shared" si="8"/>
        <v>247</v>
      </c>
      <c r="F32" s="34">
        <f t="shared" si="9"/>
        <v>248</v>
      </c>
      <c r="G32" s="34">
        <f t="shared" si="10"/>
        <v>250</v>
      </c>
      <c r="H32" s="34">
        <f t="shared" si="11"/>
        <v>256</v>
      </c>
      <c r="I32" s="99">
        <f t="shared" si="12"/>
        <v>330</v>
      </c>
      <c r="K32" s="59"/>
      <c r="L32" s="59"/>
      <c r="Z32" s="109"/>
      <c r="AA32" s="109"/>
    </row>
    <row r="33" spans="1:27" x14ac:dyDescent="0.25">
      <c r="A33" s="25">
        <f t="shared" si="13"/>
        <v>2028</v>
      </c>
      <c r="B33" s="37">
        <f>'P1 Catchment Projections'!L7+'P1 Catchment Projections'!L8+'P1 Catchment Projections'!L9</f>
        <v>235</v>
      </c>
      <c r="C33" s="34">
        <f t="shared" si="6"/>
        <v>239</v>
      </c>
      <c r="D33" s="34">
        <f t="shared" si="7"/>
        <v>241</v>
      </c>
      <c r="E33" s="34">
        <f t="shared" si="8"/>
        <v>250</v>
      </c>
      <c r="F33" s="34">
        <f t="shared" si="9"/>
        <v>253</v>
      </c>
      <c r="G33" s="34">
        <f t="shared" si="10"/>
        <v>251</v>
      </c>
      <c r="H33" s="34">
        <f t="shared" si="11"/>
        <v>256</v>
      </c>
      <c r="I33" s="99">
        <f t="shared" si="12"/>
        <v>273</v>
      </c>
      <c r="K33" s="59"/>
      <c r="L33" s="59"/>
    </row>
    <row r="34" spans="1:27" x14ac:dyDescent="0.25">
      <c r="A34" s="25">
        <f t="shared" si="13"/>
        <v>2029</v>
      </c>
      <c r="B34" s="37">
        <f>'P1 Catchment Projections'!M7+'P1 Catchment Projections'!M8+'P1 Catchment Projections'!M9</f>
        <v>235</v>
      </c>
      <c r="C34" s="34">
        <f t="shared" si="6"/>
        <v>240</v>
      </c>
      <c r="D34" s="34">
        <f t="shared" si="7"/>
        <v>244</v>
      </c>
      <c r="E34" s="34">
        <f t="shared" si="8"/>
        <v>251</v>
      </c>
      <c r="F34" s="34">
        <f t="shared" si="9"/>
        <v>256</v>
      </c>
      <c r="G34" s="34">
        <f t="shared" si="10"/>
        <v>256</v>
      </c>
      <c r="H34" s="34">
        <f t="shared" si="11"/>
        <v>257</v>
      </c>
      <c r="I34" s="99">
        <f t="shared" si="12"/>
        <v>273</v>
      </c>
      <c r="K34" s="59"/>
      <c r="L34" s="59"/>
      <c r="Z34" s="109"/>
      <c r="AA34" s="109"/>
    </row>
    <row r="35" spans="1:27" x14ac:dyDescent="0.25">
      <c r="A35" s="25">
        <f t="shared" si="13"/>
        <v>2030</v>
      </c>
      <c r="B35" s="37">
        <f>'P1 Catchment Projections'!N7+'P1 Catchment Projections'!N8+'P1 Catchment Projections'!N9</f>
        <v>236</v>
      </c>
      <c r="C35" s="34">
        <f t="shared" si="6"/>
        <v>240</v>
      </c>
      <c r="D35" s="34">
        <f t="shared" si="7"/>
        <v>245</v>
      </c>
      <c r="E35" s="34">
        <f t="shared" si="8"/>
        <v>254</v>
      </c>
      <c r="F35" s="34">
        <f t="shared" si="9"/>
        <v>257</v>
      </c>
      <c r="G35" s="34">
        <f t="shared" si="10"/>
        <v>259</v>
      </c>
      <c r="H35" s="34">
        <f t="shared" si="11"/>
        <v>262</v>
      </c>
      <c r="I35" s="99">
        <f t="shared" si="12"/>
        <v>274</v>
      </c>
      <c r="K35" s="59"/>
      <c r="L35" s="59"/>
      <c r="Z35" s="109"/>
      <c r="AA35" s="109"/>
    </row>
    <row r="36" spans="1:27" x14ac:dyDescent="0.25">
      <c r="A36" s="25">
        <f t="shared" si="13"/>
        <v>2031</v>
      </c>
      <c r="B36" s="37">
        <f>'P1 Catchment Projections'!O7+'P1 Catchment Projections'!O8+'P1 Catchment Projections'!O9</f>
        <v>236</v>
      </c>
      <c r="C36" s="34">
        <f t="shared" si="6"/>
        <v>241</v>
      </c>
      <c r="D36" s="34">
        <f t="shared" si="7"/>
        <v>245</v>
      </c>
      <c r="E36" s="34">
        <f t="shared" si="8"/>
        <v>255</v>
      </c>
      <c r="F36" s="34">
        <f t="shared" si="9"/>
        <v>260</v>
      </c>
      <c r="G36" s="34">
        <f t="shared" si="10"/>
        <v>260</v>
      </c>
      <c r="H36" s="34">
        <f t="shared" si="11"/>
        <v>265</v>
      </c>
      <c r="I36" s="99">
        <f t="shared" si="12"/>
        <v>279</v>
      </c>
      <c r="K36" s="59"/>
      <c r="L36" s="59"/>
      <c r="Z36" s="109"/>
      <c r="AA36" s="109"/>
    </row>
    <row r="37" spans="1:27" x14ac:dyDescent="0.25">
      <c r="A37" s="25">
        <f t="shared" si="13"/>
        <v>2032</v>
      </c>
      <c r="B37" s="37">
        <f>'P1 Catchment Projections'!P7+'P1 Catchment Projections'!P8+'P1 Catchment Projections'!P9</f>
        <v>236</v>
      </c>
      <c r="C37" s="34">
        <f t="shared" si="6"/>
        <v>241</v>
      </c>
      <c r="D37" s="34">
        <f t="shared" si="7"/>
        <v>246</v>
      </c>
      <c r="E37" s="34">
        <f t="shared" si="8"/>
        <v>255</v>
      </c>
      <c r="F37" s="34">
        <f t="shared" si="9"/>
        <v>261</v>
      </c>
      <c r="G37" s="34">
        <f t="shared" si="10"/>
        <v>263</v>
      </c>
      <c r="H37" s="34">
        <f t="shared" si="11"/>
        <v>266</v>
      </c>
      <c r="I37" s="99">
        <f t="shared" si="12"/>
        <v>283</v>
      </c>
      <c r="K37" s="59"/>
      <c r="L37" s="59"/>
      <c r="Z37" s="109"/>
      <c r="AA37" s="109"/>
    </row>
    <row r="38" spans="1:27" x14ac:dyDescent="0.25">
      <c r="K38" s="59"/>
      <c r="L38" s="59"/>
    </row>
    <row r="39" spans="1:27" x14ac:dyDescent="0.25">
      <c r="A39" s="21" t="s">
        <v>220</v>
      </c>
      <c r="K39" s="394" t="s">
        <v>190</v>
      </c>
      <c r="L39" s="55"/>
      <c r="M39" s="394" t="s">
        <v>203</v>
      </c>
      <c r="N39" s="106"/>
      <c r="O39" s="395" t="s">
        <v>204</v>
      </c>
      <c r="R39" s="21" t="s">
        <v>221</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232</v>
      </c>
      <c r="C41" s="34">
        <f>C24+VLOOKUP($A$1,'Pri Housing Generation'!$A$96:$DQ$118, 11, FALSE)</f>
        <v>239</v>
      </c>
      <c r="D41" s="42">
        <f>D24+VLOOKUP($A$1,'Pri Housing Generation'!$A$96:$DQ$118, 12, FALSE)</f>
        <v>218</v>
      </c>
      <c r="E41" s="43">
        <f>E24+VLOOKUP($A$1,'Pri Housing Generation'!$A$96:$DQ$118, 13, FALSE)</f>
        <v>243</v>
      </c>
      <c r="F41" s="41">
        <f>F24+VLOOKUP($A$1,'Pri Housing Generation'!$A$96:$DQ$118, 14, FALSE)</f>
        <v>262</v>
      </c>
      <c r="G41" s="42">
        <f>G24+VLOOKUP($A$1,'Pri Housing Generation'!$A$96:$DQ$118, 15, FALSE)</f>
        <v>245</v>
      </c>
      <c r="H41" s="43">
        <f>H24+VLOOKUP($A$1,'Pri Housing Generation'!$A$96:$DQ$118, 16, FALSE)</f>
        <v>235</v>
      </c>
      <c r="I41" s="99">
        <f>ROUNDUP((H18-(H18*$I$20)),0)</f>
        <v>243</v>
      </c>
      <c r="K41" s="35">
        <f>'Sec Housing Generation'!I4</f>
        <v>1</v>
      </c>
      <c r="L41" s="83"/>
      <c r="M41" s="107">
        <f t="shared" ref="M41:M54" si="14">$K$20</f>
        <v>0.968931451038059</v>
      </c>
      <c r="O41" s="35">
        <f t="shared" ref="O41:O54" si="15">ROUNDUP(((I41+K41)*M41),0)</f>
        <v>237</v>
      </c>
      <c r="Q41" s="25">
        <f>A41</f>
        <v>2019</v>
      </c>
      <c r="R41" s="20">
        <f t="shared" ref="R41:R54" si="16">IF(O41&lt;$C$7,(IF((O41+$O$20)&gt;$C$7,$C$7,(O41+$O$20))),(IF((O41+$O$20)&lt;(CEILING((O41),20)),(O41+$O$20),(CEILING((O41),20)))))</f>
        <v>240</v>
      </c>
      <c r="S41" s="53">
        <f>R18</f>
        <v>256</v>
      </c>
      <c r="T41" s="67">
        <f>S18</f>
        <v>220</v>
      </c>
      <c r="U41" s="69">
        <f>T18</f>
        <v>200</v>
      </c>
      <c r="V41" s="41">
        <f>ROUNDUP((U18-(U18*$V$20)),0)</f>
        <v>208</v>
      </c>
      <c r="W41" s="42">
        <f>ROUNDUP((V18-(V18*$W$20)),0)</f>
        <v>170</v>
      </c>
      <c r="X41" s="101">
        <f t="shared" ref="X41:X54" si="17">SUM(R41:W41)</f>
        <v>1294</v>
      </c>
    </row>
    <row r="42" spans="1:27" x14ac:dyDescent="0.25">
      <c r="A42" s="25">
        <f t="shared" ref="A42:A54" si="18">A25</f>
        <v>2020</v>
      </c>
      <c r="B42" s="37">
        <f>B25+VLOOKUP($A$1,'Pri Housing Generation'!$A$96:$DQ$118, 18, FALSE)</f>
        <v>271</v>
      </c>
      <c r="C42" s="34">
        <f>C25+VLOOKUP($A$1,'Pri Housing Generation'!$A$96:$DQ$118, 19, FALSE)</f>
        <v>238</v>
      </c>
      <c r="D42" s="34">
        <f>D25+VLOOKUP($A$1,'Pri Housing Generation'!$A$96:$DQ$118, 20, FALSE)</f>
        <v>245</v>
      </c>
      <c r="E42" s="42">
        <f>E25+VLOOKUP($A$1,'Pri Housing Generation'!$A$96:$DQ$118, 21, FALSE)</f>
        <v>227</v>
      </c>
      <c r="F42" s="43">
        <f>F25+VLOOKUP($A$1,'Pri Housing Generation'!$A$96:$DQ$118, 22, FALSE)</f>
        <v>248</v>
      </c>
      <c r="G42" s="41">
        <f>G25+VLOOKUP($A$1,'Pri Housing Generation'!$A$96:$DQ$118, 23, FALSE)</f>
        <v>266</v>
      </c>
      <c r="H42" s="42">
        <f>H25+VLOOKUP($A$1,'Pri Housing Generation'!$A$96:$DQ$118, 24, FALSE)</f>
        <v>252</v>
      </c>
      <c r="I42" s="99">
        <f t="shared" ref="I42:I54" si="19">ROUNDUP((H41-(H41*$I$20)),0)</f>
        <v>251</v>
      </c>
      <c r="K42" s="35">
        <f>'Sec Housing Generation'!P4</f>
        <v>1</v>
      </c>
      <c r="L42" s="83"/>
      <c r="M42" s="107">
        <f t="shared" si="14"/>
        <v>0.968931451038059</v>
      </c>
      <c r="O42" s="35">
        <f t="shared" si="15"/>
        <v>245</v>
      </c>
      <c r="Q42" s="25">
        <f t="shared" ref="Q42:Q54" si="20">A42</f>
        <v>2020</v>
      </c>
      <c r="R42" s="20">
        <f t="shared" si="16"/>
        <v>253</v>
      </c>
      <c r="S42" s="53">
        <f t="shared" ref="S42:U42" si="21">R41</f>
        <v>240</v>
      </c>
      <c r="T42" s="53">
        <f t="shared" si="21"/>
        <v>256</v>
      </c>
      <c r="U42" s="67">
        <f t="shared" si="21"/>
        <v>220</v>
      </c>
      <c r="V42" s="43">
        <f t="shared" ref="V42:V54" si="22">ROUNDUP((U41-(U41*$V$20)),0)</f>
        <v>194</v>
      </c>
      <c r="W42" s="41">
        <f t="shared" ref="W42:W54" si="23">ROUNDUP((V41-(V41*$W$20)),0)</f>
        <v>183</v>
      </c>
      <c r="X42" s="101">
        <f t="shared" si="17"/>
        <v>1346</v>
      </c>
    </row>
    <row r="43" spans="1:27" x14ac:dyDescent="0.25">
      <c r="A43" s="25">
        <f t="shared" si="18"/>
        <v>2021</v>
      </c>
      <c r="B43" s="37">
        <f>B26+VLOOKUP($A$1,'Pri Housing Generation'!$A$96:$DQ$118, 26, FALSE)</f>
        <v>225</v>
      </c>
      <c r="C43" s="34">
        <f>C26+VLOOKUP($A$1,'Pri Housing Generation'!$A$96:$DQ$118, 27, FALSE)</f>
        <v>278</v>
      </c>
      <c r="D43" s="34">
        <f>D26+VLOOKUP($A$1,'Pri Housing Generation'!$A$96:$DQ$118, 28, FALSE)</f>
        <v>243</v>
      </c>
      <c r="E43" s="34">
        <f>E26+VLOOKUP($A$1,'Pri Housing Generation'!$A$96:$DQ$118, 29, FALSE)</f>
        <v>255</v>
      </c>
      <c r="F43" s="42">
        <f>F26+VLOOKUP($A$1,'Pri Housing Generation'!$A$96:$DQ$118, 30, FALSE)</f>
        <v>233</v>
      </c>
      <c r="G43" s="43">
        <f>G26+VLOOKUP($A$1,'Pri Housing Generation'!$A$96:$DQ$118, 31, FALSE)</f>
        <v>252</v>
      </c>
      <c r="H43" s="41">
        <f>H26+VLOOKUP($A$1,'Pri Housing Generation'!$A$96:$DQ$118, 32, FALSE)</f>
        <v>273</v>
      </c>
      <c r="I43" s="99">
        <f t="shared" si="19"/>
        <v>269</v>
      </c>
      <c r="K43" s="35">
        <f>'Sec Housing Generation'!W4</f>
        <v>2</v>
      </c>
      <c r="L43" s="83"/>
      <c r="M43" s="107">
        <f t="shared" si="14"/>
        <v>0.968931451038059</v>
      </c>
      <c r="O43" s="35">
        <f t="shared" si="15"/>
        <v>263</v>
      </c>
      <c r="Q43" s="25">
        <f t="shared" si="20"/>
        <v>2021</v>
      </c>
      <c r="R43" s="20">
        <f t="shared" si="16"/>
        <v>271</v>
      </c>
      <c r="S43" s="53">
        <f t="shared" ref="S43:U54" si="24">R42</f>
        <v>253</v>
      </c>
      <c r="T43" s="53">
        <f t="shared" si="24"/>
        <v>240</v>
      </c>
      <c r="U43" s="53">
        <f t="shared" si="24"/>
        <v>256</v>
      </c>
      <c r="V43" s="42">
        <f t="shared" si="22"/>
        <v>214</v>
      </c>
      <c r="W43" s="43">
        <f t="shared" si="23"/>
        <v>171</v>
      </c>
      <c r="X43" s="101">
        <f t="shared" si="17"/>
        <v>1405</v>
      </c>
    </row>
    <row r="44" spans="1:27" x14ac:dyDescent="0.25">
      <c r="A44" s="25">
        <f t="shared" si="18"/>
        <v>2022</v>
      </c>
      <c r="B44" s="37">
        <f>B27+VLOOKUP($A$1,'Pri Housing Generation'!$A$96:$DQ$118, 34, FALSE)</f>
        <v>225</v>
      </c>
      <c r="C44" s="34">
        <f>C27+VLOOKUP($A$1,'Pri Housing Generation'!$A$96:$DQ$118, 35, FALSE)</f>
        <v>230</v>
      </c>
      <c r="D44" s="34">
        <f>D27+VLOOKUP($A$1,'Pri Housing Generation'!$A$96:$DQ$118, 36, FALSE)</f>
        <v>284</v>
      </c>
      <c r="E44" s="34">
        <f>E27+VLOOKUP($A$1,'Pri Housing Generation'!$A$96:$DQ$118, 37, FALSE)</f>
        <v>254</v>
      </c>
      <c r="F44" s="34">
        <f>F27+VLOOKUP($A$1,'Pri Housing Generation'!$A$96:$DQ$118, 38, FALSE)</f>
        <v>261</v>
      </c>
      <c r="G44" s="42">
        <f>G27+VLOOKUP($A$1,'Pri Housing Generation'!$A$96:$DQ$118, 39, FALSE)</f>
        <v>236</v>
      </c>
      <c r="H44" s="43">
        <f>H27+VLOOKUP($A$1,'Pri Housing Generation'!$A$96:$DQ$118, 40, FALSE)</f>
        <v>258</v>
      </c>
      <c r="I44" s="99">
        <f t="shared" si="19"/>
        <v>291</v>
      </c>
      <c r="K44" s="35">
        <f>'Sec Housing Generation'!AD4</f>
        <v>2</v>
      </c>
      <c r="L44" s="83"/>
      <c r="M44" s="107">
        <f t="shared" si="14"/>
        <v>0.968931451038059</v>
      </c>
      <c r="O44" s="35">
        <f t="shared" si="15"/>
        <v>284</v>
      </c>
      <c r="Q44" s="25">
        <f t="shared" si="20"/>
        <v>2022</v>
      </c>
      <c r="R44" s="20">
        <f t="shared" si="16"/>
        <v>292</v>
      </c>
      <c r="S44" s="53">
        <f t="shared" si="24"/>
        <v>271</v>
      </c>
      <c r="T44" s="53">
        <f t="shared" si="24"/>
        <v>253</v>
      </c>
      <c r="U44" s="53">
        <f t="shared" si="24"/>
        <v>240</v>
      </c>
      <c r="V44" s="34">
        <f t="shared" si="22"/>
        <v>249</v>
      </c>
      <c r="W44" s="42">
        <f t="shared" si="23"/>
        <v>188</v>
      </c>
      <c r="X44" s="101">
        <f t="shared" si="17"/>
        <v>1493</v>
      </c>
    </row>
    <row r="45" spans="1:27" x14ac:dyDescent="0.25">
      <c r="A45" s="25">
        <f t="shared" si="18"/>
        <v>2023</v>
      </c>
      <c r="B45" s="37">
        <f>B28+VLOOKUP($A$1,'Pri Housing Generation'!$A$96:$DQ$118, 42, FALSE)</f>
        <v>226</v>
      </c>
      <c r="C45" s="34">
        <f>C28+VLOOKUP($A$1,'Pri Housing Generation'!$A$96:$DQ$118, 43, FALSE)</f>
        <v>230</v>
      </c>
      <c r="D45" s="34">
        <f>D28+VLOOKUP($A$1,'Pri Housing Generation'!$A$96:$DQ$118, 44, FALSE)</f>
        <v>235</v>
      </c>
      <c r="E45" s="34">
        <f>E28+VLOOKUP($A$1,'Pri Housing Generation'!$A$96:$DQ$118, 45, FALSE)</f>
        <v>295</v>
      </c>
      <c r="F45" s="34">
        <f>F28+VLOOKUP($A$1,'Pri Housing Generation'!$A$96:$DQ$118, 46, FALSE)</f>
        <v>259</v>
      </c>
      <c r="G45" s="34">
        <f>G28+VLOOKUP($A$1,'Pri Housing Generation'!$A$96:$DQ$118, 47, FALSE)</f>
        <v>264</v>
      </c>
      <c r="H45" s="42">
        <f>H28+VLOOKUP($A$1,'Pri Housing Generation'!$A$96:$DQ$118, 48, FALSE)</f>
        <v>242</v>
      </c>
      <c r="I45" s="99">
        <f t="shared" si="19"/>
        <v>275</v>
      </c>
      <c r="J45" s="181"/>
      <c r="K45" s="35">
        <f>'Sec Housing Generation'!AK4</f>
        <v>2</v>
      </c>
      <c r="L45" s="83"/>
      <c r="M45" s="107">
        <f t="shared" si="14"/>
        <v>0.968931451038059</v>
      </c>
      <c r="O45" s="35">
        <f t="shared" si="15"/>
        <v>269</v>
      </c>
      <c r="Q45" s="25">
        <f t="shared" si="20"/>
        <v>2023</v>
      </c>
      <c r="R45" s="20">
        <f t="shared" si="16"/>
        <v>277</v>
      </c>
      <c r="S45" s="53">
        <f t="shared" si="24"/>
        <v>292</v>
      </c>
      <c r="T45" s="53">
        <f t="shared" si="24"/>
        <v>271</v>
      </c>
      <c r="U45" s="53">
        <f t="shared" si="24"/>
        <v>253</v>
      </c>
      <c r="V45" s="34">
        <f t="shared" si="22"/>
        <v>233</v>
      </c>
      <c r="W45" s="34">
        <f t="shared" si="23"/>
        <v>219</v>
      </c>
      <c r="X45" s="101">
        <f t="shared" si="17"/>
        <v>1545</v>
      </c>
    </row>
    <row r="46" spans="1:27" x14ac:dyDescent="0.25">
      <c r="A46" s="25">
        <f t="shared" si="18"/>
        <v>2024</v>
      </c>
      <c r="B46" s="37">
        <f>B29+VLOOKUP($A$1,'Pri Housing Generation'!$A$96:$DQ$118, 50, FALSE)</f>
        <v>231</v>
      </c>
      <c r="C46" s="34">
        <f>C29+VLOOKUP($A$1,'Pri Housing Generation'!$A$96:$DQ$118, 51, FALSE)</f>
        <v>232</v>
      </c>
      <c r="D46" s="34">
        <f>D29+VLOOKUP($A$1,'Pri Housing Generation'!$A$96:$DQ$118, 52, FALSE)</f>
        <v>236</v>
      </c>
      <c r="E46" s="34">
        <f>E29+VLOOKUP($A$1,'Pri Housing Generation'!$A$96:$DQ$118, 53, FALSE)</f>
        <v>246</v>
      </c>
      <c r="F46" s="34">
        <f>F29+VLOOKUP($A$1,'Pri Housing Generation'!$A$96:$DQ$118, 54, FALSE)</f>
        <v>301</v>
      </c>
      <c r="G46" s="34">
        <f>G29+VLOOKUP($A$1,'Pri Housing Generation'!$A$96:$DQ$118, 55, FALSE)</f>
        <v>263</v>
      </c>
      <c r="H46" s="34">
        <f>H29+VLOOKUP($A$1,'Pri Housing Generation'!$A$96:$DQ$118, 56, FALSE)</f>
        <v>271</v>
      </c>
      <c r="I46" s="99">
        <f t="shared" si="19"/>
        <v>258</v>
      </c>
      <c r="J46" s="181"/>
      <c r="K46" s="35">
        <f>'Sec Housing Generation'!AR4</f>
        <v>2</v>
      </c>
      <c r="L46" s="83"/>
      <c r="M46" s="107">
        <f t="shared" si="14"/>
        <v>0.968931451038059</v>
      </c>
      <c r="O46" s="35">
        <f t="shared" si="15"/>
        <v>252</v>
      </c>
      <c r="Q46" s="25">
        <f t="shared" si="20"/>
        <v>2024</v>
      </c>
      <c r="R46" s="20">
        <f t="shared" si="16"/>
        <v>260</v>
      </c>
      <c r="S46" s="53">
        <f t="shared" si="24"/>
        <v>277</v>
      </c>
      <c r="T46" s="53">
        <f t="shared" si="24"/>
        <v>292</v>
      </c>
      <c r="U46" s="53">
        <f t="shared" si="24"/>
        <v>271</v>
      </c>
      <c r="V46" s="34">
        <f t="shared" si="22"/>
        <v>246</v>
      </c>
      <c r="W46" s="34">
        <f t="shared" si="23"/>
        <v>205</v>
      </c>
      <c r="X46" s="101">
        <f t="shared" si="17"/>
        <v>1551</v>
      </c>
    </row>
    <row r="47" spans="1:27" x14ac:dyDescent="0.25">
      <c r="A47" s="25">
        <f t="shared" si="18"/>
        <v>2025</v>
      </c>
      <c r="B47" s="37">
        <f>B30+VLOOKUP($A$1,'Pri Housing Generation'!$A$96:$DQ$118, 58, FALSE)</f>
        <v>234</v>
      </c>
      <c r="C47" s="34">
        <f>C30+VLOOKUP($A$1,'Pri Housing Generation'!$A$96:$DQ$118, 59, FALSE)</f>
        <v>236</v>
      </c>
      <c r="D47" s="34">
        <f>D30+VLOOKUP($A$1,'Pri Housing Generation'!$A$96:$DQ$118, 60, FALSE)</f>
        <v>237</v>
      </c>
      <c r="E47" s="34">
        <f>E30+VLOOKUP($A$1,'Pri Housing Generation'!$A$96:$DQ$118, 61, FALSE)</f>
        <v>246</v>
      </c>
      <c r="F47" s="34">
        <f>F30+VLOOKUP($A$1,'Pri Housing Generation'!$A$96:$DQ$118, 62, FALSE)</f>
        <v>250</v>
      </c>
      <c r="G47" s="34">
        <f>G30+VLOOKUP($A$1,'Pri Housing Generation'!$A$96:$DQ$118, 63, FALSE)</f>
        <v>305</v>
      </c>
      <c r="H47" s="34">
        <f>H30+VLOOKUP($A$1,'Pri Housing Generation'!$A$96:$DQ$118, 64, FALSE)</f>
        <v>269</v>
      </c>
      <c r="I47" s="99">
        <f t="shared" si="19"/>
        <v>289</v>
      </c>
      <c r="J47" s="181"/>
      <c r="K47" s="83"/>
      <c r="L47" s="83"/>
      <c r="M47" s="107">
        <f t="shared" si="14"/>
        <v>0.968931451038059</v>
      </c>
      <c r="O47" s="35">
        <f t="shared" si="15"/>
        <v>281</v>
      </c>
      <c r="Q47" s="25">
        <f t="shared" si="20"/>
        <v>2025</v>
      </c>
      <c r="R47" s="20">
        <f t="shared" si="16"/>
        <v>289</v>
      </c>
      <c r="S47" s="53">
        <f t="shared" si="24"/>
        <v>260</v>
      </c>
      <c r="T47" s="53">
        <f t="shared" si="24"/>
        <v>277</v>
      </c>
      <c r="U47" s="53">
        <f t="shared" si="24"/>
        <v>292</v>
      </c>
      <c r="V47" s="34">
        <f t="shared" si="22"/>
        <v>263</v>
      </c>
      <c r="W47" s="34">
        <f t="shared" si="23"/>
        <v>217</v>
      </c>
      <c r="X47" s="101">
        <f t="shared" si="17"/>
        <v>1598</v>
      </c>
    </row>
    <row r="48" spans="1:27" x14ac:dyDescent="0.25">
      <c r="A48" s="25">
        <f t="shared" si="18"/>
        <v>2026</v>
      </c>
      <c r="B48" s="37">
        <f>B31+VLOOKUP($A$1,'Pri Housing Generation'!$A$96:$DQ$118, 66, FALSE)</f>
        <v>235</v>
      </c>
      <c r="C48" s="34">
        <f>C31+VLOOKUP($A$1,'Pri Housing Generation'!$A$96:$DQ$118, 67, FALSE)</f>
        <v>239</v>
      </c>
      <c r="D48" s="34">
        <f>D31+VLOOKUP($A$1,'Pri Housing Generation'!$A$96:$DQ$118, 68, FALSE)</f>
        <v>241</v>
      </c>
      <c r="E48" s="34">
        <f>E31+VLOOKUP($A$1,'Pri Housing Generation'!$A$96:$DQ$118, 69, FALSE)</f>
        <v>247</v>
      </c>
      <c r="F48" s="34">
        <f>F31+VLOOKUP($A$1,'Pri Housing Generation'!$A$96:$DQ$118, 70, FALSE)</f>
        <v>250</v>
      </c>
      <c r="G48" s="34">
        <f>G31+VLOOKUP($A$1,'Pri Housing Generation'!$A$96:$DQ$118, 71, FALSE)</f>
        <v>253</v>
      </c>
      <c r="H48" s="34">
        <f>H31+VLOOKUP($A$1,'Pri Housing Generation'!$A$96:$DQ$118, 72, FALSE)</f>
        <v>312</v>
      </c>
      <c r="I48" s="99">
        <f t="shared" si="19"/>
        <v>287</v>
      </c>
      <c r="J48" s="181"/>
      <c r="K48" s="83"/>
      <c r="L48" s="83"/>
      <c r="M48" s="107">
        <f t="shared" si="14"/>
        <v>0.968931451038059</v>
      </c>
      <c r="O48" s="35">
        <f t="shared" si="15"/>
        <v>279</v>
      </c>
      <c r="Q48" s="25">
        <f t="shared" si="20"/>
        <v>2026</v>
      </c>
      <c r="R48" s="20">
        <f t="shared" si="16"/>
        <v>280</v>
      </c>
      <c r="S48" s="53">
        <f t="shared" si="24"/>
        <v>289</v>
      </c>
      <c r="T48" s="53">
        <f t="shared" si="24"/>
        <v>260</v>
      </c>
      <c r="U48" s="53">
        <f t="shared" si="24"/>
        <v>277</v>
      </c>
      <c r="V48" s="34">
        <f t="shared" si="22"/>
        <v>284</v>
      </c>
      <c r="W48" s="34">
        <f t="shared" si="23"/>
        <v>231</v>
      </c>
      <c r="X48" s="101">
        <f t="shared" si="17"/>
        <v>1621</v>
      </c>
    </row>
    <row r="49" spans="1:27" x14ac:dyDescent="0.25">
      <c r="A49" s="25">
        <f t="shared" si="18"/>
        <v>2027</v>
      </c>
      <c r="B49" s="37">
        <f>B32+VLOOKUP($A$1,'Pri Housing Generation'!$A$96:$DQ$118, 74, FALSE)</f>
        <v>238</v>
      </c>
      <c r="C49" s="34">
        <f>C32+VLOOKUP($A$1,'Pri Housing Generation'!$A$96:$DQ$118, 75, FALSE)</f>
        <v>240</v>
      </c>
      <c r="D49" s="34">
        <f>D32+VLOOKUP($A$1,'Pri Housing Generation'!$A$96:$DQ$118, 76, FALSE)</f>
        <v>244</v>
      </c>
      <c r="E49" s="34">
        <f>E32+VLOOKUP($A$1,'Pri Housing Generation'!$A$96:$DQ$118, 77, FALSE)</f>
        <v>251</v>
      </c>
      <c r="F49" s="34">
        <f>F32+VLOOKUP($A$1,'Pri Housing Generation'!$A$96:$DQ$118, 78, FALSE)</f>
        <v>251</v>
      </c>
      <c r="G49" s="34">
        <f>G32+VLOOKUP($A$1,'Pri Housing Generation'!$A$96:$DQ$118, 79, FALSE)</f>
        <v>253</v>
      </c>
      <c r="H49" s="34">
        <f>H32+VLOOKUP($A$1,'Pri Housing Generation'!$A$96:$DQ$118, 80, FALSE)</f>
        <v>259</v>
      </c>
      <c r="I49" s="99">
        <f t="shared" si="19"/>
        <v>333</v>
      </c>
      <c r="J49" s="181"/>
      <c r="K49" s="83"/>
      <c r="L49" s="83"/>
      <c r="M49" s="107">
        <f t="shared" si="14"/>
        <v>0.968931451038059</v>
      </c>
      <c r="O49" s="35">
        <f t="shared" si="15"/>
        <v>323</v>
      </c>
      <c r="Q49" s="25">
        <f t="shared" si="20"/>
        <v>2027</v>
      </c>
      <c r="R49" s="20">
        <f t="shared" si="16"/>
        <v>331</v>
      </c>
      <c r="S49" s="53">
        <f t="shared" si="24"/>
        <v>280</v>
      </c>
      <c r="T49" s="53">
        <f t="shared" si="24"/>
        <v>289</v>
      </c>
      <c r="U49" s="53">
        <f t="shared" si="24"/>
        <v>260</v>
      </c>
      <c r="V49" s="34">
        <f t="shared" si="22"/>
        <v>269</v>
      </c>
      <c r="W49" s="34">
        <f t="shared" si="23"/>
        <v>250</v>
      </c>
      <c r="X49" s="101">
        <f t="shared" si="17"/>
        <v>1679</v>
      </c>
    </row>
    <row r="50" spans="1:27" x14ac:dyDescent="0.25">
      <c r="A50" s="25">
        <f t="shared" si="18"/>
        <v>2028</v>
      </c>
      <c r="B50" s="37">
        <f>B33+VLOOKUP($A$1,'Pri Housing Generation'!$A$96:$DQ$118, 82, FALSE)</f>
        <v>239</v>
      </c>
      <c r="C50" s="34">
        <f>C33+VLOOKUP($A$1,'Pri Housing Generation'!$A$96:$DQ$118, 83, FALSE)</f>
        <v>243</v>
      </c>
      <c r="D50" s="34">
        <f>D33+VLOOKUP($A$1,'Pri Housing Generation'!$A$96:$DQ$118, 84, FALSE)</f>
        <v>245</v>
      </c>
      <c r="E50" s="34">
        <f>E33+VLOOKUP($A$1,'Pri Housing Generation'!$A$96:$DQ$118, 85, FALSE)</f>
        <v>254</v>
      </c>
      <c r="F50" s="34">
        <f>F33+VLOOKUP($A$1,'Pri Housing Generation'!$A$96:$DQ$118, 86, FALSE)</f>
        <v>256</v>
      </c>
      <c r="G50" s="34">
        <f>G33+VLOOKUP($A$1,'Pri Housing Generation'!$A$96:$DQ$118, 87, FALSE)</f>
        <v>254</v>
      </c>
      <c r="H50" s="34">
        <f>H33+VLOOKUP($A$1,'Pri Housing Generation'!$A$96:$DQ$118, 88, FALSE)</f>
        <v>259</v>
      </c>
      <c r="I50" s="99">
        <f t="shared" si="19"/>
        <v>276</v>
      </c>
      <c r="J50" s="181"/>
      <c r="K50" s="83"/>
      <c r="L50" s="83"/>
      <c r="M50" s="107">
        <f t="shared" si="14"/>
        <v>0.968931451038059</v>
      </c>
      <c r="O50" s="35">
        <f t="shared" si="15"/>
        <v>268</v>
      </c>
      <c r="Q50" s="25">
        <f t="shared" si="20"/>
        <v>2028</v>
      </c>
      <c r="R50" s="20">
        <f t="shared" si="16"/>
        <v>276</v>
      </c>
      <c r="S50" s="53">
        <f t="shared" si="24"/>
        <v>331</v>
      </c>
      <c r="T50" s="53">
        <f t="shared" si="24"/>
        <v>280</v>
      </c>
      <c r="U50" s="53">
        <f t="shared" si="24"/>
        <v>289</v>
      </c>
      <c r="V50" s="34">
        <f t="shared" si="22"/>
        <v>253</v>
      </c>
      <c r="W50" s="34">
        <f t="shared" si="23"/>
        <v>237</v>
      </c>
      <c r="X50" s="101">
        <f t="shared" si="17"/>
        <v>1666</v>
      </c>
    </row>
    <row r="51" spans="1:27" x14ac:dyDescent="0.25">
      <c r="A51" s="25">
        <f t="shared" si="18"/>
        <v>2029</v>
      </c>
      <c r="B51" s="37">
        <f>B34+VLOOKUP($A$1,'Pri Housing Generation'!$A$96:$DQ$118, 90, FALSE)</f>
        <v>239</v>
      </c>
      <c r="C51" s="34">
        <f>C34+VLOOKUP($A$1,'Pri Housing Generation'!$A$96:$DQ$118, 91, FALSE)</f>
        <v>244</v>
      </c>
      <c r="D51" s="34">
        <f>D34+VLOOKUP($A$1,'Pri Housing Generation'!$A$96:$DQ$118, 92, FALSE)</f>
        <v>248</v>
      </c>
      <c r="E51" s="34">
        <f>E34+VLOOKUP($A$1,'Pri Housing Generation'!$A$96:$DQ$118, 93, FALSE)</f>
        <v>255</v>
      </c>
      <c r="F51" s="34">
        <f>F34+VLOOKUP($A$1,'Pri Housing Generation'!$A$96:$DQ$118, 94, FALSE)</f>
        <v>259</v>
      </c>
      <c r="G51" s="34">
        <f>G34+VLOOKUP($A$1,'Pri Housing Generation'!$A$96:$DQ$118, 95, FALSE)</f>
        <v>259</v>
      </c>
      <c r="H51" s="34">
        <f>H34+VLOOKUP($A$1,'Pri Housing Generation'!$A$96:$DQ$118, 96, FALSE)</f>
        <v>260</v>
      </c>
      <c r="I51" s="99">
        <f t="shared" si="19"/>
        <v>276</v>
      </c>
      <c r="J51" s="181"/>
      <c r="K51" s="83"/>
      <c r="L51" s="83"/>
      <c r="M51" s="107">
        <f t="shared" si="14"/>
        <v>0.968931451038059</v>
      </c>
      <c r="O51" s="35">
        <f t="shared" si="15"/>
        <v>268</v>
      </c>
      <c r="Q51" s="25">
        <f t="shared" si="20"/>
        <v>2029</v>
      </c>
      <c r="R51" s="20">
        <f t="shared" si="16"/>
        <v>276</v>
      </c>
      <c r="S51" s="53">
        <f t="shared" si="24"/>
        <v>276</v>
      </c>
      <c r="T51" s="53">
        <f t="shared" si="24"/>
        <v>331</v>
      </c>
      <c r="U51" s="53">
        <f t="shared" si="24"/>
        <v>280</v>
      </c>
      <c r="V51" s="34">
        <f t="shared" si="22"/>
        <v>281</v>
      </c>
      <c r="W51" s="34">
        <f t="shared" si="23"/>
        <v>223</v>
      </c>
      <c r="X51" s="101">
        <f t="shared" si="17"/>
        <v>1667</v>
      </c>
    </row>
    <row r="52" spans="1:27" x14ac:dyDescent="0.25">
      <c r="A52" s="25">
        <f t="shared" si="18"/>
        <v>2030</v>
      </c>
      <c r="B52" s="37">
        <f>B35+VLOOKUP($A$1,'Pri Housing Generation'!$A$96:$DQ$118, 98, FALSE)</f>
        <v>240</v>
      </c>
      <c r="C52" s="34">
        <f>C35+VLOOKUP($A$1,'Pri Housing Generation'!$A$96:$DQ$118, 99, FALSE)</f>
        <v>244</v>
      </c>
      <c r="D52" s="34">
        <f>D35+VLOOKUP($A$1,'Pri Housing Generation'!$A$96:$DQ$118, 100, FALSE)</f>
        <v>249</v>
      </c>
      <c r="E52" s="34">
        <f>E35+VLOOKUP($A$1,'Pri Housing Generation'!$A$96:$DQ$118, 101, FALSE)</f>
        <v>258</v>
      </c>
      <c r="F52" s="34">
        <f>F35+VLOOKUP($A$1,'Pri Housing Generation'!$A$96:$DQ$118, 102, FALSE)</f>
        <v>260</v>
      </c>
      <c r="G52" s="34">
        <f>G35+VLOOKUP($A$1,'Pri Housing Generation'!$A$96:$DQ$118, 103, FALSE)</f>
        <v>262</v>
      </c>
      <c r="H52" s="34">
        <f>H35+VLOOKUP($A$1,'Pri Housing Generation'!$A$96:$DQ$118, 104, FALSE)</f>
        <v>265</v>
      </c>
      <c r="I52" s="99">
        <f t="shared" si="19"/>
        <v>277</v>
      </c>
      <c r="J52" s="54"/>
      <c r="K52" s="83"/>
      <c r="L52" s="83"/>
      <c r="M52" s="107">
        <f t="shared" si="14"/>
        <v>0.968931451038059</v>
      </c>
      <c r="O52" s="35">
        <f t="shared" si="15"/>
        <v>269</v>
      </c>
      <c r="Q52" s="25">
        <f t="shared" si="20"/>
        <v>2030</v>
      </c>
      <c r="R52" s="20">
        <f t="shared" si="16"/>
        <v>277</v>
      </c>
      <c r="S52" s="53">
        <f t="shared" si="24"/>
        <v>276</v>
      </c>
      <c r="T52" s="53">
        <f t="shared" si="24"/>
        <v>276</v>
      </c>
      <c r="U52" s="53">
        <f t="shared" si="24"/>
        <v>331</v>
      </c>
      <c r="V52" s="34">
        <f t="shared" si="22"/>
        <v>272</v>
      </c>
      <c r="W52" s="34">
        <f t="shared" si="23"/>
        <v>247</v>
      </c>
      <c r="X52" s="101">
        <f t="shared" si="17"/>
        <v>1679</v>
      </c>
    </row>
    <row r="53" spans="1:27" x14ac:dyDescent="0.25">
      <c r="A53" s="25">
        <f t="shared" si="18"/>
        <v>2031</v>
      </c>
      <c r="B53" s="37">
        <f>B36+VLOOKUP($A$1,'Pri Housing Generation'!$A$96:$DQ$118, 106, FALSE)</f>
        <v>240</v>
      </c>
      <c r="C53" s="34">
        <f>C36+VLOOKUP($A$1,'Pri Housing Generation'!$A$96:$DQ$118, 107, FALSE)</f>
        <v>245</v>
      </c>
      <c r="D53" s="34">
        <f>D36+VLOOKUP($A$1,'Pri Housing Generation'!$A$96:$DQ$118, 108, FALSE)</f>
        <v>249</v>
      </c>
      <c r="E53" s="34">
        <f>E36+VLOOKUP($A$1,'Pri Housing Generation'!$A$96:$DQ$118, 109, FALSE)</f>
        <v>259</v>
      </c>
      <c r="F53" s="34">
        <f>F36+VLOOKUP($A$1,'Pri Housing Generation'!$A$96:$DQ$118, 110, FALSE)</f>
        <v>263</v>
      </c>
      <c r="G53" s="34">
        <f>G36+VLOOKUP($A$1,'Pri Housing Generation'!$A$96:$DQ$118, 111, FALSE)</f>
        <v>263</v>
      </c>
      <c r="H53" s="34">
        <f>H36+VLOOKUP($A$1,'Pri Housing Generation'!$A$96:$DQ$118, 112, FALSE)</f>
        <v>268</v>
      </c>
      <c r="I53" s="99">
        <f t="shared" si="19"/>
        <v>283</v>
      </c>
      <c r="J53" s="54"/>
      <c r="K53" s="83"/>
      <c r="L53" s="83"/>
      <c r="M53" s="107">
        <f t="shared" si="14"/>
        <v>0.968931451038059</v>
      </c>
      <c r="O53" s="35">
        <f t="shared" si="15"/>
        <v>275</v>
      </c>
      <c r="Q53" s="25">
        <f t="shared" si="20"/>
        <v>2031</v>
      </c>
      <c r="R53" s="20">
        <f t="shared" si="16"/>
        <v>280</v>
      </c>
      <c r="S53" s="53">
        <f t="shared" si="24"/>
        <v>277</v>
      </c>
      <c r="T53" s="53">
        <f t="shared" si="24"/>
        <v>276</v>
      </c>
      <c r="U53" s="53">
        <f t="shared" si="24"/>
        <v>276</v>
      </c>
      <c r="V53" s="34">
        <f t="shared" si="22"/>
        <v>322</v>
      </c>
      <c r="W53" s="34">
        <f t="shared" si="23"/>
        <v>239</v>
      </c>
      <c r="X53" s="101">
        <f t="shared" si="17"/>
        <v>1670</v>
      </c>
    </row>
    <row r="54" spans="1:27" x14ac:dyDescent="0.25">
      <c r="A54" s="25">
        <f t="shared" si="18"/>
        <v>2032</v>
      </c>
      <c r="B54" s="37">
        <f>B37+VLOOKUP($A$1,'Pri Housing Generation'!$A$96:$DQ$118, 114, FALSE)</f>
        <v>240</v>
      </c>
      <c r="C54" s="34">
        <f>C37+VLOOKUP($A$1,'Pri Housing Generation'!$A$96:$DQ$118, 115, FALSE)</f>
        <v>245</v>
      </c>
      <c r="D54" s="34">
        <f>D37+VLOOKUP($A$1,'Pri Housing Generation'!$A$96:$DQ$118, 116, FALSE)</f>
        <v>250</v>
      </c>
      <c r="E54" s="34">
        <f>E37+VLOOKUP($A$1,'Pri Housing Generation'!$A$96:$DQ$118, 117, FALSE)</f>
        <v>259</v>
      </c>
      <c r="F54" s="34">
        <f>F37+VLOOKUP($A$1,'Pri Housing Generation'!$A$96:$DQ$118, 118, FALSE)</f>
        <v>264</v>
      </c>
      <c r="G54" s="34">
        <f>G37+VLOOKUP($A$1,'Pri Housing Generation'!$A$96:$DQ$118, 119, FALSE)</f>
        <v>266</v>
      </c>
      <c r="H54" s="34">
        <f>H37+VLOOKUP($A$1,'Pri Housing Generation'!$A$96:$DQ$118, 120, FALSE)</f>
        <v>269</v>
      </c>
      <c r="I54" s="99">
        <f t="shared" si="19"/>
        <v>286</v>
      </c>
      <c r="K54" s="83"/>
      <c r="L54" s="83"/>
      <c r="M54" s="107">
        <f t="shared" si="14"/>
        <v>0.968931451038059</v>
      </c>
      <c r="O54" s="35">
        <f t="shared" si="15"/>
        <v>278</v>
      </c>
      <c r="Q54" s="25">
        <f t="shared" si="20"/>
        <v>2032</v>
      </c>
      <c r="R54" s="20">
        <f t="shared" si="16"/>
        <v>280</v>
      </c>
      <c r="S54" s="53">
        <f t="shared" si="24"/>
        <v>280</v>
      </c>
      <c r="T54" s="53">
        <f t="shared" si="24"/>
        <v>277</v>
      </c>
      <c r="U54" s="53">
        <f t="shared" si="24"/>
        <v>276</v>
      </c>
      <c r="V54" s="34">
        <f t="shared" si="22"/>
        <v>268</v>
      </c>
      <c r="W54" s="34">
        <f t="shared" si="23"/>
        <v>283</v>
      </c>
      <c r="X54" s="101">
        <f t="shared" si="17"/>
        <v>1664</v>
      </c>
    </row>
    <row r="55" spans="1:27" x14ac:dyDescent="0.25">
      <c r="Z55" s="109"/>
      <c r="AA55" s="109"/>
    </row>
    <row r="56" spans="1:27" ht="15.75" x14ac:dyDescent="0.25">
      <c r="A56" s="129" t="s">
        <v>223</v>
      </c>
      <c r="F56" s="131"/>
      <c r="G56" s="131"/>
      <c r="H56" s="181"/>
      <c r="I56" s="131"/>
      <c r="J56" s="131"/>
      <c r="Z56" s="109"/>
      <c r="AA56" s="109"/>
    </row>
    <row r="57" spans="1:27" x14ac:dyDescent="0.25">
      <c r="F57" s="131"/>
      <c r="G57" s="131"/>
      <c r="H57" s="181"/>
      <c r="I57" s="131"/>
      <c r="J57" s="131"/>
      <c r="Z57" s="109"/>
      <c r="AA57" s="109"/>
    </row>
    <row r="58" spans="1:27" x14ac:dyDescent="0.25">
      <c r="A58" s="21" t="s">
        <v>224</v>
      </c>
      <c r="F58" s="132"/>
      <c r="G58" s="131"/>
      <c r="H58" s="181"/>
      <c r="I58" s="131"/>
      <c r="J58" s="131"/>
      <c r="Z58" s="109"/>
      <c r="AA58" s="109"/>
    </row>
    <row r="59" spans="1:27" x14ac:dyDescent="0.25">
      <c r="A59" s="21"/>
      <c r="F59" s="132"/>
      <c r="G59" s="131"/>
      <c r="H59" s="181"/>
      <c r="I59" s="131"/>
      <c r="J59" s="131"/>
      <c r="Z59" s="109"/>
      <c r="AA59" s="109"/>
    </row>
    <row r="60" spans="1:27" ht="33" customHeight="1" x14ac:dyDescent="0.25">
      <c r="A60" s="136"/>
      <c r="B60" s="137" t="s">
        <v>225</v>
      </c>
      <c r="C60" s="413" t="s">
        <v>226</v>
      </c>
      <c r="D60" s="414"/>
      <c r="F60" s="132"/>
      <c r="G60" s="130"/>
      <c r="H60" s="181"/>
      <c r="I60" s="130"/>
      <c r="J60" s="130"/>
      <c r="Z60" s="109"/>
      <c r="AA60" s="109"/>
    </row>
    <row r="61" spans="1:27" x14ac:dyDescent="0.25">
      <c r="A61" s="25">
        <v>2011</v>
      </c>
      <c r="B61" s="128">
        <v>17</v>
      </c>
      <c r="C61" s="415">
        <f t="shared" ref="C61:C66" si="25">1-(I13/(I13+B61))</f>
        <v>8.9005235602094279E-2</v>
      </c>
      <c r="D61" s="388"/>
      <c r="F61" s="133"/>
      <c r="G61" s="54"/>
      <c r="H61" s="181"/>
      <c r="I61" s="54"/>
      <c r="J61" s="54"/>
      <c r="Z61" s="109"/>
      <c r="AA61" s="109"/>
    </row>
    <row r="62" spans="1:27" x14ac:dyDescent="0.25">
      <c r="A62" s="25">
        <v>2012</v>
      </c>
      <c r="B62" s="128">
        <v>15</v>
      </c>
      <c r="C62" s="415">
        <f t="shared" si="25"/>
        <v>8.2872928176795591E-2</v>
      </c>
      <c r="D62" s="388"/>
      <c r="F62" s="133"/>
      <c r="G62" s="54"/>
      <c r="H62" s="181"/>
      <c r="I62" s="54"/>
      <c r="J62" s="54"/>
      <c r="Z62" s="109"/>
      <c r="AA62" s="109"/>
    </row>
    <row r="63" spans="1:27" x14ac:dyDescent="0.25">
      <c r="A63" s="25">
        <v>2013</v>
      </c>
      <c r="B63" s="128">
        <v>12</v>
      </c>
      <c r="C63" s="415">
        <f t="shared" si="25"/>
        <v>5.4794520547945202E-2</v>
      </c>
      <c r="D63" s="388"/>
      <c r="F63" s="133"/>
      <c r="G63" s="54"/>
      <c r="H63" s="181"/>
      <c r="I63" s="54"/>
      <c r="J63" s="54"/>
      <c r="K63" s="181"/>
      <c r="N63" s="109"/>
      <c r="S63" s="82"/>
      <c r="Z63" s="109"/>
      <c r="AA63" s="109"/>
    </row>
    <row r="64" spans="1:27" x14ac:dyDescent="0.25">
      <c r="A64" s="25">
        <v>2014</v>
      </c>
      <c r="B64" s="128">
        <v>8</v>
      </c>
      <c r="C64" s="415">
        <f t="shared" si="25"/>
        <v>3.9800995024875663E-2</v>
      </c>
      <c r="D64" s="388"/>
      <c r="F64" s="133"/>
      <c r="G64" s="54"/>
      <c r="H64" s="181"/>
      <c r="I64" s="54"/>
      <c r="J64" s="54"/>
      <c r="K64" s="181"/>
      <c r="N64" s="109"/>
      <c r="S64" s="82"/>
      <c r="Z64" s="109"/>
      <c r="AA64" s="109"/>
    </row>
    <row r="65" spans="1:19" x14ac:dyDescent="0.25">
      <c r="A65" s="25">
        <v>2015</v>
      </c>
      <c r="B65" s="128">
        <v>8</v>
      </c>
      <c r="C65" s="415">
        <f t="shared" si="25"/>
        <v>3.524229074889873E-2</v>
      </c>
      <c r="D65" s="388"/>
      <c r="F65" s="133"/>
      <c r="G65" s="54"/>
      <c r="H65" s="181"/>
      <c r="I65" s="54"/>
      <c r="J65" s="54"/>
      <c r="K65" s="181"/>
      <c r="N65" s="109"/>
      <c r="S65" s="82"/>
    </row>
    <row r="66" spans="1:19" x14ac:dyDescent="0.25">
      <c r="A66" s="25">
        <v>2016</v>
      </c>
      <c r="B66" s="128"/>
      <c r="C66" s="415">
        <f t="shared" si="25"/>
        <v>0</v>
      </c>
      <c r="D66" s="388"/>
      <c r="F66" s="133"/>
      <c r="G66" s="54"/>
      <c r="H66" s="181"/>
      <c r="I66" s="54"/>
      <c r="J66" s="54"/>
      <c r="K66" s="181"/>
      <c r="N66" s="109"/>
      <c r="S66" s="82"/>
    </row>
    <row r="67" spans="1:19" x14ac:dyDescent="0.25">
      <c r="A67" s="21"/>
      <c r="F67" s="133"/>
      <c r="G67" s="54"/>
      <c r="H67" s="181"/>
      <c r="I67" s="54"/>
      <c r="J67" s="54"/>
      <c r="K67" s="181"/>
      <c r="N67" s="109"/>
      <c r="S67" s="82"/>
    </row>
    <row r="68" spans="1:19" x14ac:dyDescent="0.25">
      <c r="A68" s="21" t="s">
        <v>213</v>
      </c>
      <c r="F68" s="48"/>
      <c r="K68" s="181"/>
      <c r="N68" s="109"/>
      <c r="S68" s="82"/>
    </row>
    <row r="69" spans="1:19" x14ac:dyDescent="0.25">
      <c r="A69" t="s">
        <v>317</v>
      </c>
      <c r="F69" s="48"/>
      <c r="K69" s="181"/>
      <c r="N69" s="109"/>
      <c r="S69" s="82"/>
    </row>
    <row r="70" spans="1:19" x14ac:dyDescent="0.25">
      <c r="A70" t="s">
        <v>326</v>
      </c>
      <c r="K70" s="54"/>
      <c r="N70" s="109"/>
      <c r="S70" s="82"/>
    </row>
    <row r="71" spans="1:19" x14ac:dyDescent="0.25">
      <c r="K71" s="54"/>
      <c r="N71" s="109"/>
      <c r="S71" s="82"/>
    </row>
    <row r="72" spans="1:19" x14ac:dyDescent="0.25">
      <c r="K72" s="54"/>
      <c r="N72" s="109"/>
    </row>
    <row r="75" spans="1:19" x14ac:dyDescent="0.25">
      <c r="K75" s="131"/>
    </row>
    <row r="76" spans="1:19" x14ac:dyDescent="0.25">
      <c r="K76" s="131"/>
    </row>
    <row r="77" spans="1:19" x14ac:dyDescent="0.25">
      <c r="K77" s="131"/>
    </row>
    <row r="78" spans="1:19" x14ac:dyDescent="0.25">
      <c r="K78" s="131"/>
    </row>
    <row r="79" spans="1:19" x14ac:dyDescent="0.25">
      <c r="K79" s="130"/>
      <c r="Q79" s="130"/>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row r="85" spans="11:17" x14ac:dyDescent="0.25">
      <c r="K85" s="54"/>
      <c r="Q85" s="54"/>
    </row>
  </sheetData>
  <mergeCells count="22">
    <mergeCell ref="K11:L13"/>
    <mergeCell ref="M11:M13"/>
    <mergeCell ref="O11:O13"/>
    <mergeCell ref="C66:D66"/>
    <mergeCell ref="A19:B20"/>
    <mergeCell ref="K19:M19"/>
    <mergeCell ref="C64:D64"/>
    <mergeCell ref="C65:D65"/>
    <mergeCell ref="C60:D60"/>
    <mergeCell ref="C61:D61"/>
    <mergeCell ref="C62:D62"/>
    <mergeCell ref="C63:D63"/>
    <mergeCell ref="T19:U20"/>
    <mergeCell ref="K20:M20"/>
    <mergeCell ref="K14:L14"/>
    <mergeCell ref="K15:L15"/>
    <mergeCell ref="K39:K40"/>
    <mergeCell ref="M39:M40"/>
    <mergeCell ref="O39:O40"/>
    <mergeCell ref="K16:L16"/>
    <mergeCell ref="K17:L17"/>
    <mergeCell ref="K18:L18"/>
  </mergeCells>
  <conditionalFormatting sqref="R41:R54">
    <cfRule type="cellIs" dxfId="45" priority="6" operator="greaterThan">
      <formula>$C$7</formula>
    </cfRule>
  </conditionalFormatting>
  <conditionalFormatting sqref="X41:X54">
    <cfRule type="cellIs" dxfId="44" priority="5" operator="greaterThan">
      <formula>$C$6</formula>
    </cfRule>
  </conditionalFormatting>
  <pageMargins left="0.70866141732283472" right="0.70866141732283472" top="0.74803149606299213" bottom="0.74803149606299213" header="0.31496062992125984" footer="0.31496062992125984"/>
  <pageSetup paperSize="9" scale="61"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A85"/>
  <sheetViews>
    <sheetView topLeftCell="N28" workbookViewId="0">
      <selection activeCell="Y56" sqref="Y56"/>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93</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1200</v>
      </c>
    </row>
    <row r="7" spans="1:24" x14ac:dyDescent="0.25">
      <c r="A7" s="21" t="s">
        <v>191</v>
      </c>
      <c r="B7" s="21"/>
      <c r="C7" s="100">
        <f>VLOOKUP(A1,'Projection Summary'!A5:C50,2,FALSE)</f>
        <v>220</v>
      </c>
    </row>
    <row r="9" spans="1:24" ht="15.75" x14ac:dyDescent="0.25">
      <c r="A9" s="129" t="s">
        <v>222</v>
      </c>
      <c r="R9" s="129" t="s">
        <v>198</v>
      </c>
      <c r="T9" s="173"/>
    </row>
    <row r="10" spans="1:24" x14ac:dyDescent="0.25">
      <c r="A10" s="21"/>
    </row>
    <row r="11" spans="1:24" x14ac:dyDescent="0.25">
      <c r="A11" s="21" t="s">
        <v>231</v>
      </c>
      <c r="K11" s="406" t="s">
        <v>137</v>
      </c>
      <c r="L11" s="407"/>
      <c r="M11" s="412" t="s">
        <v>139</v>
      </c>
      <c r="N11" s="49"/>
      <c r="O11" s="394" t="s">
        <v>136</v>
      </c>
      <c r="R11" s="21" t="s">
        <v>232</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260</v>
      </c>
      <c r="C13" s="19">
        <f>VLOOKUP($A$1,'Primary Catchment Analysis'!$A$3:$BE$25, 38, FALSE)</f>
        <v>238</v>
      </c>
      <c r="D13" s="27">
        <f>VLOOKUP($A$1,'Primary Catchment Analysis'!$A$3:$BE$25, 39, FALSE)</f>
        <v>204</v>
      </c>
      <c r="E13" s="27">
        <f>VLOOKUP($A$1,'Primary Catchment Analysis'!$A$3:$BE$25, 40, FALSE)</f>
        <v>199</v>
      </c>
      <c r="F13" s="27">
        <f>VLOOKUP($A$1,'Primary Catchment Analysis'!$A$3:$BE$25, 41, FALSE)</f>
        <v>177</v>
      </c>
      <c r="G13" s="125">
        <f>VLOOKUP($A$1,'Primary Catchment Analysis'!$A$3:$BE$25, 42, FALSE)</f>
        <v>165</v>
      </c>
      <c r="H13" s="28">
        <f>VLOOKUP($A$1,'Primary Catchment Analysis'!$A$3:$BE$25, 43, FALSE)</f>
        <v>159</v>
      </c>
      <c r="I13" s="28">
        <f>VLOOKUP($A$1,'S1 Catchment Analysis'!A3:I25, 7, FALSE)</f>
        <v>156</v>
      </c>
      <c r="J13" s="23"/>
      <c r="K13" s="410"/>
      <c r="L13" s="411"/>
      <c r="M13" s="399"/>
      <c r="N13" s="50"/>
      <c r="O13" s="399"/>
      <c r="P13" s="50"/>
      <c r="Q13" s="25">
        <f>A13</f>
        <v>2013</v>
      </c>
      <c r="R13" s="69">
        <f>VLOOKUP($A$1,'Secondary Rolls'!$A$3:$BE$25, 37, FALSE)</f>
        <v>196</v>
      </c>
      <c r="S13" s="53">
        <f>VLOOKUP($A$1,'Secondary Rolls'!$A$3:$BE$25, 38, FALSE)</f>
        <v>203</v>
      </c>
      <c r="T13" s="53">
        <f>VLOOKUP($A$1,'Secondary Rolls'!$A$3:$BE$25, 39, FALSE)</f>
        <v>188</v>
      </c>
      <c r="U13" s="122">
        <f>VLOOKUP($A$1,'Secondary Rolls'!$A$3:$BE$25, 40, FALSE)</f>
        <v>161</v>
      </c>
      <c r="V13" s="63">
        <f>VLOOKUP($A$1,'Secondary Rolls'!$A$3:$BE$25, 41, FALSE)</f>
        <v>127</v>
      </c>
      <c r="W13" s="53">
        <f>VLOOKUP($A$1,'Secondary Rolls'!$A$3:$BE$25, 42, FALSE)</f>
        <v>103</v>
      </c>
      <c r="X13" s="62">
        <f t="shared" ref="X13:X17" si="0">SUM(R13:W13)</f>
        <v>978</v>
      </c>
    </row>
    <row r="14" spans="1:24" ht="15.75" thickBot="1" x14ac:dyDescent="0.3">
      <c r="A14" s="25">
        <f>VLOOKUP($A$12,'S1 Catchment Analysis'!A2:I2, 6, FALSE)</f>
        <v>2014</v>
      </c>
      <c r="B14" s="45">
        <f>VLOOKUP($A$1,'Primary Catchment Analysis'!$A$3:$BE$25, 30, FALSE)</f>
        <v>270</v>
      </c>
      <c r="C14" s="44">
        <f>VLOOKUP($A$1,'Primary Catchment Analysis'!$A$3:$BE$25, 31, FALSE)</f>
        <v>266</v>
      </c>
      <c r="D14" s="19">
        <f>VLOOKUP($A$1,'Primary Catchment Analysis'!$A$3:$BE$25, 32, FALSE)</f>
        <v>226</v>
      </c>
      <c r="E14" s="27">
        <f>VLOOKUP($A$1,'Primary Catchment Analysis'!$A$3:$BE$25, 33, FALSE)</f>
        <v>198</v>
      </c>
      <c r="F14" s="27">
        <f>VLOOKUP($A$1,'Primary Catchment Analysis'!$A$3:$BE$25, 34, FALSE)</f>
        <v>194</v>
      </c>
      <c r="G14" s="125">
        <f>VLOOKUP($A$1,'Primary Catchment Analysis'!$A$3:$BE$25, 35, FALSE)</f>
        <v>174</v>
      </c>
      <c r="H14" s="28">
        <f>VLOOKUP($A$1,'Primary Catchment Analysis'!$A$3:$BE$25, 36, FALSE)</f>
        <v>165</v>
      </c>
      <c r="I14" s="27">
        <f>VLOOKUP($A$1,'S1 Catchment Analysis'!A3:I25, 6, FALSE)</f>
        <v>146</v>
      </c>
      <c r="J14" s="23"/>
      <c r="K14" s="400">
        <f>VLOOKUP($A$1,'S1 Catchment Retained'!A2:I25, 6, FALSE)</f>
        <v>106</v>
      </c>
      <c r="L14" s="401"/>
      <c r="M14" s="110">
        <f t="shared" ref="M14:M18" si="1">(K14/I14)</f>
        <v>0.72602739726027399</v>
      </c>
      <c r="N14" s="50"/>
      <c r="O14" s="111">
        <f t="shared" ref="O14:O18" si="2">R14-K14</f>
        <v>102</v>
      </c>
      <c r="P14" s="50"/>
      <c r="Q14" s="25">
        <f t="shared" ref="Q14:Q18" si="3">A14</f>
        <v>2014</v>
      </c>
      <c r="R14" s="67">
        <f>VLOOKUP($A$1,'Secondary Rolls'!$A$3:$BE$25, 30, FALSE)</f>
        <v>208</v>
      </c>
      <c r="S14" s="69">
        <f>VLOOKUP($A$1,'Secondary Rolls'!$A$3:$BE$25, 31, FALSE)</f>
        <v>196</v>
      </c>
      <c r="T14" s="61">
        <f>VLOOKUP($A$1,'Secondary Rolls'!$A$3:$BE$25, 32, FALSE)</f>
        <v>207</v>
      </c>
      <c r="U14" s="61">
        <f>VLOOKUP($A$1,'Secondary Rolls'!$A$3:$BE$25, 33, FALSE)</f>
        <v>195</v>
      </c>
      <c r="V14" s="64">
        <f>VLOOKUP($A$1,'Secondary Rolls'!$A$3:$BE$25, 34, FALSE)</f>
        <v>149</v>
      </c>
      <c r="W14" s="116">
        <f>VLOOKUP($A$1,'Secondary Rolls'!$A$3:$BE$25, 35, FALSE)</f>
        <v>104</v>
      </c>
      <c r="X14" s="62">
        <f t="shared" si="0"/>
        <v>1059</v>
      </c>
    </row>
    <row r="15" spans="1:24" ht="15.75" thickBot="1" x14ac:dyDescent="0.3">
      <c r="A15" s="25">
        <f>VLOOKUP($A$12,'S1 Catchment Analysis'!A2:I2, 5, FALSE)</f>
        <v>2015</v>
      </c>
      <c r="B15" s="19">
        <f>VLOOKUP($A$1,'Primary Catchment Analysis'!$A$3:$BE$25, 23, FALSE)</f>
        <v>250</v>
      </c>
      <c r="C15" s="45">
        <f>VLOOKUP($A$1,'Primary Catchment Analysis'!$A$3:$BE$25, 24, FALSE)</f>
        <v>249</v>
      </c>
      <c r="D15" s="44">
        <f>VLOOKUP($A$1,'Primary Catchment Analysis'!$A$3:$BE$25, 25, FALSE)</f>
        <v>252</v>
      </c>
      <c r="E15" s="19">
        <f>VLOOKUP($A$1,'Primary Catchment Analysis'!$A$3:$BE$25, 26, FALSE)</f>
        <v>216</v>
      </c>
      <c r="F15" s="27">
        <f>VLOOKUP($A$1,'Primary Catchment Analysis'!$A$3:$BE$25, 27, FALSE)</f>
        <v>193</v>
      </c>
      <c r="G15" s="125">
        <f>VLOOKUP($A$1,'Primary Catchment Analysis'!$A$3:$BE$25, 28, FALSE)</f>
        <v>185</v>
      </c>
      <c r="H15" s="30">
        <f>VLOOKUP($A$1,'Primary Catchment Analysis'!$A$3:$BE$25, 29, FALSE)</f>
        <v>167</v>
      </c>
      <c r="I15" s="29">
        <f>VLOOKUP($A$1,'S1 Catchment Analysis'!A3:I25, 5, FALSE)</f>
        <v>162</v>
      </c>
      <c r="J15" s="23"/>
      <c r="K15" s="400">
        <f>VLOOKUP($A$1,'S1 Catchment Retained'!A2:I25, 5, FALSE)</f>
        <v>142</v>
      </c>
      <c r="L15" s="401"/>
      <c r="M15" s="110">
        <f t="shared" si="1"/>
        <v>0.87654320987654322</v>
      </c>
      <c r="N15" s="50"/>
      <c r="O15" s="111">
        <f t="shared" si="2"/>
        <v>74</v>
      </c>
      <c r="P15" s="50"/>
      <c r="Q15" s="25">
        <f t="shared" si="3"/>
        <v>2015</v>
      </c>
      <c r="R15" s="68">
        <f>VLOOKUP($A$1,'Secondary Rolls'!$A$3:$BE$25, 23, FALSE)</f>
        <v>216</v>
      </c>
      <c r="S15" s="67">
        <f>VLOOKUP($A$1,'Secondary Rolls'!$A$3:$BE$25, 24, FALSE)</f>
        <v>203</v>
      </c>
      <c r="T15" s="71">
        <f>VLOOKUP($A$1,'Secondary Rolls'!$A$3:$BE$25, 25, FALSE)</f>
        <v>196</v>
      </c>
      <c r="U15" s="61">
        <f>VLOOKUP($A$1,'Secondary Rolls'!$A$3:$BE$25, 26, FALSE)</f>
        <v>196</v>
      </c>
      <c r="V15" s="123">
        <f>VLOOKUP($A$1,'Secondary Rolls'!$A$3:$BE$25, 27, FALSE)</f>
        <v>166</v>
      </c>
      <c r="W15" s="64">
        <f>VLOOKUP($A$1,'Secondary Rolls'!$A$3:$BE$25, 28, FALSE)</f>
        <v>90</v>
      </c>
      <c r="X15" s="62">
        <f t="shared" si="0"/>
        <v>1067</v>
      </c>
    </row>
    <row r="16" spans="1:24" ht="15.75" thickBot="1" x14ac:dyDescent="0.3">
      <c r="A16" s="25">
        <f>VLOOKUP($A$12,'S1 Catchment Analysis'!A2:I2, 4, FALSE)</f>
        <v>2016</v>
      </c>
      <c r="B16" s="44">
        <f>VLOOKUP($A$1,'Primary Catchment Analysis'!$A$3:$BE$25, 16, FALSE)</f>
        <v>275</v>
      </c>
      <c r="C16" s="19">
        <f>VLOOKUP($A$1,'Primary Catchment Analysis'!$A$3:$BE$25, 17, FALSE)</f>
        <v>232</v>
      </c>
      <c r="D16" s="45">
        <f>VLOOKUP($A$1,'Primary Catchment Analysis'!$A$3:$BE$25, 18, FALSE)</f>
        <v>245</v>
      </c>
      <c r="E16" s="44">
        <f>VLOOKUP($A$1,'Primary Catchment Analysis'!$A$3:$BE$25, 19, FALSE)</f>
        <v>252</v>
      </c>
      <c r="F16" s="19">
        <f>VLOOKUP($A$1,'Primary Catchment Analysis'!$A$3:$BE$25, 20, FALSE)</f>
        <v>222</v>
      </c>
      <c r="G16" s="125">
        <f>VLOOKUP($A$1,'Primary Catchment Analysis'!$A$3:$BE$25, 21, FALSE)</f>
        <v>187</v>
      </c>
      <c r="H16" s="112">
        <f>VLOOKUP($A$1,'Primary Catchment Analysis'!$A$3:$BE$25, 22, FALSE)</f>
        <v>181</v>
      </c>
      <c r="I16" s="30">
        <f>VLOOKUP($A$1,'S1 Catchment Analysis'!A3:I25, 4, FALSE)</f>
        <v>156</v>
      </c>
      <c r="J16" s="23"/>
      <c r="K16" s="400">
        <f>VLOOKUP($A$1,'S1 Catchment Retained'!A2:I25, 4, FALSE)</f>
        <v>128</v>
      </c>
      <c r="L16" s="401"/>
      <c r="M16" s="56">
        <f t="shared" si="1"/>
        <v>0.82051282051282048</v>
      </c>
      <c r="N16" s="50"/>
      <c r="O16" s="103">
        <f t="shared" si="2"/>
        <v>87</v>
      </c>
      <c r="P16" s="50"/>
      <c r="Q16" s="25">
        <f t="shared" si="3"/>
        <v>2016</v>
      </c>
      <c r="R16" s="69">
        <f>VLOOKUP($A$1,'Secondary Rolls'!$A$3:$BE$25, 16, FALSE)</f>
        <v>215</v>
      </c>
      <c r="S16" s="68">
        <f>VLOOKUP($A$1,'Secondary Rolls'!$A$3:$BE$25, 17, FALSE)</f>
        <v>220</v>
      </c>
      <c r="T16" s="70">
        <f>VLOOKUP($A$1,'Secondary Rolls'!$A$3:$BE$25, 18, FALSE)</f>
        <v>203</v>
      </c>
      <c r="U16" s="71">
        <f>VLOOKUP($A$1,'Secondary Rolls'!$A$3:$BE$25, 19, FALSE)</f>
        <v>194</v>
      </c>
      <c r="V16" s="66">
        <f>VLOOKUP($A$1,'Secondary Rolls'!$A$3:$BE$25, 20, FALSE)</f>
        <v>167</v>
      </c>
      <c r="W16" s="65">
        <f>VLOOKUP($A$1,'Secondary Rolls'!$A$3:$BE$25, 21, FALSE)</f>
        <v>112</v>
      </c>
      <c r="X16" s="62">
        <f t="shared" si="0"/>
        <v>1111</v>
      </c>
    </row>
    <row r="17" spans="1:27" ht="15.75" thickBot="1" x14ac:dyDescent="0.3">
      <c r="A17" s="258">
        <f>VLOOKUP($A$12,'S1 Catchment Analysis'!A2:I2, 3, FALSE)</f>
        <v>2017</v>
      </c>
      <c r="B17" s="259">
        <f>VLOOKUP($A$1,'Primary Catchment Analysis'!$A$3:$BE$25, 9, FALSE)</f>
        <v>278</v>
      </c>
      <c r="C17" s="260">
        <f>VLOOKUP($A$1,'Primary Catchment Analysis'!$A$3:$BE$25, 10, FALSE)</f>
        <v>278</v>
      </c>
      <c r="D17" s="261">
        <f>VLOOKUP($A$1,'Primary Catchment Analysis'!$A$3:$BE$25, 11, FALSE)</f>
        <v>237</v>
      </c>
      <c r="E17" s="259">
        <f>VLOOKUP($A$1,'Primary Catchment Analysis'!$A$3:$BE$25, 12, FALSE)</f>
        <v>259</v>
      </c>
      <c r="F17" s="260">
        <f>VLOOKUP($A$1,'Primary Catchment Analysis'!$A$3:$BE$25, 13, FALSE)</f>
        <v>260</v>
      </c>
      <c r="G17" s="262">
        <f>VLOOKUP($A$1,'Primary Catchment Analysis'!$A$3:$BE$25, 14, FALSE)</f>
        <v>222</v>
      </c>
      <c r="H17" s="113">
        <f>VLOOKUP($A$1,'Primary Catchment Analysis'!$A$3:$BE$25, 15, FALSE)</f>
        <v>201</v>
      </c>
      <c r="I17" s="31">
        <f>VLOOKUP($A$1,'S1 Catchment Analysis'!A3:I25, 3, FALSE)</f>
        <v>178</v>
      </c>
      <c r="J17" s="23"/>
      <c r="K17" s="402">
        <f>VLOOKUP($A$1,'S1 Catchment Retained'!A2:I25, 3, FALSE)</f>
        <v>157</v>
      </c>
      <c r="L17" s="403"/>
      <c r="M17" s="57">
        <f t="shared" si="1"/>
        <v>0.8820224719101124</v>
      </c>
      <c r="N17" s="50"/>
      <c r="O17" s="104">
        <f t="shared" si="2"/>
        <v>41</v>
      </c>
      <c r="P17" s="50"/>
      <c r="Q17" s="25">
        <f t="shared" si="3"/>
        <v>2017</v>
      </c>
      <c r="R17" s="264">
        <f>VLOOKUP($A$1,'Secondary Rolls'!$A$3:$BE$25, 9, FALSE)</f>
        <v>198</v>
      </c>
      <c r="S17" s="265">
        <f>VLOOKUP($A$1,'Secondary Rolls'!$A$3:$BE$25, 10, FALSE)</f>
        <v>217</v>
      </c>
      <c r="T17" s="266">
        <f>VLOOKUP($A$1,'Secondary Rolls'!$A$3:$BE$25, 11, FALSE)</f>
        <v>221</v>
      </c>
      <c r="U17" s="270">
        <f>VLOOKUP($A$1,'Secondary Rolls'!$A$3:$BE$25, 12, FALSE)</f>
        <v>206</v>
      </c>
      <c r="V17" s="271">
        <f>VLOOKUP($A$1,'Secondary Rolls'!$A$3:$BE$25, 13, FALSE)</f>
        <v>174</v>
      </c>
      <c r="W17" s="272">
        <f>VLOOKUP($A$1,'Secondary Rolls'!$A$3:$BE$25, 14, FALSE)</f>
        <v>112</v>
      </c>
      <c r="X17" s="116">
        <f t="shared" si="0"/>
        <v>1128</v>
      </c>
    </row>
    <row r="18" spans="1:27" ht="15.75" thickBot="1" x14ac:dyDescent="0.3">
      <c r="A18" s="25">
        <f>VLOOKUP($A$12,'S1 Catchment Analysis'!A2:I2, 2, FALSE)</f>
        <v>2018</v>
      </c>
      <c r="B18" s="19">
        <f>VLOOKUP($A$1,'Primary Catchment Analysis'!$A$3:$BE$25, 2, FALSE)</f>
        <v>261</v>
      </c>
      <c r="C18" s="45">
        <f>VLOOKUP($A$1,'Primary Catchment Analysis'!$A$3:$BE$25, 3, FALSE)</f>
        <v>261</v>
      </c>
      <c r="D18" s="44">
        <f>VLOOKUP($A$1,'Primary Catchment Analysis'!$A$3:$BE$25, 4, FALSE)</f>
        <v>272</v>
      </c>
      <c r="E18" s="19">
        <f>VLOOKUP($A$1,'Primary Catchment Analysis'!$A$3:$BE$25, 5, FALSE)</f>
        <v>233</v>
      </c>
      <c r="F18" s="45">
        <f>VLOOKUP($A$1,'Primary Catchment Analysis'!$A$3:$BE$25, 6, FALSE)</f>
        <v>252</v>
      </c>
      <c r="G18" s="273">
        <f>VLOOKUP($A$1,'Primary Catchment Analysis'!$A$3:$BE$25, 7, FALSE)</f>
        <v>249</v>
      </c>
      <c r="H18" s="274">
        <f>VLOOKUP($A$1,'Primary Catchment Analysis'!$A$3:$BE$25, 8, FALSE)</f>
        <v>221</v>
      </c>
      <c r="I18" s="32">
        <f>VLOOKUP($A$1,'S1 Catchment Analysis'!A3:I25, 2, FALSE)</f>
        <v>190</v>
      </c>
      <c r="J18" s="23"/>
      <c r="K18" s="392">
        <f>VLOOKUP($A$1,'S1 Catchment Retained'!A2:I25, 2, FALSE)</f>
        <v>167</v>
      </c>
      <c r="L18" s="393"/>
      <c r="M18" s="58">
        <f t="shared" si="1"/>
        <v>0.87894736842105259</v>
      </c>
      <c r="N18" s="50"/>
      <c r="O18" s="105">
        <f t="shared" si="2"/>
        <v>38</v>
      </c>
      <c r="P18" s="50"/>
      <c r="Q18" s="25">
        <f t="shared" si="3"/>
        <v>2018</v>
      </c>
      <c r="R18" s="68">
        <f>VLOOKUP($A$1,'Secondary Rolls'!$A$3:$BE$25, 2, FALSE)</f>
        <v>205</v>
      </c>
      <c r="S18" s="67">
        <f>VLOOKUP($A$1,'Secondary Rolls'!$A$3:$BE$25, 3, FALSE)</f>
        <v>196</v>
      </c>
      <c r="T18" s="69">
        <f>VLOOKUP($A$1,'Secondary Rolls'!$A$3:$BE$25, 4, FALSE)</f>
        <v>210</v>
      </c>
      <c r="U18" s="68">
        <f>VLOOKUP($A$1,'Secondary Rolls'!$A$3:$BE$25, 5, FALSE)</f>
        <v>217</v>
      </c>
      <c r="V18" s="67">
        <f>VLOOKUP($A$1,'Secondary Rolls'!$A$3:$BE$25, 6, FALSE)</f>
        <v>172</v>
      </c>
      <c r="W18" s="69">
        <f>VLOOKUP($A$1,'Secondary Rolls'!$A$3:$BE$25, 7, FALSE)</f>
        <v>108</v>
      </c>
      <c r="X18" s="53">
        <f t="shared" ref="X18" si="4">SUM(R18:W18)</f>
        <v>1108</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4" t="s">
        <v>211</v>
      </c>
      <c r="P19" s="117"/>
      <c r="Q19" s="131"/>
      <c r="R19" s="131"/>
      <c r="T19" s="386" t="s">
        <v>212</v>
      </c>
      <c r="U19" s="387"/>
      <c r="V19" s="118" t="s">
        <v>140</v>
      </c>
      <c r="W19" s="119" t="s">
        <v>141</v>
      </c>
    </row>
    <row r="20" spans="1:27" x14ac:dyDescent="0.25">
      <c r="A20" s="388"/>
      <c r="B20" s="388"/>
      <c r="C20" s="40">
        <f>AVERAGE(((B15-C16)/B15),((B16-C17)/B16),((B17-C18)/B17))</f>
        <v>4.0747329409199916E-2</v>
      </c>
      <c r="D20" s="40">
        <f t="shared" ref="D20:I20" si="5">AVERAGE(((C15-D16)/C15),((C16-D17)/C16),((C17-D18)/C17))</f>
        <v>5.3650889010436846E-3</v>
      </c>
      <c r="E20" s="40">
        <f t="shared" si="5"/>
        <v>-1.3421740004018487E-2</v>
      </c>
      <c r="F20" s="40">
        <f t="shared" si="5"/>
        <v>-1.0832260832260831E-2</v>
      </c>
      <c r="G20" s="40">
        <f t="shared" si="5"/>
        <v>2.4465258403082238E-2</v>
      </c>
      <c r="H20" s="40">
        <f t="shared" si="5"/>
        <v>-1.6246728011433891E-2</v>
      </c>
      <c r="I20" s="40">
        <f t="shared" si="5"/>
        <v>4.5723072422539E-2</v>
      </c>
      <c r="K20" s="389">
        <f>AVERAGE(M16:M18)</f>
        <v>0.86049422028132849</v>
      </c>
      <c r="L20" s="390"/>
      <c r="M20" s="391"/>
      <c r="O20" s="51">
        <f>ROUNDUP((AVERAGE(O16:O18)),0)</f>
        <v>56</v>
      </c>
      <c r="T20" s="388"/>
      <c r="U20" s="388"/>
      <c r="V20" s="40">
        <f>AVERAGE(((U15-V16)/U15),((U16-V17)/U16),((U17-V18)/U17))</f>
        <v>0.13870017028931481</v>
      </c>
      <c r="W20" s="40">
        <f>AVERAGE(((V15-W16)/V15),((V16-W17)/V16),((V17-W18)/V17))</f>
        <v>0.34465095567071091</v>
      </c>
    </row>
    <row r="21" spans="1:27" x14ac:dyDescent="0.25">
      <c r="A21" s="21"/>
      <c r="K21" s="59"/>
      <c r="L21" s="59"/>
    </row>
    <row r="22" spans="1:27" x14ac:dyDescent="0.25">
      <c r="A22" s="21" t="s">
        <v>233</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Projections'!C10+'P1 Catchment Projections'!C11+'P1 Catchment Projections'!C12+'P1 Catchment Projections'!C13</f>
        <v>253</v>
      </c>
      <c r="C24" s="34">
        <f>ROUNDUP((B18-(B18*$C$20)),0)</f>
        <v>251</v>
      </c>
      <c r="D24" s="42">
        <f>ROUNDUP((C18-(C18*$D$20)),0)</f>
        <v>260</v>
      </c>
      <c r="E24" s="43">
        <f>ROUNDUP((D18-(D18*$E$20)),0)</f>
        <v>276</v>
      </c>
      <c r="F24" s="41">
        <f>ROUNDUP((E18-(E18*$F$20)),0)</f>
        <v>236</v>
      </c>
      <c r="G24" s="42">
        <f>ROUNDUP((F18-(F18*$G$20)),0)</f>
        <v>246</v>
      </c>
      <c r="H24" s="43">
        <f>ROUNDUP((G18-(G18*$H$20)),0)</f>
        <v>254</v>
      </c>
      <c r="I24" s="99">
        <f>ROUNDUP((H18-(H18*$I$20)),0)</f>
        <v>211</v>
      </c>
      <c r="J24" s="23"/>
      <c r="K24" s="59"/>
      <c r="L24" s="59"/>
      <c r="Z24" s="109"/>
      <c r="AA24" s="109"/>
    </row>
    <row r="25" spans="1:27" x14ac:dyDescent="0.25">
      <c r="A25" s="25">
        <f>A24+1</f>
        <v>2020</v>
      </c>
      <c r="B25" s="37">
        <f>'P1 Catchment Projections'!D10+'P1 Catchment Projections'!D11+'P1 Catchment Projections'!D12+'P1 Catchment Projections'!D13</f>
        <v>264</v>
      </c>
      <c r="C25" s="34">
        <f t="shared" ref="C25:C37" si="6">ROUNDUP((B24-(B24*$C$20)),0)</f>
        <v>243</v>
      </c>
      <c r="D25" s="34">
        <f t="shared" ref="D25:D37" si="7">ROUNDUP((C24-(C24*$D$20)),0)</f>
        <v>250</v>
      </c>
      <c r="E25" s="42">
        <f t="shared" ref="E25:E37" si="8">ROUNDUP((D24-(D24*$E$20)),0)</f>
        <v>264</v>
      </c>
      <c r="F25" s="43">
        <f t="shared" ref="F25:F37" si="9">ROUNDUP((E24-(E24*$F$20)),0)</f>
        <v>279</v>
      </c>
      <c r="G25" s="41">
        <f t="shared" ref="G25:G37" si="10">ROUNDUP((F24-(F24*$G$20)),0)</f>
        <v>231</v>
      </c>
      <c r="H25" s="42">
        <f t="shared" ref="H25:H37" si="11">ROUNDUP((G24-(G24*$H$20)),0)</f>
        <v>250</v>
      </c>
      <c r="I25" s="99">
        <f t="shared" ref="I25:I37" si="12">ROUNDUP((H24-(H24*$I$20)),0)</f>
        <v>243</v>
      </c>
      <c r="J25" s="23"/>
      <c r="K25" s="59"/>
      <c r="L25" s="59"/>
      <c r="Z25" s="109"/>
      <c r="AA25" s="109"/>
    </row>
    <row r="26" spans="1:27" x14ac:dyDescent="0.25">
      <c r="A26" s="25">
        <f>A25+1</f>
        <v>2021</v>
      </c>
      <c r="B26" s="37">
        <f>'P1 Catchment Projections'!E10+'P1 Catchment Projections'!E11+'P1 Catchment Projections'!E12+'P1 Catchment Projections'!E13</f>
        <v>252</v>
      </c>
      <c r="C26" s="34">
        <f t="shared" si="6"/>
        <v>254</v>
      </c>
      <c r="D26" s="34">
        <f t="shared" si="7"/>
        <v>242</v>
      </c>
      <c r="E26" s="34">
        <f t="shared" si="8"/>
        <v>254</v>
      </c>
      <c r="F26" s="42">
        <f t="shared" si="9"/>
        <v>267</v>
      </c>
      <c r="G26" s="43">
        <f t="shared" si="10"/>
        <v>273</v>
      </c>
      <c r="H26" s="41">
        <f t="shared" si="11"/>
        <v>235</v>
      </c>
      <c r="I26" s="99">
        <f t="shared" si="12"/>
        <v>239</v>
      </c>
      <c r="J26" s="23"/>
      <c r="K26" s="59"/>
      <c r="L26" s="59"/>
      <c r="Z26" s="109"/>
      <c r="AA26" s="109"/>
    </row>
    <row r="27" spans="1:27" x14ac:dyDescent="0.25">
      <c r="A27" s="25">
        <f>A26+1</f>
        <v>2022</v>
      </c>
      <c r="B27" s="37">
        <f>'P1 Catchment Projections'!F10+'P1 Catchment Projections'!F11+'P1 Catchment Projections'!F12+'P1 Catchment Projections'!F13</f>
        <v>236</v>
      </c>
      <c r="C27" s="34">
        <f t="shared" si="6"/>
        <v>242</v>
      </c>
      <c r="D27" s="34">
        <f t="shared" si="7"/>
        <v>253</v>
      </c>
      <c r="E27" s="34">
        <f t="shared" si="8"/>
        <v>246</v>
      </c>
      <c r="F27" s="34">
        <f t="shared" si="9"/>
        <v>257</v>
      </c>
      <c r="G27" s="42">
        <f t="shared" si="10"/>
        <v>261</v>
      </c>
      <c r="H27" s="43">
        <f t="shared" si="11"/>
        <v>278</v>
      </c>
      <c r="I27" s="99">
        <f t="shared" si="12"/>
        <v>225</v>
      </c>
      <c r="J27" s="23"/>
      <c r="K27" s="59"/>
      <c r="L27" s="59"/>
      <c r="Z27" s="109"/>
      <c r="AA27" s="109"/>
    </row>
    <row r="28" spans="1:27" x14ac:dyDescent="0.25">
      <c r="A28" s="25">
        <f t="shared" ref="A28:A37" si="13">A27+1</f>
        <v>2023</v>
      </c>
      <c r="B28" s="37">
        <f>'P1 Catchment Projections'!G10+'P1 Catchment Projections'!G11+'P1 Catchment Projections'!G12+'P1 Catchment Projections'!G13</f>
        <v>255</v>
      </c>
      <c r="C28" s="34">
        <f t="shared" si="6"/>
        <v>227</v>
      </c>
      <c r="D28" s="34">
        <f t="shared" si="7"/>
        <v>241</v>
      </c>
      <c r="E28" s="34">
        <f t="shared" si="8"/>
        <v>257</v>
      </c>
      <c r="F28" s="34">
        <f t="shared" si="9"/>
        <v>249</v>
      </c>
      <c r="G28" s="34">
        <f t="shared" si="10"/>
        <v>251</v>
      </c>
      <c r="H28" s="42">
        <f t="shared" si="11"/>
        <v>266</v>
      </c>
      <c r="I28" s="99">
        <f t="shared" si="12"/>
        <v>266</v>
      </c>
      <c r="J28" s="23"/>
      <c r="K28" s="59"/>
      <c r="L28" s="59"/>
      <c r="Z28" s="109"/>
      <c r="AA28" s="109"/>
    </row>
    <row r="29" spans="1:27" x14ac:dyDescent="0.25">
      <c r="A29" s="25">
        <f t="shared" si="13"/>
        <v>2024</v>
      </c>
      <c r="B29" s="37">
        <f>'P1 Catchment Projections'!H10+'P1 Catchment Projections'!H11+'P1 Catchment Projections'!H12+'P1 Catchment Projections'!H13</f>
        <v>259</v>
      </c>
      <c r="C29" s="34">
        <f t="shared" si="6"/>
        <v>245</v>
      </c>
      <c r="D29" s="34">
        <f t="shared" si="7"/>
        <v>226</v>
      </c>
      <c r="E29" s="34">
        <f t="shared" si="8"/>
        <v>245</v>
      </c>
      <c r="F29" s="34">
        <f t="shared" si="9"/>
        <v>260</v>
      </c>
      <c r="G29" s="34">
        <f t="shared" si="10"/>
        <v>243</v>
      </c>
      <c r="H29" s="34">
        <f t="shared" si="11"/>
        <v>256</v>
      </c>
      <c r="I29" s="99">
        <f t="shared" si="12"/>
        <v>254</v>
      </c>
      <c r="K29" s="59"/>
      <c r="L29" s="59"/>
      <c r="Z29" s="109"/>
      <c r="AA29" s="109"/>
    </row>
    <row r="30" spans="1:27" x14ac:dyDescent="0.25">
      <c r="A30" s="25">
        <f t="shared" si="13"/>
        <v>2025</v>
      </c>
      <c r="B30" s="37">
        <f>'P1 Catchment Projections'!I10+'P1 Catchment Projections'!I11+'P1 Catchment Projections'!I12+'P1 Catchment Projections'!I13</f>
        <v>261</v>
      </c>
      <c r="C30" s="34">
        <f t="shared" si="6"/>
        <v>249</v>
      </c>
      <c r="D30" s="34">
        <f t="shared" si="7"/>
        <v>244</v>
      </c>
      <c r="E30" s="34">
        <f t="shared" si="8"/>
        <v>230</v>
      </c>
      <c r="F30" s="34">
        <f t="shared" si="9"/>
        <v>248</v>
      </c>
      <c r="G30" s="34">
        <f t="shared" si="10"/>
        <v>254</v>
      </c>
      <c r="H30" s="34">
        <f t="shared" si="11"/>
        <v>247</v>
      </c>
      <c r="I30" s="99">
        <f t="shared" si="12"/>
        <v>245</v>
      </c>
      <c r="K30" s="59"/>
      <c r="L30" s="59"/>
      <c r="Z30" s="109"/>
      <c r="AA30" s="109"/>
    </row>
    <row r="31" spans="1:27" x14ac:dyDescent="0.25">
      <c r="A31" s="25">
        <f t="shared" si="13"/>
        <v>2026</v>
      </c>
      <c r="B31" s="37">
        <f>'P1 Catchment Projections'!J10+'P1 Catchment Projections'!J11+'P1 Catchment Projections'!J12+'P1 Catchment Projections'!J13</f>
        <v>263</v>
      </c>
      <c r="C31" s="34">
        <f t="shared" si="6"/>
        <v>251</v>
      </c>
      <c r="D31" s="34">
        <f t="shared" si="7"/>
        <v>248</v>
      </c>
      <c r="E31" s="34">
        <f t="shared" si="8"/>
        <v>248</v>
      </c>
      <c r="F31" s="34">
        <f t="shared" si="9"/>
        <v>233</v>
      </c>
      <c r="G31" s="34">
        <f t="shared" si="10"/>
        <v>242</v>
      </c>
      <c r="H31" s="34">
        <f t="shared" si="11"/>
        <v>259</v>
      </c>
      <c r="I31" s="99">
        <f t="shared" si="12"/>
        <v>236</v>
      </c>
      <c r="K31" s="59"/>
      <c r="L31" s="59"/>
      <c r="Z31" s="109"/>
      <c r="AA31" s="109"/>
    </row>
    <row r="32" spans="1:27" x14ac:dyDescent="0.25">
      <c r="A32" s="25">
        <f t="shared" si="13"/>
        <v>2027</v>
      </c>
      <c r="B32" s="37">
        <f>'P1 Catchment Projections'!K10+'P1 Catchment Projections'!K11+'P1 Catchment Projections'!K12+'P1 Catchment Projections'!K13</f>
        <v>265</v>
      </c>
      <c r="C32" s="34">
        <f t="shared" si="6"/>
        <v>253</v>
      </c>
      <c r="D32" s="34">
        <f t="shared" si="7"/>
        <v>250</v>
      </c>
      <c r="E32" s="34">
        <f t="shared" si="8"/>
        <v>252</v>
      </c>
      <c r="F32" s="34">
        <f t="shared" si="9"/>
        <v>251</v>
      </c>
      <c r="G32" s="34">
        <f t="shared" si="10"/>
        <v>228</v>
      </c>
      <c r="H32" s="34">
        <f t="shared" si="11"/>
        <v>246</v>
      </c>
      <c r="I32" s="99">
        <f t="shared" si="12"/>
        <v>248</v>
      </c>
      <c r="K32" s="59"/>
      <c r="L32" s="59"/>
      <c r="Z32" s="109"/>
      <c r="AA32" s="109"/>
    </row>
    <row r="33" spans="1:27" x14ac:dyDescent="0.25">
      <c r="A33" s="25">
        <f t="shared" si="13"/>
        <v>2028</v>
      </c>
      <c r="B33" s="37">
        <f>'P1 Catchment Projections'!L10+'P1 Catchment Projections'!L11+'P1 Catchment Projections'!L12+'P1 Catchment Projections'!L13</f>
        <v>267</v>
      </c>
      <c r="C33" s="34">
        <f t="shared" si="6"/>
        <v>255</v>
      </c>
      <c r="D33" s="34">
        <f t="shared" si="7"/>
        <v>252</v>
      </c>
      <c r="E33" s="34">
        <f t="shared" si="8"/>
        <v>254</v>
      </c>
      <c r="F33" s="34">
        <f t="shared" si="9"/>
        <v>255</v>
      </c>
      <c r="G33" s="34">
        <f t="shared" si="10"/>
        <v>245</v>
      </c>
      <c r="H33" s="34">
        <f t="shared" si="11"/>
        <v>232</v>
      </c>
      <c r="I33" s="99">
        <f t="shared" si="12"/>
        <v>235</v>
      </c>
      <c r="K33" s="59"/>
      <c r="L33" s="59"/>
      <c r="P33" s="280"/>
    </row>
    <row r="34" spans="1:27" x14ac:dyDescent="0.25">
      <c r="A34" s="25">
        <f t="shared" si="13"/>
        <v>2029</v>
      </c>
      <c r="B34" s="37">
        <f>'P1 Catchment Projections'!M10+'P1 Catchment Projections'!M11+'P1 Catchment Projections'!M12+'P1 Catchment Projections'!M13</f>
        <v>268</v>
      </c>
      <c r="C34" s="34">
        <f t="shared" si="6"/>
        <v>257</v>
      </c>
      <c r="D34" s="34">
        <f t="shared" si="7"/>
        <v>254</v>
      </c>
      <c r="E34" s="34">
        <f t="shared" si="8"/>
        <v>256</v>
      </c>
      <c r="F34" s="34">
        <f t="shared" si="9"/>
        <v>257</v>
      </c>
      <c r="G34" s="34">
        <f t="shared" si="10"/>
        <v>249</v>
      </c>
      <c r="H34" s="34">
        <f t="shared" si="11"/>
        <v>249</v>
      </c>
      <c r="I34" s="99">
        <f t="shared" si="12"/>
        <v>222</v>
      </c>
      <c r="K34" s="59"/>
      <c r="L34" s="59"/>
      <c r="Z34" s="109"/>
      <c r="AA34" s="109"/>
    </row>
    <row r="35" spans="1:27" x14ac:dyDescent="0.25">
      <c r="A35" s="25">
        <f t="shared" si="13"/>
        <v>2030</v>
      </c>
      <c r="B35" s="37">
        <f>'P1 Catchment Projections'!N10+'P1 Catchment Projections'!N11+'P1 Catchment Projections'!N12+'P1 Catchment Projections'!N13</f>
        <v>269</v>
      </c>
      <c r="C35" s="34">
        <f t="shared" si="6"/>
        <v>258</v>
      </c>
      <c r="D35" s="34">
        <f t="shared" si="7"/>
        <v>256</v>
      </c>
      <c r="E35" s="34">
        <f t="shared" si="8"/>
        <v>258</v>
      </c>
      <c r="F35" s="34">
        <f t="shared" si="9"/>
        <v>259</v>
      </c>
      <c r="G35" s="34">
        <f t="shared" si="10"/>
        <v>251</v>
      </c>
      <c r="H35" s="34">
        <f t="shared" si="11"/>
        <v>254</v>
      </c>
      <c r="I35" s="99">
        <f t="shared" si="12"/>
        <v>238</v>
      </c>
      <c r="K35" s="59"/>
      <c r="L35" s="59"/>
      <c r="Z35" s="109"/>
      <c r="AA35" s="109"/>
    </row>
    <row r="36" spans="1:27" x14ac:dyDescent="0.25">
      <c r="A36" s="25">
        <f t="shared" si="13"/>
        <v>2031</v>
      </c>
      <c r="B36" s="37">
        <f>'P1 Catchment Projections'!O10+'P1 Catchment Projections'!O11+'P1 Catchment Projections'!O12+'P1 Catchment Projections'!O13</f>
        <v>269</v>
      </c>
      <c r="C36" s="34">
        <f t="shared" si="6"/>
        <v>259</v>
      </c>
      <c r="D36" s="34">
        <f t="shared" si="7"/>
        <v>257</v>
      </c>
      <c r="E36" s="34">
        <f t="shared" si="8"/>
        <v>260</v>
      </c>
      <c r="F36" s="34">
        <f t="shared" si="9"/>
        <v>261</v>
      </c>
      <c r="G36" s="34">
        <f t="shared" si="10"/>
        <v>253</v>
      </c>
      <c r="H36" s="34">
        <f t="shared" si="11"/>
        <v>256</v>
      </c>
      <c r="I36" s="99">
        <f t="shared" si="12"/>
        <v>243</v>
      </c>
      <c r="K36" s="59"/>
      <c r="L36" s="59"/>
      <c r="Z36" s="109"/>
      <c r="AA36" s="109"/>
    </row>
    <row r="37" spans="1:27" x14ac:dyDescent="0.25">
      <c r="A37" s="25">
        <f t="shared" si="13"/>
        <v>2032</v>
      </c>
      <c r="B37" s="37">
        <f>'P1 Catchment Projections'!P10+'P1 Catchment Projections'!P11+'P1 Catchment Projections'!P12+'P1 Catchment Projections'!P13</f>
        <v>269</v>
      </c>
      <c r="C37" s="34">
        <f t="shared" si="6"/>
        <v>259</v>
      </c>
      <c r="D37" s="34">
        <f t="shared" si="7"/>
        <v>258</v>
      </c>
      <c r="E37" s="34">
        <f t="shared" si="8"/>
        <v>261</v>
      </c>
      <c r="F37" s="34">
        <f t="shared" si="9"/>
        <v>263</v>
      </c>
      <c r="G37" s="34">
        <f t="shared" si="10"/>
        <v>255</v>
      </c>
      <c r="H37" s="34">
        <f t="shared" si="11"/>
        <v>258</v>
      </c>
      <c r="I37" s="99">
        <f t="shared" si="12"/>
        <v>245</v>
      </c>
      <c r="K37" s="59"/>
      <c r="L37" s="59"/>
      <c r="Z37" s="109"/>
      <c r="AA37" s="109"/>
    </row>
    <row r="38" spans="1:27" x14ac:dyDescent="0.25">
      <c r="K38" s="59"/>
      <c r="L38" s="59"/>
    </row>
    <row r="39" spans="1:27" x14ac:dyDescent="0.25">
      <c r="A39" s="21" t="s">
        <v>233</v>
      </c>
      <c r="K39" s="394" t="s">
        <v>190</v>
      </c>
      <c r="L39" s="55"/>
      <c r="M39" s="394" t="s">
        <v>203</v>
      </c>
      <c r="N39" s="106"/>
      <c r="O39" s="395" t="s">
        <v>204</v>
      </c>
      <c r="R39" s="21" t="s">
        <v>234</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253</v>
      </c>
      <c r="C41" s="34">
        <f>C24+VLOOKUP($A$1,'Pri Housing Generation'!$A$96:$DQ$118, 11, FALSE)</f>
        <v>251</v>
      </c>
      <c r="D41" s="42">
        <f>D24+VLOOKUP($A$1,'Pri Housing Generation'!$A$96:$DQ$118, 12, FALSE)</f>
        <v>260</v>
      </c>
      <c r="E41" s="43">
        <f>E24+VLOOKUP($A$1,'Pri Housing Generation'!$A$96:$DQ$118, 13, FALSE)</f>
        <v>276</v>
      </c>
      <c r="F41" s="41">
        <f>F24+VLOOKUP($A$1,'Pri Housing Generation'!$A$96:$DQ$118, 14, FALSE)</f>
        <v>236</v>
      </c>
      <c r="G41" s="42">
        <f>G24+VLOOKUP($A$1,'Pri Housing Generation'!$A$96:$DQ$118, 15, FALSE)</f>
        <v>246</v>
      </c>
      <c r="H41" s="43">
        <f>H24+VLOOKUP($A$1,'Pri Housing Generation'!$A$96:$DQ$118, 16, FALSE)</f>
        <v>254</v>
      </c>
      <c r="I41" s="99">
        <f>ROUNDUP((H18-(H18*$I$20)),0)</f>
        <v>211</v>
      </c>
      <c r="K41" s="35">
        <f>'Sec Housing Generation'!I5</f>
        <v>0</v>
      </c>
      <c r="L41" s="83"/>
      <c r="M41" s="107">
        <f t="shared" ref="M41:M54" si="14">$K$20</f>
        <v>0.86049422028132849</v>
      </c>
      <c r="O41" s="35">
        <f t="shared" ref="O41:O54" si="15">ROUNDUP(((I41+K41)*M41),0)</f>
        <v>182</v>
      </c>
      <c r="Q41" s="25">
        <f>A41</f>
        <v>2019</v>
      </c>
      <c r="R41" s="20">
        <f t="shared" ref="R41:R54" si="16">IF(O41&lt;$C$7,(IF((O41+$O$20)&gt;$C$7,$C$7,(O41+$O$20))),(IF((O41+$O$20)&lt;(CEILING((O41),20)),(O41+$O$20),(CEILING((O41),20)))))</f>
        <v>220</v>
      </c>
      <c r="S41" s="53">
        <f>R18</f>
        <v>205</v>
      </c>
      <c r="T41" s="67">
        <f>S18</f>
        <v>196</v>
      </c>
      <c r="U41" s="69">
        <f>T18</f>
        <v>210</v>
      </c>
      <c r="V41" s="41">
        <f>ROUNDUP((U18-(U18*$V$20)),0)</f>
        <v>187</v>
      </c>
      <c r="W41" s="42">
        <f>ROUNDUP((V18-(V18*$W$20)),0)</f>
        <v>113</v>
      </c>
      <c r="X41" s="101">
        <f t="shared" ref="X41:X54" si="17">SUM(R41:W41)</f>
        <v>1131</v>
      </c>
    </row>
    <row r="42" spans="1:27" x14ac:dyDescent="0.25">
      <c r="A42" s="25">
        <f t="shared" ref="A42:A54" si="18">A25</f>
        <v>2020</v>
      </c>
      <c r="B42" s="37">
        <f>B25+VLOOKUP($A$1,'Pri Housing Generation'!$A$96:$DQ$118, 18, FALSE)</f>
        <v>267</v>
      </c>
      <c r="C42" s="34">
        <f>C25+VLOOKUP($A$1,'Pri Housing Generation'!$A$96:$DQ$118, 19, FALSE)</f>
        <v>246</v>
      </c>
      <c r="D42" s="34">
        <f>D25+VLOOKUP($A$1,'Pri Housing Generation'!$A$96:$DQ$118, 20, FALSE)</f>
        <v>253</v>
      </c>
      <c r="E42" s="42">
        <f>E25+VLOOKUP($A$1,'Pri Housing Generation'!$A$96:$DQ$118, 21, FALSE)</f>
        <v>266</v>
      </c>
      <c r="F42" s="43">
        <f>F25+VLOOKUP($A$1,'Pri Housing Generation'!$A$96:$DQ$118, 22, FALSE)</f>
        <v>281</v>
      </c>
      <c r="G42" s="41">
        <f>G25+VLOOKUP($A$1,'Pri Housing Generation'!$A$96:$DQ$118, 23, FALSE)</f>
        <v>233</v>
      </c>
      <c r="H42" s="42">
        <f>H25+VLOOKUP($A$1,'Pri Housing Generation'!$A$96:$DQ$118, 24, FALSE)</f>
        <v>252</v>
      </c>
      <c r="I42" s="99">
        <f t="shared" ref="I42:I54" si="19">ROUNDUP((H41-(H41*$I$20)),0)</f>
        <v>243</v>
      </c>
      <c r="K42" s="35">
        <f>'Sec Housing Generation'!P5</f>
        <v>2</v>
      </c>
      <c r="L42" s="83"/>
      <c r="M42" s="107">
        <f t="shared" si="14"/>
        <v>0.86049422028132849</v>
      </c>
      <c r="O42" s="35">
        <f t="shared" si="15"/>
        <v>211</v>
      </c>
      <c r="Q42" s="25">
        <f t="shared" ref="Q42:Q54" si="20">A42</f>
        <v>2020</v>
      </c>
      <c r="R42" s="20">
        <f t="shared" si="16"/>
        <v>220</v>
      </c>
      <c r="S42" s="53">
        <f t="shared" ref="S42:U54" si="21">R41</f>
        <v>220</v>
      </c>
      <c r="T42" s="53">
        <f t="shared" si="21"/>
        <v>205</v>
      </c>
      <c r="U42" s="67">
        <f t="shared" si="21"/>
        <v>196</v>
      </c>
      <c r="V42" s="43">
        <f t="shared" ref="V42:V54" si="22">ROUNDUP((U41-(U41*$V$20)),0)</f>
        <v>181</v>
      </c>
      <c r="W42" s="41">
        <f t="shared" ref="W42:W54" si="23">ROUNDUP((V41-(V41*$W$20)),0)</f>
        <v>123</v>
      </c>
      <c r="X42" s="101">
        <f t="shared" si="17"/>
        <v>1145</v>
      </c>
    </row>
    <row r="43" spans="1:27" x14ac:dyDescent="0.25">
      <c r="A43" s="25">
        <f t="shared" si="18"/>
        <v>2021</v>
      </c>
      <c r="B43" s="37">
        <f>B26+VLOOKUP($A$1,'Pri Housing Generation'!$A$96:$DQ$118, 26, FALSE)</f>
        <v>259</v>
      </c>
      <c r="C43" s="34">
        <f>C26+VLOOKUP($A$1,'Pri Housing Generation'!$A$96:$DQ$118, 27, FALSE)</f>
        <v>260</v>
      </c>
      <c r="D43" s="34">
        <f>D26+VLOOKUP($A$1,'Pri Housing Generation'!$A$96:$DQ$118, 28, FALSE)</f>
        <v>248</v>
      </c>
      <c r="E43" s="34">
        <f>E26+VLOOKUP($A$1,'Pri Housing Generation'!$A$96:$DQ$118, 29, FALSE)</f>
        <v>260</v>
      </c>
      <c r="F43" s="42">
        <f>F26+VLOOKUP($A$1,'Pri Housing Generation'!$A$96:$DQ$118, 30, FALSE)</f>
        <v>273</v>
      </c>
      <c r="G43" s="43">
        <f>G26+VLOOKUP($A$1,'Pri Housing Generation'!$A$96:$DQ$118, 31, FALSE)</f>
        <v>278</v>
      </c>
      <c r="H43" s="41">
        <f>H26+VLOOKUP($A$1,'Pri Housing Generation'!$A$96:$DQ$118, 32, FALSE)</f>
        <v>239</v>
      </c>
      <c r="I43" s="99">
        <f t="shared" si="19"/>
        <v>241</v>
      </c>
      <c r="K43" s="35">
        <f>'Sec Housing Generation'!W5</f>
        <v>4</v>
      </c>
      <c r="L43" s="83"/>
      <c r="M43" s="107">
        <f t="shared" si="14"/>
        <v>0.86049422028132849</v>
      </c>
      <c r="O43" s="35">
        <f t="shared" si="15"/>
        <v>211</v>
      </c>
      <c r="Q43" s="25">
        <f t="shared" si="20"/>
        <v>2021</v>
      </c>
      <c r="R43" s="20">
        <f t="shared" si="16"/>
        <v>220</v>
      </c>
      <c r="S43" s="53">
        <f t="shared" si="21"/>
        <v>220</v>
      </c>
      <c r="T43" s="53">
        <f t="shared" si="21"/>
        <v>220</v>
      </c>
      <c r="U43" s="53">
        <f t="shared" si="21"/>
        <v>205</v>
      </c>
      <c r="V43" s="42">
        <f t="shared" si="22"/>
        <v>169</v>
      </c>
      <c r="W43" s="43">
        <f t="shared" si="23"/>
        <v>119</v>
      </c>
      <c r="X43" s="101">
        <f t="shared" si="17"/>
        <v>1153</v>
      </c>
    </row>
    <row r="44" spans="1:27" x14ac:dyDescent="0.25">
      <c r="A44" s="25">
        <f t="shared" si="18"/>
        <v>2022</v>
      </c>
      <c r="B44" s="37">
        <f>B27+VLOOKUP($A$1,'Pri Housing Generation'!$A$96:$DQ$118, 34, FALSE)</f>
        <v>245</v>
      </c>
      <c r="C44" s="34">
        <f>C27+VLOOKUP($A$1,'Pri Housing Generation'!$A$96:$DQ$118, 35, FALSE)</f>
        <v>251</v>
      </c>
      <c r="D44" s="34">
        <f>D27+VLOOKUP($A$1,'Pri Housing Generation'!$A$96:$DQ$118, 36, FALSE)</f>
        <v>262</v>
      </c>
      <c r="E44" s="34">
        <f>E27+VLOOKUP($A$1,'Pri Housing Generation'!$A$96:$DQ$118, 37, FALSE)</f>
        <v>254</v>
      </c>
      <c r="F44" s="34">
        <f>F27+VLOOKUP($A$1,'Pri Housing Generation'!$A$96:$DQ$118, 38, FALSE)</f>
        <v>265</v>
      </c>
      <c r="G44" s="42">
        <f>G27+VLOOKUP($A$1,'Pri Housing Generation'!$A$96:$DQ$118, 39, FALSE)</f>
        <v>268</v>
      </c>
      <c r="H44" s="43">
        <f>H27+VLOOKUP($A$1,'Pri Housing Generation'!$A$96:$DQ$118, 40, FALSE)</f>
        <v>285</v>
      </c>
      <c r="I44" s="99">
        <f t="shared" si="19"/>
        <v>229</v>
      </c>
      <c r="K44" s="35">
        <f>'Sec Housing Generation'!AD5</f>
        <v>5</v>
      </c>
      <c r="L44" s="83"/>
      <c r="M44" s="107">
        <f t="shared" si="14"/>
        <v>0.86049422028132849</v>
      </c>
      <c r="O44" s="35">
        <f t="shared" si="15"/>
        <v>202</v>
      </c>
      <c r="Q44" s="25">
        <f t="shared" si="20"/>
        <v>2022</v>
      </c>
      <c r="R44" s="20">
        <f t="shared" si="16"/>
        <v>220</v>
      </c>
      <c r="S44" s="53">
        <f t="shared" si="21"/>
        <v>220</v>
      </c>
      <c r="T44" s="53">
        <f t="shared" si="21"/>
        <v>220</v>
      </c>
      <c r="U44" s="53">
        <f t="shared" si="21"/>
        <v>220</v>
      </c>
      <c r="V44" s="34">
        <f t="shared" si="22"/>
        <v>177</v>
      </c>
      <c r="W44" s="42">
        <f t="shared" si="23"/>
        <v>111</v>
      </c>
      <c r="X44" s="101">
        <f t="shared" si="17"/>
        <v>1168</v>
      </c>
    </row>
    <row r="45" spans="1:27" x14ac:dyDescent="0.25">
      <c r="A45" s="25">
        <f t="shared" si="18"/>
        <v>2023</v>
      </c>
      <c r="B45" s="37">
        <f>B28+VLOOKUP($A$1,'Pri Housing Generation'!$A$96:$DQ$118, 42, FALSE)</f>
        <v>265</v>
      </c>
      <c r="C45" s="34">
        <f>C28+VLOOKUP($A$1,'Pri Housing Generation'!$A$96:$DQ$118, 43, FALSE)</f>
        <v>236</v>
      </c>
      <c r="D45" s="34">
        <f>D28+VLOOKUP($A$1,'Pri Housing Generation'!$A$96:$DQ$118, 44, FALSE)</f>
        <v>250</v>
      </c>
      <c r="E45" s="34">
        <f>E28+VLOOKUP($A$1,'Pri Housing Generation'!$A$96:$DQ$118, 45, FALSE)</f>
        <v>266</v>
      </c>
      <c r="F45" s="34">
        <f>F28+VLOOKUP($A$1,'Pri Housing Generation'!$A$96:$DQ$118, 46, FALSE)</f>
        <v>258</v>
      </c>
      <c r="G45" s="34">
        <f>G28+VLOOKUP($A$1,'Pri Housing Generation'!$A$96:$DQ$118, 47, FALSE)</f>
        <v>259</v>
      </c>
      <c r="H45" s="42">
        <f>H28+VLOOKUP($A$1,'Pri Housing Generation'!$A$96:$DQ$118, 48, FALSE)</f>
        <v>274</v>
      </c>
      <c r="I45" s="99">
        <f t="shared" si="19"/>
        <v>272</v>
      </c>
      <c r="J45" s="181"/>
      <c r="K45" s="35">
        <f>'Sec Housing Generation'!AK5</f>
        <v>5</v>
      </c>
      <c r="L45" s="83"/>
      <c r="M45" s="107">
        <f t="shared" si="14"/>
        <v>0.86049422028132849</v>
      </c>
      <c r="O45" s="35">
        <f t="shared" si="15"/>
        <v>239</v>
      </c>
      <c r="Q45" s="25">
        <f t="shared" si="20"/>
        <v>2023</v>
      </c>
      <c r="R45" s="20">
        <f t="shared" si="16"/>
        <v>240</v>
      </c>
      <c r="S45" s="53">
        <f t="shared" si="21"/>
        <v>220</v>
      </c>
      <c r="T45" s="53">
        <f t="shared" si="21"/>
        <v>220</v>
      </c>
      <c r="U45" s="53">
        <f t="shared" si="21"/>
        <v>220</v>
      </c>
      <c r="V45" s="34">
        <f t="shared" si="22"/>
        <v>190</v>
      </c>
      <c r="W45" s="34">
        <f t="shared" si="23"/>
        <v>116</v>
      </c>
      <c r="X45" s="101">
        <f t="shared" si="17"/>
        <v>1206</v>
      </c>
    </row>
    <row r="46" spans="1:27" x14ac:dyDescent="0.25">
      <c r="A46" s="25">
        <f t="shared" si="18"/>
        <v>2024</v>
      </c>
      <c r="B46" s="37">
        <f>B29+VLOOKUP($A$1,'Pri Housing Generation'!$A$96:$DQ$118, 50, FALSE)</f>
        <v>272</v>
      </c>
      <c r="C46" s="34">
        <f>C29+VLOOKUP($A$1,'Pri Housing Generation'!$A$96:$DQ$118, 51, FALSE)</f>
        <v>257</v>
      </c>
      <c r="D46" s="34">
        <f>D29+VLOOKUP($A$1,'Pri Housing Generation'!$A$96:$DQ$118, 52, FALSE)</f>
        <v>238</v>
      </c>
      <c r="E46" s="34">
        <f>E29+VLOOKUP($A$1,'Pri Housing Generation'!$A$96:$DQ$118, 53, FALSE)</f>
        <v>257</v>
      </c>
      <c r="F46" s="34">
        <f>F29+VLOOKUP($A$1,'Pri Housing Generation'!$A$96:$DQ$118, 54, FALSE)</f>
        <v>272</v>
      </c>
      <c r="G46" s="34">
        <f>G29+VLOOKUP($A$1,'Pri Housing Generation'!$A$96:$DQ$118, 55, FALSE)</f>
        <v>254</v>
      </c>
      <c r="H46" s="34">
        <f>H29+VLOOKUP($A$1,'Pri Housing Generation'!$A$96:$DQ$118, 56, FALSE)</f>
        <v>267</v>
      </c>
      <c r="I46" s="99">
        <f t="shared" si="19"/>
        <v>262</v>
      </c>
      <c r="J46" s="181"/>
      <c r="K46" s="35">
        <f>'Sec Housing Generation'!AR5</f>
        <v>7</v>
      </c>
      <c r="L46" s="83"/>
      <c r="M46" s="107">
        <f>K20</f>
        <v>0.86049422028132849</v>
      </c>
      <c r="O46" s="35">
        <f t="shared" si="15"/>
        <v>232</v>
      </c>
      <c r="Q46" s="25">
        <f t="shared" si="20"/>
        <v>2024</v>
      </c>
      <c r="R46" s="20">
        <f t="shared" si="16"/>
        <v>240</v>
      </c>
      <c r="S46" s="53">
        <f t="shared" si="21"/>
        <v>240</v>
      </c>
      <c r="T46" s="53">
        <f t="shared" si="21"/>
        <v>220</v>
      </c>
      <c r="U46" s="53">
        <f t="shared" si="21"/>
        <v>220</v>
      </c>
      <c r="V46" s="34">
        <f t="shared" si="22"/>
        <v>190</v>
      </c>
      <c r="W46" s="34">
        <f t="shared" si="23"/>
        <v>125</v>
      </c>
      <c r="X46" s="101">
        <f t="shared" si="17"/>
        <v>1235</v>
      </c>
    </row>
    <row r="47" spans="1:27" x14ac:dyDescent="0.25">
      <c r="A47" s="25">
        <f t="shared" si="18"/>
        <v>2025</v>
      </c>
      <c r="B47" s="37">
        <f>B30+VLOOKUP($A$1,'Pri Housing Generation'!$A$96:$DQ$118, 58, FALSE)</f>
        <v>279</v>
      </c>
      <c r="C47" s="34">
        <f>C30+VLOOKUP($A$1,'Pri Housing Generation'!$A$96:$DQ$118, 59, FALSE)</f>
        <v>266</v>
      </c>
      <c r="D47" s="34">
        <f>D30+VLOOKUP($A$1,'Pri Housing Generation'!$A$96:$DQ$118, 60, FALSE)</f>
        <v>261</v>
      </c>
      <c r="E47" s="34">
        <f>E30+VLOOKUP($A$1,'Pri Housing Generation'!$A$96:$DQ$118, 61, FALSE)</f>
        <v>246</v>
      </c>
      <c r="F47" s="34">
        <f>F30+VLOOKUP($A$1,'Pri Housing Generation'!$A$96:$DQ$118, 62, FALSE)</f>
        <v>264</v>
      </c>
      <c r="G47" s="34">
        <f>G30+VLOOKUP($A$1,'Pri Housing Generation'!$A$96:$DQ$118, 63, FALSE)</f>
        <v>269</v>
      </c>
      <c r="H47" s="34">
        <f>H30+VLOOKUP($A$1,'Pri Housing Generation'!$A$96:$DQ$118, 64, FALSE)</f>
        <v>262</v>
      </c>
      <c r="I47" s="99">
        <f t="shared" si="19"/>
        <v>255</v>
      </c>
      <c r="J47" s="181"/>
      <c r="K47" s="83"/>
      <c r="L47" s="83"/>
      <c r="M47" s="107">
        <f t="shared" si="14"/>
        <v>0.86049422028132849</v>
      </c>
      <c r="O47" s="35">
        <f t="shared" si="15"/>
        <v>220</v>
      </c>
      <c r="Q47" s="25">
        <f t="shared" si="20"/>
        <v>2025</v>
      </c>
      <c r="R47" s="20">
        <f t="shared" si="16"/>
        <v>220</v>
      </c>
      <c r="S47" s="53">
        <f t="shared" si="21"/>
        <v>240</v>
      </c>
      <c r="T47" s="53">
        <f t="shared" si="21"/>
        <v>240</v>
      </c>
      <c r="U47" s="53">
        <f t="shared" si="21"/>
        <v>220</v>
      </c>
      <c r="V47" s="34">
        <f t="shared" si="22"/>
        <v>190</v>
      </c>
      <c r="W47" s="34">
        <f t="shared" si="23"/>
        <v>125</v>
      </c>
      <c r="X47" s="101">
        <f t="shared" si="17"/>
        <v>1235</v>
      </c>
    </row>
    <row r="48" spans="1:27" x14ac:dyDescent="0.25">
      <c r="A48" s="25">
        <f t="shared" si="18"/>
        <v>2026</v>
      </c>
      <c r="B48" s="37">
        <f>B31+VLOOKUP($A$1,'Pri Housing Generation'!$A$96:$DQ$118, 66, FALSE)</f>
        <v>284</v>
      </c>
      <c r="C48" s="34">
        <f>C31+VLOOKUP($A$1,'Pri Housing Generation'!$A$96:$DQ$118, 67, FALSE)</f>
        <v>272</v>
      </c>
      <c r="D48" s="34">
        <f>D31+VLOOKUP($A$1,'Pri Housing Generation'!$A$96:$DQ$118, 68, FALSE)</f>
        <v>269</v>
      </c>
      <c r="E48" s="34">
        <f>E31+VLOOKUP($A$1,'Pri Housing Generation'!$A$96:$DQ$118, 69, FALSE)</f>
        <v>269</v>
      </c>
      <c r="F48" s="34">
        <f>F31+VLOOKUP($A$1,'Pri Housing Generation'!$A$96:$DQ$118, 70, FALSE)</f>
        <v>254</v>
      </c>
      <c r="G48" s="34">
        <f>G31+VLOOKUP($A$1,'Pri Housing Generation'!$A$96:$DQ$118, 71, FALSE)</f>
        <v>262</v>
      </c>
      <c r="H48" s="34">
        <f>H31+VLOOKUP($A$1,'Pri Housing Generation'!$A$96:$DQ$118, 72, FALSE)</f>
        <v>277</v>
      </c>
      <c r="I48" s="99">
        <f t="shared" si="19"/>
        <v>251</v>
      </c>
      <c r="J48" s="181"/>
      <c r="K48" s="83"/>
      <c r="L48" s="83"/>
      <c r="M48" s="107">
        <f t="shared" si="14"/>
        <v>0.86049422028132849</v>
      </c>
      <c r="O48" s="35">
        <f t="shared" si="15"/>
        <v>216</v>
      </c>
      <c r="Q48" s="25">
        <f t="shared" si="20"/>
        <v>2026</v>
      </c>
      <c r="R48" s="20">
        <f t="shared" si="16"/>
        <v>220</v>
      </c>
      <c r="S48" s="53">
        <f t="shared" si="21"/>
        <v>220</v>
      </c>
      <c r="T48" s="53">
        <f t="shared" si="21"/>
        <v>240</v>
      </c>
      <c r="U48" s="53">
        <f t="shared" si="21"/>
        <v>240</v>
      </c>
      <c r="V48" s="34">
        <f t="shared" si="22"/>
        <v>190</v>
      </c>
      <c r="W48" s="34">
        <f t="shared" si="23"/>
        <v>125</v>
      </c>
      <c r="X48" s="101">
        <f t="shared" si="17"/>
        <v>1235</v>
      </c>
    </row>
    <row r="49" spans="1:24" x14ac:dyDescent="0.25">
      <c r="A49" s="25">
        <f t="shared" si="18"/>
        <v>2027</v>
      </c>
      <c r="B49" s="37">
        <f>B32+VLOOKUP($A$1,'Pri Housing Generation'!$A$96:$DQ$118, 74, FALSE)</f>
        <v>290</v>
      </c>
      <c r="C49" s="34">
        <f>C32+VLOOKUP($A$1,'Pri Housing Generation'!$A$96:$DQ$118, 75, FALSE)</f>
        <v>278</v>
      </c>
      <c r="D49" s="34">
        <f>D32+VLOOKUP($A$1,'Pri Housing Generation'!$A$96:$DQ$118, 76, FALSE)</f>
        <v>275</v>
      </c>
      <c r="E49" s="34">
        <f>E32+VLOOKUP($A$1,'Pri Housing Generation'!$A$96:$DQ$118, 77, FALSE)</f>
        <v>277</v>
      </c>
      <c r="F49" s="34">
        <f>F32+VLOOKUP($A$1,'Pri Housing Generation'!$A$96:$DQ$118, 78, FALSE)</f>
        <v>276</v>
      </c>
      <c r="G49" s="34">
        <f>G32+VLOOKUP($A$1,'Pri Housing Generation'!$A$96:$DQ$118, 79, FALSE)</f>
        <v>251</v>
      </c>
      <c r="H49" s="34">
        <f>H32+VLOOKUP($A$1,'Pri Housing Generation'!$A$96:$DQ$118, 80, FALSE)</f>
        <v>268</v>
      </c>
      <c r="I49" s="99">
        <f t="shared" si="19"/>
        <v>265</v>
      </c>
      <c r="J49" s="181"/>
      <c r="K49" s="83"/>
      <c r="L49" s="83"/>
      <c r="M49" s="107">
        <f t="shared" si="14"/>
        <v>0.86049422028132849</v>
      </c>
      <c r="O49" s="35">
        <f t="shared" si="15"/>
        <v>229</v>
      </c>
      <c r="Q49" s="25">
        <f t="shared" si="20"/>
        <v>2027</v>
      </c>
      <c r="R49" s="20">
        <f t="shared" si="16"/>
        <v>240</v>
      </c>
      <c r="S49" s="53">
        <f t="shared" si="21"/>
        <v>220</v>
      </c>
      <c r="T49" s="53">
        <f t="shared" si="21"/>
        <v>220</v>
      </c>
      <c r="U49" s="53">
        <f t="shared" si="21"/>
        <v>240</v>
      </c>
      <c r="V49" s="34">
        <f t="shared" si="22"/>
        <v>207</v>
      </c>
      <c r="W49" s="34">
        <f t="shared" si="23"/>
        <v>125</v>
      </c>
      <c r="X49" s="101">
        <f t="shared" si="17"/>
        <v>1252</v>
      </c>
    </row>
    <row r="50" spans="1:24" x14ac:dyDescent="0.25">
      <c r="A50" s="25">
        <f t="shared" si="18"/>
        <v>2028</v>
      </c>
      <c r="B50" s="37">
        <f>B33+VLOOKUP($A$1,'Pri Housing Generation'!$A$96:$DQ$118, 82, FALSE)</f>
        <v>298</v>
      </c>
      <c r="C50" s="34">
        <f>C33+VLOOKUP($A$1,'Pri Housing Generation'!$A$96:$DQ$118, 83, FALSE)</f>
        <v>286</v>
      </c>
      <c r="D50" s="34">
        <f>D33+VLOOKUP($A$1,'Pri Housing Generation'!$A$96:$DQ$118, 84, FALSE)</f>
        <v>283</v>
      </c>
      <c r="E50" s="34">
        <f>E33+VLOOKUP($A$1,'Pri Housing Generation'!$A$96:$DQ$118, 85, FALSE)</f>
        <v>285</v>
      </c>
      <c r="F50" s="34">
        <f>F33+VLOOKUP($A$1,'Pri Housing Generation'!$A$96:$DQ$118, 86, FALSE)</f>
        <v>286</v>
      </c>
      <c r="G50" s="34">
        <f>G33+VLOOKUP($A$1,'Pri Housing Generation'!$A$96:$DQ$118, 87, FALSE)</f>
        <v>274</v>
      </c>
      <c r="H50" s="34">
        <f>H33+VLOOKUP($A$1,'Pri Housing Generation'!$A$96:$DQ$118, 88, FALSE)</f>
        <v>260</v>
      </c>
      <c r="I50" s="99">
        <f t="shared" si="19"/>
        <v>256</v>
      </c>
      <c r="J50" s="181"/>
      <c r="K50" s="83"/>
      <c r="L50" s="83"/>
      <c r="M50" s="107">
        <f t="shared" si="14"/>
        <v>0.86049422028132849</v>
      </c>
      <c r="O50" s="35">
        <f t="shared" si="15"/>
        <v>221</v>
      </c>
      <c r="Q50" s="25">
        <f t="shared" si="20"/>
        <v>2028</v>
      </c>
      <c r="R50" s="20">
        <f t="shared" si="16"/>
        <v>240</v>
      </c>
      <c r="S50" s="53">
        <f t="shared" si="21"/>
        <v>240</v>
      </c>
      <c r="T50" s="53">
        <f t="shared" si="21"/>
        <v>220</v>
      </c>
      <c r="U50" s="53">
        <f t="shared" si="21"/>
        <v>220</v>
      </c>
      <c r="V50" s="34">
        <f t="shared" si="22"/>
        <v>207</v>
      </c>
      <c r="W50" s="34">
        <f t="shared" si="23"/>
        <v>136</v>
      </c>
      <c r="X50" s="101">
        <f t="shared" si="17"/>
        <v>1263</v>
      </c>
    </row>
    <row r="51" spans="1:24" x14ac:dyDescent="0.25">
      <c r="A51" s="25">
        <f t="shared" si="18"/>
        <v>2029</v>
      </c>
      <c r="B51" s="37">
        <f>B34+VLOOKUP($A$1,'Pri Housing Generation'!$A$96:$DQ$118, 90, FALSE)</f>
        <v>301</v>
      </c>
      <c r="C51" s="34">
        <f>C34+VLOOKUP($A$1,'Pri Housing Generation'!$A$96:$DQ$118, 91, FALSE)</f>
        <v>290</v>
      </c>
      <c r="D51" s="34">
        <f>D34+VLOOKUP($A$1,'Pri Housing Generation'!$A$96:$DQ$118, 92, FALSE)</f>
        <v>287</v>
      </c>
      <c r="E51" s="34">
        <f>E34+VLOOKUP($A$1,'Pri Housing Generation'!$A$96:$DQ$118, 93, FALSE)</f>
        <v>289</v>
      </c>
      <c r="F51" s="34">
        <f>F34+VLOOKUP($A$1,'Pri Housing Generation'!$A$96:$DQ$118, 94, FALSE)</f>
        <v>290</v>
      </c>
      <c r="G51" s="34">
        <f>G34+VLOOKUP($A$1,'Pri Housing Generation'!$A$96:$DQ$118, 95, FALSE)</f>
        <v>280</v>
      </c>
      <c r="H51" s="34">
        <f>H34+VLOOKUP($A$1,'Pri Housing Generation'!$A$96:$DQ$118, 96, FALSE)</f>
        <v>279</v>
      </c>
      <c r="I51" s="99">
        <f t="shared" si="19"/>
        <v>249</v>
      </c>
      <c r="J51" s="181"/>
      <c r="K51" s="83"/>
      <c r="L51" s="83"/>
      <c r="M51" s="107">
        <f t="shared" si="14"/>
        <v>0.86049422028132849</v>
      </c>
      <c r="O51" s="35">
        <f t="shared" si="15"/>
        <v>215</v>
      </c>
      <c r="Q51" s="25">
        <f t="shared" si="20"/>
        <v>2029</v>
      </c>
      <c r="R51" s="20">
        <f t="shared" si="16"/>
        <v>220</v>
      </c>
      <c r="S51" s="53">
        <f t="shared" si="21"/>
        <v>240</v>
      </c>
      <c r="T51" s="53">
        <f t="shared" si="21"/>
        <v>240</v>
      </c>
      <c r="U51" s="53">
        <f t="shared" si="21"/>
        <v>220</v>
      </c>
      <c r="V51" s="34">
        <f t="shared" si="22"/>
        <v>190</v>
      </c>
      <c r="W51" s="34">
        <f t="shared" si="23"/>
        <v>136</v>
      </c>
      <c r="X51" s="101">
        <f t="shared" si="17"/>
        <v>1246</v>
      </c>
    </row>
    <row r="52" spans="1:24" x14ac:dyDescent="0.25">
      <c r="A52" s="25">
        <f t="shared" si="18"/>
        <v>2030</v>
      </c>
      <c r="B52" s="37">
        <f>B35+VLOOKUP($A$1,'Pri Housing Generation'!$A$96:$DQ$118, 98, FALSE)</f>
        <v>304</v>
      </c>
      <c r="C52" s="34">
        <f>C35+VLOOKUP($A$1,'Pri Housing Generation'!$A$96:$DQ$118, 99, FALSE)</f>
        <v>293</v>
      </c>
      <c r="D52" s="34">
        <f>D35+VLOOKUP($A$1,'Pri Housing Generation'!$A$96:$DQ$118, 100, FALSE)</f>
        <v>291</v>
      </c>
      <c r="E52" s="34">
        <f>E35+VLOOKUP($A$1,'Pri Housing Generation'!$A$96:$DQ$118, 101, FALSE)</f>
        <v>293</v>
      </c>
      <c r="F52" s="34">
        <f>F35+VLOOKUP($A$1,'Pri Housing Generation'!$A$96:$DQ$118, 102, FALSE)</f>
        <v>294</v>
      </c>
      <c r="G52" s="34">
        <f>G35+VLOOKUP($A$1,'Pri Housing Generation'!$A$96:$DQ$118, 103, FALSE)</f>
        <v>284</v>
      </c>
      <c r="H52" s="34">
        <f>H35+VLOOKUP($A$1,'Pri Housing Generation'!$A$96:$DQ$118, 104, FALSE)</f>
        <v>286</v>
      </c>
      <c r="I52" s="99">
        <f t="shared" si="19"/>
        <v>267</v>
      </c>
      <c r="J52" s="54"/>
      <c r="K52" s="83"/>
      <c r="L52" s="83"/>
      <c r="M52" s="107">
        <f t="shared" si="14"/>
        <v>0.86049422028132849</v>
      </c>
      <c r="O52" s="35">
        <f t="shared" si="15"/>
        <v>230</v>
      </c>
      <c r="Q52" s="25">
        <f t="shared" si="20"/>
        <v>2030</v>
      </c>
      <c r="R52" s="20">
        <f t="shared" si="16"/>
        <v>240</v>
      </c>
      <c r="S52" s="53">
        <f t="shared" si="21"/>
        <v>220</v>
      </c>
      <c r="T52" s="53">
        <f t="shared" si="21"/>
        <v>240</v>
      </c>
      <c r="U52" s="53">
        <f t="shared" si="21"/>
        <v>240</v>
      </c>
      <c r="V52" s="34">
        <f t="shared" si="22"/>
        <v>190</v>
      </c>
      <c r="W52" s="34">
        <f t="shared" si="23"/>
        <v>125</v>
      </c>
      <c r="X52" s="101">
        <f t="shared" si="17"/>
        <v>1255</v>
      </c>
    </row>
    <row r="53" spans="1:24" x14ac:dyDescent="0.25">
      <c r="A53" s="25">
        <f t="shared" si="18"/>
        <v>2031</v>
      </c>
      <c r="B53" s="37">
        <f>B36+VLOOKUP($A$1,'Pri Housing Generation'!$A$96:$DQ$118, 106, FALSE)</f>
        <v>306</v>
      </c>
      <c r="C53" s="34">
        <f>C36+VLOOKUP($A$1,'Pri Housing Generation'!$A$96:$DQ$118, 107, FALSE)</f>
        <v>296</v>
      </c>
      <c r="D53" s="34">
        <f>D36+VLOOKUP($A$1,'Pri Housing Generation'!$A$96:$DQ$118, 108, FALSE)</f>
        <v>294</v>
      </c>
      <c r="E53" s="34">
        <f>E36+VLOOKUP($A$1,'Pri Housing Generation'!$A$96:$DQ$118, 109, FALSE)</f>
        <v>297</v>
      </c>
      <c r="F53" s="34">
        <f>F36+VLOOKUP($A$1,'Pri Housing Generation'!$A$96:$DQ$118, 110, FALSE)</f>
        <v>298</v>
      </c>
      <c r="G53" s="34">
        <f>G36+VLOOKUP($A$1,'Pri Housing Generation'!$A$96:$DQ$118, 111, FALSE)</f>
        <v>288</v>
      </c>
      <c r="H53" s="34">
        <f>H36+VLOOKUP($A$1,'Pri Housing Generation'!$A$96:$DQ$118, 112, FALSE)</f>
        <v>290</v>
      </c>
      <c r="I53" s="99">
        <f t="shared" si="19"/>
        <v>273</v>
      </c>
      <c r="J53" s="54"/>
      <c r="K53" s="83"/>
      <c r="L53" s="83"/>
      <c r="M53" s="107">
        <f t="shared" si="14"/>
        <v>0.86049422028132849</v>
      </c>
      <c r="O53" s="35">
        <f t="shared" si="15"/>
        <v>235</v>
      </c>
      <c r="Q53" s="25">
        <f t="shared" si="20"/>
        <v>2031</v>
      </c>
      <c r="R53" s="20">
        <f t="shared" si="16"/>
        <v>240</v>
      </c>
      <c r="S53" s="53">
        <f t="shared" si="21"/>
        <v>240</v>
      </c>
      <c r="T53" s="53">
        <f t="shared" si="21"/>
        <v>220</v>
      </c>
      <c r="U53" s="53">
        <f t="shared" si="21"/>
        <v>240</v>
      </c>
      <c r="V53" s="34">
        <f t="shared" si="22"/>
        <v>207</v>
      </c>
      <c r="W53" s="34">
        <f t="shared" si="23"/>
        <v>125</v>
      </c>
      <c r="X53" s="101">
        <f t="shared" si="17"/>
        <v>1272</v>
      </c>
    </row>
    <row r="54" spans="1:24" x14ac:dyDescent="0.25">
      <c r="A54" s="25">
        <f t="shared" si="18"/>
        <v>2032</v>
      </c>
      <c r="B54" s="37">
        <f>B37+VLOOKUP($A$1,'Pri Housing Generation'!$A$96:$DQ$118, 114, FALSE)</f>
        <v>308</v>
      </c>
      <c r="C54" s="34">
        <f>C37+VLOOKUP($A$1,'Pri Housing Generation'!$A$96:$DQ$118, 115, FALSE)</f>
        <v>298</v>
      </c>
      <c r="D54" s="34">
        <f>D37+VLOOKUP($A$1,'Pri Housing Generation'!$A$96:$DQ$118, 116, FALSE)</f>
        <v>297</v>
      </c>
      <c r="E54" s="34">
        <f>E37+VLOOKUP($A$1,'Pri Housing Generation'!$A$96:$DQ$118, 117, FALSE)</f>
        <v>300</v>
      </c>
      <c r="F54" s="34">
        <f>F37+VLOOKUP($A$1,'Pri Housing Generation'!$A$96:$DQ$118, 118, FALSE)</f>
        <v>302</v>
      </c>
      <c r="G54" s="34">
        <f>G37+VLOOKUP($A$1,'Pri Housing Generation'!$A$96:$DQ$118, 119, FALSE)</f>
        <v>292</v>
      </c>
      <c r="H54" s="34">
        <f>H37+VLOOKUP($A$1,'Pri Housing Generation'!$A$96:$DQ$118, 120, FALSE)</f>
        <v>294</v>
      </c>
      <c r="I54" s="99">
        <f t="shared" si="19"/>
        <v>277</v>
      </c>
      <c r="K54" s="83"/>
      <c r="L54" s="83"/>
      <c r="M54" s="107">
        <f t="shared" si="14"/>
        <v>0.86049422028132849</v>
      </c>
      <c r="O54" s="35">
        <f t="shared" si="15"/>
        <v>239</v>
      </c>
      <c r="Q54" s="25">
        <f t="shared" si="20"/>
        <v>2032</v>
      </c>
      <c r="R54" s="20">
        <f t="shared" si="16"/>
        <v>240</v>
      </c>
      <c r="S54" s="53">
        <f t="shared" si="21"/>
        <v>240</v>
      </c>
      <c r="T54" s="53">
        <f t="shared" si="21"/>
        <v>240</v>
      </c>
      <c r="U54" s="53">
        <f t="shared" si="21"/>
        <v>220</v>
      </c>
      <c r="V54" s="34">
        <f t="shared" si="22"/>
        <v>207</v>
      </c>
      <c r="W54" s="34">
        <f t="shared" si="23"/>
        <v>136</v>
      </c>
      <c r="X54" s="101">
        <f t="shared" si="17"/>
        <v>1283</v>
      </c>
    </row>
    <row r="56" spans="1:24" ht="15.75" x14ac:dyDescent="0.25">
      <c r="A56" s="129" t="s">
        <v>223</v>
      </c>
      <c r="F56" s="131"/>
      <c r="G56" s="54"/>
      <c r="H56" s="181"/>
      <c r="I56" s="131"/>
      <c r="J56" s="131"/>
    </row>
    <row r="57" spans="1:24" x14ac:dyDescent="0.25">
      <c r="F57" s="131"/>
      <c r="G57" s="54"/>
      <c r="H57" s="181"/>
      <c r="I57" s="131"/>
      <c r="J57" s="131"/>
    </row>
    <row r="58" spans="1:24" x14ac:dyDescent="0.25">
      <c r="A58" s="21" t="s">
        <v>224</v>
      </c>
      <c r="F58" s="132"/>
      <c r="G58" s="54"/>
      <c r="H58" s="181"/>
      <c r="I58" s="131"/>
      <c r="J58" s="131"/>
    </row>
    <row r="59" spans="1:24" x14ac:dyDescent="0.25">
      <c r="A59" s="21"/>
      <c r="F59" s="132"/>
      <c r="G59" s="54"/>
      <c r="H59" s="181"/>
      <c r="I59" s="131"/>
      <c r="J59" s="131"/>
    </row>
    <row r="60" spans="1:24" ht="33" customHeight="1" x14ac:dyDescent="0.25">
      <c r="A60" s="136"/>
      <c r="B60" s="137" t="s">
        <v>225</v>
      </c>
      <c r="C60" s="413" t="s">
        <v>226</v>
      </c>
      <c r="D60" s="414"/>
      <c r="F60" s="132"/>
      <c r="G60" s="130"/>
      <c r="H60" s="181"/>
      <c r="I60" s="130"/>
      <c r="J60" s="130"/>
    </row>
    <row r="61" spans="1:24" x14ac:dyDescent="0.25">
      <c r="A61" s="25">
        <v>2011</v>
      </c>
      <c r="B61" s="128">
        <v>13</v>
      </c>
      <c r="C61" s="415">
        <f t="shared" ref="C61:C66" si="24">1-(I13/(I13+B61))</f>
        <v>7.6923076923076872E-2</v>
      </c>
      <c r="D61" s="388"/>
      <c r="F61" s="133"/>
      <c r="G61" s="54"/>
      <c r="H61" s="181"/>
      <c r="I61" s="54"/>
      <c r="J61" s="54"/>
    </row>
    <row r="62" spans="1:24" x14ac:dyDescent="0.25">
      <c r="A62" s="25">
        <v>2012</v>
      </c>
      <c r="B62" s="128">
        <v>11</v>
      </c>
      <c r="C62" s="415">
        <f t="shared" si="24"/>
        <v>7.0063694267515908E-2</v>
      </c>
      <c r="D62" s="388"/>
      <c r="F62" s="133"/>
      <c r="G62" s="54"/>
      <c r="H62" s="181"/>
      <c r="I62" s="54"/>
      <c r="J62" s="54"/>
    </row>
    <row r="63" spans="1:24" x14ac:dyDescent="0.25">
      <c r="A63" s="25">
        <v>2013</v>
      </c>
      <c r="B63" s="128">
        <v>22</v>
      </c>
      <c r="C63" s="415">
        <f t="shared" si="24"/>
        <v>0.11956521739130432</v>
      </c>
      <c r="D63" s="388"/>
      <c r="F63" s="133"/>
      <c r="G63" s="54"/>
      <c r="H63" s="181"/>
      <c r="I63" s="54"/>
      <c r="J63" s="54"/>
      <c r="K63" s="181"/>
      <c r="N63" s="109"/>
      <c r="S63" s="82"/>
    </row>
    <row r="64" spans="1:24" x14ac:dyDescent="0.25">
      <c r="A64" s="25">
        <v>2014</v>
      </c>
      <c r="B64" s="128">
        <v>17</v>
      </c>
      <c r="C64" s="415">
        <f t="shared" si="24"/>
        <v>9.8265895953757232E-2</v>
      </c>
      <c r="D64" s="388"/>
      <c r="F64" s="133"/>
      <c r="G64" s="54"/>
      <c r="H64" s="181"/>
      <c r="I64" s="54"/>
      <c r="J64" s="54"/>
      <c r="K64" s="181"/>
      <c r="N64" s="109"/>
      <c r="S64" s="82"/>
    </row>
    <row r="65" spans="1:19" x14ac:dyDescent="0.25">
      <c r="A65" s="25">
        <v>2015</v>
      </c>
      <c r="B65" s="128">
        <v>20</v>
      </c>
      <c r="C65" s="415">
        <f t="shared" si="24"/>
        <v>0.10101010101010099</v>
      </c>
      <c r="D65" s="388"/>
      <c r="F65" s="133"/>
      <c r="G65" s="54"/>
      <c r="H65" s="181"/>
      <c r="I65" s="54"/>
      <c r="J65" s="54"/>
      <c r="K65" s="181"/>
      <c r="N65" s="109"/>
      <c r="S65" s="82"/>
    </row>
    <row r="66" spans="1:19" x14ac:dyDescent="0.25">
      <c r="A66" s="25"/>
      <c r="B66" s="128"/>
      <c r="C66" s="415">
        <f t="shared" si="24"/>
        <v>0</v>
      </c>
      <c r="D66" s="388"/>
      <c r="F66" s="133"/>
      <c r="G66" s="54"/>
      <c r="H66" s="181"/>
      <c r="I66" s="54"/>
      <c r="J66" s="54"/>
      <c r="K66" s="181"/>
      <c r="N66" s="109"/>
      <c r="S66" s="82"/>
    </row>
    <row r="67" spans="1:19" x14ac:dyDescent="0.25">
      <c r="A67" s="21"/>
      <c r="F67" s="133"/>
      <c r="G67" s="54"/>
      <c r="H67" s="181"/>
      <c r="I67" s="54"/>
      <c r="J67" s="54"/>
      <c r="K67" s="181"/>
      <c r="N67" s="109"/>
      <c r="S67" s="82"/>
    </row>
    <row r="68" spans="1:19" x14ac:dyDescent="0.25">
      <c r="A68" s="21" t="s">
        <v>213</v>
      </c>
      <c r="F68" s="48"/>
      <c r="K68" s="181"/>
      <c r="N68" s="109"/>
      <c r="S68" s="82"/>
    </row>
    <row r="69" spans="1:19" x14ac:dyDescent="0.25">
      <c r="A69" t="s">
        <v>325</v>
      </c>
      <c r="F69" s="48"/>
      <c r="K69" s="181"/>
      <c r="N69" s="109"/>
      <c r="S69" s="82"/>
    </row>
    <row r="70" spans="1:19" x14ac:dyDescent="0.25">
      <c r="A70" t="s">
        <v>316</v>
      </c>
      <c r="K70" s="54"/>
      <c r="N70" s="109"/>
      <c r="S70" s="82"/>
    </row>
    <row r="71" spans="1:19" x14ac:dyDescent="0.25">
      <c r="K71" s="54"/>
      <c r="N71" s="109"/>
      <c r="S71" s="82"/>
    </row>
    <row r="72" spans="1:19" x14ac:dyDescent="0.25">
      <c r="K72" s="54"/>
      <c r="N72" s="109"/>
    </row>
    <row r="75" spans="1:19" x14ac:dyDescent="0.25">
      <c r="K75" s="131"/>
    </row>
    <row r="76" spans="1:19" x14ac:dyDescent="0.25">
      <c r="K76" s="131"/>
    </row>
    <row r="77" spans="1:19" x14ac:dyDescent="0.25">
      <c r="K77" s="131"/>
    </row>
    <row r="78" spans="1:19" x14ac:dyDescent="0.25">
      <c r="K78" s="131"/>
    </row>
    <row r="79" spans="1:19" x14ac:dyDescent="0.25">
      <c r="K79" s="130"/>
      <c r="Q79" s="130"/>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row r="85" spans="11:17" x14ac:dyDescent="0.25">
      <c r="K85" s="54"/>
      <c r="Q85" s="54"/>
    </row>
  </sheetData>
  <mergeCells count="22">
    <mergeCell ref="C66:D66"/>
    <mergeCell ref="K15:L15"/>
    <mergeCell ref="K14:L14"/>
    <mergeCell ref="K11:L13"/>
    <mergeCell ref="M11:M13"/>
    <mergeCell ref="C60:D60"/>
    <mergeCell ref="C61:D61"/>
    <mergeCell ref="C62:D62"/>
    <mergeCell ref="C63:D63"/>
    <mergeCell ref="C64:D64"/>
    <mergeCell ref="C65:D65"/>
    <mergeCell ref="O11:O13"/>
    <mergeCell ref="K16:L16"/>
    <mergeCell ref="K17:L17"/>
    <mergeCell ref="A19:B20"/>
    <mergeCell ref="K19:M19"/>
    <mergeCell ref="T19:U20"/>
    <mergeCell ref="K20:M20"/>
    <mergeCell ref="K18:L18"/>
    <mergeCell ref="M39:M40"/>
    <mergeCell ref="O39:O40"/>
    <mergeCell ref="K39:K40"/>
  </mergeCells>
  <conditionalFormatting sqref="R41:R54">
    <cfRule type="cellIs" dxfId="43" priority="9" operator="greaterThan">
      <formula>$C$7</formula>
    </cfRule>
  </conditionalFormatting>
  <conditionalFormatting sqref="X41:X54">
    <cfRule type="cellIs" dxfId="42" priority="8"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A84"/>
  <sheetViews>
    <sheetView topLeftCell="A18" workbookViewId="0">
      <selection activeCell="M57" sqref="M57:N5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98</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600</v>
      </c>
    </row>
    <row r="7" spans="1:24" x14ac:dyDescent="0.25">
      <c r="A7" s="21" t="s">
        <v>191</v>
      </c>
      <c r="B7" s="21"/>
      <c r="C7" s="100">
        <f>VLOOKUP(A1,'Projection Summary'!A5:C50,2,FALSE)</f>
        <v>120</v>
      </c>
    </row>
    <row r="9" spans="1:24" ht="15.75" x14ac:dyDescent="0.25">
      <c r="A9" s="129" t="s">
        <v>222</v>
      </c>
      <c r="R9" s="129" t="s">
        <v>198</v>
      </c>
      <c r="T9" s="173"/>
    </row>
    <row r="10" spans="1:24" x14ac:dyDescent="0.25">
      <c r="A10" s="21"/>
    </row>
    <row r="11" spans="1:24" x14ac:dyDescent="0.25">
      <c r="A11" s="21" t="s">
        <v>235</v>
      </c>
      <c r="K11" s="406" t="s">
        <v>137</v>
      </c>
      <c r="L11" s="419"/>
      <c r="M11" s="419" t="s">
        <v>139</v>
      </c>
      <c r="N11" s="49"/>
      <c r="O11" s="394" t="s">
        <v>136</v>
      </c>
      <c r="R11" s="21" t="s">
        <v>236</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20"/>
      <c r="M12" s="420"/>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148</v>
      </c>
      <c r="C13" s="19">
        <f>VLOOKUP($A$1,'Primary Catchment Analysis'!$A$3:$BE$25, 38, FALSE)</f>
        <v>157</v>
      </c>
      <c r="D13" s="27">
        <f>VLOOKUP($A$1,'Primary Catchment Analysis'!$A$3:$BE$25, 39, FALSE)</f>
        <v>135</v>
      </c>
      <c r="E13" s="27">
        <f>VLOOKUP($A$1,'Primary Catchment Analysis'!$A$3:$BE$25, 40, FALSE)</f>
        <v>110</v>
      </c>
      <c r="F13" s="27">
        <f>VLOOKUP($A$1,'Primary Catchment Analysis'!$A$3:$BE$25, 41, FALSE)</f>
        <v>111</v>
      </c>
      <c r="G13" s="125">
        <f>VLOOKUP($A$1,'Primary Catchment Analysis'!$A$3:$BE$25, 42, FALSE)</f>
        <v>101</v>
      </c>
      <c r="H13" s="28">
        <f>VLOOKUP($A$1,'Primary Catchment Analysis'!$A$3:$BE$25, 43, FALSE)</f>
        <v>111</v>
      </c>
      <c r="I13" s="28">
        <f>VLOOKUP($A$1,'S1 Catchment Analysis'!A3:I25, 7, FALSE)</f>
        <v>52</v>
      </c>
      <c r="J13" s="23"/>
      <c r="K13" s="410"/>
      <c r="L13" s="421"/>
      <c r="M13" s="422"/>
      <c r="N13" s="50"/>
      <c r="O13" s="399"/>
      <c r="P13" s="50"/>
      <c r="Q13" s="25">
        <f>A13</f>
        <v>2013</v>
      </c>
      <c r="R13" s="69">
        <f>VLOOKUP($A$1,'Secondary Rolls'!$A$3:$BE$25, 37, FALSE)</f>
        <v>10</v>
      </c>
      <c r="S13" s="53">
        <f>VLOOKUP($A$1,'Secondary Rolls'!$A$3:$BE$25, 38, FALSE)</f>
        <v>17</v>
      </c>
      <c r="T13" s="53">
        <f>VLOOKUP($A$1,'Secondary Rolls'!$A$3:$BE$25, 39, FALSE)</f>
        <v>26</v>
      </c>
      <c r="U13" s="122">
        <f>VLOOKUP($A$1,'Secondary Rolls'!$A$3:$BE$25, 40, FALSE)</f>
        <v>35</v>
      </c>
      <c r="V13" s="63">
        <f>VLOOKUP($A$1,'Secondary Rolls'!$A$3:$BE$25, 41, FALSE)</f>
        <v>34</v>
      </c>
      <c r="W13" s="53">
        <f>VLOOKUP($A$1,'Secondary Rolls'!$A$3:$BE$25, 42, FALSE)</f>
        <v>11</v>
      </c>
      <c r="X13" s="62">
        <f t="shared" ref="X13:X17" si="0">SUM(R13:W13)</f>
        <v>133</v>
      </c>
    </row>
    <row r="14" spans="1:24" ht="15.75" thickBot="1" x14ac:dyDescent="0.3">
      <c r="A14" s="25">
        <f>VLOOKUP($A$12,'S1 Catchment Analysis'!A2:I2, 6, FALSE)</f>
        <v>2014</v>
      </c>
      <c r="B14" s="45">
        <f>VLOOKUP($A$1,'Primary Catchment Analysis'!$A$3:$BE$25, 30, FALSE)</f>
        <v>163</v>
      </c>
      <c r="C14" s="44">
        <f>VLOOKUP($A$1,'Primary Catchment Analysis'!$A$3:$BE$25, 31, FALSE)</f>
        <v>154</v>
      </c>
      <c r="D14" s="19">
        <f>VLOOKUP($A$1,'Primary Catchment Analysis'!$A$3:$BE$25, 32, FALSE)</f>
        <v>168</v>
      </c>
      <c r="E14" s="27">
        <f>VLOOKUP($A$1,'Primary Catchment Analysis'!$A$3:$BE$25, 33, FALSE)</f>
        <v>131</v>
      </c>
      <c r="F14" s="27">
        <f>VLOOKUP($A$1,'Primary Catchment Analysis'!$A$3:$BE$25, 34, FALSE)</f>
        <v>109</v>
      </c>
      <c r="G14" s="125">
        <f>VLOOKUP($A$1,'Primary Catchment Analysis'!$A$3:$BE$25, 35, FALSE)</f>
        <v>118</v>
      </c>
      <c r="H14" s="28">
        <f>VLOOKUP($A$1,'Primary Catchment Analysis'!$A$3:$BE$25, 36, FALSE)</f>
        <v>102</v>
      </c>
      <c r="I14" s="27">
        <f>VLOOKUP($A$1,'S1 Catchment Analysis'!A3:I25, 6, FALSE)</f>
        <v>72</v>
      </c>
      <c r="J14" s="23"/>
      <c r="K14" s="400">
        <f>VLOOKUP($A$1,'S1 Catchment Retained'!A2:I25, 6, FALSE)</f>
        <v>26</v>
      </c>
      <c r="L14" s="401"/>
      <c r="M14" s="178">
        <f t="shared" ref="M14:M18" si="1">(K14/I14)</f>
        <v>0.3611111111111111</v>
      </c>
      <c r="N14" s="50"/>
      <c r="O14" s="111">
        <f t="shared" ref="O14:O18" si="2">R14-K14</f>
        <v>0</v>
      </c>
      <c r="P14" s="50"/>
      <c r="Q14" s="25">
        <f t="shared" ref="Q14:Q18" si="3">A14</f>
        <v>2014</v>
      </c>
      <c r="R14" s="67">
        <f>VLOOKUP($A$1,'Secondary Rolls'!$A$3:$BE$25, 30, FALSE)</f>
        <v>26</v>
      </c>
      <c r="S14" s="69">
        <f>VLOOKUP($A$1,'Secondary Rolls'!$A$3:$BE$25, 31, FALSE)</f>
        <v>14</v>
      </c>
      <c r="T14" s="61">
        <f>VLOOKUP($A$1,'Secondary Rolls'!$A$3:$BE$25, 32, FALSE)</f>
        <v>23</v>
      </c>
      <c r="U14" s="61">
        <f>VLOOKUP($A$1,'Secondary Rolls'!$A$3:$BE$25, 33, FALSE)</f>
        <v>29</v>
      </c>
      <c r="V14" s="64">
        <f>VLOOKUP($A$1,'Secondary Rolls'!$A$3:$BE$25, 34, FALSE)</f>
        <v>25</v>
      </c>
      <c r="W14" s="116">
        <f>VLOOKUP($A$1,'Secondary Rolls'!$A$3:$BE$25, 35, FALSE)</f>
        <v>11</v>
      </c>
      <c r="X14" s="62">
        <f t="shared" si="0"/>
        <v>128</v>
      </c>
    </row>
    <row r="15" spans="1:24" ht="15.75" thickBot="1" x14ac:dyDescent="0.3">
      <c r="A15" s="25">
        <f>VLOOKUP($A$12,'S1 Catchment Analysis'!A2:I2, 5, FALSE)</f>
        <v>2015</v>
      </c>
      <c r="B15" s="19">
        <f>VLOOKUP($A$1,'Primary Catchment Analysis'!$A$3:$BE$25, 23, FALSE)</f>
        <v>147</v>
      </c>
      <c r="C15" s="45">
        <f>VLOOKUP($A$1,'Primary Catchment Analysis'!$A$3:$BE$25, 24, FALSE)</f>
        <v>167</v>
      </c>
      <c r="D15" s="44">
        <f>VLOOKUP($A$1,'Primary Catchment Analysis'!$A$3:$BE$25, 25, FALSE)</f>
        <v>155</v>
      </c>
      <c r="E15" s="19">
        <f>VLOOKUP($A$1,'Primary Catchment Analysis'!$A$3:$BE$25, 26, FALSE)</f>
        <v>161</v>
      </c>
      <c r="F15" s="27">
        <f>VLOOKUP($A$1,'Primary Catchment Analysis'!$A$3:$BE$25, 27, FALSE)</f>
        <v>131</v>
      </c>
      <c r="G15" s="125">
        <f>VLOOKUP($A$1,'Primary Catchment Analysis'!$A$3:$BE$25, 28, FALSE)</f>
        <v>110</v>
      </c>
      <c r="H15" s="30">
        <f>VLOOKUP($A$1,'Primary Catchment Analysis'!$A$3:$BE$25, 29, FALSE)</f>
        <v>118</v>
      </c>
      <c r="I15" s="29">
        <f>VLOOKUP($A$1,'S1 Catchment Analysis'!A3:I25, 5, FALSE)</f>
        <v>58</v>
      </c>
      <c r="J15" s="23"/>
      <c r="K15" s="400">
        <f>VLOOKUP($A$1,'S1 Catchment Retained'!A2:I25, 5, FALSE)</f>
        <v>20</v>
      </c>
      <c r="L15" s="401"/>
      <c r="M15" s="110">
        <f t="shared" si="1"/>
        <v>0.34482758620689657</v>
      </c>
      <c r="N15" s="50"/>
      <c r="O15" s="111">
        <f t="shared" si="2"/>
        <v>2</v>
      </c>
      <c r="P15" s="50"/>
      <c r="Q15" s="25">
        <f t="shared" si="3"/>
        <v>2015</v>
      </c>
      <c r="R15" s="68">
        <f>VLOOKUP($A$1,'Secondary Rolls'!$A$3:$BE$25, 23, FALSE)</f>
        <v>22</v>
      </c>
      <c r="S15" s="67">
        <f>VLOOKUP($A$1,'Secondary Rolls'!$A$3:$BE$25, 24, FALSE)</f>
        <v>24</v>
      </c>
      <c r="T15" s="71">
        <f>VLOOKUP($A$1,'Secondary Rolls'!$A$3:$BE$25, 25, FALSE)</f>
        <v>14</v>
      </c>
      <c r="U15" s="61">
        <f>VLOOKUP($A$1,'Secondary Rolls'!$A$3:$BE$25, 26, FALSE)</f>
        <v>25</v>
      </c>
      <c r="V15" s="123">
        <f>VLOOKUP($A$1,'Secondary Rolls'!$A$3:$BE$25, 27, FALSE)</f>
        <v>17</v>
      </c>
      <c r="W15" s="64">
        <f>VLOOKUP($A$1,'Secondary Rolls'!$A$3:$BE$25, 28, FALSE)</f>
        <v>16</v>
      </c>
      <c r="X15" s="62">
        <f t="shared" si="0"/>
        <v>118</v>
      </c>
    </row>
    <row r="16" spans="1:24" ht="15.75" thickBot="1" x14ac:dyDescent="0.3">
      <c r="A16" s="25">
        <f>VLOOKUP($A$12,'S1 Catchment Analysis'!A2:I2, 4, FALSE)</f>
        <v>2016</v>
      </c>
      <c r="B16" s="44">
        <f>VLOOKUP($A$1,'Primary Catchment Analysis'!$A$3:$BE$25, 16, FALSE)</f>
        <v>169</v>
      </c>
      <c r="C16" s="19">
        <f>VLOOKUP($A$1,'Primary Catchment Analysis'!$A$3:$BE$25, 17, FALSE)</f>
        <v>151</v>
      </c>
      <c r="D16" s="45">
        <f>VLOOKUP($A$1,'Primary Catchment Analysis'!$A$3:$BE$25, 18, FALSE)</f>
        <v>156</v>
      </c>
      <c r="E16" s="44">
        <f>VLOOKUP($A$1,'Primary Catchment Analysis'!$A$3:$BE$25, 19, FALSE)</f>
        <v>163</v>
      </c>
      <c r="F16" s="19">
        <f>VLOOKUP($A$1,'Primary Catchment Analysis'!$A$3:$BE$25, 20, FALSE)</f>
        <v>163</v>
      </c>
      <c r="G16" s="125">
        <f>VLOOKUP($A$1,'Primary Catchment Analysis'!$A$3:$BE$25, 21, FALSE)</f>
        <v>126</v>
      </c>
      <c r="H16" s="112">
        <f>VLOOKUP($A$1,'Primary Catchment Analysis'!$A$3:$BE$25, 22, FALSE)</f>
        <v>111</v>
      </c>
      <c r="I16" s="30">
        <f>VLOOKUP($A$1,'S1 Catchment Analysis'!A3:I25, 4, FALSE)</f>
        <v>67</v>
      </c>
      <c r="J16" s="23"/>
      <c r="K16" s="400">
        <f>VLOOKUP($A$1,'S1 Catchment Retained'!A2:I25, 4, FALSE)</f>
        <v>31</v>
      </c>
      <c r="L16" s="401"/>
      <c r="M16" s="56">
        <f t="shared" si="1"/>
        <v>0.46268656716417911</v>
      </c>
      <c r="N16" s="50"/>
      <c r="O16" s="103">
        <f t="shared" si="2"/>
        <v>1</v>
      </c>
      <c r="P16" s="50"/>
      <c r="Q16" s="25">
        <f t="shared" si="3"/>
        <v>2016</v>
      </c>
      <c r="R16" s="69">
        <f>VLOOKUP($A$1,'Secondary Rolls'!$A$3:$BE$25, 16, FALSE)</f>
        <v>32</v>
      </c>
      <c r="S16" s="68">
        <f>VLOOKUP($A$1,'Secondary Rolls'!$A$3:$BE$25, 17, FALSE)</f>
        <v>27</v>
      </c>
      <c r="T16" s="70">
        <f>VLOOKUP($A$1,'Secondary Rolls'!$A$3:$BE$25, 18, FALSE)</f>
        <v>23</v>
      </c>
      <c r="U16" s="71">
        <f>VLOOKUP($A$1,'Secondary Rolls'!$A$3:$BE$25, 19, FALSE)</f>
        <v>15</v>
      </c>
      <c r="V16" s="66">
        <f>VLOOKUP($A$1,'Secondary Rolls'!$A$3:$BE$25, 20, FALSE)</f>
        <v>22</v>
      </c>
      <c r="W16" s="65">
        <f>VLOOKUP($A$1,'Secondary Rolls'!$A$3:$BE$25, 21, FALSE)</f>
        <v>8</v>
      </c>
      <c r="X16" s="62">
        <f t="shared" si="0"/>
        <v>127</v>
      </c>
    </row>
    <row r="17" spans="1:27" ht="15.75" thickBot="1" x14ac:dyDescent="0.3">
      <c r="A17" s="258">
        <f>VLOOKUP($A$12,'S1 Catchment Analysis'!A2:I2, 3, FALSE)</f>
        <v>2017</v>
      </c>
      <c r="B17" s="259">
        <f>VLOOKUP($A$1,'Primary Catchment Analysis'!$A$3:$BE$25, 9, FALSE)</f>
        <v>148</v>
      </c>
      <c r="C17" s="260">
        <f>VLOOKUP($A$1,'Primary Catchment Analysis'!$A$3:$BE$25, 10, FALSE)</f>
        <v>173</v>
      </c>
      <c r="D17" s="261">
        <f>VLOOKUP($A$1,'Primary Catchment Analysis'!$A$3:$BE$25, 11, FALSE)</f>
        <v>146</v>
      </c>
      <c r="E17" s="259">
        <f>VLOOKUP($A$1,'Primary Catchment Analysis'!$A$3:$BE$25, 12, FALSE)</f>
        <v>163</v>
      </c>
      <c r="F17" s="260">
        <f>VLOOKUP($A$1,'Primary Catchment Analysis'!$A$3:$BE$25, 13, FALSE)</f>
        <v>161</v>
      </c>
      <c r="G17" s="262">
        <f>VLOOKUP($A$1,'Primary Catchment Analysis'!$A$3:$BE$25, 14, FALSE)</f>
        <v>152</v>
      </c>
      <c r="H17" s="113">
        <f>VLOOKUP($A$1,'Primary Catchment Analysis'!$A$3:$BE$25, 15, FALSE)</f>
        <v>124</v>
      </c>
      <c r="I17" s="31">
        <f>VLOOKUP($A$1,'S1 Catchment Analysis'!A3:I25, 3, FALSE)</f>
        <v>55</v>
      </c>
      <c r="J17" s="23"/>
      <c r="K17" s="402">
        <f>VLOOKUP($A$1,'S1 Catchment Retained'!A2:I25, 3, FALSE)</f>
        <v>29</v>
      </c>
      <c r="L17" s="403"/>
      <c r="M17" s="57">
        <f t="shared" si="1"/>
        <v>0.52727272727272723</v>
      </c>
      <c r="N17" s="50"/>
      <c r="O17" s="104">
        <f t="shared" si="2"/>
        <v>2</v>
      </c>
      <c r="P17" s="50"/>
      <c r="Q17" s="25">
        <f t="shared" si="3"/>
        <v>2017</v>
      </c>
      <c r="R17" s="264">
        <f>VLOOKUP($A$1,'Secondary Rolls'!$A$3:$BE$25, 9, FALSE)</f>
        <v>31</v>
      </c>
      <c r="S17" s="265">
        <f>VLOOKUP($A$1,'Secondary Rolls'!$A$3:$BE$25, 10, FALSE)</f>
        <v>31</v>
      </c>
      <c r="T17" s="266">
        <f>VLOOKUP($A$1,'Secondary Rolls'!$A$3:$BE$25, 11, FALSE)</f>
        <v>33</v>
      </c>
      <c r="U17" s="270">
        <f>VLOOKUP($A$1,'Secondary Rolls'!$A$3:$BE$25, 12, FALSE)</f>
        <v>23</v>
      </c>
      <c r="V17" s="271">
        <f>VLOOKUP($A$1,'Secondary Rolls'!$A$3:$BE$25, 13, FALSE)</f>
        <v>9</v>
      </c>
      <c r="W17" s="272">
        <f>VLOOKUP($A$1,'Secondary Rolls'!$A$3:$BE$25, 14, FALSE)</f>
        <v>10</v>
      </c>
      <c r="X17" s="116">
        <f t="shared" si="0"/>
        <v>137</v>
      </c>
    </row>
    <row r="18" spans="1:27" ht="15.75" thickBot="1" x14ac:dyDescent="0.3">
      <c r="A18" s="25">
        <f>VLOOKUP($A$12,'S1 Catchment Analysis'!A2:I2, 2, FALSE)</f>
        <v>2018</v>
      </c>
      <c r="B18" s="19">
        <f>VLOOKUP($A$1,'Primary Catchment Analysis'!$A$3:$BE$25, 2, FALSE)</f>
        <v>155</v>
      </c>
      <c r="C18" s="45">
        <f>VLOOKUP($A$1,'Primary Catchment Analysis'!$A$3:$BE$25, 3, FALSE)</f>
        <v>156</v>
      </c>
      <c r="D18" s="44">
        <f>VLOOKUP($A$1,'Primary Catchment Analysis'!$A$3:$BE$25, 4, FALSE)</f>
        <v>169</v>
      </c>
      <c r="E18" s="19">
        <f>VLOOKUP($A$1,'Primary Catchment Analysis'!$A$3:$BE$25, 5, FALSE)</f>
        <v>149</v>
      </c>
      <c r="F18" s="45">
        <f>VLOOKUP($A$1,'Primary Catchment Analysis'!$A$3:$BE$25, 6, FALSE)</f>
        <v>163</v>
      </c>
      <c r="G18" s="273">
        <f>VLOOKUP($A$1,'Primary Catchment Analysis'!$A$3:$BE$25, 7, FALSE)</f>
        <v>160</v>
      </c>
      <c r="H18" s="274">
        <f>VLOOKUP($A$1,'Primary Catchment Analysis'!$A$3:$BE$25, 8, FALSE)</f>
        <v>146</v>
      </c>
      <c r="I18" s="32">
        <f>VLOOKUP($A$1,'S1 Catchment Analysis'!A3:I25, 2, FALSE)</f>
        <v>74</v>
      </c>
      <c r="J18" s="23"/>
      <c r="K18" s="392">
        <f>VLOOKUP($A$1,'S1 Catchment Retained'!A2:I25, 2, FALSE)</f>
        <v>41</v>
      </c>
      <c r="L18" s="393"/>
      <c r="M18" s="58">
        <f t="shared" si="1"/>
        <v>0.55405405405405406</v>
      </c>
      <c r="N18" s="50"/>
      <c r="O18" s="105">
        <f t="shared" si="2"/>
        <v>7</v>
      </c>
      <c r="P18" s="50"/>
      <c r="Q18" s="25">
        <f t="shared" si="3"/>
        <v>2018</v>
      </c>
      <c r="R18" s="68">
        <f>VLOOKUP($A$1,'Secondary Rolls'!$A$3:$BE$25, 2, FALSE)</f>
        <v>48</v>
      </c>
      <c r="S18" s="67">
        <f>VLOOKUP($A$1,'Secondary Rolls'!$A$3:$BE$25, 3, FALSE)</f>
        <v>37</v>
      </c>
      <c r="T18" s="69">
        <f>VLOOKUP($A$1,'Secondary Rolls'!$A$3:$BE$25, 4, FALSE)</f>
        <v>38</v>
      </c>
      <c r="U18" s="68">
        <f>VLOOKUP($A$1,'Secondary Rolls'!$A$3:$BE$25, 5, FALSE)</f>
        <v>33</v>
      </c>
      <c r="V18" s="67">
        <f>VLOOKUP($A$1,'Secondary Rolls'!$A$3:$BE$25, 6, FALSE)</f>
        <v>16</v>
      </c>
      <c r="W18" s="69">
        <f>VLOOKUP($A$1,'Secondary Rolls'!$A$3:$BE$25, 7, FALSE)</f>
        <v>8</v>
      </c>
      <c r="X18" s="53">
        <f t="shared" ref="X18" si="4">SUM(R18:W18)</f>
        <v>180</v>
      </c>
    </row>
    <row r="19" spans="1:27" ht="15" customHeight="1" x14ac:dyDescent="0.25">
      <c r="A19" s="386" t="s">
        <v>212</v>
      </c>
      <c r="B19" s="387"/>
      <c r="C19" s="118" t="s">
        <v>129</v>
      </c>
      <c r="D19" s="118" t="s">
        <v>130</v>
      </c>
      <c r="E19" s="118" t="s">
        <v>131</v>
      </c>
      <c r="F19" s="118" t="s">
        <v>132</v>
      </c>
      <c r="G19" s="118" t="s">
        <v>133</v>
      </c>
      <c r="H19" s="118" t="s">
        <v>134</v>
      </c>
      <c r="I19" s="121" t="s">
        <v>135</v>
      </c>
      <c r="K19" s="386" t="s">
        <v>327</v>
      </c>
      <c r="L19" s="386"/>
      <c r="M19" s="387"/>
      <c r="O19" s="124" t="s">
        <v>211</v>
      </c>
      <c r="P19" s="117"/>
      <c r="Q19" s="131"/>
      <c r="R19" s="131"/>
      <c r="T19" s="386" t="s">
        <v>212</v>
      </c>
      <c r="U19" s="387"/>
      <c r="V19" s="118" t="s">
        <v>140</v>
      </c>
      <c r="W19" s="119" t="s">
        <v>141</v>
      </c>
    </row>
    <row r="20" spans="1:27" x14ac:dyDescent="0.25">
      <c r="A20" s="388"/>
      <c r="B20" s="388"/>
      <c r="C20" s="40">
        <f>AVERAGE(((B15-C16)/B15),((B16-C17)/B16),((B17-C18)/B17))</f>
        <v>-3.497785915368333E-2</v>
      </c>
      <c r="D20" s="40">
        <f t="shared" ref="D20:H20" si="5">AVERAGE(((C15-D16)/C15),((C16-D17)/C16),((C17-D18)/C17))</f>
        <v>4.0700744512582619E-2</v>
      </c>
      <c r="E20" s="40">
        <f t="shared" si="5"/>
        <v>-3.9010881101026927E-2</v>
      </c>
      <c r="F20" s="40">
        <f t="shared" si="5"/>
        <v>-5.0807199380151789E-5</v>
      </c>
      <c r="G20" s="40">
        <f t="shared" si="5"/>
        <v>3.7287927210736142E-2</v>
      </c>
      <c r="H20" s="40">
        <f t="shared" si="5"/>
        <v>1.5418596997544365E-2</v>
      </c>
      <c r="I20" s="363">
        <v>0.15</v>
      </c>
      <c r="K20" s="389">
        <f>MAX(M16:M18)</f>
        <v>0.55405405405405406</v>
      </c>
      <c r="L20" s="390"/>
      <c r="M20" s="391"/>
      <c r="O20" s="51">
        <f>ROUNDUP((AVERAGE(O16:O18)),0)</f>
        <v>4</v>
      </c>
      <c r="T20" s="388"/>
      <c r="U20" s="388"/>
      <c r="V20" s="40">
        <f>AVERAGE(((U15-V16)/U15),((U16-V17)/U16),((U17-V18)/U17))</f>
        <v>0.27478260869565219</v>
      </c>
      <c r="W20" s="40">
        <f>AVERAGE(((V15-W16)/V15),((V16-W17)/V16),((V17-W18)/V17))</f>
        <v>0.39532580709051296</v>
      </c>
    </row>
    <row r="21" spans="1:27" x14ac:dyDescent="0.25">
      <c r="A21" s="21"/>
      <c r="K21" s="59"/>
      <c r="L21" s="59"/>
    </row>
    <row r="22" spans="1:27" x14ac:dyDescent="0.25">
      <c r="A22" s="21" t="s">
        <v>237</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Projections'!C14+'P1 Catchment Projections'!C15+'P1 Catchment Projections'!C16</f>
        <v>125</v>
      </c>
      <c r="C24" s="34">
        <f>ROUNDUP((B18-(B18*$C$20)),0)</f>
        <v>161</v>
      </c>
      <c r="D24" s="42">
        <f>ROUNDUP((C18-(C18*$D$20)),0)</f>
        <v>150</v>
      </c>
      <c r="E24" s="43">
        <f>ROUNDUP((D18-(D18*$E$20)),0)</f>
        <v>176</v>
      </c>
      <c r="F24" s="41">
        <f>ROUNDUP((E18-(E18*$F$20)),0)</f>
        <v>150</v>
      </c>
      <c r="G24" s="42">
        <f>ROUNDUP((F18-(F18*$G$20)),0)</f>
        <v>157</v>
      </c>
      <c r="H24" s="43">
        <f>ROUNDUP((G18-(G18*$H$20)),0)</f>
        <v>158</v>
      </c>
      <c r="I24" s="99">
        <f>ROUNDUP((H18-(H18*$I$20)),0)</f>
        <v>125</v>
      </c>
      <c r="J24" s="23"/>
      <c r="K24" s="59"/>
      <c r="L24" s="59"/>
      <c r="Z24" s="109"/>
      <c r="AA24" s="109"/>
    </row>
    <row r="25" spans="1:27" x14ac:dyDescent="0.25">
      <c r="A25" s="25">
        <f>A24+1</f>
        <v>2020</v>
      </c>
      <c r="B25" s="37">
        <f>'P1 Catchment Projections'!D14+'P1 Catchment Projections'!D15+'P1 Catchment Projections'!D16</f>
        <v>137</v>
      </c>
      <c r="C25" s="34">
        <f t="shared" ref="C25:C37" si="6">ROUNDUP((B24-(B24*$C$20)),0)</f>
        <v>130</v>
      </c>
      <c r="D25" s="34">
        <f t="shared" ref="D25:D37" si="7">ROUNDUP((C24-(C24*$D$20)),0)</f>
        <v>155</v>
      </c>
      <c r="E25" s="42">
        <f t="shared" ref="E25:E37" si="8">ROUNDUP((D24-(D24*$E$20)),0)</f>
        <v>156</v>
      </c>
      <c r="F25" s="43">
        <f t="shared" ref="F25:F37" si="9">ROUNDUP((E24-(E24*$F$20)),0)</f>
        <v>177</v>
      </c>
      <c r="G25" s="41">
        <f t="shared" ref="G25:G37" si="10">ROUNDUP((F24-(F24*$G$20)),0)</f>
        <v>145</v>
      </c>
      <c r="H25" s="42">
        <f t="shared" ref="H25:H37" si="11">ROUNDUP((G24-(G24*$H$20)),0)</f>
        <v>155</v>
      </c>
      <c r="I25" s="99">
        <f t="shared" ref="I25:I37" si="12">ROUNDUP((H24-(H24*$I$20)),0)</f>
        <v>135</v>
      </c>
      <c r="J25" s="23"/>
      <c r="K25" s="59"/>
      <c r="L25" s="59"/>
      <c r="Z25" s="109"/>
      <c r="AA25" s="109"/>
    </row>
    <row r="26" spans="1:27" x14ac:dyDescent="0.25">
      <c r="A26" s="25">
        <f>A25+1</f>
        <v>2021</v>
      </c>
      <c r="B26" s="37">
        <f>'P1 Catchment Projections'!E14+'P1 Catchment Projections'!E15+'P1 Catchment Projections'!E16</f>
        <v>154</v>
      </c>
      <c r="C26" s="34">
        <f t="shared" si="6"/>
        <v>142</v>
      </c>
      <c r="D26" s="34">
        <f t="shared" si="7"/>
        <v>125</v>
      </c>
      <c r="E26" s="34">
        <f t="shared" si="8"/>
        <v>162</v>
      </c>
      <c r="F26" s="42">
        <f t="shared" si="9"/>
        <v>157</v>
      </c>
      <c r="G26" s="43">
        <f t="shared" si="10"/>
        <v>171</v>
      </c>
      <c r="H26" s="41">
        <f t="shared" si="11"/>
        <v>143</v>
      </c>
      <c r="I26" s="99">
        <f t="shared" si="12"/>
        <v>132</v>
      </c>
      <c r="J26" s="23"/>
      <c r="K26" s="59"/>
      <c r="L26" s="59"/>
      <c r="Z26" s="109"/>
      <c r="AA26" s="109"/>
    </row>
    <row r="27" spans="1:27" x14ac:dyDescent="0.25">
      <c r="A27" s="25">
        <f>A26+1</f>
        <v>2022</v>
      </c>
      <c r="B27" s="37">
        <f>'P1 Catchment Projections'!F14+'P1 Catchment Projections'!F15+'P1 Catchment Projections'!F16</f>
        <v>167</v>
      </c>
      <c r="C27" s="34">
        <f t="shared" si="6"/>
        <v>160</v>
      </c>
      <c r="D27" s="34">
        <f t="shared" si="7"/>
        <v>137</v>
      </c>
      <c r="E27" s="34">
        <f t="shared" si="8"/>
        <v>130</v>
      </c>
      <c r="F27" s="34">
        <f t="shared" si="9"/>
        <v>163</v>
      </c>
      <c r="G27" s="42">
        <f t="shared" si="10"/>
        <v>152</v>
      </c>
      <c r="H27" s="43">
        <f t="shared" si="11"/>
        <v>169</v>
      </c>
      <c r="I27" s="99">
        <f t="shared" si="12"/>
        <v>122</v>
      </c>
      <c r="J27" s="23"/>
      <c r="K27" s="59"/>
      <c r="L27" s="59"/>
      <c r="Z27" s="109"/>
      <c r="AA27" s="109"/>
    </row>
    <row r="28" spans="1:27" x14ac:dyDescent="0.25">
      <c r="A28" s="25">
        <f t="shared" ref="A28:A37" si="13">A27+1</f>
        <v>2023</v>
      </c>
      <c r="B28" s="37">
        <f>'P1 Catchment Projections'!G14+'P1 Catchment Projections'!G15+'P1 Catchment Projections'!G16</f>
        <v>154</v>
      </c>
      <c r="C28" s="34">
        <f t="shared" si="6"/>
        <v>173</v>
      </c>
      <c r="D28" s="34">
        <f t="shared" si="7"/>
        <v>154</v>
      </c>
      <c r="E28" s="34">
        <f t="shared" si="8"/>
        <v>143</v>
      </c>
      <c r="F28" s="34">
        <f t="shared" si="9"/>
        <v>131</v>
      </c>
      <c r="G28" s="34">
        <f t="shared" si="10"/>
        <v>157</v>
      </c>
      <c r="H28" s="42">
        <f t="shared" si="11"/>
        <v>150</v>
      </c>
      <c r="I28" s="99">
        <f t="shared" si="12"/>
        <v>144</v>
      </c>
      <c r="J28" s="23"/>
      <c r="K28" s="59"/>
      <c r="L28" s="59"/>
      <c r="Z28" s="109"/>
      <c r="AA28" s="109"/>
    </row>
    <row r="29" spans="1:27" x14ac:dyDescent="0.25">
      <c r="A29" s="25">
        <f t="shared" si="13"/>
        <v>2024</v>
      </c>
      <c r="B29" s="37">
        <f>'P1 Catchment Projections'!H14+'P1 Catchment Projections'!H15+'P1 Catchment Projections'!H16</f>
        <v>157</v>
      </c>
      <c r="C29" s="34">
        <f t="shared" si="6"/>
        <v>160</v>
      </c>
      <c r="D29" s="34">
        <f t="shared" si="7"/>
        <v>166</v>
      </c>
      <c r="E29" s="34">
        <f t="shared" si="8"/>
        <v>161</v>
      </c>
      <c r="F29" s="34">
        <f t="shared" si="9"/>
        <v>144</v>
      </c>
      <c r="G29" s="34">
        <f t="shared" si="10"/>
        <v>127</v>
      </c>
      <c r="H29" s="34">
        <f t="shared" si="11"/>
        <v>155</v>
      </c>
      <c r="I29" s="99">
        <f t="shared" si="12"/>
        <v>128</v>
      </c>
      <c r="K29" s="59"/>
      <c r="L29" s="59"/>
      <c r="Z29" s="109"/>
      <c r="AA29" s="109"/>
    </row>
    <row r="30" spans="1:27" x14ac:dyDescent="0.25">
      <c r="A30" s="25">
        <f t="shared" si="13"/>
        <v>2025</v>
      </c>
      <c r="B30" s="37">
        <f>'P1 Catchment Projections'!I14+'P1 Catchment Projections'!I15+'P1 Catchment Projections'!I16</f>
        <v>158</v>
      </c>
      <c r="C30" s="34">
        <f t="shared" si="6"/>
        <v>163</v>
      </c>
      <c r="D30" s="34">
        <f t="shared" si="7"/>
        <v>154</v>
      </c>
      <c r="E30" s="34">
        <f t="shared" si="8"/>
        <v>173</v>
      </c>
      <c r="F30" s="34">
        <f t="shared" si="9"/>
        <v>162</v>
      </c>
      <c r="G30" s="34">
        <f t="shared" si="10"/>
        <v>139</v>
      </c>
      <c r="H30" s="34">
        <f t="shared" si="11"/>
        <v>126</v>
      </c>
      <c r="I30" s="99">
        <f t="shared" si="12"/>
        <v>132</v>
      </c>
      <c r="K30" s="59"/>
      <c r="L30" s="59"/>
      <c r="Z30" s="109"/>
      <c r="AA30" s="109"/>
    </row>
    <row r="31" spans="1:27" x14ac:dyDescent="0.25">
      <c r="A31" s="25">
        <f t="shared" si="13"/>
        <v>2026</v>
      </c>
      <c r="B31" s="37">
        <f>'P1 Catchment Projections'!J14+'P1 Catchment Projections'!J15+'P1 Catchment Projections'!J16</f>
        <v>160</v>
      </c>
      <c r="C31" s="34">
        <f t="shared" si="6"/>
        <v>164</v>
      </c>
      <c r="D31" s="34">
        <f t="shared" si="7"/>
        <v>157</v>
      </c>
      <c r="E31" s="34">
        <f t="shared" si="8"/>
        <v>161</v>
      </c>
      <c r="F31" s="34">
        <f t="shared" si="9"/>
        <v>174</v>
      </c>
      <c r="G31" s="34">
        <f t="shared" si="10"/>
        <v>156</v>
      </c>
      <c r="H31" s="34">
        <f t="shared" si="11"/>
        <v>137</v>
      </c>
      <c r="I31" s="99">
        <f t="shared" si="12"/>
        <v>108</v>
      </c>
      <c r="K31" s="59"/>
      <c r="L31" s="59"/>
      <c r="Z31" s="109"/>
      <c r="AA31" s="109"/>
    </row>
    <row r="32" spans="1:27" x14ac:dyDescent="0.25">
      <c r="A32" s="25">
        <f t="shared" si="13"/>
        <v>2027</v>
      </c>
      <c r="B32" s="37">
        <f>'P1 Catchment Projections'!K14+'P1 Catchment Projections'!K15+'P1 Catchment Projections'!K16</f>
        <v>161</v>
      </c>
      <c r="C32" s="34">
        <f t="shared" si="6"/>
        <v>166</v>
      </c>
      <c r="D32" s="34">
        <f t="shared" si="7"/>
        <v>158</v>
      </c>
      <c r="E32" s="34">
        <f t="shared" si="8"/>
        <v>164</v>
      </c>
      <c r="F32" s="34">
        <f t="shared" si="9"/>
        <v>162</v>
      </c>
      <c r="G32" s="34">
        <f t="shared" si="10"/>
        <v>168</v>
      </c>
      <c r="H32" s="34">
        <f t="shared" si="11"/>
        <v>154</v>
      </c>
      <c r="I32" s="99">
        <f t="shared" si="12"/>
        <v>117</v>
      </c>
      <c r="K32" s="59"/>
      <c r="L32" s="59"/>
      <c r="Z32" s="109"/>
      <c r="AA32" s="109"/>
    </row>
    <row r="33" spans="1:27" x14ac:dyDescent="0.25">
      <c r="A33" s="25">
        <f t="shared" si="13"/>
        <v>2028</v>
      </c>
      <c r="B33" s="37">
        <f>'P1 Catchment Projections'!$L$14+'P1 Catchment Projections'!$L$15+'P1 Catchment Projections'!$L$16</f>
        <v>161</v>
      </c>
      <c r="C33" s="34">
        <f t="shared" si="6"/>
        <v>167</v>
      </c>
      <c r="D33" s="34">
        <f t="shared" si="7"/>
        <v>160</v>
      </c>
      <c r="E33" s="34">
        <f t="shared" si="8"/>
        <v>165</v>
      </c>
      <c r="F33" s="34">
        <f t="shared" si="9"/>
        <v>165</v>
      </c>
      <c r="G33" s="34">
        <f t="shared" si="10"/>
        <v>156</v>
      </c>
      <c r="H33" s="34">
        <f t="shared" si="11"/>
        <v>166</v>
      </c>
      <c r="I33" s="99">
        <f t="shared" si="12"/>
        <v>131</v>
      </c>
      <c r="K33" s="59"/>
      <c r="L33" s="59"/>
    </row>
    <row r="34" spans="1:27" x14ac:dyDescent="0.25">
      <c r="A34" s="25">
        <f t="shared" si="13"/>
        <v>2029</v>
      </c>
      <c r="B34" s="37">
        <f>'P1 Catchment Projections'!$M$14+'P1 Catchment Projections'!$M$15+'P1 Catchment Projections'!$M$16</f>
        <v>162</v>
      </c>
      <c r="C34" s="34">
        <f t="shared" si="6"/>
        <v>167</v>
      </c>
      <c r="D34" s="34">
        <f t="shared" si="7"/>
        <v>161</v>
      </c>
      <c r="E34" s="34">
        <f t="shared" si="8"/>
        <v>167</v>
      </c>
      <c r="F34" s="34">
        <f t="shared" si="9"/>
        <v>166</v>
      </c>
      <c r="G34" s="34">
        <f t="shared" si="10"/>
        <v>159</v>
      </c>
      <c r="H34" s="34">
        <f t="shared" si="11"/>
        <v>154</v>
      </c>
      <c r="I34" s="99">
        <f t="shared" si="12"/>
        <v>142</v>
      </c>
      <c r="K34" s="59"/>
      <c r="L34" s="59"/>
      <c r="Z34" s="109"/>
      <c r="AA34" s="109"/>
    </row>
    <row r="35" spans="1:27" x14ac:dyDescent="0.25">
      <c r="A35" s="25">
        <f t="shared" si="13"/>
        <v>2030</v>
      </c>
      <c r="B35" s="37">
        <f>'P1 Catchment Projections'!$N$14+'P1 Catchment Projections'!$N$15+'P1 Catchment Projections'!$N$16</f>
        <v>163</v>
      </c>
      <c r="C35" s="34">
        <f t="shared" si="6"/>
        <v>168</v>
      </c>
      <c r="D35" s="34">
        <f t="shared" si="7"/>
        <v>161</v>
      </c>
      <c r="E35" s="34">
        <f t="shared" si="8"/>
        <v>168</v>
      </c>
      <c r="F35" s="34">
        <f t="shared" si="9"/>
        <v>168</v>
      </c>
      <c r="G35" s="34">
        <f t="shared" si="10"/>
        <v>160</v>
      </c>
      <c r="H35" s="34">
        <f t="shared" si="11"/>
        <v>157</v>
      </c>
      <c r="I35" s="99">
        <f t="shared" si="12"/>
        <v>131</v>
      </c>
      <c r="K35" s="59"/>
      <c r="L35" s="59"/>
      <c r="Z35" s="109"/>
      <c r="AA35" s="109"/>
    </row>
    <row r="36" spans="1:27" x14ac:dyDescent="0.25">
      <c r="A36" s="25">
        <f t="shared" si="13"/>
        <v>2031</v>
      </c>
      <c r="B36" s="37">
        <f>'P1 Catchment Projections'!$O$14+'P1 Catchment Projections'!$O$15+'P1 Catchment Projections'!$O$16</f>
        <v>163</v>
      </c>
      <c r="C36" s="34">
        <f t="shared" si="6"/>
        <v>169</v>
      </c>
      <c r="D36" s="34">
        <f t="shared" si="7"/>
        <v>162</v>
      </c>
      <c r="E36" s="34">
        <f t="shared" si="8"/>
        <v>168</v>
      </c>
      <c r="F36" s="34">
        <f t="shared" si="9"/>
        <v>169</v>
      </c>
      <c r="G36" s="34">
        <f t="shared" si="10"/>
        <v>162</v>
      </c>
      <c r="H36" s="34">
        <f t="shared" si="11"/>
        <v>158</v>
      </c>
      <c r="I36" s="99">
        <f t="shared" si="12"/>
        <v>134</v>
      </c>
      <c r="K36" s="59"/>
      <c r="L36" s="59"/>
      <c r="Z36" s="109"/>
      <c r="AA36" s="109"/>
    </row>
    <row r="37" spans="1:27" x14ac:dyDescent="0.25">
      <c r="A37" s="25">
        <f t="shared" si="13"/>
        <v>2032</v>
      </c>
      <c r="B37" s="37">
        <f>'P1 Catchment Projections'!$P$14+'P1 Catchment Projections'!$P$15+'P1 Catchment Projections'!$P$16</f>
        <v>163</v>
      </c>
      <c r="C37" s="34">
        <f t="shared" si="6"/>
        <v>169</v>
      </c>
      <c r="D37" s="34">
        <f t="shared" si="7"/>
        <v>163</v>
      </c>
      <c r="E37" s="34">
        <f t="shared" si="8"/>
        <v>169</v>
      </c>
      <c r="F37" s="34">
        <f t="shared" si="9"/>
        <v>169</v>
      </c>
      <c r="G37" s="34">
        <f t="shared" si="10"/>
        <v>163</v>
      </c>
      <c r="H37" s="34">
        <f t="shared" si="11"/>
        <v>160</v>
      </c>
      <c r="I37" s="99">
        <f t="shared" si="12"/>
        <v>135</v>
      </c>
      <c r="K37" s="59"/>
      <c r="L37" s="59"/>
      <c r="Z37" s="109"/>
      <c r="AA37" s="109"/>
    </row>
    <row r="38" spans="1:27" x14ac:dyDescent="0.25">
      <c r="K38" s="59"/>
      <c r="L38" s="59"/>
    </row>
    <row r="39" spans="1:27" x14ac:dyDescent="0.25">
      <c r="A39" s="21" t="s">
        <v>237</v>
      </c>
      <c r="K39" s="394" t="s">
        <v>190</v>
      </c>
      <c r="L39" s="55"/>
      <c r="M39" s="394" t="s">
        <v>203</v>
      </c>
      <c r="N39" s="106"/>
      <c r="O39" s="395" t="s">
        <v>204</v>
      </c>
      <c r="R39" s="21" t="s">
        <v>238</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7" ht="15" customHeight="1" x14ac:dyDescent="0.25">
      <c r="A41" s="25">
        <f>A24</f>
        <v>2019</v>
      </c>
      <c r="B41" s="37">
        <f>B24+VLOOKUP($A$1,'Pri Housing Generation'!$A$96:$DQ$118, 10, FALSE)</f>
        <v>141</v>
      </c>
      <c r="C41" s="34">
        <f>C24+VLOOKUP($A$1,'Pri Housing Generation'!$A$96:$DQ$118, 11, FALSE)</f>
        <v>175</v>
      </c>
      <c r="D41" s="42">
        <f>D24+VLOOKUP($A$1,'Pri Housing Generation'!$A$96:$DQ$118, 12, FALSE)</f>
        <v>164</v>
      </c>
      <c r="E41" s="43">
        <f>E24+VLOOKUP($A$1,'Pri Housing Generation'!$A$96:$DQ$118, 13, FALSE)</f>
        <v>190</v>
      </c>
      <c r="F41" s="41">
        <f>F24+VLOOKUP($A$1,'Pri Housing Generation'!$A$96:$DQ$118, 14, FALSE)</f>
        <v>164</v>
      </c>
      <c r="G41" s="42">
        <f>G24+VLOOKUP($A$1,'Pri Housing Generation'!$A$96:$DQ$118, 15, FALSE)</f>
        <v>170</v>
      </c>
      <c r="H41" s="43">
        <f>H24+VLOOKUP($A$1,'Pri Housing Generation'!$A$96:$DQ$118, 16, FALSE)</f>
        <v>171</v>
      </c>
      <c r="I41" s="99">
        <f>ROUNDUP((H18-(H18*$I$20)),0)</f>
        <v>125</v>
      </c>
      <c r="K41" s="35">
        <f>'Sec Housing Generation'!I6</f>
        <v>10</v>
      </c>
      <c r="L41" s="83"/>
      <c r="M41" s="364">
        <f t="shared" ref="M41" si="14">$K$20</f>
        <v>0.55405405405405406</v>
      </c>
      <c r="O41" s="35">
        <f t="shared" ref="O41:O54" si="15">ROUNDUP(((I41+K41)*M41),0)</f>
        <v>75</v>
      </c>
      <c r="Q41" s="25">
        <f>A41</f>
        <v>2019</v>
      </c>
      <c r="R41" s="20">
        <f t="shared" ref="R41:R54" si="16">IF(O41&lt;$C$7,(IF((O41+$O$20)&gt;$C$7,$C$7,(O41+$O$20))),(IF((O41+$O$20)&lt;(CEILING((O41),20)),(O41+$O$20),(CEILING((O41),20)))))</f>
        <v>79</v>
      </c>
      <c r="S41" s="53">
        <f>R18</f>
        <v>48</v>
      </c>
      <c r="T41" s="67">
        <f>S18</f>
        <v>37</v>
      </c>
      <c r="U41" s="69">
        <f>T18</f>
        <v>38</v>
      </c>
      <c r="V41" s="41">
        <f>ROUNDUP((U18-(U18*$V$20)),0)</f>
        <v>24</v>
      </c>
      <c r="W41" s="42">
        <f>ROUNDUP((V18-(V18*$W$20)),0)</f>
        <v>10</v>
      </c>
      <c r="X41" s="101">
        <f t="shared" ref="X41:X54" si="17">SUM(R41:W41)</f>
        <v>236</v>
      </c>
    </row>
    <row r="42" spans="1:27" x14ac:dyDescent="0.25">
      <c r="A42" s="25">
        <f t="shared" ref="A42:A54" si="18">A25</f>
        <v>2020</v>
      </c>
      <c r="B42" s="37">
        <f>B25+VLOOKUP($A$1,'Pri Housing Generation'!$A$96:$DQ$118, 18, FALSE)</f>
        <v>164</v>
      </c>
      <c r="C42" s="34">
        <f>C25+VLOOKUP($A$1,'Pri Housing Generation'!$A$96:$DQ$118, 19, FALSE)</f>
        <v>156</v>
      </c>
      <c r="D42" s="34">
        <f>D25+VLOOKUP($A$1,'Pri Housing Generation'!$A$96:$DQ$118, 20, FALSE)</f>
        <v>181</v>
      </c>
      <c r="E42" s="42">
        <f>E25+VLOOKUP($A$1,'Pri Housing Generation'!$A$96:$DQ$118, 21, FALSE)</f>
        <v>181</v>
      </c>
      <c r="F42" s="43">
        <f>F25+VLOOKUP($A$1,'Pri Housing Generation'!$A$96:$DQ$118, 22, FALSE)</f>
        <v>202</v>
      </c>
      <c r="G42" s="41">
        <f>G25+VLOOKUP($A$1,'Pri Housing Generation'!$A$96:$DQ$118, 23, FALSE)</f>
        <v>170</v>
      </c>
      <c r="H42" s="42">
        <f>H25+VLOOKUP($A$1,'Pri Housing Generation'!$A$96:$DQ$118, 24, FALSE)</f>
        <v>179</v>
      </c>
      <c r="I42" s="99">
        <f t="shared" ref="I42:I54" si="19">ROUNDUP((H41-(H41*$I$20)),0)</f>
        <v>146</v>
      </c>
      <c r="K42" s="35">
        <f>'Sec Housing Generation'!P6</f>
        <v>20</v>
      </c>
      <c r="L42" s="83"/>
      <c r="M42" s="364">
        <f>M41+0.01046</f>
        <v>0.56451405405405408</v>
      </c>
      <c r="O42" s="35">
        <f t="shared" si="15"/>
        <v>94</v>
      </c>
      <c r="Q42" s="25">
        <f t="shared" ref="Q42:Q54" si="20">A42</f>
        <v>2020</v>
      </c>
      <c r="R42" s="20">
        <f t="shared" si="16"/>
        <v>98</v>
      </c>
      <c r="S42" s="53">
        <f t="shared" ref="S42:U54" si="21">R41</f>
        <v>79</v>
      </c>
      <c r="T42" s="53">
        <f t="shared" si="21"/>
        <v>48</v>
      </c>
      <c r="U42" s="67">
        <f t="shared" si="21"/>
        <v>37</v>
      </c>
      <c r="V42" s="43">
        <f t="shared" ref="V42:V54" si="22">ROUNDUP((U41-(U41*$V$20)),0)</f>
        <v>28</v>
      </c>
      <c r="W42" s="41">
        <f t="shared" ref="W42:W54" si="23">ROUNDUP((V41-(V41*$W$20)),0)</f>
        <v>15</v>
      </c>
      <c r="X42" s="101">
        <f t="shared" si="17"/>
        <v>305</v>
      </c>
    </row>
    <row r="43" spans="1:27" x14ac:dyDescent="0.25">
      <c r="A43" s="25">
        <f t="shared" si="18"/>
        <v>2021</v>
      </c>
      <c r="B43" s="37">
        <f>B26+VLOOKUP($A$1,'Pri Housing Generation'!$A$96:$DQ$118, 26, FALSE)</f>
        <v>190</v>
      </c>
      <c r="C43" s="34">
        <f>C26+VLOOKUP($A$1,'Pri Housing Generation'!$A$96:$DQ$118, 27, FALSE)</f>
        <v>178</v>
      </c>
      <c r="D43" s="34">
        <f>D26+VLOOKUP($A$1,'Pri Housing Generation'!$A$96:$DQ$118, 28, FALSE)</f>
        <v>159</v>
      </c>
      <c r="E43" s="34">
        <f>E26+VLOOKUP($A$1,'Pri Housing Generation'!$A$96:$DQ$118, 29, FALSE)</f>
        <v>196</v>
      </c>
      <c r="F43" s="42">
        <f>F26+VLOOKUP($A$1,'Pri Housing Generation'!$A$96:$DQ$118, 30, FALSE)</f>
        <v>190</v>
      </c>
      <c r="G43" s="43">
        <f>G26+VLOOKUP($A$1,'Pri Housing Generation'!$A$96:$DQ$118, 31, FALSE)</f>
        <v>204</v>
      </c>
      <c r="H43" s="41">
        <f>H26+VLOOKUP($A$1,'Pri Housing Generation'!$A$96:$DQ$118, 32, FALSE)</f>
        <v>176</v>
      </c>
      <c r="I43" s="99">
        <f t="shared" si="19"/>
        <v>153</v>
      </c>
      <c r="K43" s="35">
        <f>'Sec Housing Generation'!W6</f>
        <v>28</v>
      </c>
      <c r="L43" s="83"/>
      <c r="M43" s="364">
        <f t="shared" ref="M43:M54" si="24">M42+0.01046</f>
        <v>0.57497405405405411</v>
      </c>
      <c r="O43" s="35">
        <f t="shared" si="15"/>
        <v>105</v>
      </c>
      <c r="Q43" s="25">
        <f t="shared" si="20"/>
        <v>2021</v>
      </c>
      <c r="R43" s="20">
        <f t="shared" si="16"/>
        <v>109</v>
      </c>
      <c r="S43" s="53">
        <f t="shared" si="21"/>
        <v>98</v>
      </c>
      <c r="T43" s="53">
        <f t="shared" si="21"/>
        <v>79</v>
      </c>
      <c r="U43" s="53">
        <f t="shared" si="21"/>
        <v>48</v>
      </c>
      <c r="V43" s="42">
        <f t="shared" si="22"/>
        <v>27</v>
      </c>
      <c r="W43" s="43">
        <f t="shared" si="23"/>
        <v>17</v>
      </c>
      <c r="X43" s="101">
        <f t="shared" si="17"/>
        <v>378</v>
      </c>
    </row>
    <row r="44" spans="1:27" x14ac:dyDescent="0.25">
      <c r="A44" s="25">
        <f t="shared" si="18"/>
        <v>2022</v>
      </c>
      <c r="B44" s="37">
        <f>B27+VLOOKUP($A$1,'Pri Housing Generation'!$A$96:$DQ$118, 34, FALSE)</f>
        <v>210</v>
      </c>
      <c r="C44" s="34">
        <f>C27+VLOOKUP($A$1,'Pri Housing Generation'!$A$96:$DQ$118, 35, FALSE)</f>
        <v>202</v>
      </c>
      <c r="D44" s="34">
        <f>D27+VLOOKUP($A$1,'Pri Housing Generation'!$A$96:$DQ$118, 36, FALSE)</f>
        <v>179</v>
      </c>
      <c r="E44" s="34">
        <f>E27+VLOOKUP($A$1,'Pri Housing Generation'!$A$96:$DQ$118, 37, FALSE)</f>
        <v>172</v>
      </c>
      <c r="F44" s="34">
        <f>F27+VLOOKUP($A$1,'Pri Housing Generation'!$A$96:$DQ$118, 38, FALSE)</f>
        <v>205</v>
      </c>
      <c r="G44" s="42">
        <f>G27+VLOOKUP($A$1,'Pri Housing Generation'!$A$96:$DQ$118, 39, FALSE)</f>
        <v>193</v>
      </c>
      <c r="H44" s="43">
        <f>H27+VLOOKUP($A$1,'Pri Housing Generation'!$A$96:$DQ$118, 40, FALSE)</f>
        <v>209</v>
      </c>
      <c r="I44" s="99">
        <f t="shared" si="19"/>
        <v>150</v>
      </c>
      <c r="K44" s="35">
        <f>'Sec Housing Generation'!AD6</f>
        <v>37</v>
      </c>
      <c r="L44" s="83"/>
      <c r="M44" s="364">
        <f t="shared" si="24"/>
        <v>0.58543405405405413</v>
      </c>
      <c r="O44" s="35">
        <f t="shared" si="15"/>
        <v>110</v>
      </c>
      <c r="Q44" s="25">
        <f t="shared" si="20"/>
        <v>2022</v>
      </c>
      <c r="R44" s="20">
        <f t="shared" si="16"/>
        <v>114</v>
      </c>
      <c r="S44" s="53">
        <f t="shared" si="21"/>
        <v>109</v>
      </c>
      <c r="T44" s="53">
        <f t="shared" si="21"/>
        <v>98</v>
      </c>
      <c r="U44" s="53">
        <f t="shared" si="21"/>
        <v>79</v>
      </c>
      <c r="V44" s="34">
        <f t="shared" si="22"/>
        <v>35</v>
      </c>
      <c r="W44" s="42">
        <f t="shared" si="23"/>
        <v>17</v>
      </c>
      <c r="X44" s="101">
        <f t="shared" si="17"/>
        <v>452</v>
      </c>
    </row>
    <row r="45" spans="1:27" x14ac:dyDescent="0.25">
      <c r="A45" s="25">
        <f t="shared" si="18"/>
        <v>2023</v>
      </c>
      <c r="B45" s="37">
        <f>B28+VLOOKUP($A$1,'Pri Housing Generation'!$A$96:$DQ$118, 42, FALSE)</f>
        <v>207</v>
      </c>
      <c r="C45" s="34">
        <f>C28+VLOOKUP($A$1,'Pri Housing Generation'!$A$96:$DQ$118, 43, FALSE)</f>
        <v>225</v>
      </c>
      <c r="D45" s="34">
        <f>D28+VLOOKUP($A$1,'Pri Housing Generation'!$A$96:$DQ$118, 44, FALSE)</f>
        <v>206</v>
      </c>
      <c r="E45" s="34">
        <f>E28+VLOOKUP($A$1,'Pri Housing Generation'!$A$96:$DQ$118, 45, FALSE)</f>
        <v>195</v>
      </c>
      <c r="F45" s="34">
        <f>F28+VLOOKUP($A$1,'Pri Housing Generation'!$A$96:$DQ$118, 46, FALSE)</f>
        <v>182</v>
      </c>
      <c r="G45" s="34">
        <f>G28+VLOOKUP($A$1,'Pri Housing Generation'!$A$96:$DQ$118, 47, FALSE)</f>
        <v>208</v>
      </c>
      <c r="H45" s="42">
        <f>H28+VLOOKUP($A$1,'Pri Housing Generation'!$A$96:$DQ$118, 48, FALSE)</f>
        <v>201</v>
      </c>
      <c r="I45" s="99">
        <f t="shared" si="19"/>
        <v>178</v>
      </c>
      <c r="J45" s="181"/>
      <c r="K45" s="35">
        <f>'Sec Housing Generation'!AK6</f>
        <v>46</v>
      </c>
      <c r="L45" s="83"/>
      <c r="M45" s="364">
        <f t="shared" si="24"/>
        <v>0.59589405405405416</v>
      </c>
      <c r="O45" s="35">
        <f t="shared" si="15"/>
        <v>134</v>
      </c>
      <c r="Q45" s="25">
        <f t="shared" si="20"/>
        <v>2023</v>
      </c>
      <c r="R45" s="20">
        <f t="shared" si="16"/>
        <v>138</v>
      </c>
      <c r="S45" s="53">
        <f t="shared" si="21"/>
        <v>114</v>
      </c>
      <c r="T45" s="53">
        <f t="shared" si="21"/>
        <v>109</v>
      </c>
      <c r="U45" s="53">
        <f t="shared" si="21"/>
        <v>98</v>
      </c>
      <c r="V45" s="34">
        <f t="shared" si="22"/>
        <v>58</v>
      </c>
      <c r="W45" s="34">
        <f t="shared" si="23"/>
        <v>22</v>
      </c>
      <c r="X45" s="101">
        <f t="shared" si="17"/>
        <v>539</v>
      </c>
    </row>
    <row r="46" spans="1:27" x14ac:dyDescent="0.25">
      <c r="A46" s="25">
        <f t="shared" si="18"/>
        <v>2024</v>
      </c>
      <c r="B46" s="37">
        <f>B29+VLOOKUP($A$1,'Pri Housing Generation'!$A$96:$DQ$118, 50, FALSE)</f>
        <v>218</v>
      </c>
      <c r="C46" s="34">
        <f>C29+VLOOKUP($A$1,'Pri Housing Generation'!$A$96:$DQ$118, 51, FALSE)</f>
        <v>220</v>
      </c>
      <c r="D46" s="34">
        <f>D29+VLOOKUP($A$1,'Pri Housing Generation'!$A$96:$DQ$118, 52, FALSE)</f>
        <v>226</v>
      </c>
      <c r="E46" s="34">
        <f>E29+VLOOKUP($A$1,'Pri Housing Generation'!$A$96:$DQ$118, 53, FALSE)</f>
        <v>220</v>
      </c>
      <c r="F46" s="34">
        <f>F29+VLOOKUP($A$1,'Pri Housing Generation'!$A$96:$DQ$118, 54, FALSE)</f>
        <v>202</v>
      </c>
      <c r="G46" s="34">
        <f>G29+VLOOKUP($A$1,'Pri Housing Generation'!$A$96:$DQ$118, 55, FALSE)</f>
        <v>185</v>
      </c>
      <c r="H46" s="34">
        <f>H29+VLOOKUP($A$1,'Pri Housing Generation'!$A$96:$DQ$118, 56, FALSE)</f>
        <v>213</v>
      </c>
      <c r="I46" s="99">
        <f t="shared" si="19"/>
        <v>171</v>
      </c>
      <c r="J46" s="181"/>
      <c r="K46" s="35">
        <f>'Sec Housing Generation'!AR6</f>
        <v>54</v>
      </c>
      <c r="L46" s="83"/>
      <c r="M46" s="364">
        <f t="shared" si="24"/>
        <v>0.60635405405405418</v>
      </c>
      <c r="O46" s="35">
        <f t="shared" si="15"/>
        <v>137</v>
      </c>
      <c r="Q46" s="25">
        <f t="shared" si="20"/>
        <v>2024</v>
      </c>
      <c r="R46" s="20">
        <f t="shared" si="16"/>
        <v>140</v>
      </c>
      <c r="S46" s="53">
        <f t="shared" si="21"/>
        <v>138</v>
      </c>
      <c r="T46" s="53">
        <f t="shared" si="21"/>
        <v>114</v>
      </c>
      <c r="U46" s="53">
        <f t="shared" si="21"/>
        <v>109</v>
      </c>
      <c r="V46" s="34">
        <f t="shared" si="22"/>
        <v>72</v>
      </c>
      <c r="W46" s="34">
        <f t="shared" si="23"/>
        <v>36</v>
      </c>
      <c r="X46" s="101">
        <f t="shared" si="17"/>
        <v>609</v>
      </c>
    </row>
    <row r="47" spans="1:27" x14ac:dyDescent="0.25">
      <c r="A47" s="25">
        <f t="shared" si="18"/>
        <v>2025</v>
      </c>
      <c r="B47" s="37">
        <f>B30+VLOOKUP($A$1,'Pri Housing Generation'!$A$96:$DQ$118, 58, FALSE)</f>
        <v>226</v>
      </c>
      <c r="C47" s="34">
        <f>C30+VLOOKUP($A$1,'Pri Housing Generation'!$A$96:$DQ$118, 59, FALSE)</f>
        <v>229</v>
      </c>
      <c r="D47" s="34">
        <f>D30+VLOOKUP($A$1,'Pri Housing Generation'!$A$96:$DQ$118, 60, FALSE)</f>
        <v>220</v>
      </c>
      <c r="E47" s="34">
        <f>E30+VLOOKUP($A$1,'Pri Housing Generation'!$A$96:$DQ$118, 61, FALSE)</f>
        <v>239</v>
      </c>
      <c r="F47" s="34">
        <f>F30+VLOOKUP($A$1,'Pri Housing Generation'!$A$96:$DQ$118, 62, FALSE)</f>
        <v>227</v>
      </c>
      <c r="G47" s="34">
        <f>G30+VLOOKUP($A$1,'Pri Housing Generation'!$A$96:$DQ$118, 63, FALSE)</f>
        <v>204</v>
      </c>
      <c r="H47" s="34">
        <f>H30+VLOOKUP($A$1,'Pri Housing Generation'!$A$96:$DQ$118, 64, FALSE)</f>
        <v>191</v>
      </c>
      <c r="I47" s="99">
        <f t="shared" si="19"/>
        <v>182</v>
      </c>
      <c r="J47" s="181"/>
      <c r="K47" s="83"/>
      <c r="L47" s="83"/>
      <c r="M47" s="364">
        <f t="shared" si="24"/>
        <v>0.61681405405405421</v>
      </c>
      <c r="O47" s="35">
        <f t="shared" si="15"/>
        <v>113</v>
      </c>
      <c r="Q47" s="25">
        <f t="shared" si="20"/>
        <v>2025</v>
      </c>
      <c r="R47" s="20">
        <f t="shared" si="16"/>
        <v>117</v>
      </c>
      <c r="S47" s="53">
        <f t="shared" si="21"/>
        <v>140</v>
      </c>
      <c r="T47" s="53">
        <f t="shared" si="21"/>
        <v>138</v>
      </c>
      <c r="U47" s="53">
        <f t="shared" si="21"/>
        <v>114</v>
      </c>
      <c r="V47" s="34">
        <f t="shared" si="22"/>
        <v>80</v>
      </c>
      <c r="W47" s="34">
        <f t="shared" si="23"/>
        <v>44</v>
      </c>
      <c r="X47" s="101">
        <f t="shared" si="17"/>
        <v>633</v>
      </c>
    </row>
    <row r="48" spans="1:27" x14ac:dyDescent="0.25">
      <c r="A48" s="25">
        <f t="shared" si="18"/>
        <v>2026</v>
      </c>
      <c r="B48" s="37">
        <f>B31+VLOOKUP($A$1,'Pri Housing Generation'!$A$96:$DQ$118, 66, FALSE)</f>
        <v>236</v>
      </c>
      <c r="C48" s="34">
        <f>C31+VLOOKUP($A$1,'Pri Housing Generation'!$A$96:$DQ$118, 67, FALSE)</f>
        <v>239</v>
      </c>
      <c r="D48" s="34">
        <f>D31+VLOOKUP($A$1,'Pri Housing Generation'!$A$96:$DQ$118, 68, FALSE)</f>
        <v>231</v>
      </c>
      <c r="E48" s="34">
        <f>E31+VLOOKUP($A$1,'Pri Housing Generation'!$A$96:$DQ$118, 69, FALSE)</f>
        <v>235</v>
      </c>
      <c r="F48" s="34">
        <f>F31+VLOOKUP($A$1,'Pri Housing Generation'!$A$96:$DQ$118, 70, FALSE)</f>
        <v>248</v>
      </c>
      <c r="G48" s="34">
        <f>G31+VLOOKUP($A$1,'Pri Housing Generation'!$A$96:$DQ$118, 71, FALSE)</f>
        <v>229</v>
      </c>
      <c r="H48" s="34">
        <f>H31+VLOOKUP($A$1,'Pri Housing Generation'!$A$96:$DQ$118, 72, FALSE)</f>
        <v>210</v>
      </c>
      <c r="I48" s="99">
        <f t="shared" si="19"/>
        <v>163</v>
      </c>
      <c r="J48" s="181"/>
      <c r="K48" s="83"/>
      <c r="L48" s="83"/>
      <c r="M48" s="364">
        <f t="shared" si="24"/>
        <v>0.62727405405405423</v>
      </c>
      <c r="O48" s="35">
        <f t="shared" si="15"/>
        <v>103</v>
      </c>
      <c r="Q48" s="25">
        <f t="shared" si="20"/>
        <v>2026</v>
      </c>
      <c r="R48" s="20">
        <f t="shared" si="16"/>
        <v>107</v>
      </c>
      <c r="S48" s="53">
        <f t="shared" si="21"/>
        <v>117</v>
      </c>
      <c r="T48" s="53">
        <f t="shared" si="21"/>
        <v>140</v>
      </c>
      <c r="U48" s="53">
        <f t="shared" si="21"/>
        <v>138</v>
      </c>
      <c r="V48" s="34">
        <f t="shared" si="22"/>
        <v>83</v>
      </c>
      <c r="W48" s="34">
        <f t="shared" si="23"/>
        <v>49</v>
      </c>
      <c r="X48" s="101">
        <f t="shared" si="17"/>
        <v>634</v>
      </c>
    </row>
    <row r="49" spans="1:24" x14ac:dyDescent="0.25">
      <c r="A49" s="25">
        <f t="shared" si="18"/>
        <v>2027</v>
      </c>
      <c r="B49" s="37">
        <f>B32+VLOOKUP($A$1,'Pri Housing Generation'!$A$96:$DQ$118, 74, FALSE)</f>
        <v>245</v>
      </c>
      <c r="C49" s="34">
        <f>C32+VLOOKUP($A$1,'Pri Housing Generation'!$A$96:$DQ$118, 75, FALSE)</f>
        <v>249</v>
      </c>
      <c r="D49" s="34">
        <f>D32+VLOOKUP($A$1,'Pri Housing Generation'!$A$96:$DQ$118, 76, FALSE)</f>
        <v>240</v>
      </c>
      <c r="E49" s="34">
        <f>E32+VLOOKUP($A$1,'Pri Housing Generation'!$A$96:$DQ$118, 77, FALSE)</f>
        <v>246</v>
      </c>
      <c r="F49" s="34">
        <f>F32+VLOOKUP($A$1,'Pri Housing Generation'!$A$96:$DQ$118, 78, FALSE)</f>
        <v>244</v>
      </c>
      <c r="G49" s="34">
        <f>G32+VLOOKUP($A$1,'Pri Housing Generation'!$A$96:$DQ$118, 79, FALSE)</f>
        <v>250</v>
      </c>
      <c r="H49" s="34">
        <f>H32+VLOOKUP($A$1,'Pri Housing Generation'!$A$96:$DQ$118, 80, FALSE)</f>
        <v>236</v>
      </c>
      <c r="I49" s="99">
        <f t="shared" si="19"/>
        <v>179</v>
      </c>
      <c r="J49" s="181"/>
      <c r="K49" s="83"/>
      <c r="L49" s="83"/>
      <c r="M49" s="364">
        <f t="shared" si="24"/>
        <v>0.63773405405405426</v>
      </c>
      <c r="O49" s="35">
        <f t="shared" si="15"/>
        <v>115</v>
      </c>
      <c r="Q49" s="25">
        <f t="shared" si="20"/>
        <v>2027</v>
      </c>
      <c r="R49" s="20">
        <f t="shared" si="16"/>
        <v>119</v>
      </c>
      <c r="S49" s="53">
        <f t="shared" si="21"/>
        <v>107</v>
      </c>
      <c r="T49" s="53">
        <f t="shared" si="21"/>
        <v>117</v>
      </c>
      <c r="U49" s="53">
        <f t="shared" si="21"/>
        <v>140</v>
      </c>
      <c r="V49" s="34">
        <f t="shared" si="22"/>
        <v>101</v>
      </c>
      <c r="W49" s="34">
        <f t="shared" si="23"/>
        <v>51</v>
      </c>
      <c r="X49" s="101">
        <f t="shared" si="17"/>
        <v>635</v>
      </c>
    </row>
    <row r="50" spans="1:24" x14ac:dyDescent="0.25">
      <c r="A50" s="25">
        <f t="shared" si="18"/>
        <v>2028</v>
      </c>
      <c r="B50" s="37">
        <f>B33+VLOOKUP($A$1,'Pri Housing Generation'!$A$96:$DQ$118, 82, FALSE)</f>
        <v>254</v>
      </c>
      <c r="C50" s="34">
        <f>C33+VLOOKUP($A$1,'Pri Housing Generation'!$A$96:$DQ$118, 83, FALSE)</f>
        <v>258</v>
      </c>
      <c r="D50" s="34">
        <f>D33+VLOOKUP($A$1,'Pri Housing Generation'!$A$96:$DQ$118, 84, FALSE)</f>
        <v>251</v>
      </c>
      <c r="E50" s="34">
        <f>E33+VLOOKUP($A$1,'Pri Housing Generation'!$A$96:$DQ$118, 85, FALSE)</f>
        <v>256</v>
      </c>
      <c r="F50" s="34">
        <f>F33+VLOOKUP($A$1,'Pri Housing Generation'!$A$96:$DQ$118, 86, FALSE)</f>
        <v>256</v>
      </c>
      <c r="G50" s="34">
        <f>G33+VLOOKUP($A$1,'Pri Housing Generation'!$A$96:$DQ$118, 87, FALSE)</f>
        <v>246</v>
      </c>
      <c r="H50" s="34">
        <f>H33+VLOOKUP($A$1,'Pri Housing Generation'!$A$96:$DQ$118, 88, FALSE)</f>
        <v>256</v>
      </c>
      <c r="I50" s="99">
        <f t="shared" si="19"/>
        <v>201</v>
      </c>
      <c r="J50" s="181"/>
      <c r="K50" s="83"/>
      <c r="L50" s="83"/>
      <c r="M50" s="364">
        <f t="shared" si="24"/>
        <v>0.64819405405405428</v>
      </c>
      <c r="O50" s="35">
        <f t="shared" si="15"/>
        <v>131</v>
      </c>
      <c r="Q50" s="25">
        <f t="shared" si="20"/>
        <v>2028</v>
      </c>
      <c r="R50" s="20">
        <f t="shared" si="16"/>
        <v>135</v>
      </c>
      <c r="S50" s="53">
        <f t="shared" si="21"/>
        <v>119</v>
      </c>
      <c r="T50" s="53">
        <f t="shared" si="21"/>
        <v>107</v>
      </c>
      <c r="U50" s="53">
        <f t="shared" si="21"/>
        <v>117</v>
      </c>
      <c r="V50" s="34">
        <f t="shared" si="22"/>
        <v>102</v>
      </c>
      <c r="W50" s="34">
        <f t="shared" si="23"/>
        <v>62</v>
      </c>
      <c r="X50" s="101">
        <f t="shared" si="17"/>
        <v>642</v>
      </c>
    </row>
    <row r="51" spans="1:24" x14ac:dyDescent="0.25">
      <c r="A51" s="25">
        <f t="shared" si="18"/>
        <v>2029</v>
      </c>
      <c r="B51" s="37">
        <f>B34+VLOOKUP($A$1,'Pri Housing Generation'!$A$96:$DQ$118, 90, FALSE)</f>
        <v>258</v>
      </c>
      <c r="C51" s="34">
        <f>C34+VLOOKUP($A$1,'Pri Housing Generation'!$A$96:$DQ$118, 91, FALSE)</f>
        <v>262</v>
      </c>
      <c r="D51" s="34">
        <f>D34+VLOOKUP($A$1,'Pri Housing Generation'!$A$96:$DQ$118, 92, FALSE)</f>
        <v>256</v>
      </c>
      <c r="E51" s="34">
        <f>E34+VLOOKUP($A$1,'Pri Housing Generation'!$A$96:$DQ$118, 93, FALSE)</f>
        <v>262</v>
      </c>
      <c r="F51" s="34">
        <f>F34+VLOOKUP($A$1,'Pri Housing Generation'!$A$96:$DQ$118, 94, FALSE)</f>
        <v>261</v>
      </c>
      <c r="G51" s="34">
        <f>G34+VLOOKUP($A$1,'Pri Housing Generation'!$A$96:$DQ$118, 95, FALSE)</f>
        <v>254</v>
      </c>
      <c r="H51" s="34">
        <f>H34+VLOOKUP($A$1,'Pri Housing Generation'!$A$96:$DQ$118, 96, FALSE)</f>
        <v>247</v>
      </c>
      <c r="I51" s="99">
        <f t="shared" si="19"/>
        <v>218</v>
      </c>
      <c r="J51" s="181"/>
      <c r="K51" s="83"/>
      <c r="L51" s="83"/>
      <c r="M51" s="364">
        <f t="shared" si="24"/>
        <v>0.65865405405405431</v>
      </c>
      <c r="O51" s="35">
        <f t="shared" si="15"/>
        <v>144</v>
      </c>
      <c r="Q51" s="25">
        <f t="shared" si="20"/>
        <v>2029</v>
      </c>
      <c r="R51" s="20">
        <f t="shared" si="16"/>
        <v>148</v>
      </c>
      <c r="S51" s="53">
        <f t="shared" si="21"/>
        <v>135</v>
      </c>
      <c r="T51" s="53">
        <f t="shared" si="21"/>
        <v>119</v>
      </c>
      <c r="U51" s="53">
        <f t="shared" si="21"/>
        <v>107</v>
      </c>
      <c r="V51" s="34">
        <f t="shared" si="22"/>
        <v>85</v>
      </c>
      <c r="W51" s="34">
        <f t="shared" si="23"/>
        <v>62</v>
      </c>
      <c r="X51" s="101">
        <f t="shared" si="17"/>
        <v>656</v>
      </c>
    </row>
    <row r="52" spans="1:24" x14ac:dyDescent="0.25">
      <c r="A52" s="25">
        <f t="shared" si="18"/>
        <v>2030</v>
      </c>
      <c r="B52" s="37">
        <f>B35+VLOOKUP($A$1,'Pri Housing Generation'!$A$96:$DQ$118, 98, FALSE)</f>
        <v>263</v>
      </c>
      <c r="C52" s="34">
        <f>C35+VLOOKUP($A$1,'Pri Housing Generation'!$A$96:$DQ$118, 99, FALSE)</f>
        <v>267</v>
      </c>
      <c r="D52" s="34">
        <f>D35+VLOOKUP($A$1,'Pri Housing Generation'!$A$96:$DQ$118, 100, FALSE)</f>
        <v>260</v>
      </c>
      <c r="E52" s="34">
        <f>E35+VLOOKUP($A$1,'Pri Housing Generation'!$A$96:$DQ$118, 101, FALSE)</f>
        <v>267</v>
      </c>
      <c r="F52" s="34">
        <f>F35+VLOOKUP($A$1,'Pri Housing Generation'!$A$96:$DQ$118, 102, FALSE)</f>
        <v>266</v>
      </c>
      <c r="G52" s="34">
        <f>G35+VLOOKUP($A$1,'Pri Housing Generation'!$A$96:$DQ$118, 103, FALSE)</f>
        <v>258</v>
      </c>
      <c r="H52" s="34">
        <f>H35+VLOOKUP($A$1,'Pri Housing Generation'!$A$96:$DQ$118, 104, FALSE)</f>
        <v>255</v>
      </c>
      <c r="I52" s="99">
        <f t="shared" si="19"/>
        <v>210</v>
      </c>
      <c r="J52" s="54"/>
      <c r="K52" s="83"/>
      <c r="L52" s="83"/>
      <c r="M52" s="364">
        <f t="shared" si="24"/>
        <v>0.66911405405405433</v>
      </c>
      <c r="O52" s="35">
        <f t="shared" si="15"/>
        <v>141</v>
      </c>
      <c r="Q52" s="25">
        <f t="shared" si="20"/>
        <v>2030</v>
      </c>
      <c r="R52" s="20">
        <f t="shared" si="16"/>
        <v>145</v>
      </c>
      <c r="S52" s="53">
        <f t="shared" si="21"/>
        <v>148</v>
      </c>
      <c r="T52" s="53">
        <f t="shared" si="21"/>
        <v>135</v>
      </c>
      <c r="U52" s="53">
        <f t="shared" si="21"/>
        <v>119</v>
      </c>
      <c r="V52" s="34">
        <f t="shared" si="22"/>
        <v>78</v>
      </c>
      <c r="W52" s="34">
        <f t="shared" si="23"/>
        <v>52</v>
      </c>
      <c r="X52" s="101">
        <f t="shared" si="17"/>
        <v>677</v>
      </c>
    </row>
    <row r="53" spans="1:24" x14ac:dyDescent="0.25">
      <c r="A53" s="25">
        <f t="shared" si="18"/>
        <v>2031</v>
      </c>
      <c r="B53" s="37">
        <f>B36+VLOOKUP($A$1,'Pri Housing Generation'!$A$96:$DQ$118, 106, FALSE)</f>
        <v>268</v>
      </c>
      <c r="C53" s="34">
        <f>C36+VLOOKUP($A$1,'Pri Housing Generation'!$A$96:$DQ$118, 107, FALSE)</f>
        <v>272</v>
      </c>
      <c r="D53" s="34">
        <f>D36+VLOOKUP($A$1,'Pri Housing Generation'!$A$96:$DQ$118, 108, FALSE)</f>
        <v>264</v>
      </c>
      <c r="E53" s="34">
        <f>E36+VLOOKUP($A$1,'Pri Housing Generation'!$A$96:$DQ$118, 109, FALSE)</f>
        <v>270</v>
      </c>
      <c r="F53" s="34">
        <f>F36+VLOOKUP($A$1,'Pri Housing Generation'!$A$96:$DQ$118, 110, FALSE)</f>
        <v>271</v>
      </c>
      <c r="G53" s="34">
        <f>G36+VLOOKUP($A$1,'Pri Housing Generation'!$A$96:$DQ$118, 111, FALSE)</f>
        <v>264</v>
      </c>
      <c r="H53" s="34">
        <f>H36+VLOOKUP($A$1,'Pri Housing Generation'!$A$96:$DQ$118, 112, FALSE)</f>
        <v>260</v>
      </c>
      <c r="I53" s="99">
        <f t="shared" si="19"/>
        <v>217</v>
      </c>
      <c r="J53" s="54"/>
      <c r="K53" s="83"/>
      <c r="L53" s="83"/>
      <c r="M53" s="364">
        <f t="shared" si="24"/>
        <v>0.67957405405405436</v>
      </c>
      <c r="O53" s="35">
        <f t="shared" si="15"/>
        <v>148</v>
      </c>
      <c r="Q53" s="25">
        <f t="shared" si="20"/>
        <v>2031</v>
      </c>
      <c r="R53" s="20">
        <f t="shared" si="16"/>
        <v>152</v>
      </c>
      <c r="S53" s="53">
        <f t="shared" si="21"/>
        <v>145</v>
      </c>
      <c r="T53" s="53">
        <f t="shared" si="21"/>
        <v>148</v>
      </c>
      <c r="U53" s="53">
        <f t="shared" si="21"/>
        <v>135</v>
      </c>
      <c r="V53" s="34">
        <f t="shared" si="22"/>
        <v>87</v>
      </c>
      <c r="W53" s="34">
        <f t="shared" si="23"/>
        <v>48</v>
      </c>
      <c r="X53" s="101">
        <f t="shared" si="17"/>
        <v>715</v>
      </c>
    </row>
    <row r="54" spans="1:24" x14ac:dyDescent="0.25">
      <c r="A54" s="25">
        <f t="shared" si="18"/>
        <v>2032</v>
      </c>
      <c r="B54" s="37">
        <f>B37+VLOOKUP($A$1,'Pri Housing Generation'!$A$96:$DQ$118, 114, FALSE)</f>
        <v>271</v>
      </c>
      <c r="C54" s="34">
        <f>C37+VLOOKUP($A$1,'Pri Housing Generation'!$A$96:$DQ$118, 115, FALSE)</f>
        <v>276</v>
      </c>
      <c r="D54" s="34">
        <f>D37+VLOOKUP($A$1,'Pri Housing Generation'!$A$96:$DQ$118, 116, FALSE)</f>
        <v>269</v>
      </c>
      <c r="E54" s="34">
        <f>E37+VLOOKUP($A$1,'Pri Housing Generation'!$A$96:$DQ$118, 117, FALSE)</f>
        <v>275</v>
      </c>
      <c r="F54" s="34">
        <f>F37+VLOOKUP($A$1,'Pri Housing Generation'!$A$96:$DQ$118, 118, FALSE)</f>
        <v>275</v>
      </c>
      <c r="G54" s="34">
        <f>G37+VLOOKUP($A$1,'Pri Housing Generation'!$A$96:$DQ$118, 119, FALSE)</f>
        <v>269</v>
      </c>
      <c r="H54" s="34">
        <f>H37+VLOOKUP($A$1,'Pri Housing Generation'!$A$96:$DQ$118, 120, FALSE)</f>
        <v>266</v>
      </c>
      <c r="I54" s="99">
        <f t="shared" si="19"/>
        <v>221</v>
      </c>
      <c r="K54" s="83"/>
      <c r="L54" s="83"/>
      <c r="M54" s="364">
        <f t="shared" si="24"/>
        <v>0.69003405405405438</v>
      </c>
      <c r="O54" s="35">
        <f t="shared" si="15"/>
        <v>153</v>
      </c>
      <c r="Q54" s="25">
        <f t="shared" si="20"/>
        <v>2032</v>
      </c>
      <c r="R54" s="20">
        <f t="shared" si="16"/>
        <v>157</v>
      </c>
      <c r="S54" s="53">
        <f t="shared" si="21"/>
        <v>152</v>
      </c>
      <c r="T54" s="53">
        <f t="shared" si="21"/>
        <v>145</v>
      </c>
      <c r="U54" s="53">
        <f t="shared" si="21"/>
        <v>148</v>
      </c>
      <c r="V54" s="34">
        <f t="shared" si="22"/>
        <v>98</v>
      </c>
      <c r="W54" s="34">
        <f t="shared" si="23"/>
        <v>53</v>
      </c>
      <c r="X54" s="101">
        <f t="shared" si="17"/>
        <v>753</v>
      </c>
    </row>
    <row r="56" spans="1:24" ht="15.75" x14ac:dyDescent="0.25">
      <c r="A56" s="129" t="s">
        <v>223</v>
      </c>
      <c r="F56" s="131"/>
      <c r="G56" s="131"/>
      <c r="H56" s="181"/>
      <c r="I56" s="131"/>
      <c r="J56" s="131"/>
    </row>
    <row r="57" spans="1:24" x14ac:dyDescent="0.25">
      <c r="F57" s="131"/>
      <c r="G57" s="131"/>
      <c r="H57" s="181"/>
      <c r="I57" s="131"/>
      <c r="J57" s="131"/>
    </row>
    <row r="58" spans="1:24" x14ac:dyDescent="0.25">
      <c r="A58" s="21" t="s">
        <v>224</v>
      </c>
      <c r="F58" s="132"/>
      <c r="G58" s="131"/>
      <c r="H58" s="181"/>
      <c r="I58" s="131"/>
      <c r="J58" s="131"/>
    </row>
    <row r="59" spans="1:24" x14ac:dyDescent="0.25">
      <c r="A59" s="21"/>
      <c r="F59" s="132"/>
      <c r="G59" s="131"/>
      <c r="H59" s="181"/>
      <c r="I59" s="131"/>
      <c r="J59" s="131"/>
    </row>
    <row r="60" spans="1:24" ht="33" customHeight="1" x14ac:dyDescent="0.25">
      <c r="A60" s="136"/>
      <c r="B60" s="137" t="s">
        <v>225</v>
      </c>
      <c r="C60" s="413" t="s">
        <v>226</v>
      </c>
      <c r="D60" s="414"/>
      <c r="F60" s="132"/>
      <c r="G60" s="130"/>
      <c r="H60" s="181"/>
      <c r="I60" s="130"/>
      <c r="J60" s="130"/>
    </row>
    <row r="61" spans="1:24" x14ac:dyDescent="0.25">
      <c r="A61" s="25">
        <v>2011</v>
      </c>
      <c r="B61" s="128">
        <v>69</v>
      </c>
      <c r="C61" s="415">
        <f t="shared" ref="C61:C66" si="25">1-(I13/(I13+B61))</f>
        <v>0.57024793388429751</v>
      </c>
      <c r="D61" s="388"/>
      <c r="F61" s="133"/>
      <c r="G61" s="54"/>
      <c r="H61" s="181"/>
      <c r="I61" s="54"/>
      <c r="J61" s="54"/>
    </row>
    <row r="62" spans="1:24" x14ac:dyDescent="0.25">
      <c r="A62" s="25">
        <v>2012</v>
      </c>
      <c r="B62" s="128">
        <v>87</v>
      </c>
      <c r="C62" s="415">
        <f t="shared" si="25"/>
        <v>0.54716981132075471</v>
      </c>
      <c r="D62" s="388"/>
      <c r="F62" s="133"/>
      <c r="G62" s="54"/>
      <c r="H62" s="181"/>
      <c r="I62" s="54"/>
      <c r="J62" s="54"/>
      <c r="K62" s="181"/>
      <c r="N62" s="109"/>
      <c r="S62" s="82"/>
    </row>
    <row r="63" spans="1:24" x14ac:dyDescent="0.25">
      <c r="A63" s="25">
        <v>2013</v>
      </c>
      <c r="B63" s="128">
        <v>88</v>
      </c>
      <c r="C63" s="415">
        <f t="shared" si="25"/>
        <v>0.60273972602739723</v>
      </c>
      <c r="D63" s="388"/>
      <c r="F63" s="133"/>
      <c r="G63" s="54"/>
      <c r="H63" s="181"/>
      <c r="I63" s="54"/>
      <c r="J63" s="54"/>
      <c r="K63" s="181"/>
      <c r="N63" s="109"/>
      <c r="S63" s="82"/>
    </row>
    <row r="64" spans="1:24" x14ac:dyDescent="0.25">
      <c r="A64" s="25">
        <v>2014</v>
      </c>
      <c r="B64" s="128">
        <v>77</v>
      </c>
      <c r="C64" s="415">
        <f t="shared" si="25"/>
        <v>0.53472222222222221</v>
      </c>
      <c r="D64" s="388"/>
      <c r="F64" s="133"/>
      <c r="G64" s="54"/>
      <c r="H64" s="181"/>
      <c r="I64" s="54"/>
      <c r="J64" s="54"/>
      <c r="K64" s="181"/>
      <c r="N64" s="109"/>
      <c r="S64" s="82"/>
    </row>
    <row r="65" spans="1:19" x14ac:dyDescent="0.25">
      <c r="A65" s="25">
        <v>2015</v>
      </c>
      <c r="B65" s="128">
        <v>68</v>
      </c>
      <c r="C65" s="415">
        <f t="shared" si="25"/>
        <v>0.55284552845528456</v>
      </c>
      <c r="D65" s="388"/>
      <c r="F65" s="133"/>
      <c r="G65" s="54"/>
      <c r="H65" s="181"/>
      <c r="I65" s="54"/>
      <c r="J65" s="54"/>
      <c r="K65" s="181"/>
      <c r="N65" s="109"/>
      <c r="S65" s="82"/>
    </row>
    <row r="66" spans="1:19" x14ac:dyDescent="0.25">
      <c r="A66" s="25"/>
      <c r="B66" s="128"/>
      <c r="C66" s="415">
        <f t="shared" si="25"/>
        <v>0</v>
      </c>
      <c r="D66" s="388"/>
      <c r="F66" s="133"/>
      <c r="G66" s="54"/>
      <c r="H66" s="181"/>
      <c r="I66" s="54"/>
      <c r="J66" s="54"/>
      <c r="K66" s="181"/>
      <c r="N66" s="109"/>
      <c r="S66" s="82"/>
    </row>
    <row r="67" spans="1:19" x14ac:dyDescent="0.25">
      <c r="A67" s="21"/>
      <c r="F67" s="48"/>
      <c r="K67" s="181"/>
      <c r="N67" s="109"/>
      <c r="S67" s="82"/>
    </row>
    <row r="68" spans="1:19" x14ac:dyDescent="0.25">
      <c r="A68" s="21" t="s">
        <v>213</v>
      </c>
      <c r="F68" s="48"/>
      <c r="K68" s="181"/>
      <c r="N68" s="109"/>
      <c r="S68" s="82"/>
    </row>
    <row r="69" spans="1:19" x14ac:dyDescent="0.25">
      <c r="A69" t="s">
        <v>341</v>
      </c>
      <c r="K69" s="54"/>
      <c r="N69" s="109"/>
      <c r="S69" s="82"/>
    </row>
    <row r="70" spans="1:19" x14ac:dyDescent="0.25">
      <c r="A70" t="s">
        <v>342</v>
      </c>
      <c r="K70" s="54"/>
      <c r="N70" s="109"/>
      <c r="S70" s="82"/>
    </row>
    <row r="71" spans="1:19" x14ac:dyDescent="0.25">
      <c r="K71" s="54"/>
      <c r="N71" s="109"/>
    </row>
    <row r="72" spans="1:19" ht="174" customHeight="1" x14ac:dyDescent="0.25">
      <c r="A72" s="417" t="s">
        <v>408</v>
      </c>
      <c r="B72" s="417"/>
      <c r="C72" s="417"/>
      <c r="D72" s="417"/>
      <c r="E72" s="417"/>
      <c r="F72" s="417"/>
      <c r="G72" s="417"/>
      <c r="H72" s="417"/>
      <c r="I72" s="417"/>
      <c r="J72" s="417"/>
      <c r="K72" s="417"/>
      <c r="L72" s="417"/>
      <c r="M72" s="417"/>
      <c r="N72" s="417"/>
      <c r="O72" s="417"/>
      <c r="P72" s="417"/>
      <c r="Q72" s="417"/>
    </row>
    <row r="74" spans="1:19" ht="15" customHeight="1" x14ac:dyDescent="0.25">
      <c r="K74" s="131"/>
    </row>
    <row r="75" spans="1:19" ht="15" customHeight="1" x14ac:dyDescent="0.25">
      <c r="K75" s="131"/>
    </row>
    <row r="76" spans="1:19" ht="15" customHeight="1" x14ac:dyDescent="0.25">
      <c r="K76" s="131"/>
    </row>
    <row r="77" spans="1:19" ht="15" customHeight="1" x14ac:dyDescent="0.25">
      <c r="K77" s="131"/>
    </row>
    <row r="78" spans="1:19" ht="15" customHeight="1" x14ac:dyDescent="0.25">
      <c r="K78" s="130"/>
      <c r="Q78" s="130"/>
    </row>
    <row r="79" spans="1:19" ht="15" customHeight="1" x14ac:dyDescent="0.25">
      <c r="K79" s="54"/>
      <c r="Q79" s="54"/>
    </row>
    <row r="80" spans="1:19" ht="15" customHeight="1" x14ac:dyDescent="0.25">
      <c r="K80" s="54"/>
      <c r="Q80" s="54"/>
    </row>
    <row r="81" spans="11:17" ht="15" customHeight="1" x14ac:dyDescent="0.25">
      <c r="K81" s="54"/>
      <c r="Q81" s="54"/>
    </row>
    <row r="82" spans="11:17" ht="15" customHeight="1" x14ac:dyDescent="0.25"/>
    <row r="83" spans="11:17" ht="15" customHeight="1" x14ac:dyDescent="0.25">
      <c r="K83" s="54"/>
      <c r="Q83" s="54"/>
    </row>
    <row r="84" spans="11:17" ht="15" customHeight="1" x14ac:dyDescent="0.25">
      <c r="K84" s="54"/>
      <c r="Q84" s="54"/>
    </row>
  </sheetData>
  <mergeCells count="23">
    <mergeCell ref="O11:O13"/>
    <mergeCell ref="K16:L16"/>
    <mergeCell ref="K17:L17"/>
    <mergeCell ref="A19:B20"/>
    <mergeCell ref="K19:M19"/>
    <mergeCell ref="K15:L15"/>
    <mergeCell ref="K14:L14"/>
    <mergeCell ref="K11:L13"/>
    <mergeCell ref="M11:M13"/>
    <mergeCell ref="A72:Q72"/>
    <mergeCell ref="T19:U20"/>
    <mergeCell ref="K20:M20"/>
    <mergeCell ref="K18:L18"/>
    <mergeCell ref="M39:M40"/>
    <mergeCell ref="O39:O40"/>
    <mergeCell ref="K39:K40"/>
    <mergeCell ref="C66:D66"/>
    <mergeCell ref="C60:D60"/>
    <mergeCell ref="C61:D61"/>
    <mergeCell ref="C62:D62"/>
    <mergeCell ref="C63:D63"/>
    <mergeCell ref="C64:D64"/>
    <mergeCell ref="C65:D65"/>
  </mergeCells>
  <conditionalFormatting sqref="R41:R54">
    <cfRule type="cellIs" dxfId="41" priority="12" operator="greaterThan">
      <formula>$C$7</formula>
    </cfRule>
  </conditionalFormatting>
  <conditionalFormatting sqref="X41:X54">
    <cfRule type="cellIs" dxfId="40" priority="11"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A84"/>
  <sheetViews>
    <sheetView workbookViewId="0">
      <selection activeCell="K14" sqref="K14:L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94</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1400</v>
      </c>
    </row>
    <row r="7" spans="1:24" x14ac:dyDescent="0.25">
      <c r="A7" s="21" t="s">
        <v>191</v>
      </c>
      <c r="B7" s="21"/>
      <c r="C7" s="100">
        <f>VLOOKUP(A1,'Projection Summary'!A5:C50,2,FALSE)</f>
        <v>260</v>
      </c>
    </row>
    <row r="9" spans="1:24" ht="15.75" x14ac:dyDescent="0.25">
      <c r="A9" s="129" t="s">
        <v>222</v>
      </c>
      <c r="R9" s="129" t="s">
        <v>198</v>
      </c>
      <c r="T9" s="173"/>
    </row>
    <row r="10" spans="1:24" x14ac:dyDescent="0.25">
      <c r="A10" s="21"/>
    </row>
    <row r="11" spans="1:24" x14ac:dyDescent="0.25">
      <c r="A11" s="21" t="s">
        <v>239</v>
      </c>
      <c r="K11" s="406" t="s">
        <v>137</v>
      </c>
      <c r="L11" s="407"/>
      <c r="M11" s="412" t="s">
        <v>139</v>
      </c>
      <c r="N11" s="49"/>
      <c r="O11" s="394" t="s">
        <v>136</v>
      </c>
      <c r="R11" s="21" t="s">
        <v>240</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211</v>
      </c>
      <c r="C13" s="19">
        <f>VLOOKUP($A$1,'Primary Catchment Analysis'!$A$3:$BE$25, 38, FALSE)</f>
        <v>201</v>
      </c>
      <c r="D13" s="27">
        <f>VLOOKUP($A$1,'Primary Catchment Analysis'!$A$3:$BE$25, 39, FALSE)</f>
        <v>184</v>
      </c>
      <c r="E13" s="27">
        <f>VLOOKUP($A$1,'Primary Catchment Analysis'!$A$3:$BE$25, 40, FALSE)</f>
        <v>162</v>
      </c>
      <c r="F13" s="27">
        <f>VLOOKUP($A$1,'Primary Catchment Analysis'!$A$3:$BE$25, 41, FALSE)</f>
        <v>155</v>
      </c>
      <c r="G13" s="125">
        <f>VLOOKUP($A$1,'Primary Catchment Analysis'!$A$3:$BE$25, 42, FALSE)</f>
        <v>171</v>
      </c>
      <c r="H13" s="28">
        <f>VLOOKUP($A$1,'Primary Catchment Analysis'!$A$3:$BE$25, 43, FALSE)</f>
        <v>142</v>
      </c>
      <c r="I13" s="28">
        <f>VLOOKUP($A$1,'S1 Catchment Analysis'!A3:I25, 7, FALSE)</f>
        <v>148</v>
      </c>
      <c r="J13" s="23"/>
      <c r="K13" s="410"/>
      <c r="L13" s="411"/>
      <c r="M13" s="399"/>
      <c r="N13" s="50"/>
      <c r="O13" s="399"/>
      <c r="P13" s="50"/>
      <c r="Q13" s="25">
        <f>A13</f>
        <v>2013</v>
      </c>
      <c r="R13" s="69">
        <f>VLOOKUP($A$1,'Secondary Rolls'!$A$3:$BE$25, 37, FALSE)</f>
        <v>172</v>
      </c>
      <c r="S13" s="53">
        <f>VLOOKUP($A$1,'Secondary Rolls'!$A$3:$BE$25, 38, FALSE)</f>
        <v>216</v>
      </c>
      <c r="T13" s="53">
        <f>VLOOKUP($A$1,'Secondary Rolls'!$A$3:$BE$25, 39, FALSE)</f>
        <v>200</v>
      </c>
      <c r="U13" s="122">
        <f>VLOOKUP($A$1,'Secondary Rolls'!$A$3:$BE$25, 40, FALSE)</f>
        <v>210</v>
      </c>
      <c r="V13" s="63">
        <f>VLOOKUP($A$1,'Secondary Rolls'!$A$3:$BE$25, 41, FALSE)</f>
        <v>238</v>
      </c>
      <c r="W13" s="53">
        <f>VLOOKUP($A$1,'Secondary Rolls'!$A$3:$BE$25, 42, FALSE)</f>
        <v>173</v>
      </c>
      <c r="X13" s="62">
        <f t="shared" ref="X13:X17" si="0">SUM(R13:W13)</f>
        <v>1209</v>
      </c>
    </row>
    <row r="14" spans="1:24" ht="15.75" thickBot="1" x14ac:dyDescent="0.3">
      <c r="A14" s="25">
        <f>VLOOKUP($A$12,'S1 Catchment Analysis'!A2:I2, 6, FALSE)</f>
        <v>2014</v>
      </c>
      <c r="B14" s="45">
        <f>VLOOKUP($A$1,'Primary Catchment Analysis'!$A$3:$BE$25, 30, FALSE)</f>
        <v>206</v>
      </c>
      <c r="C14" s="44">
        <f>VLOOKUP($A$1,'Primary Catchment Analysis'!$A$3:$BE$25, 31, FALSE)</f>
        <v>220</v>
      </c>
      <c r="D14" s="19">
        <f>VLOOKUP($A$1,'Primary Catchment Analysis'!$A$3:$BE$25, 32, FALSE)</f>
        <v>206</v>
      </c>
      <c r="E14" s="27">
        <f>VLOOKUP($A$1,'Primary Catchment Analysis'!$A$3:$BE$25, 33, FALSE)</f>
        <v>186</v>
      </c>
      <c r="F14" s="27">
        <f>VLOOKUP($A$1,'Primary Catchment Analysis'!$A$3:$BE$25, 34, FALSE)</f>
        <v>166</v>
      </c>
      <c r="G14" s="125">
        <f>VLOOKUP($A$1,'Primary Catchment Analysis'!$A$3:$BE$25, 35, FALSE)</f>
        <v>155</v>
      </c>
      <c r="H14" s="28">
        <f>VLOOKUP($A$1,'Primary Catchment Analysis'!$A$3:$BE$25, 36, FALSE)</f>
        <v>179</v>
      </c>
      <c r="I14" s="27">
        <f>VLOOKUP($A$1,'S1 Catchment Analysis'!A3:I25, 6, FALSE)</f>
        <v>151</v>
      </c>
      <c r="J14" s="23"/>
      <c r="K14" s="400">
        <f>VLOOKUP($A$1,'S1 Catchment Retained'!A2:I25, 6, FALSE)</f>
        <v>126</v>
      </c>
      <c r="L14" s="401"/>
      <c r="M14" s="110">
        <f t="shared" ref="M14:M18" si="1">(K14/I14)</f>
        <v>0.83443708609271527</v>
      </c>
      <c r="N14" s="50"/>
      <c r="O14" s="111">
        <f t="shared" ref="O14:O18" si="2">R14-K14</f>
        <v>51</v>
      </c>
      <c r="P14" s="50"/>
      <c r="Q14" s="25">
        <f t="shared" ref="Q14:Q18" si="3">A14</f>
        <v>2014</v>
      </c>
      <c r="R14" s="67">
        <f>VLOOKUP($A$1,'Secondary Rolls'!$A$3:$BE$25, 30, FALSE)</f>
        <v>177</v>
      </c>
      <c r="S14" s="69">
        <f>VLOOKUP($A$1,'Secondary Rolls'!$A$3:$BE$25, 31, FALSE)</f>
        <v>178</v>
      </c>
      <c r="T14" s="61">
        <f>VLOOKUP($A$1,'Secondary Rolls'!$A$3:$BE$25, 32, FALSE)</f>
        <v>219</v>
      </c>
      <c r="U14" s="61">
        <f>VLOOKUP($A$1,'Secondary Rolls'!$A$3:$BE$25, 33, FALSE)</f>
        <v>198</v>
      </c>
      <c r="V14" s="64">
        <f>VLOOKUP($A$1,'Secondary Rolls'!$A$3:$BE$25, 34, FALSE)</f>
        <v>191</v>
      </c>
      <c r="W14" s="116">
        <f>VLOOKUP($A$1,'Secondary Rolls'!$A$3:$BE$25, 35, FALSE)</f>
        <v>176</v>
      </c>
      <c r="X14" s="62">
        <f t="shared" si="0"/>
        <v>1139</v>
      </c>
    </row>
    <row r="15" spans="1:24" ht="15.75" thickBot="1" x14ac:dyDescent="0.3">
      <c r="A15" s="25">
        <f>VLOOKUP($A$12,'S1 Catchment Analysis'!A2:I2, 5, FALSE)</f>
        <v>2015</v>
      </c>
      <c r="B15" s="19">
        <f>VLOOKUP($A$1,'Primary Catchment Analysis'!$A$3:$BE$25, 23, FALSE)</f>
        <v>242</v>
      </c>
      <c r="C15" s="45">
        <f>VLOOKUP($A$1,'Primary Catchment Analysis'!$A$3:$BE$25, 24, FALSE)</f>
        <v>211</v>
      </c>
      <c r="D15" s="44">
        <f>VLOOKUP($A$1,'Primary Catchment Analysis'!$A$3:$BE$25, 25, FALSE)</f>
        <v>215</v>
      </c>
      <c r="E15" s="19">
        <f>VLOOKUP($A$1,'Primary Catchment Analysis'!$A$3:$BE$25, 26, FALSE)</f>
        <v>217</v>
      </c>
      <c r="F15" s="27">
        <f>VLOOKUP($A$1,'Primary Catchment Analysis'!$A$3:$BE$25, 27, FALSE)</f>
        <v>193</v>
      </c>
      <c r="G15" s="125">
        <f>VLOOKUP($A$1,'Primary Catchment Analysis'!$A$3:$BE$25, 28, FALSE)</f>
        <v>167</v>
      </c>
      <c r="H15" s="30">
        <f>VLOOKUP($A$1,'Primary Catchment Analysis'!$A$3:$BE$25, 29, FALSE)</f>
        <v>153</v>
      </c>
      <c r="I15" s="29">
        <f>VLOOKUP($A$1,'S1 Catchment Analysis'!A3:I25, 5, FALSE)</f>
        <v>179</v>
      </c>
      <c r="J15" s="23"/>
      <c r="K15" s="400">
        <f>VLOOKUP($A$1,'S1 Catchment Retained'!A2:I25, 5, FALSE)</f>
        <v>156</v>
      </c>
      <c r="L15" s="401"/>
      <c r="M15" s="110">
        <f t="shared" si="1"/>
        <v>0.87150837988826813</v>
      </c>
      <c r="N15" s="50"/>
      <c r="O15" s="111">
        <f t="shared" si="2"/>
        <v>66</v>
      </c>
      <c r="P15" s="50"/>
      <c r="Q15" s="25">
        <f t="shared" si="3"/>
        <v>2015</v>
      </c>
      <c r="R15" s="68">
        <f>VLOOKUP($A$1,'Secondary Rolls'!$A$3:$BE$25, 23, FALSE)</f>
        <v>222</v>
      </c>
      <c r="S15" s="67">
        <f>VLOOKUP($A$1,'Secondary Rolls'!$A$3:$BE$25, 24, FALSE)</f>
        <v>177</v>
      </c>
      <c r="T15" s="71">
        <f>VLOOKUP($A$1,'Secondary Rolls'!$A$3:$BE$25, 25, FALSE)</f>
        <v>176</v>
      </c>
      <c r="U15" s="61">
        <f>VLOOKUP($A$1,'Secondary Rolls'!$A$3:$BE$25, 26, FALSE)</f>
        <v>215</v>
      </c>
      <c r="V15" s="123">
        <f>VLOOKUP($A$1,'Secondary Rolls'!$A$3:$BE$25, 27, FALSE)</f>
        <v>180</v>
      </c>
      <c r="W15" s="64">
        <f>VLOOKUP($A$1,'Secondary Rolls'!$A$3:$BE$25, 28, FALSE)</f>
        <v>148</v>
      </c>
      <c r="X15" s="62">
        <f t="shared" si="0"/>
        <v>1118</v>
      </c>
    </row>
    <row r="16" spans="1:24" ht="15.75" thickBot="1" x14ac:dyDescent="0.3">
      <c r="A16" s="25">
        <f>VLOOKUP($A$12,'S1 Catchment Analysis'!A2:I2, 4, FALSE)</f>
        <v>2016</v>
      </c>
      <c r="B16" s="44">
        <f>VLOOKUP($A$1,'Primary Catchment Analysis'!$A$3:$BE$25, 16, FALSE)</f>
        <v>243</v>
      </c>
      <c r="C16" s="19">
        <f>VLOOKUP($A$1,'Primary Catchment Analysis'!$A$3:$BE$25, 17, FALSE)</f>
        <v>244</v>
      </c>
      <c r="D16" s="45">
        <f>VLOOKUP($A$1,'Primary Catchment Analysis'!$A$3:$BE$25, 18, FALSE)</f>
        <v>217</v>
      </c>
      <c r="E16" s="44">
        <f>VLOOKUP($A$1,'Primary Catchment Analysis'!$A$3:$BE$25, 19, FALSE)</f>
        <v>219</v>
      </c>
      <c r="F16" s="19">
        <f>VLOOKUP($A$1,'Primary Catchment Analysis'!$A$3:$BE$25, 20, FALSE)</f>
        <v>219</v>
      </c>
      <c r="G16" s="125">
        <f>VLOOKUP($A$1,'Primary Catchment Analysis'!$A$3:$BE$25, 21, FALSE)</f>
        <v>193</v>
      </c>
      <c r="H16" s="112">
        <f>VLOOKUP($A$1,'Primary Catchment Analysis'!$A$3:$BE$25, 22, FALSE)</f>
        <v>174</v>
      </c>
      <c r="I16" s="30">
        <f>VLOOKUP($A$1,'S1 Catchment Analysis'!A3:I25, 4, FALSE)</f>
        <v>155</v>
      </c>
      <c r="J16" s="23"/>
      <c r="K16" s="400">
        <f>VLOOKUP($A$1,'S1 Catchment Retained'!A2:I25, 4, FALSE)</f>
        <v>144</v>
      </c>
      <c r="L16" s="401"/>
      <c r="M16" s="56">
        <f t="shared" si="1"/>
        <v>0.92903225806451617</v>
      </c>
      <c r="N16" s="50"/>
      <c r="O16" s="103">
        <f t="shared" si="2"/>
        <v>57</v>
      </c>
      <c r="P16" s="50"/>
      <c r="Q16" s="25">
        <f t="shared" si="3"/>
        <v>2016</v>
      </c>
      <c r="R16" s="69">
        <f>VLOOKUP($A$1,'Secondary Rolls'!$A$3:$BE$25, 16, FALSE)</f>
        <v>201</v>
      </c>
      <c r="S16" s="68">
        <f>VLOOKUP($A$1,'Secondary Rolls'!$A$3:$BE$25, 17, FALSE)</f>
        <v>225</v>
      </c>
      <c r="T16" s="70">
        <f>VLOOKUP($A$1,'Secondary Rolls'!$A$3:$BE$25, 18, FALSE)</f>
        <v>176</v>
      </c>
      <c r="U16" s="71">
        <f>VLOOKUP($A$1,'Secondary Rolls'!$A$3:$BE$25, 19, FALSE)</f>
        <v>178</v>
      </c>
      <c r="V16" s="66">
        <f>VLOOKUP($A$1,'Secondary Rolls'!$A$3:$BE$25, 20, FALSE)</f>
        <v>200</v>
      </c>
      <c r="W16" s="65">
        <f>VLOOKUP($A$1,'Secondary Rolls'!$A$3:$BE$25, 21, FALSE)</f>
        <v>155</v>
      </c>
      <c r="X16" s="62">
        <f t="shared" si="0"/>
        <v>1135</v>
      </c>
    </row>
    <row r="17" spans="1:27" ht="15.75" thickBot="1" x14ac:dyDescent="0.3">
      <c r="A17" s="258">
        <f>VLOOKUP($A$12,'S1 Catchment Analysis'!A2:I2, 3, FALSE)</f>
        <v>2017</v>
      </c>
      <c r="B17" s="259">
        <f>VLOOKUP($A$1,'Primary Catchment Analysis'!$A$3:$BE$25, 9, FALSE)</f>
        <v>186</v>
      </c>
      <c r="C17" s="260">
        <f>VLOOKUP($A$1,'Primary Catchment Analysis'!$A$3:$BE$25, 10, FALSE)</f>
        <v>240</v>
      </c>
      <c r="D17" s="261">
        <f>VLOOKUP($A$1,'Primary Catchment Analysis'!$A$3:$BE$25, 11, FALSE)</f>
        <v>236</v>
      </c>
      <c r="E17" s="259">
        <f>VLOOKUP($A$1,'Primary Catchment Analysis'!$A$3:$BE$25, 12, FALSE)</f>
        <v>207</v>
      </c>
      <c r="F17" s="260">
        <f>VLOOKUP($A$1,'Primary Catchment Analysis'!$A$3:$BE$25, 13, FALSE)</f>
        <v>223</v>
      </c>
      <c r="G17" s="262">
        <f>VLOOKUP($A$1,'Primary Catchment Analysis'!$A$3:$BE$25, 14, FALSE)</f>
        <v>221</v>
      </c>
      <c r="H17" s="113">
        <f>VLOOKUP($A$1,'Primary Catchment Analysis'!$A$3:$BE$25, 15, FALSE)</f>
        <v>188</v>
      </c>
      <c r="I17" s="31">
        <f>VLOOKUP($A$1,'S1 Catchment Analysis'!A3:I25, 3, FALSE)</f>
        <v>162</v>
      </c>
      <c r="J17" s="23"/>
      <c r="K17" s="402">
        <f>VLOOKUP($A$1,'S1 Catchment Retained'!A2:I25, 3, FALSE)</f>
        <v>146</v>
      </c>
      <c r="L17" s="403"/>
      <c r="M17" s="57">
        <f t="shared" si="1"/>
        <v>0.90123456790123457</v>
      </c>
      <c r="N17" s="50"/>
      <c r="O17" s="104">
        <f t="shared" si="2"/>
        <v>44</v>
      </c>
      <c r="P17" s="50"/>
      <c r="Q17" s="25">
        <f t="shared" si="3"/>
        <v>2017</v>
      </c>
      <c r="R17" s="264">
        <f>VLOOKUP($A$1,'Secondary Rolls'!$A$3:$BE$25, 9, FALSE)</f>
        <v>190</v>
      </c>
      <c r="S17" s="265">
        <f>VLOOKUP($A$1,'Secondary Rolls'!$A$3:$BE$25, 10, FALSE)</f>
        <v>203</v>
      </c>
      <c r="T17" s="266">
        <f>VLOOKUP($A$1,'Secondary Rolls'!$A$3:$BE$25, 11, FALSE)</f>
        <v>229</v>
      </c>
      <c r="U17" s="270">
        <f>VLOOKUP($A$1,'Secondary Rolls'!$A$3:$BE$25, 12, FALSE)</f>
        <v>177</v>
      </c>
      <c r="V17" s="271">
        <f>VLOOKUP($A$1,'Secondary Rolls'!$A$3:$BE$25, 13, FALSE)</f>
        <v>168</v>
      </c>
      <c r="W17" s="272">
        <f>VLOOKUP($A$1,'Secondary Rolls'!$A$3:$BE$25, 14, FALSE)</f>
        <v>149</v>
      </c>
      <c r="X17" s="116">
        <f t="shared" si="0"/>
        <v>1116</v>
      </c>
    </row>
    <row r="18" spans="1:27" ht="15.75" thickBot="1" x14ac:dyDescent="0.3">
      <c r="A18" s="25">
        <f>VLOOKUP($A$12,'S1 Catchment Analysis'!A2:I2, 2, FALSE)</f>
        <v>2018</v>
      </c>
      <c r="B18" s="19">
        <f>VLOOKUP($A$1,'Primary Catchment Analysis'!$A$3:$BE$25, 2, FALSE)</f>
        <v>217</v>
      </c>
      <c r="C18" s="45">
        <f>VLOOKUP($A$1,'Primary Catchment Analysis'!$A$3:$BE$25, 3, FALSE)</f>
        <v>186</v>
      </c>
      <c r="D18" s="44">
        <f>VLOOKUP($A$1,'Primary Catchment Analysis'!$A$3:$BE$25, 4, FALSE)</f>
        <v>223</v>
      </c>
      <c r="E18" s="19">
        <f>VLOOKUP($A$1,'Primary Catchment Analysis'!$A$3:$BE$25, 5, FALSE)</f>
        <v>229</v>
      </c>
      <c r="F18" s="45">
        <f>VLOOKUP($A$1,'Primary Catchment Analysis'!$A$3:$BE$25, 6, FALSE)</f>
        <v>210</v>
      </c>
      <c r="G18" s="273">
        <f>VLOOKUP($A$1,'Primary Catchment Analysis'!$A$3:$BE$25, 7, FALSE)</f>
        <v>220</v>
      </c>
      <c r="H18" s="274">
        <f>VLOOKUP($A$1,'Primary Catchment Analysis'!$A$3:$BE$25, 8, FALSE)</f>
        <v>206</v>
      </c>
      <c r="I18" s="32">
        <f>VLOOKUP($A$1,'S1 Catchment Analysis'!A3:I25, 2, FALSE)</f>
        <v>178</v>
      </c>
      <c r="J18" s="23"/>
      <c r="K18" s="392">
        <f>VLOOKUP($A$1,'S1 Catchment Retained'!A2:I25, 2, FALSE)</f>
        <v>170</v>
      </c>
      <c r="L18" s="393"/>
      <c r="M18" s="58">
        <f t="shared" si="1"/>
        <v>0.9550561797752809</v>
      </c>
      <c r="N18" s="50"/>
      <c r="O18" s="105">
        <f t="shared" si="2"/>
        <v>57</v>
      </c>
      <c r="P18" s="50"/>
      <c r="Q18" s="25">
        <f t="shared" si="3"/>
        <v>2018</v>
      </c>
      <c r="R18" s="68">
        <f>VLOOKUP($A$1,'Secondary Rolls'!$A$3:$BE$25, 2, FALSE)</f>
        <v>227</v>
      </c>
      <c r="S18" s="67">
        <f>VLOOKUP($A$1,'Secondary Rolls'!$A$3:$BE$25, 3, FALSE)</f>
        <v>195</v>
      </c>
      <c r="T18" s="69">
        <f>VLOOKUP($A$1,'Secondary Rolls'!$A$3:$BE$25, 4, FALSE)</f>
        <v>203</v>
      </c>
      <c r="U18" s="68">
        <f>VLOOKUP($A$1,'Secondary Rolls'!$A$3:$BE$25, 5, FALSE)</f>
        <v>228</v>
      </c>
      <c r="V18" s="67">
        <f>VLOOKUP($A$1,'Secondary Rolls'!$A$3:$BE$25, 6, FALSE)</f>
        <v>168</v>
      </c>
      <c r="W18" s="69">
        <f>VLOOKUP($A$1,'Secondary Rolls'!$A$3:$BE$25, 7, FALSE)</f>
        <v>140</v>
      </c>
      <c r="X18" s="53">
        <f t="shared" ref="X18" si="4">SUM(R18:W18)</f>
        <v>1161</v>
      </c>
    </row>
    <row r="19" spans="1:27" ht="15" customHeight="1" x14ac:dyDescent="0.25">
      <c r="A19" s="386" t="s">
        <v>212</v>
      </c>
      <c r="B19" s="387"/>
      <c r="C19" s="118" t="s">
        <v>129</v>
      </c>
      <c r="D19" s="118" t="s">
        <v>130</v>
      </c>
      <c r="E19" s="118" t="s">
        <v>131</v>
      </c>
      <c r="F19" s="118" t="s">
        <v>132</v>
      </c>
      <c r="G19" s="118" t="s">
        <v>133</v>
      </c>
      <c r="H19" s="118" t="s">
        <v>134</v>
      </c>
      <c r="I19" s="121" t="s">
        <v>135</v>
      </c>
      <c r="K19" s="386" t="s">
        <v>211</v>
      </c>
      <c r="L19" s="386"/>
      <c r="M19" s="387"/>
      <c r="O19" s="124" t="s">
        <v>211</v>
      </c>
      <c r="P19" s="117"/>
      <c r="Q19" s="131"/>
      <c r="R19" s="131"/>
      <c r="T19" s="386" t="s">
        <v>212</v>
      </c>
      <c r="U19" s="387"/>
      <c r="V19" s="118" t="s">
        <v>140</v>
      </c>
      <c r="W19" s="119" t="s">
        <v>141</v>
      </c>
    </row>
    <row r="20" spans="1:27" x14ac:dyDescent="0.25">
      <c r="A20" s="388"/>
      <c r="B20" s="388"/>
      <c r="C20" s="40">
        <f>AVERAGE(((B15-C16)/B15),((B16-C17)/B16),((B17-C18)/B17))</f>
        <v>1.3604054008094408E-3</v>
      </c>
      <c r="D20" s="40">
        <f t="shared" ref="D20:I20" si="5">AVERAGE(((C15-D16)/C15),((C16-D17)/C16),((C17-D18)/C17))</f>
        <v>2.5061399873963001E-2</v>
      </c>
      <c r="E20" s="40">
        <f t="shared" si="5"/>
        <v>1.9046438365039203E-2</v>
      </c>
      <c r="F20" s="40">
        <f t="shared" si="5"/>
        <v>-1.3991394555862654E-2</v>
      </c>
      <c r="G20" s="40">
        <f t="shared" si="5"/>
        <v>1.440164902294026E-3</v>
      </c>
      <c r="H20" s="40">
        <f t="shared" si="5"/>
        <v>1.7287957084681827E-2</v>
      </c>
      <c r="I20" s="40">
        <f t="shared" si="5"/>
        <v>3.6361703726081614E-2</v>
      </c>
      <c r="K20" s="389">
        <f>AVERAGE(M16:M18)</f>
        <v>0.92844100191367718</v>
      </c>
      <c r="L20" s="390"/>
      <c r="M20" s="391"/>
      <c r="O20" s="51">
        <f>ROUNDUP((AVERAGE(O16:O18)),0)</f>
        <v>53</v>
      </c>
      <c r="T20" s="388"/>
      <c r="U20" s="388"/>
      <c r="V20" s="40">
        <f>AVERAGE(((U15-V16)/U15),((U16-V17)/U16),((U17-V18)/U17))</f>
        <v>5.8931558256160872E-2</v>
      </c>
      <c r="W20" s="40">
        <f>AVERAGE(((V15-W16)/V15),((V16-W17)/V16),((V17-W18)/V17))</f>
        <v>0.18685185185185185</v>
      </c>
    </row>
    <row r="21" spans="1:27" x14ac:dyDescent="0.25">
      <c r="A21" s="21"/>
      <c r="K21" s="59"/>
      <c r="L21" s="59"/>
    </row>
    <row r="22" spans="1:27" x14ac:dyDescent="0.25">
      <c r="A22" s="21" t="s">
        <v>241</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Projections'!C17+'P1 Catchment Projections'!C18+'P1 Catchment Projections'!C19+'P1 Catchment Projections'!C20+'P1 Catchment Projections'!C21</f>
        <v>219</v>
      </c>
      <c r="C24" s="34">
        <f>ROUNDUP((B18-(B18*$C$20)),0)</f>
        <v>217</v>
      </c>
      <c r="D24" s="42">
        <f>ROUNDUP((C18-(C18*$D$20)),0)</f>
        <v>182</v>
      </c>
      <c r="E24" s="43">
        <f>ROUNDUP((D18-(D18*$E$20)),0)</f>
        <v>219</v>
      </c>
      <c r="F24" s="41">
        <f>ROUNDUP((E18-(E18*$F$20)),0)</f>
        <v>233</v>
      </c>
      <c r="G24" s="42">
        <f>ROUNDUP((F18-(F18*$G$20)),0)</f>
        <v>210</v>
      </c>
      <c r="H24" s="43">
        <f>ROUNDUP((G18-(G18*$H$20)),0)</f>
        <v>217</v>
      </c>
      <c r="I24" s="99">
        <f>ROUNDUP((H18-(H18*$I$20)),0)</f>
        <v>199</v>
      </c>
      <c r="J24" s="23"/>
      <c r="K24" s="59"/>
      <c r="L24" s="59"/>
      <c r="Z24" s="109"/>
      <c r="AA24" s="109"/>
    </row>
    <row r="25" spans="1:27" x14ac:dyDescent="0.25">
      <c r="A25" s="25">
        <f>A24+1</f>
        <v>2020</v>
      </c>
      <c r="B25" s="37">
        <f>'P1 Catchment Projections'!D17+'P1 Catchment Projections'!D18+'P1 Catchment Projections'!D19+'P1 Catchment Projections'!D20+'P1 Catchment Projections'!D21</f>
        <v>227</v>
      </c>
      <c r="C25" s="34">
        <f t="shared" ref="C25:C37" si="6">ROUNDUP((B24-(B24*$C$20)),0)</f>
        <v>219</v>
      </c>
      <c r="D25" s="34">
        <f t="shared" ref="D25:D37" si="7">ROUNDUP((C24-(C24*$D$20)),0)</f>
        <v>212</v>
      </c>
      <c r="E25" s="42">
        <f t="shared" ref="E25:E37" si="8">ROUNDUP((D24-(D24*$E$20)),0)</f>
        <v>179</v>
      </c>
      <c r="F25" s="43">
        <f t="shared" ref="F25:F37" si="9">ROUNDUP((E24-(E24*$F$20)),0)</f>
        <v>223</v>
      </c>
      <c r="G25" s="41">
        <f t="shared" ref="G25:G37" si="10">ROUNDUP((F24-(F24*$G$20)),0)</f>
        <v>233</v>
      </c>
      <c r="H25" s="42">
        <f t="shared" ref="H25:H37" si="11">ROUNDUP((G24-(G24*$H$20)),0)</f>
        <v>207</v>
      </c>
      <c r="I25" s="99">
        <f t="shared" ref="I25:I37" si="12">ROUNDUP((H24-(H24*$I$20)),0)</f>
        <v>210</v>
      </c>
      <c r="J25" s="23"/>
      <c r="K25" s="59"/>
      <c r="L25" s="59"/>
      <c r="Z25" s="109"/>
      <c r="AA25" s="109"/>
    </row>
    <row r="26" spans="1:27" x14ac:dyDescent="0.25">
      <c r="A26" s="25">
        <f>A25+1</f>
        <v>2021</v>
      </c>
      <c r="B26" s="37">
        <f>'P1 Catchment Projections'!E17+'P1 Catchment Projections'!E18+'P1 Catchment Projections'!E19+'P1 Catchment Projections'!E20+'P1 Catchment Projections'!E21</f>
        <v>211</v>
      </c>
      <c r="C26" s="34">
        <f t="shared" si="6"/>
        <v>227</v>
      </c>
      <c r="D26" s="34">
        <f t="shared" si="7"/>
        <v>214</v>
      </c>
      <c r="E26" s="34">
        <f t="shared" si="8"/>
        <v>208</v>
      </c>
      <c r="F26" s="42">
        <f t="shared" si="9"/>
        <v>182</v>
      </c>
      <c r="G26" s="43">
        <f t="shared" si="10"/>
        <v>223</v>
      </c>
      <c r="H26" s="41">
        <f t="shared" si="11"/>
        <v>229</v>
      </c>
      <c r="I26" s="99">
        <f t="shared" si="12"/>
        <v>200</v>
      </c>
      <c r="J26" s="23"/>
      <c r="K26" s="59"/>
      <c r="L26" s="59"/>
      <c r="Z26" s="109"/>
      <c r="AA26" s="109"/>
    </row>
    <row r="27" spans="1:27" x14ac:dyDescent="0.25">
      <c r="A27" s="25">
        <f>A26+1</f>
        <v>2022</v>
      </c>
      <c r="B27" s="37">
        <f>'P1 Catchment Projections'!F17+'P1 Catchment Projections'!F18+'P1 Catchment Projections'!F19+'P1 Catchment Projections'!F20+'P1 Catchment Projections'!F21</f>
        <v>207</v>
      </c>
      <c r="C27" s="34">
        <f t="shared" si="6"/>
        <v>211</v>
      </c>
      <c r="D27" s="34">
        <f t="shared" si="7"/>
        <v>222</v>
      </c>
      <c r="E27" s="34">
        <f t="shared" si="8"/>
        <v>210</v>
      </c>
      <c r="F27" s="34">
        <f t="shared" si="9"/>
        <v>211</v>
      </c>
      <c r="G27" s="42">
        <f t="shared" si="10"/>
        <v>182</v>
      </c>
      <c r="H27" s="43">
        <f t="shared" si="11"/>
        <v>220</v>
      </c>
      <c r="I27" s="99">
        <f t="shared" si="12"/>
        <v>221</v>
      </c>
      <c r="J27" s="23"/>
      <c r="K27" s="59"/>
      <c r="L27" s="59"/>
      <c r="Z27" s="109"/>
      <c r="AA27" s="109"/>
    </row>
    <row r="28" spans="1:27" x14ac:dyDescent="0.25">
      <c r="A28" s="25">
        <f t="shared" ref="A28:A37" si="13">A27+1</f>
        <v>2023</v>
      </c>
      <c r="B28" s="37">
        <f>'P1 Catchment Projections'!G17+'P1 Catchment Projections'!G18+'P1 Catchment Projections'!G19+'P1 Catchment Projections'!G20+'P1 Catchment Projections'!G21</f>
        <v>219</v>
      </c>
      <c r="C28" s="34">
        <f t="shared" si="6"/>
        <v>207</v>
      </c>
      <c r="D28" s="34">
        <f t="shared" si="7"/>
        <v>206</v>
      </c>
      <c r="E28" s="34">
        <f t="shared" si="8"/>
        <v>218</v>
      </c>
      <c r="F28" s="34">
        <f t="shared" si="9"/>
        <v>213</v>
      </c>
      <c r="G28" s="34">
        <f t="shared" si="10"/>
        <v>211</v>
      </c>
      <c r="H28" s="42">
        <f t="shared" si="11"/>
        <v>179</v>
      </c>
      <c r="I28" s="99">
        <f t="shared" si="12"/>
        <v>213</v>
      </c>
      <c r="J28" s="23"/>
      <c r="K28" s="59"/>
      <c r="L28" s="59"/>
      <c r="Z28" s="109"/>
      <c r="AA28" s="109"/>
    </row>
    <row r="29" spans="1:27" x14ac:dyDescent="0.25">
      <c r="A29" s="25">
        <f t="shared" si="13"/>
        <v>2024</v>
      </c>
      <c r="B29" s="37">
        <f>'P1 Catchment Projections'!H17+'P1 Catchment Projections'!H18+'P1 Catchment Projections'!H19+'P1 Catchment Projections'!H20+'P1 Catchment Projections'!H21</f>
        <v>221</v>
      </c>
      <c r="C29" s="34">
        <f t="shared" si="6"/>
        <v>219</v>
      </c>
      <c r="D29" s="34">
        <f t="shared" si="7"/>
        <v>202</v>
      </c>
      <c r="E29" s="34">
        <f t="shared" si="8"/>
        <v>203</v>
      </c>
      <c r="F29" s="34">
        <f t="shared" si="9"/>
        <v>222</v>
      </c>
      <c r="G29" s="34">
        <f t="shared" si="10"/>
        <v>213</v>
      </c>
      <c r="H29" s="34">
        <f t="shared" si="11"/>
        <v>208</v>
      </c>
      <c r="I29" s="99">
        <f t="shared" si="12"/>
        <v>173</v>
      </c>
      <c r="K29" s="59"/>
      <c r="L29" s="59"/>
      <c r="Z29" s="109"/>
      <c r="AA29" s="109"/>
    </row>
    <row r="30" spans="1:27" x14ac:dyDescent="0.25">
      <c r="A30" s="25">
        <f t="shared" si="13"/>
        <v>2025</v>
      </c>
      <c r="B30" s="37">
        <f>'P1 Catchment Projections'!I17+'P1 Catchment Projections'!I18+'P1 Catchment Projections'!I19+'P1 Catchment Projections'!I20+'P1 Catchment Projections'!I21</f>
        <v>223</v>
      </c>
      <c r="C30" s="34">
        <f t="shared" si="6"/>
        <v>221</v>
      </c>
      <c r="D30" s="34">
        <f t="shared" si="7"/>
        <v>214</v>
      </c>
      <c r="E30" s="34">
        <f t="shared" si="8"/>
        <v>199</v>
      </c>
      <c r="F30" s="34">
        <f t="shared" si="9"/>
        <v>206</v>
      </c>
      <c r="G30" s="34">
        <f t="shared" si="10"/>
        <v>222</v>
      </c>
      <c r="H30" s="34">
        <f t="shared" si="11"/>
        <v>210</v>
      </c>
      <c r="I30" s="99">
        <f t="shared" si="12"/>
        <v>201</v>
      </c>
      <c r="K30" s="59"/>
      <c r="L30" s="59"/>
      <c r="Z30" s="109"/>
      <c r="AA30" s="109"/>
    </row>
    <row r="31" spans="1:27" x14ac:dyDescent="0.25">
      <c r="A31" s="25">
        <f t="shared" si="13"/>
        <v>2026</v>
      </c>
      <c r="B31" s="37">
        <f>'P1 Catchment Projections'!J17+'P1 Catchment Projections'!J18+'P1 Catchment Projections'!J19+'P1 Catchment Projections'!J20+'P1 Catchment Projections'!J21</f>
        <v>226</v>
      </c>
      <c r="C31" s="34">
        <f t="shared" si="6"/>
        <v>223</v>
      </c>
      <c r="D31" s="34">
        <f t="shared" si="7"/>
        <v>216</v>
      </c>
      <c r="E31" s="34">
        <f t="shared" si="8"/>
        <v>210</v>
      </c>
      <c r="F31" s="34">
        <f t="shared" si="9"/>
        <v>202</v>
      </c>
      <c r="G31" s="34">
        <f t="shared" si="10"/>
        <v>206</v>
      </c>
      <c r="H31" s="34">
        <f t="shared" si="11"/>
        <v>219</v>
      </c>
      <c r="I31" s="99">
        <f t="shared" si="12"/>
        <v>203</v>
      </c>
      <c r="K31" s="59"/>
      <c r="L31" s="59"/>
      <c r="Z31" s="109"/>
      <c r="AA31" s="109"/>
    </row>
    <row r="32" spans="1:27" x14ac:dyDescent="0.25">
      <c r="A32" s="25">
        <f t="shared" si="13"/>
        <v>2027</v>
      </c>
      <c r="B32" s="37">
        <f>'P1 Catchment Projections'!K17+'P1 Catchment Projections'!K18+'P1 Catchment Projections'!K19+'P1 Catchment Projections'!K20+'P1 Catchment Projections'!K21</f>
        <v>227</v>
      </c>
      <c r="C32" s="34">
        <f t="shared" si="6"/>
        <v>226</v>
      </c>
      <c r="D32" s="34">
        <f t="shared" si="7"/>
        <v>218</v>
      </c>
      <c r="E32" s="34">
        <f t="shared" si="8"/>
        <v>212</v>
      </c>
      <c r="F32" s="34">
        <f t="shared" si="9"/>
        <v>213</v>
      </c>
      <c r="G32" s="34">
        <f t="shared" si="10"/>
        <v>202</v>
      </c>
      <c r="H32" s="34">
        <f t="shared" si="11"/>
        <v>203</v>
      </c>
      <c r="I32" s="99">
        <f t="shared" si="12"/>
        <v>212</v>
      </c>
      <c r="K32" s="59"/>
      <c r="L32" s="59"/>
      <c r="Z32" s="109"/>
      <c r="AA32" s="109"/>
    </row>
    <row r="33" spans="1:27" x14ac:dyDescent="0.25">
      <c r="A33" s="25">
        <f t="shared" si="13"/>
        <v>2028</v>
      </c>
      <c r="B33" s="37">
        <f>'P1 Catchment Projections'!L17+'P1 Catchment Projections'!L18+'P1 Catchment Projections'!L19+'P1 Catchment Projections'!L20+'P1 Catchment Projections'!L21</f>
        <v>228</v>
      </c>
      <c r="C33" s="34">
        <f t="shared" si="6"/>
        <v>227</v>
      </c>
      <c r="D33" s="34">
        <f t="shared" si="7"/>
        <v>221</v>
      </c>
      <c r="E33" s="34">
        <f t="shared" si="8"/>
        <v>214</v>
      </c>
      <c r="F33" s="34">
        <f t="shared" si="9"/>
        <v>215</v>
      </c>
      <c r="G33" s="34">
        <f t="shared" si="10"/>
        <v>213</v>
      </c>
      <c r="H33" s="34">
        <f t="shared" si="11"/>
        <v>199</v>
      </c>
      <c r="I33" s="99">
        <f t="shared" si="12"/>
        <v>196</v>
      </c>
      <c r="K33" s="59"/>
      <c r="L33" s="59"/>
    </row>
    <row r="34" spans="1:27" x14ac:dyDescent="0.25">
      <c r="A34" s="25">
        <f t="shared" si="13"/>
        <v>2029</v>
      </c>
      <c r="B34" s="37">
        <f>'P1 Catchment Projections'!M17+'P1 Catchment Projections'!M18+'P1 Catchment Projections'!M19+'P1 Catchment Projections'!M20+'P1 Catchment Projections'!M21</f>
        <v>229</v>
      </c>
      <c r="C34" s="34">
        <f t="shared" si="6"/>
        <v>228</v>
      </c>
      <c r="D34" s="34">
        <f t="shared" si="7"/>
        <v>222</v>
      </c>
      <c r="E34" s="34">
        <f t="shared" si="8"/>
        <v>217</v>
      </c>
      <c r="F34" s="34">
        <f t="shared" si="9"/>
        <v>217</v>
      </c>
      <c r="G34" s="34">
        <f t="shared" si="10"/>
        <v>215</v>
      </c>
      <c r="H34" s="34">
        <f t="shared" si="11"/>
        <v>210</v>
      </c>
      <c r="I34" s="99">
        <f t="shared" si="12"/>
        <v>192</v>
      </c>
      <c r="K34" s="59"/>
      <c r="L34" s="59"/>
      <c r="Z34" s="109"/>
      <c r="AA34" s="109"/>
    </row>
    <row r="35" spans="1:27" x14ac:dyDescent="0.25">
      <c r="A35" s="25">
        <f t="shared" si="13"/>
        <v>2030</v>
      </c>
      <c r="B35" s="37">
        <f>'P1 Catchment Projections'!N17+'P1 Catchment Projections'!N18+'P1 Catchment Projections'!N19+'P1 Catchment Projections'!N20+'P1 Catchment Projections'!N21</f>
        <v>229</v>
      </c>
      <c r="C35" s="34">
        <f t="shared" si="6"/>
        <v>229</v>
      </c>
      <c r="D35" s="34">
        <f t="shared" si="7"/>
        <v>223</v>
      </c>
      <c r="E35" s="34">
        <f t="shared" si="8"/>
        <v>218</v>
      </c>
      <c r="F35" s="34">
        <f t="shared" si="9"/>
        <v>221</v>
      </c>
      <c r="G35" s="34">
        <f t="shared" si="10"/>
        <v>217</v>
      </c>
      <c r="H35" s="34">
        <f t="shared" si="11"/>
        <v>212</v>
      </c>
      <c r="I35" s="99">
        <f t="shared" si="12"/>
        <v>203</v>
      </c>
      <c r="K35" s="59"/>
      <c r="L35" s="59"/>
      <c r="Z35" s="109"/>
      <c r="AA35" s="109"/>
    </row>
    <row r="36" spans="1:27" x14ac:dyDescent="0.25">
      <c r="A36" s="25">
        <f t="shared" si="13"/>
        <v>2031</v>
      </c>
      <c r="B36" s="37">
        <f>'P1 Catchment Projections'!O17+'P1 Catchment Projections'!O18+'P1 Catchment Projections'!O19+'P1 Catchment Projections'!O20+'P1 Catchment Projections'!O21</f>
        <v>229</v>
      </c>
      <c r="C36" s="34">
        <f t="shared" si="6"/>
        <v>229</v>
      </c>
      <c r="D36" s="34">
        <f t="shared" si="7"/>
        <v>224</v>
      </c>
      <c r="E36" s="34">
        <f t="shared" si="8"/>
        <v>219</v>
      </c>
      <c r="F36" s="34">
        <f t="shared" si="9"/>
        <v>222</v>
      </c>
      <c r="G36" s="34">
        <f t="shared" si="10"/>
        <v>221</v>
      </c>
      <c r="H36" s="34">
        <f t="shared" si="11"/>
        <v>214</v>
      </c>
      <c r="I36" s="99">
        <f t="shared" si="12"/>
        <v>205</v>
      </c>
      <c r="K36" s="59"/>
      <c r="L36" s="59"/>
      <c r="Z36" s="109"/>
      <c r="AA36" s="109"/>
    </row>
    <row r="37" spans="1:27" x14ac:dyDescent="0.25">
      <c r="A37" s="25">
        <f t="shared" si="13"/>
        <v>2032</v>
      </c>
      <c r="B37" s="37">
        <f>'P1 Catchment Projections'!P17+'P1 Catchment Projections'!P18+'P1 Catchment Projections'!P19+'P1 Catchment Projections'!P20+'P1 Catchment Projections'!P21</f>
        <v>229</v>
      </c>
      <c r="C37" s="34">
        <f t="shared" si="6"/>
        <v>229</v>
      </c>
      <c r="D37" s="34">
        <f t="shared" si="7"/>
        <v>224</v>
      </c>
      <c r="E37" s="34">
        <f t="shared" si="8"/>
        <v>220</v>
      </c>
      <c r="F37" s="34">
        <f t="shared" si="9"/>
        <v>223</v>
      </c>
      <c r="G37" s="34">
        <f t="shared" si="10"/>
        <v>222</v>
      </c>
      <c r="H37" s="34">
        <f t="shared" si="11"/>
        <v>218</v>
      </c>
      <c r="I37" s="99">
        <f t="shared" si="12"/>
        <v>207</v>
      </c>
      <c r="K37" s="59"/>
      <c r="L37" s="59"/>
      <c r="Z37" s="109"/>
      <c r="AA37" s="109"/>
    </row>
    <row r="38" spans="1:27" x14ac:dyDescent="0.25">
      <c r="K38" s="59"/>
      <c r="L38" s="59"/>
    </row>
    <row r="39" spans="1:27" x14ac:dyDescent="0.25">
      <c r="A39" s="21" t="s">
        <v>241</v>
      </c>
      <c r="K39" s="394" t="s">
        <v>190</v>
      </c>
      <c r="L39" s="55"/>
      <c r="M39" s="394" t="s">
        <v>203</v>
      </c>
      <c r="N39" s="106"/>
      <c r="O39" s="395" t="s">
        <v>204</v>
      </c>
      <c r="R39" s="21" t="s">
        <v>242</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221</v>
      </c>
      <c r="C41" s="34">
        <f>C24+VLOOKUP($A$1,'Pri Housing Generation'!$A$96:$DQ$118, 11, FALSE)</f>
        <v>218</v>
      </c>
      <c r="D41" s="42">
        <f>D24+VLOOKUP($A$1,'Pri Housing Generation'!$A$96:$DQ$118, 12, FALSE)</f>
        <v>183</v>
      </c>
      <c r="E41" s="43">
        <f>E24+VLOOKUP($A$1,'Pri Housing Generation'!$A$96:$DQ$118, 13, FALSE)</f>
        <v>220</v>
      </c>
      <c r="F41" s="41">
        <f>F24+VLOOKUP($A$1,'Pri Housing Generation'!$A$96:$DQ$118, 14, FALSE)</f>
        <v>233</v>
      </c>
      <c r="G41" s="42">
        <f>G24+VLOOKUP($A$1,'Pri Housing Generation'!$A$96:$DQ$118, 15, FALSE)</f>
        <v>210</v>
      </c>
      <c r="H41" s="43">
        <f>H24+VLOOKUP($A$1,'Pri Housing Generation'!$A$96:$DQ$118, 16, FALSE)</f>
        <v>217</v>
      </c>
      <c r="I41" s="99">
        <f>ROUNDUP((H18-(H18*$I$20)),0)</f>
        <v>199</v>
      </c>
      <c r="K41" s="35">
        <f>'Sec Housing Generation'!I7</f>
        <v>1</v>
      </c>
      <c r="L41" s="83"/>
      <c r="M41" s="107">
        <v>0.89800000000000002</v>
      </c>
      <c r="O41" s="35">
        <f t="shared" ref="O41:O54" si="14">ROUNDUP(((I41+K41)*M41),0)</f>
        <v>180</v>
      </c>
      <c r="Q41" s="25">
        <f>A41</f>
        <v>2019</v>
      </c>
      <c r="R41" s="20">
        <f t="shared" ref="R41:R54" si="15">IF(O41&lt;$C$7,(IF((O41+$O$20)&gt;$C$7,$C$7,(O41+$O$20))),(IF((O41+$O$20)&lt;(CEILING((O41),20)),(O41+$O$20),(CEILING((O41),20)))))</f>
        <v>233</v>
      </c>
      <c r="S41" s="53">
        <f>R18</f>
        <v>227</v>
      </c>
      <c r="T41" s="67">
        <f>S18</f>
        <v>195</v>
      </c>
      <c r="U41" s="69">
        <f>T18</f>
        <v>203</v>
      </c>
      <c r="V41" s="41">
        <f>ROUNDUP((U18-(U18*$V$20)),0)</f>
        <v>215</v>
      </c>
      <c r="W41" s="42">
        <f>ROUNDUP((V18-(V18*$W$20)),0)</f>
        <v>137</v>
      </c>
      <c r="X41" s="101">
        <f t="shared" ref="X41:X54" si="16">SUM(R41:W41)</f>
        <v>1210</v>
      </c>
    </row>
    <row r="42" spans="1:27" x14ac:dyDescent="0.25">
      <c r="A42" s="25">
        <f t="shared" ref="A42:A54" si="17">A25</f>
        <v>2020</v>
      </c>
      <c r="B42" s="37">
        <f>B25+VLOOKUP($A$1,'Pri Housing Generation'!$A$96:$DQ$118, 18, FALSE)</f>
        <v>230</v>
      </c>
      <c r="C42" s="34">
        <f>C25+VLOOKUP($A$1,'Pri Housing Generation'!$A$96:$DQ$118, 19, FALSE)</f>
        <v>221</v>
      </c>
      <c r="D42" s="34">
        <f>D25+VLOOKUP($A$1,'Pri Housing Generation'!$A$96:$DQ$118, 20, FALSE)</f>
        <v>214</v>
      </c>
      <c r="E42" s="42">
        <f>E25+VLOOKUP($A$1,'Pri Housing Generation'!$A$96:$DQ$118, 21, FALSE)</f>
        <v>181</v>
      </c>
      <c r="F42" s="43">
        <f>F25+VLOOKUP($A$1,'Pri Housing Generation'!$A$96:$DQ$118, 22, FALSE)</f>
        <v>225</v>
      </c>
      <c r="G42" s="41">
        <f>G25+VLOOKUP($A$1,'Pri Housing Generation'!$A$96:$DQ$118, 23, FALSE)</f>
        <v>234</v>
      </c>
      <c r="H42" s="42">
        <f>H25+VLOOKUP($A$1,'Pri Housing Generation'!$A$96:$DQ$118, 24, FALSE)</f>
        <v>208</v>
      </c>
      <c r="I42" s="99">
        <f t="shared" ref="I42:I54" si="18">ROUNDUP((H41-(H41*$I$20)),0)</f>
        <v>210</v>
      </c>
      <c r="K42" s="35">
        <f>'Sec Housing Generation'!P7</f>
        <v>2</v>
      </c>
      <c r="L42" s="83"/>
      <c r="M42" s="107">
        <v>0.89800000000000002</v>
      </c>
      <c r="O42" s="35">
        <f t="shared" si="14"/>
        <v>191</v>
      </c>
      <c r="Q42" s="25">
        <f t="shared" ref="Q42:Q54" si="19">A42</f>
        <v>2020</v>
      </c>
      <c r="R42" s="20">
        <f t="shared" si="15"/>
        <v>244</v>
      </c>
      <c r="S42" s="53">
        <f t="shared" ref="S42:U54" si="20">R41</f>
        <v>233</v>
      </c>
      <c r="T42" s="53">
        <f t="shared" si="20"/>
        <v>227</v>
      </c>
      <c r="U42" s="67">
        <f t="shared" si="20"/>
        <v>195</v>
      </c>
      <c r="V42" s="43">
        <f t="shared" ref="V42:V54" si="21">ROUNDUP((U41-(U41*$V$20)),0)</f>
        <v>192</v>
      </c>
      <c r="W42" s="41">
        <f t="shared" ref="W42:W54" si="22">ROUNDUP((V41-(V41*$W$20)),0)</f>
        <v>175</v>
      </c>
      <c r="X42" s="101">
        <f t="shared" si="16"/>
        <v>1266</v>
      </c>
    </row>
    <row r="43" spans="1:27" x14ac:dyDescent="0.25">
      <c r="A43" s="25">
        <f t="shared" si="17"/>
        <v>2021</v>
      </c>
      <c r="B43" s="37">
        <f>B26+VLOOKUP($A$1,'Pri Housing Generation'!$A$96:$DQ$118, 26, FALSE)</f>
        <v>219</v>
      </c>
      <c r="C43" s="34">
        <f>C26+VLOOKUP($A$1,'Pri Housing Generation'!$A$96:$DQ$118, 27, FALSE)</f>
        <v>235</v>
      </c>
      <c r="D43" s="34">
        <f>D26+VLOOKUP($A$1,'Pri Housing Generation'!$A$96:$DQ$118, 28, FALSE)</f>
        <v>222</v>
      </c>
      <c r="E43" s="34">
        <f>E26+VLOOKUP($A$1,'Pri Housing Generation'!$A$96:$DQ$118, 29, FALSE)</f>
        <v>214</v>
      </c>
      <c r="F43" s="42">
        <f>F26+VLOOKUP($A$1,'Pri Housing Generation'!$A$96:$DQ$118, 30, FALSE)</f>
        <v>188</v>
      </c>
      <c r="G43" s="43">
        <f>G26+VLOOKUP($A$1,'Pri Housing Generation'!$A$96:$DQ$118, 31, FALSE)</f>
        <v>229</v>
      </c>
      <c r="H43" s="41">
        <f>H26+VLOOKUP($A$1,'Pri Housing Generation'!$A$96:$DQ$118, 32, FALSE)</f>
        <v>235</v>
      </c>
      <c r="I43" s="99">
        <f t="shared" si="18"/>
        <v>201</v>
      </c>
      <c r="K43" s="35">
        <f>'Sec Housing Generation'!W7</f>
        <v>5</v>
      </c>
      <c r="L43" s="83"/>
      <c r="M43" s="107">
        <v>0.89800000000000002</v>
      </c>
      <c r="O43" s="35">
        <f t="shared" si="14"/>
        <v>185</v>
      </c>
      <c r="Q43" s="25">
        <f t="shared" si="19"/>
        <v>2021</v>
      </c>
      <c r="R43" s="20">
        <f t="shared" si="15"/>
        <v>238</v>
      </c>
      <c r="S43" s="53">
        <f t="shared" si="20"/>
        <v>244</v>
      </c>
      <c r="T43" s="53">
        <f t="shared" si="20"/>
        <v>233</v>
      </c>
      <c r="U43" s="53">
        <f t="shared" si="20"/>
        <v>227</v>
      </c>
      <c r="V43" s="42">
        <f t="shared" si="21"/>
        <v>184</v>
      </c>
      <c r="W43" s="43">
        <f t="shared" si="22"/>
        <v>157</v>
      </c>
      <c r="X43" s="101">
        <f t="shared" si="16"/>
        <v>1283</v>
      </c>
    </row>
    <row r="44" spans="1:27" x14ac:dyDescent="0.25">
      <c r="A44" s="25">
        <f t="shared" si="17"/>
        <v>2022</v>
      </c>
      <c r="B44" s="37">
        <f>B27+VLOOKUP($A$1,'Pri Housing Generation'!$A$96:$DQ$118, 34, FALSE)</f>
        <v>224</v>
      </c>
      <c r="C44" s="34">
        <f>C27+VLOOKUP($A$1,'Pri Housing Generation'!$A$96:$DQ$118, 35, FALSE)</f>
        <v>228</v>
      </c>
      <c r="D44" s="34">
        <f>D27+VLOOKUP($A$1,'Pri Housing Generation'!$A$96:$DQ$118, 36, FALSE)</f>
        <v>238</v>
      </c>
      <c r="E44" s="34">
        <f>E27+VLOOKUP($A$1,'Pri Housing Generation'!$A$96:$DQ$118, 37, FALSE)</f>
        <v>226</v>
      </c>
      <c r="F44" s="34">
        <f>F27+VLOOKUP($A$1,'Pri Housing Generation'!$A$96:$DQ$118, 38, FALSE)</f>
        <v>227</v>
      </c>
      <c r="G44" s="42">
        <f>G27+VLOOKUP($A$1,'Pri Housing Generation'!$A$96:$DQ$118, 39, FALSE)</f>
        <v>198</v>
      </c>
      <c r="H44" s="43">
        <f>H27+VLOOKUP($A$1,'Pri Housing Generation'!$A$96:$DQ$118, 40, FALSE)</f>
        <v>235</v>
      </c>
      <c r="I44" s="99">
        <f t="shared" si="18"/>
        <v>227</v>
      </c>
      <c r="K44" s="35">
        <f>'Sec Housing Generation'!AD7</f>
        <v>12</v>
      </c>
      <c r="L44" s="83"/>
      <c r="M44" s="107">
        <v>0.89800000000000002</v>
      </c>
      <c r="O44" s="35">
        <f t="shared" si="14"/>
        <v>215</v>
      </c>
      <c r="Q44" s="25">
        <f t="shared" si="19"/>
        <v>2022</v>
      </c>
      <c r="R44" s="20">
        <f t="shared" si="15"/>
        <v>260</v>
      </c>
      <c r="S44" s="53">
        <f t="shared" si="20"/>
        <v>238</v>
      </c>
      <c r="T44" s="53">
        <f t="shared" si="20"/>
        <v>244</v>
      </c>
      <c r="U44" s="53">
        <f t="shared" si="20"/>
        <v>233</v>
      </c>
      <c r="V44" s="34">
        <f t="shared" si="21"/>
        <v>214</v>
      </c>
      <c r="W44" s="42">
        <f t="shared" si="22"/>
        <v>150</v>
      </c>
      <c r="X44" s="101">
        <f t="shared" si="16"/>
        <v>1339</v>
      </c>
    </row>
    <row r="45" spans="1:27" x14ac:dyDescent="0.25">
      <c r="A45" s="25">
        <f t="shared" si="17"/>
        <v>2023</v>
      </c>
      <c r="B45" s="37">
        <f>B28+VLOOKUP($A$1,'Pri Housing Generation'!$A$96:$DQ$118, 42, FALSE)</f>
        <v>249</v>
      </c>
      <c r="C45" s="34">
        <f>C28+VLOOKUP($A$1,'Pri Housing Generation'!$A$96:$DQ$118, 43, FALSE)</f>
        <v>236</v>
      </c>
      <c r="D45" s="34">
        <f>D28+VLOOKUP($A$1,'Pri Housing Generation'!$A$96:$DQ$118, 44, FALSE)</f>
        <v>234</v>
      </c>
      <c r="E45" s="34">
        <f>E28+VLOOKUP($A$1,'Pri Housing Generation'!$A$96:$DQ$118, 45, FALSE)</f>
        <v>245</v>
      </c>
      <c r="F45" s="34">
        <f>F28+VLOOKUP($A$1,'Pri Housing Generation'!$A$96:$DQ$118, 46, FALSE)</f>
        <v>240</v>
      </c>
      <c r="G45" s="34">
        <f>G28+VLOOKUP($A$1,'Pri Housing Generation'!$A$96:$DQ$118, 47, FALSE)</f>
        <v>238</v>
      </c>
      <c r="H45" s="42">
        <f>H28+VLOOKUP($A$1,'Pri Housing Generation'!$A$96:$DQ$118, 48, FALSE)</f>
        <v>206</v>
      </c>
      <c r="I45" s="99">
        <f t="shared" si="18"/>
        <v>227</v>
      </c>
      <c r="J45" s="181"/>
      <c r="K45" s="35">
        <f>'Sec Housing Generation'!AK7</f>
        <v>21</v>
      </c>
      <c r="L45" s="83"/>
      <c r="M45" s="107">
        <v>0.89800000000000002</v>
      </c>
      <c r="O45" s="35">
        <f t="shared" si="14"/>
        <v>223</v>
      </c>
      <c r="Q45" s="25">
        <f t="shared" si="19"/>
        <v>2023</v>
      </c>
      <c r="R45" s="20">
        <f t="shared" si="15"/>
        <v>260</v>
      </c>
      <c r="S45" s="53">
        <f t="shared" si="20"/>
        <v>260</v>
      </c>
      <c r="T45" s="53">
        <f t="shared" si="20"/>
        <v>238</v>
      </c>
      <c r="U45" s="53">
        <f t="shared" si="20"/>
        <v>244</v>
      </c>
      <c r="V45" s="34">
        <f t="shared" si="21"/>
        <v>220</v>
      </c>
      <c r="W45" s="34">
        <f t="shared" si="22"/>
        <v>175</v>
      </c>
      <c r="X45" s="101">
        <f t="shared" si="16"/>
        <v>1397</v>
      </c>
    </row>
    <row r="46" spans="1:27" x14ac:dyDescent="0.25">
      <c r="A46" s="25">
        <f t="shared" si="17"/>
        <v>2024</v>
      </c>
      <c r="B46" s="37">
        <f>B29+VLOOKUP($A$1,'Pri Housing Generation'!$A$96:$DQ$118, 50, FALSE)</f>
        <v>260</v>
      </c>
      <c r="C46" s="34">
        <f>C29+VLOOKUP($A$1,'Pri Housing Generation'!$A$96:$DQ$118, 51, FALSE)</f>
        <v>258</v>
      </c>
      <c r="D46" s="34">
        <f>D29+VLOOKUP($A$1,'Pri Housing Generation'!$A$96:$DQ$118, 52, FALSE)</f>
        <v>239</v>
      </c>
      <c r="E46" s="34">
        <f>E29+VLOOKUP($A$1,'Pri Housing Generation'!$A$96:$DQ$118, 53, FALSE)</f>
        <v>239</v>
      </c>
      <c r="F46" s="34">
        <f>F29+VLOOKUP($A$1,'Pri Housing Generation'!$A$96:$DQ$118, 54, FALSE)</f>
        <v>258</v>
      </c>
      <c r="G46" s="34">
        <f>G29+VLOOKUP($A$1,'Pri Housing Generation'!$A$96:$DQ$118, 55, FALSE)</f>
        <v>249</v>
      </c>
      <c r="H46" s="34">
        <f>H29+VLOOKUP($A$1,'Pri Housing Generation'!$A$96:$DQ$118, 56, FALSE)</f>
        <v>244</v>
      </c>
      <c r="I46" s="99">
        <f t="shared" si="18"/>
        <v>199</v>
      </c>
      <c r="J46" s="181"/>
      <c r="K46" s="35">
        <f>'Sec Housing Generation'!AR7</f>
        <v>27</v>
      </c>
      <c r="L46" s="83"/>
      <c r="M46" s="107">
        <v>0.89800000000000002</v>
      </c>
      <c r="O46" s="35">
        <f t="shared" si="14"/>
        <v>203</v>
      </c>
      <c r="Q46" s="25">
        <f t="shared" si="19"/>
        <v>2024</v>
      </c>
      <c r="R46" s="20">
        <f t="shared" si="15"/>
        <v>256</v>
      </c>
      <c r="S46" s="53">
        <f t="shared" si="20"/>
        <v>260</v>
      </c>
      <c r="T46" s="53">
        <f t="shared" si="20"/>
        <v>260</v>
      </c>
      <c r="U46" s="53">
        <f t="shared" si="20"/>
        <v>238</v>
      </c>
      <c r="V46" s="34">
        <f t="shared" si="21"/>
        <v>230</v>
      </c>
      <c r="W46" s="34">
        <f t="shared" si="22"/>
        <v>179</v>
      </c>
      <c r="X46" s="101">
        <f t="shared" si="16"/>
        <v>1423</v>
      </c>
    </row>
    <row r="47" spans="1:27" x14ac:dyDescent="0.25">
      <c r="A47" s="25">
        <f t="shared" si="17"/>
        <v>2025</v>
      </c>
      <c r="B47" s="37">
        <f>B30+VLOOKUP($A$1,'Pri Housing Generation'!$A$96:$DQ$118, 58, FALSE)</f>
        <v>269</v>
      </c>
      <c r="C47" s="34">
        <f>C30+VLOOKUP($A$1,'Pri Housing Generation'!$A$96:$DQ$118, 59, FALSE)</f>
        <v>266</v>
      </c>
      <c r="D47" s="34">
        <f>D30+VLOOKUP($A$1,'Pri Housing Generation'!$A$96:$DQ$118, 60, FALSE)</f>
        <v>258</v>
      </c>
      <c r="E47" s="34">
        <f>E30+VLOOKUP($A$1,'Pri Housing Generation'!$A$96:$DQ$118, 61, FALSE)</f>
        <v>243</v>
      </c>
      <c r="F47" s="34">
        <f>F30+VLOOKUP($A$1,'Pri Housing Generation'!$A$96:$DQ$118, 62, FALSE)</f>
        <v>249</v>
      </c>
      <c r="G47" s="34">
        <f>G30+VLOOKUP($A$1,'Pri Housing Generation'!$A$96:$DQ$118, 63, FALSE)</f>
        <v>265</v>
      </c>
      <c r="H47" s="34">
        <f>H30+VLOOKUP($A$1,'Pri Housing Generation'!$A$96:$DQ$118, 64, FALSE)</f>
        <v>253</v>
      </c>
      <c r="I47" s="99">
        <f t="shared" si="18"/>
        <v>236</v>
      </c>
      <c r="J47" s="181"/>
      <c r="K47" s="83"/>
      <c r="L47" s="83"/>
      <c r="M47" s="107">
        <v>0.89800000000000002</v>
      </c>
      <c r="O47" s="35">
        <f t="shared" si="14"/>
        <v>212</v>
      </c>
      <c r="Q47" s="25">
        <f t="shared" si="19"/>
        <v>2025</v>
      </c>
      <c r="R47" s="20">
        <f t="shared" si="15"/>
        <v>260</v>
      </c>
      <c r="S47" s="53">
        <f t="shared" si="20"/>
        <v>256</v>
      </c>
      <c r="T47" s="53">
        <f t="shared" si="20"/>
        <v>260</v>
      </c>
      <c r="U47" s="53">
        <f t="shared" si="20"/>
        <v>260</v>
      </c>
      <c r="V47" s="34">
        <f t="shared" si="21"/>
        <v>224</v>
      </c>
      <c r="W47" s="34">
        <f t="shared" si="22"/>
        <v>188</v>
      </c>
      <c r="X47" s="101">
        <f t="shared" si="16"/>
        <v>1448</v>
      </c>
    </row>
    <row r="48" spans="1:27" x14ac:dyDescent="0.25">
      <c r="A48" s="25">
        <f t="shared" si="17"/>
        <v>2026</v>
      </c>
      <c r="B48" s="37">
        <f>B31+VLOOKUP($A$1,'Pri Housing Generation'!$A$96:$DQ$118, 66, FALSE)</f>
        <v>278</v>
      </c>
      <c r="C48" s="34">
        <f>C31+VLOOKUP($A$1,'Pri Housing Generation'!$A$96:$DQ$118, 67, FALSE)</f>
        <v>275</v>
      </c>
      <c r="D48" s="34">
        <f>D31+VLOOKUP($A$1,'Pri Housing Generation'!$A$96:$DQ$118, 68, FALSE)</f>
        <v>266</v>
      </c>
      <c r="E48" s="34">
        <f>E31+VLOOKUP($A$1,'Pri Housing Generation'!$A$96:$DQ$118, 69, FALSE)</f>
        <v>260</v>
      </c>
      <c r="F48" s="34">
        <f>F31+VLOOKUP($A$1,'Pri Housing Generation'!$A$96:$DQ$118, 70, FALSE)</f>
        <v>251</v>
      </c>
      <c r="G48" s="34">
        <f>G31+VLOOKUP($A$1,'Pri Housing Generation'!$A$96:$DQ$118, 71, FALSE)</f>
        <v>255</v>
      </c>
      <c r="H48" s="34">
        <f>H31+VLOOKUP($A$1,'Pri Housing Generation'!$A$96:$DQ$118, 72, FALSE)</f>
        <v>268</v>
      </c>
      <c r="I48" s="99">
        <f t="shared" si="18"/>
        <v>244</v>
      </c>
      <c r="J48" s="181"/>
      <c r="K48" s="83"/>
      <c r="L48" s="83"/>
      <c r="M48" s="107">
        <v>0.89800000000000002</v>
      </c>
      <c r="O48" s="35">
        <f t="shared" si="14"/>
        <v>220</v>
      </c>
      <c r="Q48" s="25">
        <f t="shared" si="19"/>
        <v>2026</v>
      </c>
      <c r="R48" s="20">
        <f t="shared" si="15"/>
        <v>260</v>
      </c>
      <c r="S48" s="53">
        <f t="shared" si="20"/>
        <v>260</v>
      </c>
      <c r="T48" s="53">
        <f t="shared" si="20"/>
        <v>256</v>
      </c>
      <c r="U48" s="53">
        <f t="shared" si="20"/>
        <v>260</v>
      </c>
      <c r="V48" s="34">
        <f t="shared" si="21"/>
        <v>245</v>
      </c>
      <c r="W48" s="34">
        <f t="shared" si="22"/>
        <v>183</v>
      </c>
      <c r="X48" s="101">
        <f t="shared" si="16"/>
        <v>1464</v>
      </c>
    </row>
    <row r="49" spans="1:24" x14ac:dyDescent="0.25">
      <c r="A49" s="25">
        <f t="shared" si="17"/>
        <v>2027</v>
      </c>
      <c r="B49" s="37">
        <f>B32+VLOOKUP($A$1,'Pri Housing Generation'!$A$96:$DQ$118, 74, FALSE)</f>
        <v>284</v>
      </c>
      <c r="C49" s="34">
        <f>C32+VLOOKUP($A$1,'Pri Housing Generation'!$A$96:$DQ$118, 75, FALSE)</f>
        <v>283</v>
      </c>
      <c r="D49" s="34">
        <f>D32+VLOOKUP($A$1,'Pri Housing Generation'!$A$96:$DQ$118, 76, FALSE)</f>
        <v>274</v>
      </c>
      <c r="E49" s="34">
        <f>E32+VLOOKUP($A$1,'Pri Housing Generation'!$A$96:$DQ$118, 77, FALSE)</f>
        <v>268</v>
      </c>
      <c r="F49" s="34">
        <f>F32+VLOOKUP($A$1,'Pri Housing Generation'!$A$96:$DQ$118, 78, FALSE)</f>
        <v>268</v>
      </c>
      <c r="G49" s="34">
        <f>G32+VLOOKUP($A$1,'Pri Housing Generation'!$A$96:$DQ$118, 79, FALSE)</f>
        <v>257</v>
      </c>
      <c r="H49" s="34">
        <f>H32+VLOOKUP($A$1,'Pri Housing Generation'!$A$96:$DQ$118, 80, FALSE)</f>
        <v>258</v>
      </c>
      <c r="I49" s="99">
        <f t="shared" si="18"/>
        <v>259</v>
      </c>
      <c r="J49" s="181"/>
      <c r="K49" s="83"/>
      <c r="L49" s="83"/>
      <c r="M49" s="107">
        <v>0.89800000000000002</v>
      </c>
      <c r="O49" s="35">
        <f t="shared" si="14"/>
        <v>233</v>
      </c>
      <c r="Q49" s="25">
        <f t="shared" si="19"/>
        <v>2027</v>
      </c>
      <c r="R49" s="20">
        <f t="shared" si="15"/>
        <v>260</v>
      </c>
      <c r="S49" s="53">
        <f t="shared" si="20"/>
        <v>260</v>
      </c>
      <c r="T49" s="53">
        <f t="shared" si="20"/>
        <v>260</v>
      </c>
      <c r="U49" s="53">
        <f t="shared" si="20"/>
        <v>256</v>
      </c>
      <c r="V49" s="34">
        <f t="shared" si="21"/>
        <v>245</v>
      </c>
      <c r="W49" s="34">
        <f t="shared" si="22"/>
        <v>200</v>
      </c>
      <c r="X49" s="101">
        <f t="shared" si="16"/>
        <v>1481</v>
      </c>
    </row>
    <row r="50" spans="1:24" x14ac:dyDescent="0.25">
      <c r="A50" s="25">
        <f t="shared" si="17"/>
        <v>2028</v>
      </c>
      <c r="B50" s="37">
        <f>B33+VLOOKUP($A$1,'Pri Housing Generation'!$A$96:$DQ$118, 82, FALSE)</f>
        <v>291</v>
      </c>
      <c r="C50" s="34">
        <f>C33+VLOOKUP($A$1,'Pri Housing Generation'!$A$96:$DQ$118, 83, FALSE)</f>
        <v>290</v>
      </c>
      <c r="D50" s="34">
        <f>D33+VLOOKUP($A$1,'Pri Housing Generation'!$A$96:$DQ$118, 84, FALSE)</f>
        <v>283</v>
      </c>
      <c r="E50" s="34">
        <f>E33+VLOOKUP($A$1,'Pri Housing Generation'!$A$96:$DQ$118, 85, FALSE)</f>
        <v>276</v>
      </c>
      <c r="F50" s="34">
        <f>F33+VLOOKUP($A$1,'Pri Housing Generation'!$A$96:$DQ$118, 86, FALSE)</f>
        <v>276</v>
      </c>
      <c r="G50" s="34">
        <f>G33+VLOOKUP($A$1,'Pri Housing Generation'!$A$96:$DQ$118, 87, FALSE)</f>
        <v>273</v>
      </c>
      <c r="H50" s="34">
        <f>H33+VLOOKUP($A$1,'Pri Housing Generation'!$A$96:$DQ$118, 88, FALSE)</f>
        <v>259</v>
      </c>
      <c r="I50" s="99">
        <f t="shared" si="18"/>
        <v>249</v>
      </c>
      <c r="J50" s="181"/>
      <c r="K50" s="83"/>
      <c r="L50" s="83"/>
      <c r="M50" s="107">
        <v>0.89800000000000002</v>
      </c>
      <c r="O50" s="35">
        <f t="shared" si="14"/>
        <v>224</v>
      </c>
      <c r="Q50" s="25">
        <f t="shared" si="19"/>
        <v>2028</v>
      </c>
      <c r="R50" s="20">
        <f t="shared" si="15"/>
        <v>260</v>
      </c>
      <c r="S50" s="53">
        <f t="shared" si="20"/>
        <v>260</v>
      </c>
      <c r="T50" s="53">
        <f t="shared" si="20"/>
        <v>260</v>
      </c>
      <c r="U50" s="53">
        <f t="shared" si="20"/>
        <v>260</v>
      </c>
      <c r="V50" s="34">
        <f t="shared" si="21"/>
        <v>241</v>
      </c>
      <c r="W50" s="34">
        <f t="shared" si="22"/>
        <v>200</v>
      </c>
      <c r="X50" s="101">
        <f t="shared" si="16"/>
        <v>1481</v>
      </c>
    </row>
    <row r="51" spans="1:24" x14ac:dyDescent="0.25">
      <c r="A51" s="25">
        <f t="shared" si="17"/>
        <v>2029</v>
      </c>
      <c r="B51" s="37">
        <f>B34+VLOOKUP($A$1,'Pri Housing Generation'!$A$96:$DQ$118, 90, FALSE)</f>
        <v>296</v>
      </c>
      <c r="C51" s="34">
        <f>C34+VLOOKUP($A$1,'Pri Housing Generation'!$A$96:$DQ$118, 91, FALSE)</f>
        <v>295</v>
      </c>
      <c r="D51" s="34">
        <f>D34+VLOOKUP($A$1,'Pri Housing Generation'!$A$96:$DQ$118, 92, FALSE)</f>
        <v>289</v>
      </c>
      <c r="E51" s="34">
        <f>E34+VLOOKUP($A$1,'Pri Housing Generation'!$A$96:$DQ$118, 93, FALSE)</f>
        <v>284</v>
      </c>
      <c r="F51" s="34">
        <f>F34+VLOOKUP($A$1,'Pri Housing Generation'!$A$96:$DQ$118, 94, FALSE)</f>
        <v>282</v>
      </c>
      <c r="G51" s="34">
        <f>G34+VLOOKUP($A$1,'Pri Housing Generation'!$A$96:$DQ$118, 95, FALSE)</f>
        <v>279</v>
      </c>
      <c r="H51" s="34">
        <f>H34+VLOOKUP($A$1,'Pri Housing Generation'!$A$96:$DQ$118, 96, FALSE)</f>
        <v>274</v>
      </c>
      <c r="I51" s="99">
        <f t="shared" si="18"/>
        <v>250</v>
      </c>
      <c r="J51" s="181"/>
      <c r="K51" s="83"/>
      <c r="L51" s="83"/>
      <c r="M51" s="107">
        <v>0.89800000000000002</v>
      </c>
      <c r="O51" s="35">
        <f t="shared" si="14"/>
        <v>225</v>
      </c>
      <c r="Q51" s="25">
        <f t="shared" si="19"/>
        <v>2029</v>
      </c>
      <c r="R51" s="20">
        <f t="shared" si="15"/>
        <v>260</v>
      </c>
      <c r="S51" s="53">
        <f t="shared" si="20"/>
        <v>260</v>
      </c>
      <c r="T51" s="53">
        <f t="shared" si="20"/>
        <v>260</v>
      </c>
      <c r="U51" s="53">
        <f t="shared" si="20"/>
        <v>260</v>
      </c>
      <c r="V51" s="34">
        <f t="shared" si="21"/>
        <v>245</v>
      </c>
      <c r="W51" s="34">
        <f t="shared" si="22"/>
        <v>196</v>
      </c>
      <c r="X51" s="101">
        <f t="shared" si="16"/>
        <v>1481</v>
      </c>
    </row>
    <row r="52" spans="1:24" x14ac:dyDescent="0.25">
      <c r="A52" s="25">
        <f t="shared" si="17"/>
        <v>2030</v>
      </c>
      <c r="B52" s="37">
        <f>B35+VLOOKUP($A$1,'Pri Housing Generation'!$A$96:$DQ$118, 98, FALSE)</f>
        <v>301</v>
      </c>
      <c r="C52" s="34">
        <f>C35+VLOOKUP($A$1,'Pri Housing Generation'!$A$96:$DQ$118, 99, FALSE)</f>
        <v>301</v>
      </c>
      <c r="D52" s="34">
        <f>D35+VLOOKUP($A$1,'Pri Housing Generation'!$A$96:$DQ$118, 100, FALSE)</f>
        <v>295</v>
      </c>
      <c r="E52" s="34">
        <f>E35+VLOOKUP($A$1,'Pri Housing Generation'!$A$96:$DQ$118, 101, FALSE)</f>
        <v>289</v>
      </c>
      <c r="F52" s="34">
        <f>F35+VLOOKUP($A$1,'Pri Housing Generation'!$A$96:$DQ$118, 102, FALSE)</f>
        <v>291</v>
      </c>
      <c r="G52" s="34">
        <f>G35+VLOOKUP($A$1,'Pri Housing Generation'!$A$96:$DQ$118, 103, FALSE)</f>
        <v>287</v>
      </c>
      <c r="H52" s="34">
        <f>H35+VLOOKUP($A$1,'Pri Housing Generation'!$A$96:$DQ$118, 104, FALSE)</f>
        <v>281</v>
      </c>
      <c r="I52" s="99">
        <f t="shared" si="18"/>
        <v>265</v>
      </c>
      <c r="J52" s="54"/>
      <c r="K52" s="83"/>
      <c r="L52" s="83"/>
      <c r="M52" s="107">
        <v>0.89800000000000002</v>
      </c>
      <c r="O52" s="35">
        <f t="shared" si="14"/>
        <v>238</v>
      </c>
      <c r="Q52" s="25">
        <f t="shared" si="19"/>
        <v>2030</v>
      </c>
      <c r="R52" s="20">
        <f t="shared" si="15"/>
        <v>260</v>
      </c>
      <c r="S52" s="53">
        <f t="shared" si="20"/>
        <v>260</v>
      </c>
      <c r="T52" s="53">
        <f t="shared" si="20"/>
        <v>260</v>
      </c>
      <c r="U52" s="53">
        <f t="shared" si="20"/>
        <v>260</v>
      </c>
      <c r="V52" s="34">
        <f t="shared" si="21"/>
        <v>245</v>
      </c>
      <c r="W52" s="34">
        <f t="shared" si="22"/>
        <v>200</v>
      </c>
      <c r="X52" s="101">
        <f t="shared" si="16"/>
        <v>1485</v>
      </c>
    </row>
    <row r="53" spans="1:24" x14ac:dyDescent="0.25">
      <c r="A53" s="25">
        <f t="shared" si="17"/>
        <v>2031</v>
      </c>
      <c r="B53" s="37">
        <f>B36+VLOOKUP($A$1,'Pri Housing Generation'!$A$96:$DQ$118, 106, FALSE)</f>
        <v>306</v>
      </c>
      <c r="C53" s="34">
        <f>C36+VLOOKUP($A$1,'Pri Housing Generation'!$A$96:$DQ$118, 107, FALSE)</f>
        <v>306</v>
      </c>
      <c r="D53" s="34">
        <f>D36+VLOOKUP($A$1,'Pri Housing Generation'!$A$96:$DQ$118, 108, FALSE)</f>
        <v>300</v>
      </c>
      <c r="E53" s="34">
        <f>E36+VLOOKUP($A$1,'Pri Housing Generation'!$A$96:$DQ$118, 109, FALSE)</f>
        <v>295</v>
      </c>
      <c r="F53" s="34">
        <f>F36+VLOOKUP($A$1,'Pri Housing Generation'!$A$96:$DQ$118, 110, FALSE)</f>
        <v>297</v>
      </c>
      <c r="G53" s="34">
        <f>G36+VLOOKUP($A$1,'Pri Housing Generation'!$A$96:$DQ$118, 111, FALSE)</f>
        <v>296</v>
      </c>
      <c r="H53" s="34">
        <f>H36+VLOOKUP($A$1,'Pri Housing Generation'!$A$96:$DQ$118, 112, FALSE)</f>
        <v>289</v>
      </c>
      <c r="I53" s="99">
        <f t="shared" si="18"/>
        <v>271</v>
      </c>
      <c r="J53" s="54"/>
      <c r="K53" s="83"/>
      <c r="L53" s="83"/>
      <c r="M53" s="107">
        <v>0.89800000000000002</v>
      </c>
      <c r="O53" s="35">
        <f t="shared" si="14"/>
        <v>244</v>
      </c>
      <c r="Q53" s="25">
        <f t="shared" si="19"/>
        <v>2031</v>
      </c>
      <c r="R53" s="20">
        <f t="shared" si="15"/>
        <v>260</v>
      </c>
      <c r="S53" s="53">
        <f t="shared" si="20"/>
        <v>260</v>
      </c>
      <c r="T53" s="53">
        <f t="shared" si="20"/>
        <v>260</v>
      </c>
      <c r="U53" s="53">
        <f t="shared" si="20"/>
        <v>260</v>
      </c>
      <c r="V53" s="34">
        <f t="shared" si="21"/>
        <v>245</v>
      </c>
      <c r="W53" s="34">
        <f t="shared" si="22"/>
        <v>200</v>
      </c>
      <c r="X53" s="101">
        <f t="shared" si="16"/>
        <v>1485</v>
      </c>
    </row>
    <row r="54" spans="1:24" x14ac:dyDescent="0.25">
      <c r="A54" s="25">
        <f t="shared" si="17"/>
        <v>2032</v>
      </c>
      <c r="B54" s="37">
        <f>B37+VLOOKUP($A$1,'Pri Housing Generation'!$A$96:$DQ$118, 114, FALSE)</f>
        <v>312</v>
      </c>
      <c r="C54" s="34">
        <f>C37+VLOOKUP($A$1,'Pri Housing Generation'!$A$96:$DQ$118, 115, FALSE)</f>
        <v>310</v>
      </c>
      <c r="D54" s="34">
        <f>D37+VLOOKUP($A$1,'Pri Housing Generation'!$A$96:$DQ$118, 116, FALSE)</f>
        <v>305</v>
      </c>
      <c r="E54" s="34">
        <f>E37+VLOOKUP($A$1,'Pri Housing Generation'!$A$96:$DQ$118, 117, FALSE)</f>
        <v>301</v>
      </c>
      <c r="F54" s="34">
        <f>F37+VLOOKUP($A$1,'Pri Housing Generation'!$A$96:$DQ$118, 118, FALSE)</f>
        <v>303</v>
      </c>
      <c r="G54" s="34">
        <f>G37+VLOOKUP($A$1,'Pri Housing Generation'!$A$96:$DQ$118, 119, FALSE)</f>
        <v>302</v>
      </c>
      <c r="H54" s="34">
        <f>H37+VLOOKUP($A$1,'Pri Housing Generation'!$A$96:$DQ$118, 120, FALSE)</f>
        <v>298</v>
      </c>
      <c r="I54" s="99">
        <f t="shared" si="18"/>
        <v>279</v>
      </c>
      <c r="K54" s="83"/>
      <c r="L54" s="83"/>
      <c r="M54" s="107">
        <v>0.89800000000000002</v>
      </c>
      <c r="O54" s="35">
        <f t="shared" si="14"/>
        <v>251</v>
      </c>
      <c r="Q54" s="25">
        <f t="shared" si="19"/>
        <v>2032</v>
      </c>
      <c r="R54" s="20">
        <f t="shared" si="15"/>
        <v>260</v>
      </c>
      <c r="S54" s="53">
        <f t="shared" si="20"/>
        <v>260</v>
      </c>
      <c r="T54" s="53">
        <f t="shared" si="20"/>
        <v>260</v>
      </c>
      <c r="U54" s="53">
        <f t="shared" si="20"/>
        <v>260</v>
      </c>
      <c r="V54" s="34">
        <f t="shared" si="21"/>
        <v>245</v>
      </c>
      <c r="W54" s="34">
        <f t="shared" si="22"/>
        <v>200</v>
      </c>
      <c r="X54" s="101">
        <f t="shared" si="16"/>
        <v>1485</v>
      </c>
    </row>
    <row r="56" spans="1:24" ht="15.75" x14ac:dyDescent="0.25">
      <c r="A56" s="129" t="s">
        <v>223</v>
      </c>
      <c r="F56" s="131"/>
      <c r="G56" s="131"/>
      <c r="H56" s="181"/>
      <c r="I56" s="131"/>
      <c r="J56" s="131"/>
    </row>
    <row r="57" spans="1:24" x14ac:dyDescent="0.25">
      <c r="F57" s="131"/>
      <c r="G57" s="131"/>
      <c r="H57" s="181"/>
      <c r="I57" s="131"/>
      <c r="J57" s="131"/>
    </row>
    <row r="58" spans="1:24" x14ac:dyDescent="0.25">
      <c r="A58" s="21" t="s">
        <v>224</v>
      </c>
      <c r="F58" s="132"/>
      <c r="G58" s="131"/>
      <c r="H58" s="181"/>
      <c r="I58" s="131"/>
      <c r="J58" s="131"/>
    </row>
    <row r="59" spans="1:24" x14ac:dyDescent="0.25">
      <c r="A59" s="21"/>
      <c r="F59" s="132"/>
      <c r="G59" s="131"/>
      <c r="H59" s="181"/>
      <c r="I59" s="131"/>
      <c r="J59" s="131"/>
    </row>
    <row r="60" spans="1:24" ht="33" customHeight="1" x14ac:dyDescent="0.25">
      <c r="A60" s="136"/>
      <c r="B60" s="137" t="s">
        <v>225</v>
      </c>
      <c r="C60" s="413" t="s">
        <v>226</v>
      </c>
      <c r="D60" s="414"/>
      <c r="F60" s="132"/>
      <c r="G60" s="130"/>
      <c r="H60" s="181"/>
      <c r="I60" s="130"/>
      <c r="J60" s="130"/>
    </row>
    <row r="61" spans="1:24" x14ac:dyDescent="0.25">
      <c r="A61" s="25">
        <v>2011</v>
      </c>
      <c r="B61" s="128">
        <v>4</v>
      </c>
      <c r="C61" s="415">
        <f t="shared" ref="C61:C66" si="23">1-(I13/(I13+B61))</f>
        <v>2.6315789473684181E-2</v>
      </c>
      <c r="D61" s="388"/>
      <c r="F61" s="133"/>
      <c r="G61" s="54"/>
      <c r="H61" s="181"/>
      <c r="I61" s="54"/>
      <c r="J61" s="54"/>
    </row>
    <row r="62" spans="1:24" x14ac:dyDescent="0.25">
      <c r="A62" s="25">
        <v>2012</v>
      </c>
      <c r="B62" s="128">
        <v>14</v>
      </c>
      <c r="C62" s="415">
        <f t="shared" si="23"/>
        <v>8.484848484848484E-2</v>
      </c>
      <c r="D62" s="388"/>
      <c r="F62" s="133"/>
      <c r="G62" s="54"/>
      <c r="H62" s="181"/>
      <c r="I62" s="54"/>
      <c r="J62" s="54"/>
      <c r="K62" s="181"/>
      <c r="N62" s="109"/>
      <c r="S62" s="82"/>
    </row>
    <row r="63" spans="1:24" x14ac:dyDescent="0.25">
      <c r="A63" s="25">
        <v>2013</v>
      </c>
      <c r="B63" s="128">
        <v>15</v>
      </c>
      <c r="C63" s="415">
        <f t="shared" si="23"/>
        <v>7.7319587628865927E-2</v>
      </c>
      <c r="D63" s="388"/>
      <c r="F63" s="133"/>
      <c r="G63" s="54"/>
      <c r="H63" s="181"/>
      <c r="I63" s="54"/>
      <c r="J63" s="54"/>
      <c r="K63" s="181"/>
      <c r="N63" s="109"/>
      <c r="S63" s="82"/>
    </row>
    <row r="64" spans="1:24" x14ac:dyDescent="0.25">
      <c r="A64" s="25">
        <v>2014</v>
      </c>
      <c r="B64" s="128">
        <v>7</v>
      </c>
      <c r="C64" s="415">
        <f t="shared" si="23"/>
        <v>4.3209876543209846E-2</v>
      </c>
      <c r="D64" s="388"/>
      <c r="F64" s="133"/>
      <c r="G64" s="54"/>
      <c r="H64" s="181"/>
      <c r="I64" s="54"/>
      <c r="J64" s="54"/>
      <c r="K64" s="181"/>
      <c r="N64" s="109"/>
      <c r="S64" s="82"/>
    </row>
    <row r="65" spans="1:19" x14ac:dyDescent="0.25">
      <c r="A65" s="25">
        <v>2015</v>
      </c>
      <c r="B65" s="128">
        <v>7</v>
      </c>
      <c r="C65" s="415">
        <f t="shared" si="23"/>
        <v>4.1420118343195256E-2</v>
      </c>
      <c r="D65" s="388"/>
      <c r="F65" s="133"/>
      <c r="G65" s="54"/>
      <c r="H65" s="181"/>
      <c r="I65" s="54"/>
      <c r="J65" s="54"/>
      <c r="K65" s="181"/>
      <c r="N65" s="109"/>
      <c r="S65" s="82"/>
    </row>
    <row r="66" spans="1:19" x14ac:dyDescent="0.25">
      <c r="A66" s="25"/>
      <c r="B66" s="128"/>
      <c r="C66" s="415">
        <f t="shared" si="23"/>
        <v>0</v>
      </c>
      <c r="D66" s="388"/>
      <c r="F66" s="133"/>
      <c r="G66" s="54"/>
      <c r="H66" s="181"/>
      <c r="I66" s="54"/>
      <c r="J66" s="54"/>
      <c r="K66" s="181"/>
      <c r="N66" s="109"/>
      <c r="S66" s="82"/>
    </row>
    <row r="67" spans="1:19" x14ac:dyDescent="0.25">
      <c r="A67" s="21"/>
      <c r="F67" s="48"/>
      <c r="K67" s="181"/>
      <c r="N67" s="109"/>
      <c r="S67" s="82"/>
    </row>
    <row r="68" spans="1:19" x14ac:dyDescent="0.25">
      <c r="A68" s="21" t="s">
        <v>213</v>
      </c>
      <c r="F68" s="48"/>
      <c r="K68" s="181"/>
      <c r="N68" s="109"/>
      <c r="S68" s="82"/>
    </row>
    <row r="69" spans="1:19" x14ac:dyDescent="0.25">
      <c r="A69" t="s">
        <v>390</v>
      </c>
      <c r="K69" s="54"/>
      <c r="N69" s="109"/>
      <c r="S69" s="82"/>
    </row>
    <row r="70" spans="1:19" x14ac:dyDescent="0.25">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K15:L15"/>
    <mergeCell ref="K14:L14"/>
    <mergeCell ref="K11:L13"/>
    <mergeCell ref="M11:M13"/>
    <mergeCell ref="C60:D60"/>
    <mergeCell ref="C61:D61"/>
    <mergeCell ref="C62:D62"/>
    <mergeCell ref="C63:D63"/>
    <mergeCell ref="C64:D64"/>
    <mergeCell ref="C65:D65"/>
    <mergeCell ref="O11:O13"/>
    <mergeCell ref="K16:L16"/>
    <mergeCell ref="K17:L17"/>
    <mergeCell ref="A19:B20"/>
    <mergeCell ref="K19:M19"/>
    <mergeCell ref="T19:U20"/>
    <mergeCell ref="K20:M20"/>
    <mergeCell ref="K18:L18"/>
    <mergeCell ref="M39:M40"/>
    <mergeCell ref="O39:O40"/>
    <mergeCell ref="K39:K40"/>
  </mergeCells>
  <conditionalFormatting sqref="R41:R72">
    <cfRule type="cellIs" dxfId="39" priority="15" operator="greaterThan">
      <formula>$C$7</formula>
    </cfRule>
  </conditionalFormatting>
  <conditionalFormatting sqref="X41:X72">
    <cfRule type="cellIs" dxfId="38" priority="14"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A84"/>
  <sheetViews>
    <sheetView workbookViewId="0">
      <selection activeCell="K14" sqref="K14:L18"/>
    </sheetView>
  </sheetViews>
  <sheetFormatPr defaultRowHeight="15" x14ac:dyDescent="0.25"/>
  <cols>
    <col min="10" max="10" width="8" customWidth="1"/>
    <col min="11" max="11" width="13.140625" customWidth="1"/>
    <col min="12" max="12" width="1.7109375" customWidth="1"/>
    <col min="13" max="13" width="7.7109375" customWidth="1"/>
    <col min="14" max="14" width="8" customWidth="1"/>
    <col min="15" max="15" width="12.140625" customWidth="1"/>
    <col min="16" max="17" width="8" customWidth="1"/>
    <col min="18" max="24" width="9.140625" style="39"/>
  </cols>
  <sheetData>
    <row r="1" spans="1:24" ht="18.75" x14ac:dyDescent="0.3">
      <c r="A1" s="102" t="s">
        <v>95</v>
      </c>
    </row>
    <row r="2" spans="1:24" x14ac:dyDescent="0.25">
      <c r="A2" t="s">
        <v>400</v>
      </c>
    </row>
    <row r="4" spans="1:24" ht="15.75" x14ac:dyDescent="0.25">
      <c r="A4" s="129" t="s">
        <v>192</v>
      </c>
    </row>
    <row r="5" spans="1:24" x14ac:dyDescent="0.25">
      <c r="A5" s="21"/>
    </row>
    <row r="6" spans="1:24" x14ac:dyDescent="0.25">
      <c r="A6" s="21" t="s">
        <v>193</v>
      </c>
      <c r="C6" s="100">
        <f>VLOOKUP(A1,'Projection Summary'!A5:C50,3,FALSE)</f>
        <v>600</v>
      </c>
    </row>
    <row r="7" spans="1:24" x14ac:dyDescent="0.25">
      <c r="A7" s="21" t="s">
        <v>191</v>
      </c>
      <c r="B7" s="21"/>
      <c r="C7" s="100">
        <f>VLOOKUP(A1,'Projection Summary'!A5:C50,2,FALSE)</f>
        <v>120</v>
      </c>
    </row>
    <row r="9" spans="1:24" ht="15.75" x14ac:dyDescent="0.25">
      <c r="A9" s="129" t="s">
        <v>222</v>
      </c>
      <c r="R9" s="129" t="s">
        <v>198</v>
      </c>
      <c r="T9" s="173"/>
    </row>
    <row r="10" spans="1:24" x14ac:dyDescent="0.25">
      <c r="A10" s="21"/>
    </row>
    <row r="11" spans="1:24" x14ac:dyDescent="0.25">
      <c r="A11" s="21" t="s">
        <v>243</v>
      </c>
      <c r="K11" s="406" t="s">
        <v>137</v>
      </c>
      <c r="L11" s="407"/>
      <c r="M11" s="412" t="s">
        <v>139</v>
      </c>
      <c r="N11" s="49"/>
      <c r="O11" s="394" t="s">
        <v>136</v>
      </c>
      <c r="R11" s="21" t="s">
        <v>244</v>
      </c>
      <c r="S11" s="52"/>
      <c r="T11" s="52"/>
      <c r="U11" s="52"/>
      <c r="V11" s="52"/>
      <c r="W11" s="52"/>
      <c r="X11" s="52"/>
    </row>
    <row r="12" spans="1:24" x14ac:dyDescent="0.25">
      <c r="A12" s="22" t="s">
        <v>114</v>
      </c>
      <c r="B12" s="24" t="s">
        <v>1</v>
      </c>
      <c r="C12" s="24" t="s">
        <v>115</v>
      </c>
      <c r="D12" s="24" t="s">
        <v>116</v>
      </c>
      <c r="E12" s="24" t="s">
        <v>117</v>
      </c>
      <c r="F12" s="24" t="s">
        <v>118</v>
      </c>
      <c r="G12" s="24" t="s">
        <v>119</v>
      </c>
      <c r="H12" s="24" t="s">
        <v>120</v>
      </c>
      <c r="I12" s="26" t="s">
        <v>121</v>
      </c>
      <c r="K12" s="408"/>
      <c r="L12" s="409"/>
      <c r="M12" s="398"/>
      <c r="N12" s="49"/>
      <c r="O12" s="398"/>
      <c r="Q12" s="22" t="s">
        <v>114</v>
      </c>
      <c r="R12" s="24" t="s">
        <v>121</v>
      </c>
      <c r="S12" s="24" t="s">
        <v>122</v>
      </c>
      <c r="T12" s="24" t="s">
        <v>123</v>
      </c>
      <c r="U12" s="24" t="s">
        <v>124</v>
      </c>
      <c r="V12" s="24" t="s">
        <v>125</v>
      </c>
      <c r="W12" s="24" t="s">
        <v>126</v>
      </c>
      <c r="X12" s="26" t="s">
        <v>138</v>
      </c>
    </row>
    <row r="13" spans="1:24" ht="15.75" thickBot="1" x14ac:dyDescent="0.3">
      <c r="A13" s="25">
        <f>VLOOKUP($A$12,'S1 Catchment Analysis'!A2:I2, 7, FALSE)</f>
        <v>2013</v>
      </c>
      <c r="B13" s="44">
        <f>VLOOKUP($A$1,'Primary Catchment Analysis'!$A$3:$BE$25, 37, FALSE)</f>
        <v>179</v>
      </c>
      <c r="C13" s="19">
        <f>VLOOKUP($A$1,'Primary Catchment Analysis'!$A$3:$BE$25, 38, FALSE)</f>
        <v>165</v>
      </c>
      <c r="D13" s="27">
        <f>VLOOKUP($A$1,'Primary Catchment Analysis'!$A$3:$BE$25, 39, FALSE)</f>
        <v>138</v>
      </c>
      <c r="E13" s="27">
        <f>VLOOKUP($A$1,'Primary Catchment Analysis'!$A$3:$BE$25, 40, FALSE)</f>
        <v>116</v>
      </c>
      <c r="F13" s="27">
        <f>VLOOKUP($A$1,'Primary Catchment Analysis'!$A$3:$BE$25, 41, FALSE)</f>
        <v>142</v>
      </c>
      <c r="G13" s="126">
        <f>VLOOKUP($A$1,'Primary Catchment Analysis'!$A$3:$BE$25, 42, FALSE)</f>
        <v>124</v>
      </c>
      <c r="H13" s="28">
        <f>VLOOKUP($A$1,'Primary Catchment Analysis'!$A$3:$BE$25, 43, FALSE)</f>
        <v>148</v>
      </c>
      <c r="I13" s="28">
        <f>VLOOKUP($A$1,'S1 Catchment Analysis'!A3:I25, 7, FALSE)</f>
        <v>123</v>
      </c>
      <c r="J13" s="23"/>
      <c r="K13" s="410"/>
      <c r="L13" s="411"/>
      <c r="M13" s="399"/>
      <c r="N13" s="50"/>
      <c r="O13" s="399"/>
      <c r="P13" s="50"/>
      <c r="Q13" s="25">
        <f>A13</f>
        <v>2013</v>
      </c>
      <c r="R13" s="69">
        <f>VLOOKUP($A$1,'Secondary Rolls'!$A$3:$BE$25, 37, FALSE)</f>
        <v>79</v>
      </c>
      <c r="S13" s="53">
        <f>VLOOKUP($A$1,'Secondary Rolls'!$A$3:$BE$25, 38, FALSE)</f>
        <v>73</v>
      </c>
      <c r="T13" s="53">
        <f>VLOOKUP($A$1,'Secondary Rolls'!$A$3:$BE$25, 39, FALSE)</f>
        <v>82</v>
      </c>
      <c r="U13" s="122">
        <f>VLOOKUP($A$1,'Secondary Rolls'!$A$3:$BE$25, 40, FALSE)</f>
        <v>85</v>
      </c>
      <c r="V13" s="63">
        <f>VLOOKUP($A$1,'Secondary Rolls'!$A$3:$BE$25, 41, FALSE)</f>
        <v>56</v>
      </c>
      <c r="W13" s="53">
        <f>VLOOKUP($A$1,'Secondary Rolls'!$A$3:$BE$25, 42, FALSE)</f>
        <v>38</v>
      </c>
      <c r="X13" s="62">
        <f t="shared" ref="X13:X17" si="0">SUM(R13:W13)</f>
        <v>413</v>
      </c>
    </row>
    <row r="14" spans="1:24" ht="15.75" thickBot="1" x14ac:dyDescent="0.3">
      <c r="A14" s="25">
        <f>VLOOKUP($A$12,'S1 Catchment Analysis'!A2:I2, 6, FALSE)</f>
        <v>2014</v>
      </c>
      <c r="B14" s="45">
        <f>VLOOKUP($A$1,'Primary Catchment Analysis'!$A$3:$BE$25, 30, FALSE)</f>
        <v>156</v>
      </c>
      <c r="C14" s="44">
        <f>VLOOKUP($A$1,'Primary Catchment Analysis'!$A$3:$BE$25, 31, FALSE)</f>
        <v>185</v>
      </c>
      <c r="D14" s="19">
        <f>VLOOKUP($A$1,'Primary Catchment Analysis'!$A$3:$BE$25, 32, FALSE)</f>
        <v>158</v>
      </c>
      <c r="E14" s="27">
        <f>VLOOKUP($A$1,'Primary Catchment Analysis'!$A$3:$BE$25, 33, FALSE)</f>
        <v>142</v>
      </c>
      <c r="F14" s="27">
        <f>VLOOKUP($A$1,'Primary Catchment Analysis'!$A$3:$BE$25, 34, FALSE)</f>
        <v>126</v>
      </c>
      <c r="G14" s="126">
        <f>VLOOKUP($A$1,'Primary Catchment Analysis'!$A$3:$BE$25, 35, FALSE)</f>
        <v>143</v>
      </c>
      <c r="H14" s="28">
        <f>VLOOKUP($A$1,'Primary Catchment Analysis'!$A$3:$BE$25, 36, FALSE)</f>
        <v>130</v>
      </c>
      <c r="I14" s="27">
        <f>VLOOKUP($A$1,'S1 Catchment Analysis'!A3:I25, 6, FALSE)</f>
        <v>143</v>
      </c>
      <c r="J14" s="23"/>
      <c r="K14" s="400">
        <f>VLOOKUP($A$1,'S1 Catchment Retained'!A2:I25, 6, FALSE)</f>
        <v>69</v>
      </c>
      <c r="L14" s="401"/>
      <c r="M14" s="110">
        <f t="shared" ref="M14:M18" si="1">(K14/I14)</f>
        <v>0.4825174825174825</v>
      </c>
      <c r="N14" s="50"/>
      <c r="O14" s="111">
        <f t="shared" ref="O14:O18" si="2">R14-K14</f>
        <v>15</v>
      </c>
      <c r="P14" s="50"/>
      <c r="Q14" s="25">
        <f t="shared" ref="Q14:Q18" si="3">A14</f>
        <v>2014</v>
      </c>
      <c r="R14" s="67">
        <f>VLOOKUP($A$1,'Secondary Rolls'!$A$3:$BE$25, 30, FALSE)</f>
        <v>84</v>
      </c>
      <c r="S14" s="69">
        <f>VLOOKUP($A$1,'Secondary Rolls'!$A$3:$BE$25, 31, FALSE)</f>
        <v>85</v>
      </c>
      <c r="T14" s="61">
        <f>VLOOKUP($A$1,'Secondary Rolls'!$A$3:$BE$25, 32, FALSE)</f>
        <v>70</v>
      </c>
      <c r="U14" s="61">
        <f>VLOOKUP($A$1,'Secondary Rolls'!$A$3:$BE$25, 33, FALSE)</f>
        <v>85</v>
      </c>
      <c r="V14" s="64">
        <f>VLOOKUP($A$1,'Secondary Rolls'!$A$3:$BE$25, 34, FALSE)</f>
        <v>73</v>
      </c>
      <c r="W14" s="116">
        <f>VLOOKUP($A$1,'Secondary Rolls'!$A$3:$BE$25, 35, FALSE)</f>
        <v>33</v>
      </c>
      <c r="X14" s="62">
        <f t="shared" si="0"/>
        <v>430</v>
      </c>
    </row>
    <row r="15" spans="1:24" ht="15.75" thickBot="1" x14ac:dyDescent="0.3">
      <c r="A15" s="25">
        <f>VLOOKUP($A$12,'S1 Catchment Analysis'!A2:I2, 5, FALSE)</f>
        <v>2015</v>
      </c>
      <c r="B15" s="19">
        <f>VLOOKUP($A$1,'Primary Catchment Analysis'!$A$3:$BE$25, 23, FALSE)</f>
        <v>149</v>
      </c>
      <c r="C15" s="45">
        <f>VLOOKUP($A$1,'Primary Catchment Analysis'!$A$3:$BE$25, 24, FALSE)</f>
        <v>162</v>
      </c>
      <c r="D15" s="44">
        <f>VLOOKUP($A$1,'Primary Catchment Analysis'!$A$3:$BE$25, 25, FALSE)</f>
        <v>186</v>
      </c>
      <c r="E15" s="19">
        <f>VLOOKUP($A$1,'Primary Catchment Analysis'!$A$3:$BE$25, 26, FALSE)</f>
        <v>159</v>
      </c>
      <c r="F15" s="27">
        <f>VLOOKUP($A$1,'Primary Catchment Analysis'!$A$3:$BE$25, 27, FALSE)</f>
        <v>142</v>
      </c>
      <c r="G15" s="126">
        <f>VLOOKUP($A$1,'Primary Catchment Analysis'!$A$3:$BE$25, 28, FALSE)</f>
        <v>128</v>
      </c>
      <c r="H15" s="30">
        <f>VLOOKUP($A$1,'Primary Catchment Analysis'!$A$3:$BE$25, 29, FALSE)</f>
        <v>154</v>
      </c>
      <c r="I15" s="29">
        <f>VLOOKUP($A$1,'S1 Catchment Analysis'!A3:I25, 5, FALSE)</f>
        <v>132</v>
      </c>
      <c r="J15" s="23"/>
      <c r="K15" s="400">
        <f>VLOOKUP($A$1,'S1 Catchment Retained'!A2:I25, 5, FALSE)</f>
        <v>80</v>
      </c>
      <c r="L15" s="401"/>
      <c r="M15" s="110">
        <f t="shared" si="1"/>
        <v>0.60606060606060608</v>
      </c>
      <c r="N15" s="50"/>
      <c r="O15" s="111">
        <f t="shared" si="2"/>
        <v>15</v>
      </c>
      <c r="P15" s="50"/>
      <c r="Q15" s="25">
        <f t="shared" si="3"/>
        <v>2015</v>
      </c>
      <c r="R15" s="68">
        <f>VLOOKUP($A$1,'Secondary Rolls'!$A$3:$BE$25, 23, FALSE)</f>
        <v>95</v>
      </c>
      <c r="S15" s="67">
        <f>VLOOKUP($A$1,'Secondary Rolls'!$A$3:$BE$25, 24, FALSE)</f>
        <v>90</v>
      </c>
      <c r="T15" s="71">
        <f>VLOOKUP($A$1,'Secondary Rolls'!$A$3:$BE$25, 25, FALSE)</f>
        <v>86</v>
      </c>
      <c r="U15" s="61">
        <f>VLOOKUP($A$1,'Secondary Rolls'!$A$3:$BE$25, 26, FALSE)</f>
        <v>72</v>
      </c>
      <c r="V15" s="123">
        <f>VLOOKUP($A$1,'Secondary Rolls'!$A$3:$BE$25, 27, FALSE)</f>
        <v>74</v>
      </c>
      <c r="W15" s="64">
        <f>VLOOKUP($A$1,'Secondary Rolls'!$A$3:$BE$25, 28, FALSE)</f>
        <v>56</v>
      </c>
      <c r="X15" s="62">
        <f t="shared" si="0"/>
        <v>473</v>
      </c>
    </row>
    <row r="16" spans="1:24" ht="15.75" thickBot="1" x14ac:dyDescent="0.3">
      <c r="A16" s="25">
        <f>VLOOKUP($A$12,'S1 Catchment Analysis'!A2:I2, 4, FALSE)</f>
        <v>2016</v>
      </c>
      <c r="B16" s="44">
        <f>VLOOKUP($A$1,'Primary Catchment Analysis'!$A$3:$BE$25, 16, FALSE)</f>
        <v>172</v>
      </c>
      <c r="C16" s="19">
        <f>VLOOKUP($A$1,'Primary Catchment Analysis'!$A$3:$BE$25, 17, FALSE)</f>
        <v>155</v>
      </c>
      <c r="D16" s="45">
        <f>VLOOKUP($A$1,'Primary Catchment Analysis'!$A$3:$BE$25, 18, FALSE)</f>
        <v>163</v>
      </c>
      <c r="E16" s="44">
        <f>VLOOKUP($A$1,'Primary Catchment Analysis'!$A$3:$BE$25, 19, FALSE)</f>
        <v>187</v>
      </c>
      <c r="F16" s="19">
        <f>VLOOKUP($A$1,'Primary Catchment Analysis'!$A$3:$BE$25, 20, FALSE)</f>
        <v>160</v>
      </c>
      <c r="G16" s="126">
        <f>VLOOKUP($A$1,'Primary Catchment Analysis'!$A$3:$BE$25, 21, FALSE)</f>
        <v>140</v>
      </c>
      <c r="H16" s="112">
        <f>VLOOKUP($A$1,'Primary Catchment Analysis'!$A$3:$BE$25, 22, FALSE)</f>
        <v>124</v>
      </c>
      <c r="I16" s="30">
        <f>VLOOKUP($A$1,'S1 Catchment Analysis'!A3:I25, 4, FALSE)</f>
        <v>154</v>
      </c>
      <c r="J16" s="23"/>
      <c r="K16" s="400">
        <f>VLOOKUP($A$1,'S1 Catchment Retained'!A2:I25, 4, FALSE)</f>
        <v>73</v>
      </c>
      <c r="L16" s="401"/>
      <c r="M16" s="56">
        <f t="shared" si="1"/>
        <v>0.47402597402597402</v>
      </c>
      <c r="N16" s="50"/>
      <c r="O16" s="103">
        <f t="shared" si="2"/>
        <v>9</v>
      </c>
      <c r="P16" s="50"/>
      <c r="Q16" s="25">
        <f t="shared" si="3"/>
        <v>2016</v>
      </c>
      <c r="R16" s="69">
        <f>VLOOKUP($A$1,'Secondary Rolls'!$A$3:$BE$25, 16, FALSE)</f>
        <v>82</v>
      </c>
      <c r="S16" s="68">
        <f>VLOOKUP($A$1,'Secondary Rolls'!$A$3:$BE$25, 17, FALSE)</f>
        <v>95</v>
      </c>
      <c r="T16" s="70">
        <f>VLOOKUP($A$1,'Secondary Rolls'!$A$3:$BE$25, 18, FALSE)</f>
        <v>87</v>
      </c>
      <c r="U16" s="71">
        <f>VLOOKUP($A$1,'Secondary Rolls'!$A$3:$BE$25, 19, FALSE)</f>
        <v>93</v>
      </c>
      <c r="V16" s="66">
        <f>VLOOKUP($A$1,'Secondary Rolls'!$A$3:$BE$25, 20, FALSE)</f>
        <v>68</v>
      </c>
      <c r="W16" s="65">
        <f>VLOOKUP($A$1,'Secondary Rolls'!$A$3:$BE$25, 21, FALSE)</f>
        <v>48</v>
      </c>
      <c r="X16" s="62">
        <f t="shared" si="0"/>
        <v>473</v>
      </c>
    </row>
    <row r="17" spans="1:27" ht="15.75" thickBot="1" x14ac:dyDescent="0.3">
      <c r="A17" s="258">
        <f>VLOOKUP($A$12,'S1 Catchment Analysis'!A2:I2, 3, FALSE)</f>
        <v>2017</v>
      </c>
      <c r="B17" s="259">
        <f>VLOOKUP($A$1,'Primary Catchment Analysis'!$A$3:$BE$25, 9, FALSE)</f>
        <v>159</v>
      </c>
      <c r="C17" s="260">
        <f>VLOOKUP($A$1,'Primary Catchment Analysis'!$A$3:$BE$25, 10, FALSE)</f>
        <v>169</v>
      </c>
      <c r="D17" s="261">
        <f>VLOOKUP($A$1,'Primary Catchment Analysis'!$A$3:$BE$25, 11, FALSE)</f>
        <v>150</v>
      </c>
      <c r="E17" s="259">
        <f>VLOOKUP($A$1,'Primary Catchment Analysis'!$A$3:$BE$25, 12, FALSE)</f>
        <v>157</v>
      </c>
      <c r="F17" s="260">
        <f>VLOOKUP($A$1,'Primary Catchment Analysis'!$A$3:$BE$25, 13, FALSE)</f>
        <v>182</v>
      </c>
      <c r="G17" s="262">
        <f>VLOOKUP($A$1,'Primary Catchment Analysis'!$A$3:$BE$25, 14, FALSE)</f>
        <v>167</v>
      </c>
      <c r="H17" s="113">
        <f>VLOOKUP($A$1,'Primary Catchment Analysis'!$A$3:$BE$25, 15, FALSE)</f>
        <v>145</v>
      </c>
      <c r="I17" s="31">
        <f>VLOOKUP($A$1,'S1 Catchment Analysis'!A3:I25, 3, FALSE)</f>
        <v>121</v>
      </c>
      <c r="J17" s="23"/>
      <c r="K17" s="402">
        <f>VLOOKUP($A$1,'S1 Catchment Retained'!A2:I25, 3, FALSE)</f>
        <v>77</v>
      </c>
      <c r="L17" s="403"/>
      <c r="M17" s="57">
        <f t="shared" si="1"/>
        <v>0.63636363636363635</v>
      </c>
      <c r="N17" s="50"/>
      <c r="O17" s="104">
        <f t="shared" si="2"/>
        <v>6</v>
      </c>
      <c r="P17" s="50"/>
      <c r="Q17" s="25">
        <f t="shared" si="3"/>
        <v>2017</v>
      </c>
      <c r="R17" s="264">
        <f>VLOOKUP($A$1,'Secondary Rolls'!$A$3:$BE$25, 9, FALSE)</f>
        <v>83</v>
      </c>
      <c r="S17" s="265">
        <f>VLOOKUP($A$1,'Secondary Rolls'!$A$3:$BE$25, 10, FALSE)</f>
        <v>91</v>
      </c>
      <c r="T17" s="266">
        <f>VLOOKUP($A$1,'Secondary Rolls'!$A$3:$BE$25, 11, FALSE)</f>
        <v>101</v>
      </c>
      <c r="U17" s="270">
        <f>VLOOKUP($A$1,'Secondary Rolls'!$A$3:$BE$25, 12, FALSE)</f>
        <v>94</v>
      </c>
      <c r="V17" s="271">
        <f>VLOOKUP($A$1,'Secondary Rolls'!$A$3:$BE$25, 13, FALSE)</f>
        <v>77</v>
      </c>
      <c r="W17" s="272">
        <f>VLOOKUP($A$1,'Secondary Rolls'!$A$3:$BE$25, 14, FALSE)</f>
        <v>47</v>
      </c>
      <c r="X17" s="116">
        <f t="shared" si="0"/>
        <v>493</v>
      </c>
    </row>
    <row r="18" spans="1:27" ht="15.75" thickBot="1" x14ac:dyDescent="0.3">
      <c r="A18" s="25">
        <f>VLOOKUP($A$12,'S1 Catchment Analysis'!A2:I2, 2, FALSE)</f>
        <v>2018</v>
      </c>
      <c r="B18" s="19">
        <f>VLOOKUP($A$1,'Primary Catchment Analysis'!$A$3:$BE$25, 2, FALSE)</f>
        <v>188</v>
      </c>
      <c r="C18" s="45">
        <f>VLOOKUP($A$1,'Primary Catchment Analysis'!$A$3:$BE$25, 3, FALSE)</f>
        <v>155</v>
      </c>
      <c r="D18" s="44">
        <f>VLOOKUP($A$1,'Primary Catchment Analysis'!$A$3:$BE$25, 4, FALSE)</f>
        <v>171</v>
      </c>
      <c r="E18" s="19">
        <f>VLOOKUP($A$1,'Primary Catchment Analysis'!$A$3:$BE$25, 5, FALSE)</f>
        <v>153</v>
      </c>
      <c r="F18" s="45">
        <f>VLOOKUP($A$1,'Primary Catchment Analysis'!$A$3:$BE$25, 6, FALSE)</f>
        <v>165</v>
      </c>
      <c r="G18" s="273">
        <f>VLOOKUP($A$1,'Primary Catchment Analysis'!$A$3:$BE$25, 7, FALSE)</f>
        <v>173</v>
      </c>
      <c r="H18" s="274">
        <f>VLOOKUP($A$1,'Primary Catchment Analysis'!$A$3:$BE$25, 8, FALSE)</f>
        <v>166</v>
      </c>
      <c r="I18" s="32">
        <f>VLOOKUP($A$1,'S1 Catchment Analysis'!A3:I25, 2, FALSE)</f>
        <v>132</v>
      </c>
      <c r="J18" s="23"/>
      <c r="K18" s="392">
        <f>VLOOKUP($A$1,'S1 Catchment Retained'!A2:I25, 2, FALSE)</f>
        <v>98</v>
      </c>
      <c r="L18" s="393"/>
      <c r="M18" s="58">
        <f t="shared" si="1"/>
        <v>0.74242424242424243</v>
      </c>
      <c r="N18" s="50"/>
      <c r="O18" s="105">
        <f t="shared" si="2"/>
        <v>18</v>
      </c>
      <c r="P18" s="50"/>
      <c r="Q18" s="25">
        <f t="shared" si="3"/>
        <v>2018</v>
      </c>
      <c r="R18" s="68">
        <f>VLOOKUP($A$1,'Secondary Rolls'!$A$3:$BE$25, 2, FALSE)</f>
        <v>116</v>
      </c>
      <c r="S18" s="67">
        <f>VLOOKUP($A$1,'Secondary Rolls'!$A$3:$BE$25, 3, FALSE)</f>
        <v>86</v>
      </c>
      <c r="T18" s="69">
        <f>VLOOKUP($A$1,'Secondary Rolls'!$A$3:$BE$25, 4, FALSE)</f>
        <v>93</v>
      </c>
      <c r="U18" s="68">
        <f>VLOOKUP($A$1,'Secondary Rolls'!$A$3:$BE$25, 5, FALSE)</f>
        <v>104</v>
      </c>
      <c r="V18" s="67">
        <f>VLOOKUP($A$1,'Secondary Rolls'!$A$3:$BE$25, 6, FALSE)</f>
        <v>85</v>
      </c>
      <c r="W18" s="69">
        <f>VLOOKUP($A$1,'Secondary Rolls'!$A$3:$BE$25, 7, FALSE)</f>
        <v>60</v>
      </c>
      <c r="X18" s="53">
        <f t="shared" ref="X18" si="4">SUM(R18:W18)</f>
        <v>544</v>
      </c>
    </row>
    <row r="19" spans="1:27" ht="15" customHeight="1" x14ac:dyDescent="0.25">
      <c r="A19" s="386" t="s">
        <v>212</v>
      </c>
      <c r="B19" s="387"/>
      <c r="C19" s="118" t="s">
        <v>129</v>
      </c>
      <c r="D19" s="118" t="s">
        <v>130</v>
      </c>
      <c r="E19" s="118" t="s">
        <v>131</v>
      </c>
      <c r="F19" s="118" t="s">
        <v>132</v>
      </c>
      <c r="G19" s="118" t="s">
        <v>133</v>
      </c>
      <c r="H19" s="118" t="s">
        <v>134</v>
      </c>
      <c r="I19" s="121" t="s">
        <v>135</v>
      </c>
      <c r="K19" s="386" t="s">
        <v>329</v>
      </c>
      <c r="L19" s="386"/>
      <c r="M19" s="387"/>
      <c r="O19" s="127" t="s">
        <v>211</v>
      </c>
      <c r="P19" s="117"/>
      <c r="Q19" s="131"/>
      <c r="R19" s="131"/>
      <c r="T19" s="386" t="s">
        <v>212</v>
      </c>
      <c r="U19" s="387"/>
      <c r="V19" s="118" t="s">
        <v>140</v>
      </c>
      <c r="W19" s="119" t="s">
        <v>141</v>
      </c>
    </row>
    <row r="20" spans="1:27" x14ac:dyDescent="0.25">
      <c r="A20" s="388"/>
      <c r="B20" s="388"/>
      <c r="C20" s="40">
        <f>AVERAGE(((B15-C16)/B15),((B16-C17)/B16),((B17-C18)/B17))</f>
        <v>7.7687893122662408E-4</v>
      </c>
      <c r="D20" s="40">
        <f t="shared" ref="D20:I20" si="5">AVERAGE(((C15-D16)/C15),((C16-D17)/C16),((C17-D18)/C17))</f>
        <v>4.7503018277763242E-3</v>
      </c>
      <c r="E20" s="40">
        <f t="shared" si="5"/>
        <v>3.8111572882995799E-3</v>
      </c>
      <c r="F20" s="40">
        <f t="shared" si="5"/>
        <v>-1.0168918091466994E-2</v>
      </c>
      <c r="G20" s="40">
        <f t="shared" si="5"/>
        <v>6.5950188309343251E-3</v>
      </c>
      <c r="H20" s="40">
        <f t="shared" si="5"/>
        <v>5.0791274593669881E-4</v>
      </c>
      <c r="I20" s="40">
        <f t="shared" si="5"/>
        <v>3.7949573600296625E-2</v>
      </c>
      <c r="K20" s="389">
        <f>AVERAGE(M16:M18)</f>
        <v>0.6176046176046176</v>
      </c>
      <c r="L20" s="390"/>
      <c r="M20" s="391"/>
      <c r="O20" s="51">
        <f>ROUNDUP((AVERAGE(O16:O18)),0)</f>
        <v>11</v>
      </c>
      <c r="T20" s="388"/>
      <c r="U20" s="388"/>
      <c r="V20" s="40">
        <f>AVERAGE(((U15-V16)/U15),((U16-V17)/U16),((U17-V18)/U17))</f>
        <v>0.10778108238643586</v>
      </c>
      <c r="W20" s="40">
        <f>AVERAGE(((V15-W16)/V15),((V16-W17)/V16),((V17-W18)/V17))</f>
        <v>0.29365136718077894</v>
      </c>
    </row>
    <row r="21" spans="1:27" x14ac:dyDescent="0.25">
      <c r="A21" s="21"/>
      <c r="K21" s="59"/>
      <c r="L21" s="59"/>
    </row>
    <row r="22" spans="1:27" x14ac:dyDescent="0.25">
      <c r="A22" s="21" t="s">
        <v>245</v>
      </c>
      <c r="K22" s="59"/>
      <c r="L22" s="59"/>
    </row>
    <row r="23" spans="1:27" x14ac:dyDescent="0.25">
      <c r="A23" s="22" t="s">
        <v>114</v>
      </c>
      <c r="B23" s="24" t="s">
        <v>1</v>
      </c>
      <c r="C23" s="24" t="s">
        <v>115</v>
      </c>
      <c r="D23" s="24" t="s">
        <v>116</v>
      </c>
      <c r="E23" s="24" t="s">
        <v>117</v>
      </c>
      <c r="F23" s="24" t="s">
        <v>118</v>
      </c>
      <c r="G23" s="24" t="s">
        <v>119</v>
      </c>
      <c r="H23" s="24" t="s">
        <v>120</v>
      </c>
      <c r="I23" s="26" t="s">
        <v>121</v>
      </c>
      <c r="K23" s="59"/>
      <c r="L23" s="59"/>
    </row>
    <row r="24" spans="1:27" x14ac:dyDescent="0.25">
      <c r="A24" s="25">
        <f>A18+1</f>
        <v>2019</v>
      </c>
      <c r="B24" s="37">
        <f>'P1 Catchment Projections'!C22+'P1 Catchment Projections'!C23+'P1 Catchment Projections'!C24</f>
        <v>179</v>
      </c>
      <c r="C24" s="34">
        <f>ROUNDUP((B18-(B18*$C$20)),0)</f>
        <v>188</v>
      </c>
      <c r="D24" s="42">
        <f>ROUNDUP((C18-(C18*$D$20)),0)</f>
        <v>155</v>
      </c>
      <c r="E24" s="43">
        <f>ROUNDUP((D18-(D18*$E$20)),0)</f>
        <v>171</v>
      </c>
      <c r="F24" s="41">
        <f>ROUNDUP((E18-(E18*$F$20)),0)</f>
        <v>155</v>
      </c>
      <c r="G24" s="42">
        <f>ROUNDUP((F18-(F18*$G$20)),0)</f>
        <v>164</v>
      </c>
      <c r="H24" s="43">
        <f>ROUNDUP((G18-(G18*$H$20)),0)</f>
        <v>173</v>
      </c>
      <c r="I24" s="99">
        <f>ROUNDUP((H18-(H18*$I$20)),0)</f>
        <v>160</v>
      </c>
      <c r="J24" s="23"/>
      <c r="K24" s="59"/>
      <c r="L24" s="59"/>
      <c r="Z24" s="109"/>
      <c r="AA24" s="109"/>
    </row>
    <row r="25" spans="1:27" x14ac:dyDescent="0.25">
      <c r="A25" s="25">
        <f>A24+1</f>
        <v>2020</v>
      </c>
      <c r="B25" s="37">
        <f>'P1 Catchment Projections'!D22+'P1 Catchment Projections'!D23+'P1 Catchment Projections'!D24</f>
        <v>190</v>
      </c>
      <c r="C25" s="34">
        <f t="shared" ref="C25:C37" si="6">ROUNDUP((B24-(B24*$C$20)),0)</f>
        <v>179</v>
      </c>
      <c r="D25" s="34">
        <f t="shared" ref="D25:D37" si="7">ROUNDUP((C24-(C24*$D$20)),0)</f>
        <v>188</v>
      </c>
      <c r="E25" s="42">
        <f t="shared" ref="E25:E37" si="8">ROUNDUP((D24-(D24*$E$20)),0)</f>
        <v>155</v>
      </c>
      <c r="F25" s="43">
        <f t="shared" ref="F25:F37" si="9">ROUNDUP((E24-(E24*$F$20)),0)</f>
        <v>173</v>
      </c>
      <c r="G25" s="41">
        <f t="shared" ref="G25:G37" si="10">ROUNDUP((F24-(F24*$G$20)),0)</f>
        <v>154</v>
      </c>
      <c r="H25" s="42">
        <f t="shared" ref="H25:H37" si="11">ROUNDUP((G24-(G24*$H$20)),0)</f>
        <v>164</v>
      </c>
      <c r="I25" s="99">
        <f t="shared" ref="I25:I37" si="12">ROUNDUP((H24-(H24*$I$20)),0)</f>
        <v>167</v>
      </c>
      <c r="J25" s="23"/>
      <c r="K25" s="59"/>
      <c r="L25" s="59"/>
      <c r="Z25" s="109"/>
      <c r="AA25" s="109"/>
    </row>
    <row r="26" spans="1:27" x14ac:dyDescent="0.25">
      <c r="A26" s="25">
        <f>A25+1</f>
        <v>2021</v>
      </c>
      <c r="B26" s="37">
        <f>'P1 Catchment Projections'!E22+'P1 Catchment Projections'!E23+'P1 Catchment Projections'!E24</f>
        <v>176</v>
      </c>
      <c r="C26" s="34">
        <f t="shared" si="6"/>
        <v>190</v>
      </c>
      <c r="D26" s="34">
        <f t="shared" si="7"/>
        <v>179</v>
      </c>
      <c r="E26" s="34">
        <f t="shared" si="8"/>
        <v>188</v>
      </c>
      <c r="F26" s="42">
        <f t="shared" si="9"/>
        <v>157</v>
      </c>
      <c r="G26" s="43">
        <f t="shared" si="10"/>
        <v>172</v>
      </c>
      <c r="H26" s="41">
        <f t="shared" si="11"/>
        <v>154</v>
      </c>
      <c r="I26" s="99">
        <f t="shared" si="12"/>
        <v>158</v>
      </c>
      <c r="J26" s="23"/>
      <c r="K26" s="59"/>
      <c r="L26" s="59"/>
      <c r="Z26" s="109"/>
      <c r="AA26" s="109"/>
    </row>
    <row r="27" spans="1:27" x14ac:dyDescent="0.25">
      <c r="A27" s="25">
        <f>A26+1</f>
        <v>2022</v>
      </c>
      <c r="B27" s="37">
        <f>'P1 Catchment Projections'!F22+'P1 Catchment Projections'!F23+'P1 Catchment Projections'!F24</f>
        <v>206</v>
      </c>
      <c r="C27" s="34">
        <f t="shared" si="6"/>
        <v>176</v>
      </c>
      <c r="D27" s="34">
        <f t="shared" si="7"/>
        <v>190</v>
      </c>
      <c r="E27" s="34">
        <f t="shared" si="8"/>
        <v>179</v>
      </c>
      <c r="F27" s="34">
        <f t="shared" si="9"/>
        <v>190</v>
      </c>
      <c r="G27" s="42">
        <f t="shared" si="10"/>
        <v>156</v>
      </c>
      <c r="H27" s="43">
        <f t="shared" si="11"/>
        <v>172</v>
      </c>
      <c r="I27" s="99">
        <f t="shared" si="12"/>
        <v>149</v>
      </c>
      <c r="J27" s="23"/>
      <c r="K27" s="59"/>
      <c r="L27" s="59"/>
      <c r="Z27" s="109"/>
      <c r="AA27" s="109"/>
    </row>
    <row r="28" spans="1:27" x14ac:dyDescent="0.25">
      <c r="A28" s="25">
        <f t="shared" ref="A28:A37" si="13">A27+1</f>
        <v>2023</v>
      </c>
      <c r="B28" s="37">
        <f>'P1 Catchment Projections'!G22+'P1 Catchment Projections'!G23+'P1 Catchment Projections'!G24</f>
        <v>192</v>
      </c>
      <c r="C28" s="34">
        <f t="shared" si="6"/>
        <v>206</v>
      </c>
      <c r="D28" s="34">
        <f t="shared" si="7"/>
        <v>176</v>
      </c>
      <c r="E28" s="34">
        <f t="shared" si="8"/>
        <v>190</v>
      </c>
      <c r="F28" s="34">
        <f t="shared" si="9"/>
        <v>181</v>
      </c>
      <c r="G28" s="34">
        <f t="shared" si="10"/>
        <v>189</v>
      </c>
      <c r="H28" s="42">
        <f t="shared" si="11"/>
        <v>156</v>
      </c>
      <c r="I28" s="99">
        <f t="shared" si="12"/>
        <v>166</v>
      </c>
      <c r="J28" s="23"/>
      <c r="K28" s="59"/>
      <c r="L28" s="59"/>
      <c r="Z28" s="109"/>
      <c r="AA28" s="109"/>
    </row>
    <row r="29" spans="1:27" x14ac:dyDescent="0.25">
      <c r="A29" s="25">
        <f t="shared" si="13"/>
        <v>2024</v>
      </c>
      <c r="B29" s="37">
        <f>'P1 Catchment Projections'!H22+'P1 Catchment Projections'!H23+'P1 Catchment Projections'!H24</f>
        <v>196</v>
      </c>
      <c r="C29" s="34">
        <f t="shared" si="6"/>
        <v>192</v>
      </c>
      <c r="D29" s="34">
        <f t="shared" si="7"/>
        <v>206</v>
      </c>
      <c r="E29" s="34">
        <f t="shared" si="8"/>
        <v>176</v>
      </c>
      <c r="F29" s="34">
        <f t="shared" si="9"/>
        <v>192</v>
      </c>
      <c r="G29" s="34">
        <f t="shared" si="10"/>
        <v>180</v>
      </c>
      <c r="H29" s="34">
        <f t="shared" si="11"/>
        <v>189</v>
      </c>
      <c r="I29" s="99">
        <f t="shared" si="12"/>
        <v>151</v>
      </c>
      <c r="K29" s="59"/>
      <c r="L29" s="59"/>
      <c r="Z29" s="109"/>
      <c r="AA29" s="109"/>
    </row>
    <row r="30" spans="1:27" x14ac:dyDescent="0.25">
      <c r="A30" s="25">
        <f t="shared" si="13"/>
        <v>2025</v>
      </c>
      <c r="B30" s="37">
        <f>'P1 Catchment Projections'!I22+'P1 Catchment Projections'!I23+'P1 Catchment Projections'!I24</f>
        <v>199</v>
      </c>
      <c r="C30" s="34">
        <f t="shared" si="6"/>
        <v>196</v>
      </c>
      <c r="D30" s="34">
        <f t="shared" si="7"/>
        <v>192</v>
      </c>
      <c r="E30" s="34">
        <f t="shared" si="8"/>
        <v>206</v>
      </c>
      <c r="F30" s="34">
        <f t="shared" si="9"/>
        <v>178</v>
      </c>
      <c r="G30" s="34">
        <f t="shared" si="10"/>
        <v>191</v>
      </c>
      <c r="H30" s="34">
        <f t="shared" si="11"/>
        <v>180</v>
      </c>
      <c r="I30" s="99">
        <f t="shared" si="12"/>
        <v>182</v>
      </c>
      <c r="K30" s="59"/>
      <c r="L30" s="59"/>
      <c r="Z30" s="109"/>
      <c r="AA30" s="109"/>
    </row>
    <row r="31" spans="1:27" x14ac:dyDescent="0.25">
      <c r="A31" s="25">
        <f t="shared" si="13"/>
        <v>2026</v>
      </c>
      <c r="B31" s="37">
        <f>'P1 Catchment Projections'!J22+'P1 Catchment Projections'!J23+'P1 Catchment Projections'!J24</f>
        <v>201</v>
      </c>
      <c r="C31" s="34">
        <f t="shared" si="6"/>
        <v>199</v>
      </c>
      <c r="D31" s="34">
        <f t="shared" si="7"/>
        <v>196</v>
      </c>
      <c r="E31" s="34">
        <f t="shared" si="8"/>
        <v>192</v>
      </c>
      <c r="F31" s="34">
        <f t="shared" si="9"/>
        <v>209</v>
      </c>
      <c r="G31" s="34">
        <f t="shared" si="10"/>
        <v>177</v>
      </c>
      <c r="H31" s="34">
        <f t="shared" si="11"/>
        <v>191</v>
      </c>
      <c r="I31" s="99">
        <f t="shared" si="12"/>
        <v>174</v>
      </c>
      <c r="K31" s="59"/>
      <c r="L31" s="59"/>
      <c r="Z31" s="109"/>
      <c r="AA31" s="109"/>
    </row>
    <row r="32" spans="1:27" x14ac:dyDescent="0.25">
      <c r="A32" s="25">
        <f t="shared" si="13"/>
        <v>2027</v>
      </c>
      <c r="B32" s="37">
        <f>'P1 Catchment Projections'!K22+'P1 Catchment Projections'!K23+'P1 Catchment Projections'!K24</f>
        <v>202</v>
      </c>
      <c r="C32" s="34">
        <f t="shared" si="6"/>
        <v>201</v>
      </c>
      <c r="D32" s="34">
        <f t="shared" si="7"/>
        <v>199</v>
      </c>
      <c r="E32" s="34">
        <f t="shared" si="8"/>
        <v>196</v>
      </c>
      <c r="F32" s="34">
        <f t="shared" si="9"/>
        <v>194</v>
      </c>
      <c r="G32" s="34">
        <f t="shared" si="10"/>
        <v>208</v>
      </c>
      <c r="H32" s="34">
        <f t="shared" si="11"/>
        <v>177</v>
      </c>
      <c r="I32" s="99">
        <f t="shared" si="12"/>
        <v>184</v>
      </c>
      <c r="K32" s="59"/>
      <c r="L32" s="59"/>
      <c r="Z32" s="109"/>
      <c r="AA32" s="109"/>
    </row>
    <row r="33" spans="1:27" x14ac:dyDescent="0.25">
      <c r="A33" s="25">
        <f t="shared" si="13"/>
        <v>2028</v>
      </c>
      <c r="B33" s="37">
        <f>'P1 Catchment Projections'!L22+'P1 Catchment Projections'!L23+'P1 Catchment Projections'!L24</f>
        <v>202</v>
      </c>
      <c r="C33" s="34">
        <f t="shared" si="6"/>
        <v>202</v>
      </c>
      <c r="D33" s="34">
        <f t="shared" si="7"/>
        <v>201</v>
      </c>
      <c r="E33" s="34">
        <f t="shared" si="8"/>
        <v>199</v>
      </c>
      <c r="F33" s="34">
        <f t="shared" si="9"/>
        <v>198</v>
      </c>
      <c r="G33" s="34">
        <f t="shared" si="10"/>
        <v>193</v>
      </c>
      <c r="H33" s="34">
        <f t="shared" si="11"/>
        <v>208</v>
      </c>
      <c r="I33" s="99">
        <f t="shared" si="12"/>
        <v>171</v>
      </c>
      <c r="K33" s="59"/>
      <c r="L33" s="59"/>
    </row>
    <row r="34" spans="1:27" x14ac:dyDescent="0.25">
      <c r="A34" s="25">
        <f t="shared" si="13"/>
        <v>2029</v>
      </c>
      <c r="B34" s="37">
        <f>'P1 Catchment Projections'!M22+'P1 Catchment Projections'!M23+'P1 Catchment Projections'!M24</f>
        <v>202</v>
      </c>
      <c r="C34" s="34">
        <f t="shared" si="6"/>
        <v>202</v>
      </c>
      <c r="D34" s="34">
        <f t="shared" si="7"/>
        <v>202</v>
      </c>
      <c r="E34" s="34">
        <f t="shared" si="8"/>
        <v>201</v>
      </c>
      <c r="F34" s="34">
        <f t="shared" si="9"/>
        <v>202</v>
      </c>
      <c r="G34" s="34">
        <f t="shared" si="10"/>
        <v>197</v>
      </c>
      <c r="H34" s="34">
        <f t="shared" si="11"/>
        <v>193</v>
      </c>
      <c r="I34" s="99">
        <f t="shared" si="12"/>
        <v>201</v>
      </c>
      <c r="K34" s="59"/>
      <c r="L34" s="59"/>
      <c r="Z34" s="109"/>
      <c r="AA34" s="109"/>
    </row>
    <row r="35" spans="1:27" x14ac:dyDescent="0.25">
      <c r="A35" s="25">
        <f t="shared" si="13"/>
        <v>2030</v>
      </c>
      <c r="B35" s="37">
        <f>'P1 Catchment Projections'!N22+'P1 Catchment Projections'!N23+'P1 Catchment Projections'!N24</f>
        <v>202</v>
      </c>
      <c r="C35" s="34">
        <f t="shared" si="6"/>
        <v>202</v>
      </c>
      <c r="D35" s="34">
        <f t="shared" si="7"/>
        <v>202</v>
      </c>
      <c r="E35" s="34">
        <f t="shared" si="8"/>
        <v>202</v>
      </c>
      <c r="F35" s="34">
        <f t="shared" si="9"/>
        <v>204</v>
      </c>
      <c r="G35" s="34">
        <f t="shared" si="10"/>
        <v>201</v>
      </c>
      <c r="H35" s="34">
        <f t="shared" si="11"/>
        <v>197</v>
      </c>
      <c r="I35" s="99">
        <f t="shared" si="12"/>
        <v>186</v>
      </c>
      <c r="K35" s="59"/>
      <c r="L35" s="59"/>
      <c r="Z35" s="109"/>
      <c r="AA35" s="109"/>
    </row>
    <row r="36" spans="1:27" x14ac:dyDescent="0.25">
      <c r="A36" s="25">
        <f t="shared" si="13"/>
        <v>2031</v>
      </c>
      <c r="B36" s="37">
        <f>'P1 Catchment Projections'!O22+'P1 Catchment Projections'!O23+'P1 Catchment Projections'!O24</f>
        <v>202</v>
      </c>
      <c r="C36" s="34">
        <f t="shared" si="6"/>
        <v>202</v>
      </c>
      <c r="D36" s="34">
        <f t="shared" si="7"/>
        <v>202</v>
      </c>
      <c r="E36" s="34">
        <f t="shared" si="8"/>
        <v>202</v>
      </c>
      <c r="F36" s="34">
        <f t="shared" si="9"/>
        <v>205</v>
      </c>
      <c r="G36" s="34">
        <f t="shared" si="10"/>
        <v>203</v>
      </c>
      <c r="H36" s="34">
        <f t="shared" si="11"/>
        <v>201</v>
      </c>
      <c r="I36" s="99">
        <f t="shared" si="12"/>
        <v>190</v>
      </c>
      <c r="K36" s="59"/>
      <c r="L36" s="59"/>
      <c r="Z36" s="109"/>
      <c r="AA36" s="109"/>
    </row>
    <row r="37" spans="1:27" x14ac:dyDescent="0.25">
      <c r="A37" s="25">
        <f t="shared" si="13"/>
        <v>2032</v>
      </c>
      <c r="B37" s="37">
        <f>'P1 Catchment Projections'!P22+'P1 Catchment Projections'!P23+'P1 Catchment Projections'!P24</f>
        <v>202</v>
      </c>
      <c r="C37" s="34">
        <f t="shared" si="6"/>
        <v>202</v>
      </c>
      <c r="D37" s="34">
        <f t="shared" si="7"/>
        <v>202</v>
      </c>
      <c r="E37" s="34">
        <f t="shared" si="8"/>
        <v>202</v>
      </c>
      <c r="F37" s="34">
        <f t="shared" si="9"/>
        <v>205</v>
      </c>
      <c r="G37" s="34">
        <f t="shared" si="10"/>
        <v>204</v>
      </c>
      <c r="H37" s="34">
        <f t="shared" si="11"/>
        <v>203</v>
      </c>
      <c r="I37" s="99">
        <f t="shared" si="12"/>
        <v>194</v>
      </c>
      <c r="K37" s="59"/>
      <c r="L37" s="59"/>
      <c r="Z37" s="109"/>
      <c r="AA37" s="109"/>
    </row>
    <row r="38" spans="1:27" x14ac:dyDescent="0.25">
      <c r="K38" s="59"/>
      <c r="L38" s="59"/>
    </row>
    <row r="39" spans="1:27" x14ac:dyDescent="0.25">
      <c r="A39" s="21" t="s">
        <v>245</v>
      </c>
      <c r="K39" s="394" t="s">
        <v>190</v>
      </c>
      <c r="L39" s="55"/>
      <c r="M39" s="394" t="s">
        <v>203</v>
      </c>
      <c r="N39" s="106"/>
      <c r="O39" s="395" t="s">
        <v>204</v>
      </c>
      <c r="R39" s="21" t="s">
        <v>246</v>
      </c>
      <c r="S39" s="52"/>
      <c r="T39" s="52"/>
      <c r="U39" s="52"/>
      <c r="V39" s="52"/>
      <c r="W39" s="52"/>
      <c r="X39" s="52"/>
    </row>
    <row r="40" spans="1:27" x14ac:dyDescent="0.25">
      <c r="A40" s="22" t="s">
        <v>114</v>
      </c>
      <c r="B40" s="24" t="s">
        <v>1</v>
      </c>
      <c r="C40" s="24" t="s">
        <v>115</v>
      </c>
      <c r="D40" s="24" t="s">
        <v>116</v>
      </c>
      <c r="E40" s="24" t="s">
        <v>117</v>
      </c>
      <c r="F40" s="24" t="s">
        <v>118</v>
      </c>
      <c r="G40" s="24" t="s">
        <v>119</v>
      </c>
      <c r="H40" s="24" t="s">
        <v>120</v>
      </c>
      <c r="I40" s="26" t="s">
        <v>121</v>
      </c>
      <c r="K40" s="397"/>
      <c r="L40" s="49"/>
      <c r="M40" s="386"/>
      <c r="N40" s="106"/>
      <c r="O40" s="396"/>
      <c r="Q40" s="22" t="s">
        <v>114</v>
      </c>
      <c r="R40" s="24" t="s">
        <v>121</v>
      </c>
      <c r="S40" s="24" t="s">
        <v>122</v>
      </c>
      <c r="T40" s="24" t="s">
        <v>123</v>
      </c>
      <c r="U40" s="24" t="s">
        <v>124</v>
      </c>
      <c r="V40" s="24" t="s">
        <v>125</v>
      </c>
      <c r="W40" s="24" t="s">
        <v>126</v>
      </c>
      <c r="X40" s="26" t="s">
        <v>138</v>
      </c>
    </row>
    <row r="41" spans="1:27" x14ac:dyDescent="0.25">
      <c r="A41" s="25">
        <f>A24</f>
        <v>2019</v>
      </c>
      <c r="B41" s="37">
        <f>B24+VLOOKUP($A$1,'Pri Housing Generation'!$A$96:$DQ$118, 10, FALSE)</f>
        <v>183</v>
      </c>
      <c r="C41" s="34">
        <f>C24+VLOOKUP($A$1,'Pri Housing Generation'!$A$96:$DQ$118, 11, FALSE)</f>
        <v>192</v>
      </c>
      <c r="D41" s="42">
        <f>D24+VLOOKUP($A$1,'Pri Housing Generation'!$A$96:$DQ$118, 12, FALSE)</f>
        <v>158</v>
      </c>
      <c r="E41" s="43">
        <f>E24+VLOOKUP($A$1,'Pri Housing Generation'!$A$96:$DQ$118, 13, FALSE)</f>
        <v>174</v>
      </c>
      <c r="F41" s="41">
        <f>F24+VLOOKUP($A$1,'Pri Housing Generation'!$A$96:$DQ$118, 14, FALSE)</f>
        <v>158</v>
      </c>
      <c r="G41" s="42">
        <f>G24+VLOOKUP($A$1,'Pri Housing Generation'!$A$96:$DQ$118, 15, FALSE)</f>
        <v>166</v>
      </c>
      <c r="H41" s="43">
        <f>H24+VLOOKUP($A$1,'Pri Housing Generation'!$A$96:$DQ$118, 16, FALSE)</f>
        <v>175</v>
      </c>
      <c r="I41" s="99">
        <f>ROUNDUP((H18-(H18*$I$20)),0)</f>
        <v>160</v>
      </c>
      <c r="K41" s="35">
        <f>'Sec Housing Generation'!I8</f>
        <v>2</v>
      </c>
      <c r="L41" s="83"/>
      <c r="M41" s="107">
        <f t="shared" ref="M41:M54" si="14">$K$20</f>
        <v>0.6176046176046176</v>
      </c>
      <c r="O41" s="35">
        <f t="shared" ref="O41:O54" si="15">ROUNDUP(((I41+K41)*M41),0)</f>
        <v>101</v>
      </c>
      <c r="Q41" s="25">
        <f>A41</f>
        <v>2019</v>
      </c>
      <c r="R41" s="20">
        <f t="shared" ref="R41:R54" si="16">IF(O41&lt;$C$7,(IF((O41+$O$20)&gt;$C$7,$C$7,(O41+$O$20))),(IF((O41+$O$20)&lt;(CEILING((O41),20)),(O41+$O$20),(CEILING((O41),20)))))</f>
        <v>112</v>
      </c>
      <c r="S41" s="53">
        <f>R18</f>
        <v>116</v>
      </c>
      <c r="T41" s="67">
        <f>S18</f>
        <v>86</v>
      </c>
      <c r="U41" s="69">
        <f>T18</f>
        <v>93</v>
      </c>
      <c r="V41" s="41">
        <f>ROUNDUP((U18-(U18*$V$20)),0)</f>
        <v>93</v>
      </c>
      <c r="W41" s="42">
        <f>ROUNDUP((V18-(V18*$W$20)),0)</f>
        <v>61</v>
      </c>
      <c r="X41" s="101">
        <f t="shared" ref="X41:X54" si="17">SUM(R41:W41)</f>
        <v>561</v>
      </c>
    </row>
    <row r="42" spans="1:27" x14ac:dyDescent="0.25">
      <c r="A42" s="25">
        <f t="shared" ref="A42:A54" si="18">A25</f>
        <v>2020</v>
      </c>
      <c r="B42" s="37">
        <f>B25+VLOOKUP($A$1,'Pri Housing Generation'!$A$96:$DQ$118, 18, FALSE)</f>
        <v>194</v>
      </c>
      <c r="C42" s="34">
        <f>C25+VLOOKUP($A$1,'Pri Housing Generation'!$A$96:$DQ$118, 19, FALSE)</f>
        <v>183</v>
      </c>
      <c r="D42" s="34">
        <f>D25+VLOOKUP($A$1,'Pri Housing Generation'!$A$96:$DQ$118, 20, FALSE)</f>
        <v>191</v>
      </c>
      <c r="E42" s="42">
        <f>E25+VLOOKUP($A$1,'Pri Housing Generation'!$A$96:$DQ$118, 21, FALSE)</f>
        <v>158</v>
      </c>
      <c r="F42" s="43">
        <f>F25+VLOOKUP($A$1,'Pri Housing Generation'!$A$96:$DQ$118, 22, FALSE)</f>
        <v>176</v>
      </c>
      <c r="G42" s="41">
        <f>G25+VLOOKUP($A$1,'Pri Housing Generation'!$A$96:$DQ$118, 23, FALSE)</f>
        <v>156</v>
      </c>
      <c r="H42" s="42">
        <f>H25+VLOOKUP($A$1,'Pri Housing Generation'!$A$96:$DQ$118, 24, FALSE)</f>
        <v>166</v>
      </c>
      <c r="I42" s="99">
        <f t="shared" ref="I42:I54" si="19">ROUNDUP((H41-(H41*$I$20)),0)</f>
        <v>169</v>
      </c>
      <c r="K42" s="35">
        <f>'Sec Housing Generation'!P8</f>
        <v>2</v>
      </c>
      <c r="L42" s="83"/>
      <c r="M42" s="107">
        <f t="shared" si="14"/>
        <v>0.6176046176046176</v>
      </c>
      <c r="O42" s="35">
        <f t="shared" si="15"/>
        <v>106</v>
      </c>
      <c r="Q42" s="25">
        <f t="shared" ref="Q42:Q54" si="20">A42</f>
        <v>2020</v>
      </c>
      <c r="R42" s="20">
        <f t="shared" si="16"/>
        <v>117</v>
      </c>
      <c r="S42" s="53">
        <f t="shared" ref="S42:U54" si="21">R41</f>
        <v>112</v>
      </c>
      <c r="T42" s="53">
        <f t="shared" si="21"/>
        <v>116</v>
      </c>
      <c r="U42" s="67">
        <f t="shared" si="21"/>
        <v>86</v>
      </c>
      <c r="V42" s="43">
        <f t="shared" ref="V42:V54" si="22">ROUNDUP((U41-(U41*$V$20)),0)</f>
        <v>83</v>
      </c>
      <c r="W42" s="41">
        <f t="shared" ref="W42:W54" si="23">ROUNDUP((V41-(V41*$W$20)),0)</f>
        <v>66</v>
      </c>
      <c r="X42" s="101">
        <f t="shared" si="17"/>
        <v>580</v>
      </c>
    </row>
    <row r="43" spans="1:27" x14ac:dyDescent="0.25">
      <c r="A43" s="25">
        <f t="shared" si="18"/>
        <v>2021</v>
      </c>
      <c r="B43" s="37">
        <f>B26+VLOOKUP($A$1,'Pri Housing Generation'!$A$96:$DQ$118, 26, FALSE)</f>
        <v>181</v>
      </c>
      <c r="C43" s="34">
        <f>C26+VLOOKUP($A$1,'Pri Housing Generation'!$A$96:$DQ$118, 27, FALSE)</f>
        <v>195</v>
      </c>
      <c r="D43" s="34">
        <f>D26+VLOOKUP($A$1,'Pri Housing Generation'!$A$96:$DQ$118, 28, FALSE)</f>
        <v>184</v>
      </c>
      <c r="E43" s="34">
        <f>E26+VLOOKUP($A$1,'Pri Housing Generation'!$A$96:$DQ$118, 29, FALSE)</f>
        <v>192</v>
      </c>
      <c r="F43" s="42">
        <f>F26+VLOOKUP($A$1,'Pri Housing Generation'!$A$96:$DQ$118, 30, FALSE)</f>
        <v>161</v>
      </c>
      <c r="G43" s="43">
        <f>G26+VLOOKUP($A$1,'Pri Housing Generation'!$A$96:$DQ$118, 31, FALSE)</f>
        <v>176</v>
      </c>
      <c r="H43" s="41">
        <f>H26+VLOOKUP($A$1,'Pri Housing Generation'!$A$96:$DQ$118, 32, FALSE)</f>
        <v>158</v>
      </c>
      <c r="I43" s="99">
        <f t="shared" si="19"/>
        <v>160</v>
      </c>
      <c r="K43" s="35">
        <f>'Sec Housing Generation'!W8</f>
        <v>3</v>
      </c>
      <c r="L43" s="83"/>
      <c r="M43" s="107">
        <f t="shared" si="14"/>
        <v>0.6176046176046176</v>
      </c>
      <c r="O43" s="35">
        <f t="shared" si="15"/>
        <v>101</v>
      </c>
      <c r="Q43" s="25">
        <f t="shared" si="20"/>
        <v>2021</v>
      </c>
      <c r="R43" s="20">
        <f t="shared" si="16"/>
        <v>112</v>
      </c>
      <c r="S43" s="53">
        <f t="shared" si="21"/>
        <v>117</v>
      </c>
      <c r="T43" s="53">
        <f t="shared" si="21"/>
        <v>112</v>
      </c>
      <c r="U43" s="53">
        <f t="shared" si="21"/>
        <v>116</v>
      </c>
      <c r="V43" s="42">
        <f t="shared" si="22"/>
        <v>77</v>
      </c>
      <c r="W43" s="43">
        <f t="shared" si="23"/>
        <v>59</v>
      </c>
      <c r="X43" s="101">
        <f t="shared" si="17"/>
        <v>593</v>
      </c>
    </row>
    <row r="44" spans="1:27" x14ac:dyDescent="0.25">
      <c r="A44" s="25">
        <f t="shared" si="18"/>
        <v>2022</v>
      </c>
      <c r="B44" s="37">
        <f>B27+VLOOKUP($A$1,'Pri Housing Generation'!$A$96:$DQ$118, 34, FALSE)</f>
        <v>214</v>
      </c>
      <c r="C44" s="34">
        <f>C27+VLOOKUP($A$1,'Pri Housing Generation'!$A$96:$DQ$118, 35, FALSE)</f>
        <v>184</v>
      </c>
      <c r="D44" s="34">
        <f>D27+VLOOKUP($A$1,'Pri Housing Generation'!$A$96:$DQ$118, 36, FALSE)</f>
        <v>197</v>
      </c>
      <c r="E44" s="34">
        <f>E27+VLOOKUP($A$1,'Pri Housing Generation'!$A$96:$DQ$118, 37, FALSE)</f>
        <v>186</v>
      </c>
      <c r="F44" s="34">
        <f>F27+VLOOKUP($A$1,'Pri Housing Generation'!$A$96:$DQ$118, 38, FALSE)</f>
        <v>197</v>
      </c>
      <c r="G44" s="42">
        <f>G27+VLOOKUP($A$1,'Pri Housing Generation'!$A$96:$DQ$118, 39, FALSE)</f>
        <v>162</v>
      </c>
      <c r="H44" s="43">
        <f>H27+VLOOKUP($A$1,'Pri Housing Generation'!$A$96:$DQ$118, 40, FALSE)</f>
        <v>178</v>
      </c>
      <c r="I44" s="99">
        <f t="shared" si="19"/>
        <v>153</v>
      </c>
      <c r="K44" s="35">
        <f>'Sec Housing Generation'!AD8</f>
        <v>5</v>
      </c>
      <c r="L44" s="83"/>
      <c r="M44" s="107">
        <f t="shared" si="14"/>
        <v>0.6176046176046176</v>
      </c>
      <c r="O44" s="35">
        <f t="shared" si="15"/>
        <v>98</v>
      </c>
      <c r="Q44" s="25">
        <f t="shared" si="20"/>
        <v>2022</v>
      </c>
      <c r="R44" s="20">
        <f t="shared" si="16"/>
        <v>109</v>
      </c>
      <c r="S44" s="53">
        <f t="shared" si="21"/>
        <v>112</v>
      </c>
      <c r="T44" s="53">
        <f t="shared" si="21"/>
        <v>117</v>
      </c>
      <c r="U44" s="53">
        <f t="shared" si="21"/>
        <v>112</v>
      </c>
      <c r="V44" s="34">
        <f t="shared" si="22"/>
        <v>104</v>
      </c>
      <c r="W44" s="42">
        <f t="shared" si="23"/>
        <v>55</v>
      </c>
      <c r="X44" s="101">
        <f t="shared" si="17"/>
        <v>609</v>
      </c>
    </row>
    <row r="45" spans="1:27" x14ac:dyDescent="0.25">
      <c r="A45" s="25">
        <f t="shared" si="18"/>
        <v>2023</v>
      </c>
      <c r="B45" s="37">
        <f>B28+VLOOKUP($A$1,'Pri Housing Generation'!$A$96:$DQ$118, 42, FALSE)</f>
        <v>202</v>
      </c>
      <c r="C45" s="34">
        <f>C28+VLOOKUP($A$1,'Pri Housing Generation'!$A$96:$DQ$118, 43, FALSE)</f>
        <v>216</v>
      </c>
      <c r="D45" s="34">
        <f>D28+VLOOKUP($A$1,'Pri Housing Generation'!$A$96:$DQ$118, 44, FALSE)</f>
        <v>186</v>
      </c>
      <c r="E45" s="34">
        <f>E28+VLOOKUP($A$1,'Pri Housing Generation'!$A$96:$DQ$118, 45, FALSE)</f>
        <v>199</v>
      </c>
      <c r="F45" s="34">
        <f>F28+VLOOKUP($A$1,'Pri Housing Generation'!$A$96:$DQ$118, 46, FALSE)</f>
        <v>190</v>
      </c>
      <c r="G45" s="34">
        <f>G28+VLOOKUP($A$1,'Pri Housing Generation'!$A$96:$DQ$118, 47, FALSE)</f>
        <v>197</v>
      </c>
      <c r="H45" s="42">
        <f>H28+VLOOKUP($A$1,'Pri Housing Generation'!$A$96:$DQ$118, 48, FALSE)</f>
        <v>164</v>
      </c>
      <c r="I45" s="99">
        <f t="shared" si="19"/>
        <v>172</v>
      </c>
      <c r="J45" s="181"/>
      <c r="K45" s="35">
        <f>'Sec Housing Generation'!AK8</f>
        <v>6</v>
      </c>
      <c r="L45" s="83"/>
      <c r="M45" s="107">
        <f t="shared" si="14"/>
        <v>0.6176046176046176</v>
      </c>
      <c r="O45" s="35">
        <f t="shared" si="15"/>
        <v>110</v>
      </c>
      <c r="Q45" s="25">
        <f t="shared" si="20"/>
        <v>2023</v>
      </c>
      <c r="R45" s="20">
        <f t="shared" si="16"/>
        <v>120</v>
      </c>
      <c r="S45" s="53">
        <f t="shared" si="21"/>
        <v>109</v>
      </c>
      <c r="T45" s="53">
        <f t="shared" si="21"/>
        <v>112</v>
      </c>
      <c r="U45" s="53">
        <f t="shared" si="21"/>
        <v>117</v>
      </c>
      <c r="V45" s="34">
        <f t="shared" si="22"/>
        <v>100</v>
      </c>
      <c r="W45" s="34">
        <f t="shared" si="23"/>
        <v>74</v>
      </c>
      <c r="X45" s="101">
        <f t="shared" si="17"/>
        <v>632</v>
      </c>
    </row>
    <row r="46" spans="1:27" x14ac:dyDescent="0.25">
      <c r="A46" s="25">
        <f t="shared" si="18"/>
        <v>2024</v>
      </c>
      <c r="B46" s="37">
        <f>B29+VLOOKUP($A$1,'Pri Housing Generation'!$A$96:$DQ$118, 50, FALSE)</f>
        <v>210</v>
      </c>
      <c r="C46" s="34">
        <f>C29+VLOOKUP($A$1,'Pri Housing Generation'!$A$96:$DQ$118, 51, FALSE)</f>
        <v>206</v>
      </c>
      <c r="D46" s="34">
        <f>D29+VLOOKUP($A$1,'Pri Housing Generation'!$A$96:$DQ$118, 52, FALSE)</f>
        <v>220</v>
      </c>
      <c r="E46" s="34">
        <f>E29+VLOOKUP($A$1,'Pri Housing Generation'!$A$96:$DQ$118, 53, FALSE)</f>
        <v>190</v>
      </c>
      <c r="F46" s="34">
        <f>F29+VLOOKUP($A$1,'Pri Housing Generation'!$A$96:$DQ$118, 54, FALSE)</f>
        <v>206</v>
      </c>
      <c r="G46" s="34">
        <f>G29+VLOOKUP($A$1,'Pri Housing Generation'!$A$96:$DQ$118, 55, FALSE)</f>
        <v>192</v>
      </c>
      <c r="H46" s="34">
        <f>H29+VLOOKUP($A$1,'Pri Housing Generation'!$A$96:$DQ$118, 56, FALSE)</f>
        <v>201</v>
      </c>
      <c r="I46" s="99">
        <f t="shared" si="19"/>
        <v>158</v>
      </c>
      <c r="J46" s="181"/>
      <c r="K46" s="35">
        <f>'Sec Housing Generation'!AR8</f>
        <v>9</v>
      </c>
      <c r="L46" s="83"/>
      <c r="M46" s="107">
        <f>K20</f>
        <v>0.6176046176046176</v>
      </c>
      <c r="O46" s="35">
        <f t="shared" si="15"/>
        <v>104</v>
      </c>
      <c r="Q46" s="25">
        <f t="shared" si="20"/>
        <v>2024</v>
      </c>
      <c r="R46" s="20">
        <f t="shared" si="16"/>
        <v>115</v>
      </c>
      <c r="S46" s="53">
        <f t="shared" si="21"/>
        <v>120</v>
      </c>
      <c r="T46" s="53">
        <f t="shared" si="21"/>
        <v>109</v>
      </c>
      <c r="U46" s="53">
        <f t="shared" si="21"/>
        <v>112</v>
      </c>
      <c r="V46" s="34">
        <f t="shared" si="22"/>
        <v>105</v>
      </c>
      <c r="W46" s="34">
        <f t="shared" si="23"/>
        <v>71</v>
      </c>
      <c r="X46" s="101">
        <f t="shared" si="17"/>
        <v>632</v>
      </c>
    </row>
    <row r="47" spans="1:27" x14ac:dyDescent="0.25">
      <c r="A47" s="25">
        <f t="shared" si="18"/>
        <v>2025</v>
      </c>
      <c r="B47" s="37">
        <f>B30+VLOOKUP($A$1,'Pri Housing Generation'!$A$96:$DQ$118, 58, FALSE)</f>
        <v>218</v>
      </c>
      <c r="C47" s="34">
        <f>C30+VLOOKUP($A$1,'Pri Housing Generation'!$A$96:$DQ$118, 59, FALSE)</f>
        <v>214</v>
      </c>
      <c r="D47" s="34">
        <f>D30+VLOOKUP($A$1,'Pri Housing Generation'!$A$96:$DQ$118, 60, FALSE)</f>
        <v>210</v>
      </c>
      <c r="E47" s="34">
        <f>E30+VLOOKUP($A$1,'Pri Housing Generation'!$A$96:$DQ$118, 61, FALSE)</f>
        <v>224</v>
      </c>
      <c r="F47" s="34">
        <f>F30+VLOOKUP($A$1,'Pri Housing Generation'!$A$96:$DQ$118, 62, FALSE)</f>
        <v>196</v>
      </c>
      <c r="G47" s="34">
        <f>G30+VLOOKUP($A$1,'Pri Housing Generation'!$A$96:$DQ$118, 63, FALSE)</f>
        <v>208</v>
      </c>
      <c r="H47" s="34">
        <f>H30+VLOOKUP($A$1,'Pri Housing Generation'!$A$96:$DQ$118, 64, FALSE)</f>
        <v>197</v>
      </c>
      <c r="I47" s="99">
        <f t="shared" si="19"/>
        <v>194</v>
      </c>
      <c r="J47" s="181"/>
      <c r="K47" s="83"/>
      <c r="L47" s="83"/>
      <c r="M47" s="107">
        <f t="shared" si="14"/>
        <v>0.6176046176046176</v>
      </c>
      <c r="O47" s="35">
        <f t="shared" si="15"/>
        <v>120</v>
      </c>
      <c r="Q47" s="25">
        <f t="shared" si="20"/>
        <v>2025</v>
      </c>
      <c r="R47" s="20">
        <f t="shared" si="16"/>
        <v>120</v>
      </c>
      <c r="S47" s="53">
        <f t="shared" si="21"/>
        <v>115</v>
      </c>
      <c r="T47" s="53">
        <f t="shared" si="21"/>
        <v>120</v>
      </c>
      <c r="U47" s="53">
        <f t="shared" si="21"/>
        <v>109</v>
      </c>
      <c r="V47" s="34">
        <f t="shared" si="22"/>
        <v>100</v>
      </c>
      <c r="W47" s="34">
        <f t="shared" si="23"/>
        <v>75</v>
      </c>
      <c r="X47" s="101">
        <f t="shared" si="17"/>
        <v>639</v>
      </c>
    </row>
    <row r="48" spans="1:27" x14ac:dyDescent="0.25">
      <c r="A48" s="25">
        <f t="shared" si="18"/>
        <v>2026</v>
      </c>
      <c r="B48" s="37">
        <f>B31+VLOOKUP($A$1,'Pri Housing Generation'!$A$96:$DQ$118, 66, FALSE)</f>
        <v>224</v>
      </c>
      <c r="C48" s="34">
        <f>C31+VLOOKUP($A$1,'Pri Housing Generation'!$A$96:$DQ$118, 67, FALSE)</f>
        <v>221</v>
      </c>
      <c r="D48" s="34">
        <f>D31+VLOOKUP($A$1,'Pri Housing Generation'!$A$96:$DQ$118, 68, FALSE)</f>
        <v>218</v>
      </c>
      <c r="E48" s="34">
        <f>E31+VLOOKUP($A$1,'Pri Housing Generation'!$A$96:$DQ$118, 69, FALSE)</f>
        <v>214</v>
      </c>
      <c r="F48" s="34">
        <f>F31+VLOOKUP($A$1,'Pri Housing Generation'!$A$96:$DQ$118, 70, FALSE)</f>
        <v>231</v>
      </c>
      <c r="G48" s="34">
        <f>G31+VLOOKUP($A$1,'Pri Housing Generation'!$A$96:$DQ$118, 71, FALSE)</f>
        <v>198</v>
      </c>
      <c r="H48" s="34">
        <f>H31+VLOOKUP($A$1,'Pri Housing Generation'!$A$96:$DQ$118, 72, FALSE)</f>
        <v>212</v>
      </c>
      <c r="I48" s="99">
        <f t="shared" si="19"/>
        <v>190</v>
      </c>
      <c r="J48" s="181"/>
      <c r="K48" s="83"/>
      <c r="L48" s="83"/>
      <c r="M48" s="107">
        <f t="shared" si="14"/>
        <v>0.6176046176046176</v>
      </c>
      <c r="O48" s="35">
        <f t="shared" si="15"/>
        <v>118</v>
      </c>
      <c r="Q48" s="25">
        <f t="shared" si="20"/>
        <v>2026</v>
      </c>
      <c r="R48" s="20">
        <f t="shared" si="16"/>
        <v>120</v>
      </c>
      <c r="S48" s="53">
        <f t="shared" si="21"/>
        <v>120</v>
      </c>
      <c r="T48" s="53">
        <f t="shared" si="21"/>
        <v>115</v>
      </c>
      <c r="U48" s="53">
        <f t="shared" si="21"/>
        <v>120</v>
      </c>
      <c r="V48" s="34">
        <f t="shared" si="22"/>
        <v>98</v>
      </c>
      <c r="W48" s="34">
        <f t="shared" si="23"/>
        <v>71</v>
      </c>
      <c r="X48" s="101">
        <f t="shared" si="17"/>
        <v>644</v>
      </c>
    </row>
    <row r="49" spans="1:24" x14ac:dyDescent="0.25">
      <c r="A49" s="25">
        <f t="shared" si="18"/>
        <v>2027</v>
      </c>
      <c r="B49" s="37">
        <f>B32+VLOOKUP($A$1,'Pri Housing Generation'!$A$96:$DQ$118, 74, FALSE)</f>
        <v>230</v>
      </c>
      <c r="C49" s="34">
        <f>C32+VLOOKUP($A$1,'Pri Housing Generation'!$A$96:$DQ$118, 75, FALSE)</f>
        <v>228</v>
      </c>
      <c r="D49" s="34">
        <f>D32+VLOOKUP($A$1,'Pri Housing Generation'!$A$96:$DQ$118, 76, FALSE)</f>
        <v>225</v>
      </c>
      <c r="E49" s="34">
        <f>E32+VLOOKUP($A$1,'Pri Housing Generation'!$A$96:$DQ$118, 77, FALSE)</f>
        <v>222</v>
      </c>
      <c r="F49" s="34">
        <f>F32+VLOOKUP($A$1,'Pri Housing Generation'!$A$96:$DQ$118, 78, FALSE)</f>
        <v>219</v>
      </c>
      <c r="G49" s="34">
        <f>G32+VLOOKUP($A$1,'Pri Housing Generation'!$A$96:$DQ$118, 79, FALSE)</f>
        <v>233</v>
      </c>
      <c r="H49" s="34">
        <f>H32+VLOOKUP($A$1,'Pri Housing Generation'!$A$96:$DQ$118, 80, FALSE)</f>
        <v>202</v>
      </c>
      <c r="I49" s="99">
        <f t="shared" si="19"/>
        <v>204</v>
      </c>
      <c r="J49" s="181"/>
      <c r="K49" s="83"/>
      <c r="L49" s="83"/>
      <c r="M49" s="107">
        <f t="shared" si="14"/>
        <v>0.6176046176046176</v>
      </c>
      <c r="O49" s="35">
        <f t="shared" si="15"/>
        <v>126</v>
      </c>
      <c r="Q49" s="25">
        <f t="shared" si="20"/>
        <v>2027</v>
      </c>
      <c r="R49" s="20">
        <f t="shared" si="16"/>
        <v>137</v>
      </c>
      <c r="S49" s="53">
        <f t="shared" si="21"/>
        <v>120</v>
      </c>
      <c r="T49" s="53">
        <f t="shared" si="21"/>
        <v>120</v>
      </c>
      <c r="U49" s="53">
        <f t="shared" si="21"/>
        <v>115</v>
      </c>
      <c r="V49" s="34">
        <f t="shared" si="22"/>
        <v>108</v>
      </c>
      <c r="W49" s="34">
        <f t="shared" si="23"/>
        <v>70</v>
      </c>
      <c r="X49" s="101">
        <f t="shared" si="17"/>
        <v>670</v>
      </c>
    </row>
    <row r="50" spans="1:24" x14ac:dyDescent="0.25">
      <c r="A50" s="25">
        <f t="shared" si="18"/>
        <v>2028</v>
      </c>
      <c r="B50" s="37">
        <f>B33+VLOOKUP($A$1,'Pri Housing Generation'!$A$96:$DQ$118, 82, FALSE)</f>
        <v>233</v>
      </c>
      <c r="C50" s="34">
        <f>C33+VLOOKUP($A$1,'Pri Housing Generation'!$A$96:$DQ$118, 83, FALSE)</f>
        <v>232</v>
      </c>
      <c r="D50" s="34">
        <f>D33+VLOOKUP($A$1,'Pri Housing Generation'!$A$96:$DQ$118, 84, FALSE)</f>
        <v>231</v>
      </c>
      <c r="E50" s="34">
        <f>E33+VLOOKUP($A$1,'Pri Housing Generation'!$A$96:$DQ$118, 85, FALSE)</f>
        <v>229</v>
      </c>
      <c r="F50" s="34">
        <f>F33+VLOOKUP($A$1,'Pri Housing Generation'!$A$96:$DQ$118, 86, FALSE)</f>
        <v>226</v>
      </c>
      <c r="G50" s="34">
        <f>G33+VLOOKUP($A$1,'Pri Housing Generation'!$A$96:$DQ$118, 87, FALSE)</f>
        <v>221</v>
      </c>
      <c r="H50" s="34">
        <f>H33+VLOOKUP($A$1,'Pri Housing Generation'!$A$96:$DQ$118, 88, FALSE)</f>
        <v>236</v>
      </c>
      <c r="I50" s="99">
        <f t="shared" si="19"/>
        <v>195</v>
      </c>
      <c r="J50" s="181"/>
      <c r="K50" s="83"/>
      <c r="L50" s="83"/>
      <c r="M50" s="107">
        <f t="shared" si="14"/>
        <v>0.6176046176046176</v>
      </c>
      <c r="O50" s="35">
        <f t="shared" si="15"/>
        <v>121</v>
      </c>
      <c r="Q50" s="25">
        <f t="shared" si="20"/>
        <v>2028</v>
      </c>
      <c r="R50" s="20">
        <f t="shared" si="16"/>
        <v>132</v>
      </c>
      <c r="S50" s="53">
        <f t="shared" si="21"/>
        <v>137</v>
      </c>
      <c r="T50" s="53">
        <f t="shared" si="21"/>
        <v>120</v>
      </c>
      <c r="U50" s="53">
        <f t="shared" si="21"/>
        <v>120</v>
      </c>
      <c r="V50" s="34">
        <f t="shared" si="22"/>
        <v>103</v>
      </c>
      <c r="W50" s="34">
        <f t="shared" si="23"/>
        <v>77</v>
      </c>
      <c r="X50" s="101">
        <f t="shared" si="17"/>
        <v>689</v>
      </c>
    </row>
    <row r="51" spans="1:24" x14ac:dyDescent="0.25">
      <c r="A51" s="25">
        <f t="shared" si="18"/>
        <v>2029</v>
      </c>
      <c r="B51" s="37">
        <f>B34+VLOOKUP($A$1,'Pri Housing Generation'!$A$96:$DQ$118, 90, FALSE)</f>
        <v>234</v>
      </c>
      <c r="C51" s="34">
        <f>C34+VLOOKUP($A$1,'Pri Housing Generation'!$A$96:$DQ$118, 91, FALSE)</f>
        <v>234</v>
      </c>
      <c r="D51" s="34">
        <f>D34+VLOOKUP($A$1,'Pri Housing Generation'!$A$96:$DQ$118, 92, FALSE)</f>
        <v>233</v>
      </c>
      <c r="E51" s="34">
        <f>E34+VLOOKUP($A$1,'Pri Housing Generation'!$A$96:$DQ$118, 93, FALSE)</f>
        <v>232</v>
      </c>
      <c r="F51" s="34">
        <f>F34+VLOOKUP($A$1,'Pri Housing Generation'!$A$96:$DQ$118, 94, FALSE)</f>
        <v>231</v>
      </c>
      <c r="G51" s="34">
        <f>G34+VLOOKUP($A$1,'Pri Housing Generation'!$A$96:$DQ$118, 95, FALSE)</f>
        <v>226</v>
      </c>
      <c r="H51" s="34">
        <f>H34+VLOOKUP($A$1,'Pri Housing Generation'!$A$96:$DQ$118, 96, FALSE)</f>
        <v>222</v>
      </c>
      <c r="I51" s="99">
        <f t="shared" si="19"/>
        <v>228</v>
      </c>
      <c r="J51" s="181"/>
      <c r="K51" s="83"/>
      <c r="L51" s="83"/>
      <c r="M51" s="107">
        <f t="shared" si="14"/>
        <v>0.6176046176046176</v>
      </c>
      <c r="O51" s="35">
        <f t="shared" si="15"/>
        <v>141</v>
      </c>
      <c r="Q51" s="25">
        <f t="shared" si="20"/>
        <v>2029</v>
      </c>
      <c r="R51" s="20">
        <f t="shared" si="16"/>
        <v>152</v>
      </c>
      <c r="S51" s="53">
        <f t="shared" si="21"/>
        <v>132</v>
      </c>
      <c r="T51" s="53">
        <f t="shared" si="21"/>
        <v>137</v>
      </c>
      <c r="U51" s="53">
        <f t="shared" si="21"/>
        <v>120</v>
      </c>
      <c r="V51" s="34">
        <f t="shared" si="22"/>
        <v>108</v>
      </c>
      <c r="W51" s="34">
        <f t="shared" si="23"/>
        <v>73</v>
      </c>
      <c r="X51" s="101">
        <f t="shared" si="17"/>
        <v>722</v>
      </c>
    </row>
    <row r="52" spans="1:24" x14ac:dyDescent="0.25">
      <c r="A52" s="25">
        <f t="shared" si="18"/>
        <v>2030</v>
      </c>
      <c r="B52" s="37">
        <f>B35+VLOOKUP($A$1,'Pri Housing Generation'!$A$96:$DQ$118, 98, FALSE)</f>
        <v>235</v>
      </c>
      <c r="C52" s="34">
        <f>C35+VLOOKUP($A$1,'Pri Housing Generation'!$A$96:$DQ$118, 99, FALSE)</f>
        <v>235</v>
      </c>
      <c r="D52" s="34">
        <f>D35+VLOOKUP($A$1,'Pri Housing Generation'!$A$96:$DQ$118, 100, FALSE)</f>
        <v>235</v>
      </c>
      <c r="E52" s="34">
        <f>E35+VLOOKUP($A$1,'Pri Housing Generation'!$A$96:$DQ$118, 101, FALSE)</f>
        <v>234</v>
      </c>
      <c r="F52" s="34">
        <f>F35+VLOOKUP($A$1,'Pri Housing Generation'!$A$96:$DQ$118, 102, FALSE)</f>
        <v>234</v>
      </c>
      <c r="G52" s="34">
        <f>G35+VLOOKUP($A$1,'Pri Housing Generation'!$A$96:$DQ$118, 103, FALSE)</f>
        <v>231</v>
      </c>
      <c r="H52" s="34">
        <f>H35+VLOOKUP($A$1,'Pri Housing Generation'!$A$96:$DQ$118, 104, FALSE)</f>
        <v>227</v>
      </c>
      <c r="I52" s="99">
        <f t="shared" si="19"/>
        <v>214</v>
      </c>
      <c r="J52" s="54"/>
      <c r="K52" s="83"/>
      <c r="L52" s="83"/>
      <c r="M52" s="107">
        <f t="shared" si="14"/>
        <v>0.6176046176046176</v>
      </c>
      <c r="O52" s="35">
        <f t="shared" si="15"/>
        <v>133</v>
      </c>
      <c r="Q52" s="25">
        <f t="shared" si="20"/>
        <v>2030</v>
      </c>
      <c r="R52" s="20">
        <f t="shared" si="16"/>
        <v>140</v>
      </c>
      <c r="S52" s="53">
        <f t="shared" si="21"/>
        <v>152</v>
      </c>
      <c r="T52" s="53">
        <f t="shared" si="21"/>
        <v>132</v>
      </c>
      <c r="U52" s="53">
        <f t="shared" si="21"/>
        <v>137</v>
      </c>
      <c r="V52" s="34">
        <f t="shared" si="22"/>
        <v>108</v>
      </c>
      <c r="W52" s="34">
        <f t="shared" si="23"/>
        <v>77</v>
      </c>
      <c r="X52" s="101">
        <f t="shared" si="17"/>
        <v>746</v>
      </c>
    </row>
    <row r="53" spans="1:24" x14ac:dyDescent="0.25">
      <c r="A53" s="25">
        <f t="shared" si="18"/>
        <v>2031</v>
      </c>
      <c r="B53" s="37">
        <f>B36+VLOOKUP($A$1,'Pri Housing Generation'!$A$96:$DQ$118, 106, FALSE)</f>
        <v>236</v>
      </c>
      <c r="C53" s="34">
        <f>C36+VLOOKUP($A$1,'Pri Housing Generation'!$A$96:$DQ$118, 107, FALSE)</f>
        <v>236</v>
      </c>
      <c r="D53" s="34">
        <f>D36+VLOOKUP($A$1,'Pri Housing Generation'!$A$96:$DQ$118, 108, FALSE)</f>
        <v>236</v>
      </c>
      <c r="E53" s="34">
        <f>E36+VLOOKUP($A$1,'Pri Housing Generation'!$A$96:$DQ$118, 109, FALSE)</f>
        <v>236</v>
      </c>
      <c r="F53" s="34">
        <f>F36+VLOOKUP($A$1,'Pri Housing Generation'!$A$96:$DQ$118, 110, FALSE)</f>
        <v>236</v>
      </c>
      <c r="G53" s="34">
        <f>G36+VLOOKUP($A$1,'Pri Housing Generation'!$A$96:$DQ$118, 111, FALSE)</f>
        <v>234</v>
      </c>
      <c r="H53" s="34">
        <f>H36+VLOOKUP($A$1,'Pri Housing Generation'!$A$96:$DQ$118, 112, FALSE)</f>
        <v>232</v>
      </c>
      <c r="I53" s="99">
        <f t="shared" si="19"/>
        <v>219</v>
      </c>
      <c r="J53" s="54"/>
      <c r="K53" s="83"/>
      <c r="L53" s="83"/>
      <c r="M53" s="107">
        <f t="shared" si="14"/>
        <v>0.6176046176046176</v>
      </c>
      <c r="O53" s="35">
        <f t="shared" si="15"/>
        <v>136</v>
      </c>
      <c r="Q53" s="25">
        <f t="shared" si="20"/>
        <v>2031</v>
      </c>
      <c r="R53" s="20">
        <f t="shared" si="16"/>
        <v>140</v>
      </c>
      <c r="S53" s="53">
        <f t="shared" si="21"/>
        <v>140</v>
      </c>
      <c r="T53" s="53">
        <f t="shared" si="21"/>
        <v>152</v>
      </c>
      <c r="U53" s="53">
        <f t="shared" si="21"/>
        <v>132</v>
      </c>
      <c r="V53" s="34">
        <f t="shared" si="22"/>
        <v>123</v>
      </c>
      <c r="W53" s="34">
        <f t="shared" si="23"/>
        <v>77</v>
      </c>
      <c r="X53" s="101">
        <f t="shared" si="17"/>
        <v>764</v>
      </c>
    </row>
    <row r="54" spans="1:24" x14ac:dyDescent="0.25">
      <c r="A54" s="25">
        <f t="shared" si="18"/>
        <v>2032</v>
      </c>
      <c r="B54" s="37">
        <f>B37+VLOOKUP($A$1,'Pri Housing Generation'!$A$96:$DQ$118, 114, FALSE)</f>
        <v>237</v>
      </c>
      <c r="C54" s="34">
        <f>C37+VLOOKUP($A$1,'Pri Housing Generation'!$A$96:$DQ$118, 115, FALSE)</f>
        <v>237</v>
      </c>
      <c r="D54" s="34">
        <f>D37+VLOOKUP($A$1,'Pri Housing Generation'!$A$96:$DQ$118, 116, FALSE)</f>
        <v>237</v>
      </c>
      <c r="E54" s="34">
        <f>E37+VLOOKUP($A$1,'Pri Housing Generation'!$A$96:$DQ$118, 117, FALSE)</f>
        <v>237</v>
      </c>
      <c r="F54" s="34">
        <f>F37+VLOOKUP($A$1,'Pri Housing Generation'!$A$96:$DQ$118, 118, FALSE)</f>
        <v>238</v>
      </c>
      <c r="G54" s="34">
        <f>G37+VLOOKUP($A$1,'Pri Housing Generation'!$A$96:$DQ$118, 119, FALSE)</f>
        <v>236</v>
      </c>
      <c r="H54" s="34">
        <f>H37+VLOOKUP($A$1,'Pri Housing Generation'!$A$96:$DQ$118, 120, FALSE)</f>
        <v>235</v>
      </c>
      <c r="I54" s="99">
        <f t="shared" si="19"/>
        <v>224</v>
      </c>
      <c r="K54" s="83"/>
      <c r="L54" s="83"/>
      <c r="M54" s="107">
        <f t="shared" si="14"/>
        <v>0.6176046176046176</v>
      </c>
      <c r="O54" s="35">
        <f t="shared" si="15"/>
        <v>139</v>
      </c>
      <c r="Q54" s="25">
        <f t="shared" si="20"/>
        <v>2032</v>
      </c>
      <c r="R54" s="20">
        <f t="shared" si="16"/>
        <v>140</v>
      </c>
      <c r="S54" s="53">
        <f t="shared" si="21"/>
        <v>140</v>
      </c>
      <c r="T54" s="53">
        <f t="shared" si="21"/>
        <v>140</v>
      </c>
      <c r="U54" s="53">
        <f t="shared" si="21"/>
        <v>152</v>
      </c>
      <c r="V54" s="34">
        <f t="shared" si="22"/>
        <v>118</v>
      </c>
      <c r="W54" s="34">
        <f t="shared" si="23"/>
        <v>87</v>
      </c>
      <c r="X54" s="101">
        <f t="shared" si="17"/>
        <v>777</v>
      </c>
    </row>
    <row r="56" spans="1:24" ht="15.75" x14ac:dyDescent="0.25">
      <c r="A56" s="129" t="s">
        <v>223</v>
      </c>
      <c r="F56" s="131"/>
      <c r="G56" s="181"/>
      <c r="H56" s="131"/>
      <c r="I56" s="131"/>
      <c r="J56" s="131"/>
    </row>
    <row r="57" spans="1:24" x14ac:dyDescent="0.25">
      <c r="F57" s="131"/>
      <c r="G57" s="181"/>
      <c r="H57" s="131"/>
      <c r="I57" s="131"/>
      <c r="J57" s="131"/>
    </row>
    <row r="58" spans="1:24" x14ac:dyDescent="0.25">
      <c r="A58" s="21" t="s">
        <v>224</v>
      </c>
      <c r="F58" s="132"/>
      <c r="G58" s="181"/>
      <c r="H58" s="131"/>
      <c r="I58" s="131"/>
      <c r="J58" s="131"/>
    </row>
    <row r="59" spans="1:24" x14ac:dyDescent="0.25">
      <c r="A59" s="21"/>
      <c r="F59" s="132"/>
      <c r="G59" s="181"/>
      <c r="H59" s="131"/>
      <c r="I59" s="131"/>
      <c r="J59" s="131"/>
    </row>
    <row r="60" spans="1:24" ht="33" customHeight="1" x14ac:dyDescent="0.25">
      <c r="A60" s="136"/>
      <c r="B60" s="138" t="s">
        <v>225</v>
      </c>
      <c r="C60" s="413" t="s">
        <v>226</v>
      </c>
      <c r="D60" s="414"/>
      <c r="F60" s="132"/>
      <c r="G60" s="181"/>
      <c r="H60" s="130"/>
      <c r="I60" s="130"/>
      <c r="J60" s="130"/>
    </row>
    <row r="61" spans="1:24" x14ac:dyDescent="0.25">
      <c r="A61" s="25">
        <v>2011</v>
      </c>
      <c r="B61" s="128">
        <v>25</v>
      </c>
      <c r="C61" s="415">
        <f t="shared" ref="C61:C66" si="24">1-(I13/(I13+B61))</f>
        <v>0.16891891891891897</v>
      </c>
      <c r="D61" s="388"/>
      <c r="F61" s="133"/>
      <c r="G61" s="181"/>
      <c r="H61" s="54"/>
      <c r="I61" s="54"/>
      <c r="J61" s="54"/>
    </row>
    <row r="62" spans="1:24" x14ac:dyDescent="0.25">
      <c r="A62" s="25">
        <v>2012</v>
      </c>
      <c r="B62" s="128">
        <v>17</v>
      </c>
      <c r="C62" s="415">
        <f t="shared" si="24"/>
        <v>0.10624999999999996</v>
      </c>
      <c r="D62" s="388"/>
      <c r="F62" s="133"/>
      <c r="G62" s="181"/>
      <c r="H62" s="54"/>
      <c r="I62" s="54"/>
      <c r="J62" s="54"/>
      <c r="K62" s="181"/>
      <c r="N62" s="109"/>
      <c r="S62" s="82"/>
    </row>
    <row r="63" spans="1:24" x14ac:dyDescent="0.25">
      <c r="A63" s="25">
        <v>2013</v>
      </c>
      <c r="B63" s="128">
        <v>28</v>
      </c>
      <c r="C63" s="415">
        <f t="shared" si="24"/>
        <v>0.17500000000000004</v>
      </c>
      <c r="D63" s="388"/>
      <c r="F63" s="133"/>
      <c r="G63" s="181"/>
      <c r="H63" s="54"/>
      <c r="I63" s="54"/>
      <c r="J63" s="54"/>
      <c r="K63" s="181"/>
      <c r="N63" s="109"/>
      <c r="S63" s="82"/>
    </row>
    <row r="64" spans="1:24" x14ac:dyDescent="0.25">
      <c r="A64" s="25">
        <v>2014</v>
      </c>
      <c r="B64" s="128">
        <v>24</v>
      </c>
      <c r="C64" s="415">
        <f t="shared" si="24"/>
        <v>0.1348314606741573</v>
      </c>
      <c r="D64" s="388"/>
      <c r="F64" s="133"/>
      <c r="G64" s="181"/>
      <c r="H64" s="54"/>
      <c r="I64" s="54"/>
      <c r="J64" s="54"/>
      <c r="K64" s="181"/>
      <c r="N64" s="109"/>
      <c r="S64" s="82"/>
    </row>
    <row r="65" spans="1:19" x14ac:dyDescent="0.25">
      <c r="A65" s="25">
        <v>2015</v>
      </c>
      <c r="B65" s="128">
        <v>36</v>
      </c>
      <c r="C65" s="415">
        <f t="shared" si="24"/>
        <v>0.22929936305732479</v>
      </c>
      <c r="D65" s="388"/>
      <c r="F65" s="133"/>
      <c r="G65" s="181"/>
      <c r="H65" s="54"/>
      <c r="I65" s="54"/>
      <c r="J65" s="54"/>
      <c r="K65" s="181"/>
      <c r="N65" s="109"/>
      <c r="S65" s="82"/>
    </row>
    <row r="66" spans="1:19" x14ac:dyDescent="0.25">
      <c r="A66" s="25"/>
      <c r="B66" s="128"/>
      <c r="C66" s="415">
        <f t="shared" si="24"/>
        <v>0</v>
      </c>
      <c r="D66" s="388"/>
      <c r="F66" s="133"/>
      <c r="G66" s="181"/>
      <c r="H66" s="54"/>
      <c r="I66" s="54"/>
      <c r="J66" s="54"/>
      <c r="K66" s="181"/>
      <c r="N66" s="109"/>
      <c r="S66" s="82"/>
    </row>
    <row r="67" spans="1:19" x14ac:dyDescent="0.25">
      <c r="A67" s="21"/>
      <c r="F67" s="48"/>
      <c r="K67" s="181"/>
      <c r="N67" s="109"/>
      <c r="S67" s="82"/>
    </row>
    <row r="68" spans="1:19" x14ac:dyDescent="0.25">
      <c r="A68" s="21" t="s">
        <v>213</v>
      </c>
      <c r="F68" s="48"/>
      <c r="K68" s="181"/>
      <c r="N68" s="109"/>
      <c r="S68" s="82"/>
    </row>
    <row r="69" spans="1:19" x14ac:dyDescent="0.25">
      <c r="A69" t="s">
        <v>328</v>
      </c>
      <c r="K69" s="54"/>
      <c r="N69" s="109"/>
      <c r="S69" s="82"/>
    </row>
    <row r="70" spans="1:19" x14ac:dyDescent="0.25">
      <c r="A70" t="s">
        <v>330</v>
      </c>
      <c r="K70" s="54"/>
      <c r="N70" s="109"/>
      <c r="S70" s="82"/>
    </row>
    <row r="71" spans="1:19" x14ac:dyDescent="0.25">
      <c r="K71" s="54"/>
      <c r="N71" s="109"/>
    </row>
    <row r="74" spans="1:19" x14ac:dyDescent="0.25">
      <c r="K74" s="131"/>
    </row>
    <row r="75" spans="1:19" x14ac:dyDescent="0.25">
      <c r="K75" s="131"/>
    </row>
    <row r="76" spans="1:19" x14ac:dyDescent="0.25">
      <c r="K76" s="131"/>
    </row>
    <row r="77" spans="1:19" x14ac:dyDescent="0.25">
      <c r="K77" s="131"/>
    </row>
    <row r="78" spans="1:19" x14ac:dyDescent="0.25">
      <c r="K78" s="130"/>
      <c r="Q78" s="130"/>
    </row>
    <row r="79" spans="1:19" x14ac:dyDescent="0.25">
      <c r="K79" s="54"/>
      <c r="Q79" s="54"/>
    </row>
    <row r="80" spans="1:19" x14ac:dyDescent="0.25">
      <c r="K80" s="54"/>
      <c r="Q80" s="54"/>
    </row>
    <row r="81" spans="11:17" x14ac:dyDescent="0.25">
      <c r="K81" s="54"/>
      <c r="Q81" s="54"/>
    </row>
    <row r="82" spans="11:17" x14ac:dyDescent="0.25">
      <c r="K82" s="54"/>
      <c r="Q82" s="54"/>
    </row>
    <row r="83" spans="11:17" x14ac:dyDescent="0.25">
      <c r="K83" s="54"/>
      <c r="Q83" s="54"/>
    </row>
    <row r="84" spans="11:17" x14ac:dyDescent="0.25">
      <c r="K84" s="54"/>
      <c r="Q84" s="54"/>
    </row>
  </sheetData>
  <mergeCells count="22">
    <mergeCell ref="C66:D66"/>
    <mergeCell ref="C62:D62"/>
    <mergeCell ref="C63:D63"/>
    <mergeCell ref="C64:D64"/>
    <mergeCell ref="C65:D65"/>
    <mergeCell ref="K39:K40"/>
    <mergeCell ref="M39:M40"/>
    <mergeCell ref="O39:O40"/>
    <mergeCell ref="C60:D60"/>
    <mergeCell ref="C61:D61"/>
    <mergeCell ref="K16:L16"/>
    <mergeCell ref="K17:L17"/>
    <mergeCell ref="A19:B20"/>
    <mergeCell ref="K19:M19"/>
    <mergeCell ref="T19:U20"/>
    <mergeCell ref="K20:M20"/>
    <mergeCell ref="K18:L18"/>
    <mergeCell ref="K15:L15"/>
    <mergeCell ref="K14:L14"/>
    <mergeCell ref="K11:L13"/>
    <mergeCell ref="M11:M13"/>
    <mergeCell ref="O11:O13"/>
  </mergeCells>
  <conditionalFormatting sqref="R41:R72">
    <cfRule type="cellIs" dxfId="37" priority="18" operator="greaterThan">
      <formula>$C$7</formula>
    </cfRule>
  </conditionalFormatting>
  <conditionalFormatting sqref="X41:X72">
    <cfRule type="cellIs" dxfId="36" priority="17" operator="greaterThan">
      <formula>$C$6</formula>
    </cfRule>
  </conditionalFormatting>
  <pageMargins left="0.70866141732283472" right="0.70866141732283472" top="0.74803149606299213" bottom="0.74803149606299213" header="0.31496062992125984" footer="0.31496062992125984"/>
  <pageSetup paperSize="9" scale="5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26</vt:i4>
      </vt:variant>
    </vt:vector>
  </HeadingPairs>
  <TitlesOfParts>
    <vt:vector size="63" baseType="lpstr">
      <vt:lpstr>Methodology</vt:lpstr>
      <vt:lpstr>Projection Summary</vt:lpstr>
      <vt:lpstr>Graphs</vt:lpstr>
      <vt:lpstr>BALERNO</vt:lpstr>
      <vt:lpstr>BOROUGH</vt:lpstr>
      <vt:lpstr>BROUGHT</vt:lpstr>
      <vt:lpstr>CASTLEB</vt:lpstr>
      <vt:lpstr>CMOUNT</vt:lpstr>
      <vt:lpstr>CROYSTON</vt:lpstr>
      <vt:lpstr>CURRIE</vt:lpstr>
      <vt:lpstr>DRUMM</vt:lpstr>
      <vt:lpstr>FIRRH</vt:lpstr>
      <vt:lpstr>FORRES</vt:lpstr>
      <vt:lpstr>GRACEM</vt:lpstr>
      <vt:lpstr>HOLY_R</vt:lpstr>
      <vt:lpstr>JAMESG</vt:lpstr>
      <vt:lpstr>LEITH_A</vt:lpstr>
      <vt:lpstr>LIBERT</vt:lpstr>
      <vt:lpstr>PORTOB</vt:lpstr>
      <vt:lpstr>QUEENSF</vt:lpstr>
      <vt:lpstr>ST_AUGU</vt:lpstr>
      <vt:lpstr>ST_THOM</vt:lpstr>
      <vt:lpstr>THE_ROYAL</vt:lpstr>
      <vt:lpstr>TRINITY</vt:lpstr>
      <vt:lpstr>TYNECA</vt:lpstr>
      <vt:lpstr>WHEC</vt:lpstr>
      <vt:lpstr>Pri Housing Generation</vt:lpstr>
      <vt:lpstr>Sec Housing Generation</vt:lpstr>
      <vt:lpstr>PS - Cumulative pupils per year</vt:lpstr>
      <vt:lpstr>P1 Catchment Projections</vt:lpstr>
      <vt:lpstr>Primary Catchment Analysis</vt:lpstr>
      <vt:lpstr>S1 Catchment Analysis</vt:lpstr>
      <vt:lpstr>S1 Catchment Retained</vt:lpstr>
      <vt:lpstr>Secondary Rolls</vt:lpstr>
      <vt:lpstr>DevHSND 1</vt:lpstr>
      <vt:lpstr>DevHSRC 2</vt:lpstr>
      <vt:lpstr>Historic Secondary Roll Totals</vt:lpstr>
      <vt:lpstr>BALERNO!Print_Area</vt:lpstr>
      <vt:lpstr>BOROUGH!Print_Area</vt:lpstr>
      <vt:lpstr>BROUGHT!Print_Area</vt:lpstr>
      <vt:lpstr>CASTLEB!Print_Area</vt:lpstr>
      <vt:lpstr>CMOUNT!Print_Area</vt:lpstr>
      <vt:lpstr>CROYSTON!Print_Area</vt:lpstr>
      <vt:lpstr>CURRIE!Print_Area</vt:lpstr>
      <vt:lpstr>DRUMM!Print_Area</vt:lpstr>
      <vt:lpstr>FIRRH!Print_Area</vt:lpstr>
      <vt:lpstr>FORRES!Print_Area</vt:lpstr>
      <vt:lpstr>GRACEM!Print_Area</vt:lpstr>
      <vt:lpstr>HOLY_R!Print_Area</vt:lpstr>
      <vt:lpstr>JAMESG!Print_Area</vt:lpstr>
      <vt:lpstr>LEITH_A!Print_Area</vt:lpstr>
      <vt:lpstr>LIBERT!Print_Area</vt:lpstr>
      <vt:lpstr>Methodology!Print_Area</vt:lpstr>
      <vt:lpstr>PORTOB!Print_Area</vt:lpstr>
      <vt:lpstr>'Projection Summary'!Print_Area</vt:lpstr>
      <vt:lpstr>QUEENSF!Print_Area</vt:lpstr>
      <vt:lpstr>ST_AUGU!Print_Area</vt:lpstr>
      <vt:lpstr>ST_THOM!Print_Area</vt:lpstr>
      <vt:lpstr>THE_ROYAL!Print_Area</vt:lpstr>
      <vt:lpstr>TRINITY!Print_Area</vt:lpstr>
      <vt:lpstr>TYNECA!Print_Area</vt:lpstr>
      <vt:lpstr>WHEC!Print_Area</vt:lpstr>
      <vt:lpstr>'P1 Catchment Projections'!Print_Titles</vt:lpstr>
    </vt:vector>
  </TitlesOfParts>
  <Company>City of Edinburgh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Crockatt</dc:creator>
  <cp:lastModifiedBy>HALL Jacqueline</cp:lastModifiedBy>
  <cp:lastPrinted>2018-11-07T14:47:47Z</cp:lastPrinted>
  <dcterms:created xsi:type="dcterms:W3CDTF">2016-03-11T15:32:35Z</dcterms:created>
  <dcterms:modified xsi:type="dcterms:W3CDTF">2019-07-11T22:09:24Z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1196149841</vt:i4>
  </property>
  <property fmtid="{D5CDD505-2E9C-101B-9397-08002B2CF9AE}" pid="3" name="_NewReviewCycle">
    <vt:lpwstr/>
  </property>
  <property fmtid="{D5CDD505-2E9C-101B-9397-08002B2CF9AE}" pid="4" name="_EmailSubject">
    <vt:lpwstr>projections</vt:lpwstr>
  </property>
  <property fmtid="{D5CDD505-2E9C-101B-9397-08002B2CF9AE}" pid="5" name="_AuthorEmail">
    <vt:lpwstr>Elaine.Watson@edinburgh.gov.uk</vt:lpwstr>
  </property>
  <property fmtid="{D5CDD505-2E9C-101B-9397-08002B2CF9AE}" pid="6" name="_AuthorEmailDisplayName">
    <vt:lpwstr>Elaine Watson</vt:lpwstr>
  </property>
  <property fmtid="{D5CDD505-2E9C-101B-9397-08002B2CF9AE}" pid="7" name="_ReviewingToolsShownOnce">
    <vt:lpwstr/>
  </property>
</Properties>
</file>