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1.xml" ContentType="application/vnd.openxmlformats-officedocument.drawing+xml"/>
  <Override PartName="/xl/ctrlProps/ctrlProp1.xml" ContentType="application/vnd.ms-excel.controlproperties+xml"/>
  <Override PartName="/xl/tables/table4.xml" ContentType="application/vnd.openxmlformats-officedocument.spreadsheetml.table+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jacross\Desktop\Data Science\Portfolio\"/>
    </mc:Choice>
  </mc:AlternateContent>
  <xr:revisionPtr revIDLastSave="0" documentId="13_ncr:1_{8949D218-E4B1-4468-98CC-6998FC987537}" xr6:coauthVersionLast="47" xr6:coauthVersionMax="47" xr10:uidLastSave="{00000000-0000-0000-0000-000000000000}"/>
  <bookViews>
    <workbookView xWindow="-120" yWindow="-120" windowWidth="29040" windowHeight="15840" firstSheet="4" activeTab="4" xr2:uid="{00000000-000D-0000-FFFF-FFFF00000000}"/>
  </bookViews>
  <sheets>
    <sheet name="Daily Entry" sheetId="1" state="hidden" r:id="rId1"/>
    <sheet name="Performance Entry" sheetId="8" state="hidden" r:id="rId2"/>
    <sheet name="Player Profiles" sheetId="6" state="hidden" r:id="rId3"/>
    <sheet name="Planning" sheetId="5" state="hidden" r:id="rId4"/>
    <sheet name="Dashboard" sheetId="9" r:id="rId5"/>
    <sheet name="Reference" sheetId="11" state="hidden" r:id="rId6"/>
  </sheets>
  <definedNames>
    <definedName name="_xlnm.Print_Area" localSheetId="4">Dashboard!$A$1:$AG$73</definedName>
    <definedName name="Slicer_CodeName">#N/A</definedName>
    <definedName name="Slicer_Groups">#N/A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4:slicerCache r:id="rId8"/>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I2" i="11" l="1"/>
  <c r="P32" i="1"/>
  <c r="P2" i="1"/>
  <c r="A3" i="11" a="1"/>
  <c r="A3" i="11" s="1"/>
  <c r="B32" i="9"/>
  <c r="B33" i="9"/>
  <c r="D32" i="9"/>
  <c r="G32" i="9"/>
  <c r="J32" i="9"/>
  <c r="M32" i="9"/>
  <c r="P32" i="9"/>
  <c r="S32" i="9"/>
  <c r="Y32" i="9"/>
  <c r="AB32" i="9"/>
  <c r="AE32" i="9"/>
  <c r="Q6" i="1"/>
  <c r="P6" i="1"/>
  <c r="Q5" i="1"/>
  <c r="P5" i="1"/>
  <c r="V32" i="9" s="1"/>
  <c r="R5" i="1"/>
  <c r="S5" i="1"/>
  <c r="T5" i="1"/>
  <c r="U5" i="1"/>
  <c r="AH32" i="9" s="1"/>
  <c r="V5" i="1"/>
  <c r="W5" i="1" s="1"/>
  <c r="R6" i="1"/>
  <c r="S6" i="1"/>
  <c r="D33" i="9" s="1"/>
  <c r="T6" i="1"/>
  <c r="U6" i="1"/>
  <c r="V6" i="1"/>
  <c r="W6" i="1" s="1"/>
  <c r="I16" i="11"/>
  <c r="I17" i="11"/>
  <c r="I18" i="11"/>
  <c r="I19" i="11"/>
  <c r="I20" i="11"/>
  <c r="I21" i="11"/>
  <c r="I22" i="11"/>
  <c r="I23" i="11"/>
  <c r="I24" i="11"/>
  <c r="I25" i="11"/>
  <c r="I26" i="11"/>
  <c r="I27" i="11"/>
  <c r="I28" i="11"/>
  <c r="I29" i="11"/>
  <c r="I30" i="11"/>
  <c r="I31" i="11"/>
  <c r="I32" i="11"/>
  <c r="I33" i="11"/>
  <c r="I34" i="11"/>
  <c r="I35" i="11"/>
  <c r="I36" i="11"/>
  <c r="I37" i="11"/>
  <c r="I38" i="11"/>
  <c r="I39" i="11"/>
  <c r="I40" i="11"/>
  <c r="I41" i="11"/>
  <c r="I42" i="11"/>
  <c r="I43" i="11"/>
  <c r="I44" i="11"/>
  <c r="J2" i="11" a="1"/>
  <c r="J2" i="11" s="1"/>
  <c r="A83" i="9"/>
  <c r="B15" i="9"/>
  <c r="B16" i="9"/>
  <c r="B17" i="9"/>
  <c r="B18" i="9"/>
  <c r="B19" i="9"/>
  <c r="B20" i="9"/>
  <c r="B21" i="9"/>
  <c r="B22" i="9"/>
  <c r="B23" i="9"/>
  <c r="B24" i="9"/>
  <c r="B25" i="9"/>
  <c r="B26" i="9"/>
  <c r="B27" i="9"/>
  <c r="B28" i="9"/>
  <c r="B29" i="9"/>
  <c r="B30" i="9"/>
  <c r="B31" i="9"/>
  <c r="B34" i="9"/>
  <c r="B35" i="9"/>
  <c r="B36" i="9"/>
  <c r="B37" i="9"/>
  <c r="B38" i="9"/>
  <c r="B39" i="9"/>
  <c r="B40" i="9"/>
  <c r="B41" i="9"/>
  <c r="B42" i="9"/>
  <c r="B43" i="9"/>
  <c r="B44" i="9"/>
  <c r="B45" i="9"/>
  <c r="B46" i="9"/>
  <c r="B47" i="9"/>
  <c r="B48" i="9"/>
  <c r="V396" i="1"/>
  <c r="V388" i="1"/>
  <c r="V397" i="1"/>
  <c r="V411" i="1"/>
  <c r="V409" i="1"/>
  <c r="W409" i="1" s="1"/>
  <c r="V389" i="1"/>
  <c r="W389" i="1" s="1"/>
  <c r="V410" i="1"/>
  <c r="W410" i="1" s="1"/>
  <c r="V416" i="1"/>
  <c r="V398" i="1"/>
  <c r="V415" i="1"/>
  <c r="V414" i="1"/>
  <c r="V390" i="1"/>
  <c r="V394" i="1"/>
  <c r="V402" i="1"/>
  <c r="V401" i="1"/>
  <c r="V406" i="1"/>
  <c r="V407" i="1"/>
  <c r="V391" i="1"/>
  <c r="V405" i="1"/>
  <c r="W405" i="1" s="1"/>
  <c r="V412" i="1"/>
  <c r="V395" i="1"/>
  <c r="V413" i="1"/>
  <c r="V403" i="1"/>
  <c r="V417" i="1"/>
  <c r="W417" i="1" s="1"/>
  <c r="V400" i="1"/>
  <c r="V404" i="1"/>
  <c r="V392" i="1"/>
  <c r="V399" i="1"/>
  <c r="V393" i="1"/>
  <c r="W393" i="1" s="1"/>
  <c r="V408" i="1"/>
  <c r="V386" i="1"/>
  <c r="W386" i="1" s="1"/>
  <c r="V368" i="1"/>
  <c r="W368" i="1" s="1"/>
  <c r="V375" i="1"/>
  <c r="W375" i="1" s="1"/>
  <c r="V367" i="1"/>
  <c r="V372" i="1"/>
  <c r="W372" i="1" s="1"/>
  <c r="V356" i="1"/>
  <c r="W356" i="1" s="1"/>
  <c r="V373" i="1"/>
  <c r="W373" i="1" s="1"/>
  <c r="V357" i="1"/>
  <c r="W357" i="1" s="1"/>
  <c r="V370" i="1"/>
  <c r="W370" i="1" s="1"/>
  <c r="V358" i="1"/>
  <c r="W358" i="1" s="1"/>
  <c r="V374" i="1"/>
  <c r="W374" i="1" s="1"/>
  <c r="V382" i="1"/>
  <c r="W382" i="1" s="1"/>
  <c r="V384" i="1"/>
  <c r="W384" i="1" s="1"/>
  <c r="V377" i="1"/>
  <c r="W377" i="1" s="1"/>
  <c r="V376" i="1"/>
  <c r="W376" i="1" s="1"/>
  <c r="V371" i="1"/>
  <c r="W371" i="1" s="1"/>
  <c r="V387" i="1"/>
  <c r="W387" i="1" s="1"/>
  <c r="V359" i="1"/>
  <c r="W359" i="1" s="1"/>
  <c r="V360" i="1"/>
  <c r="W360" i="1" s="1"/>
  <c r="V361" i="1"/>
  <c r="W361" i="1" s="1"/>
  <c r="V362" i="1"/>
  <c r="W362" i="1" s="1"/>
  <c r="V363" i="1"/>
  <c r="W363" i="1" s="1"/>
  <c r="V364" i="1"/>
  <c r="W364" i="1" s="1"/>
  <c r="V365" i="1"/>
  <c r="V378" i="1"/>
  <c r="W378" i="1" s="1"/>
  <c r="V369" i="1"/>
  <c r="W369" i="1" s="1"/>
  <c r="V379" i="1"/>
  <c r="W379" i="1" s="1"/>
  <c r="V380" i="1"/>
  <c r="W380" i="1" s="1"/>
  <c r="V381" i="1"/>
  <c r="W381" i="1" s="1"/>
  <c r="V385" i="1"/>
  <c r="W385" i="1" s="1"/>
  <c r="V366" i="1"/>
  <c r="W366" i="1" s="1"/>
  <c r="V383" i="1"/>
  <c r="W383" i="1" s="1"/>
  <c r="V347" i="1"/>
  <c r="W347" i="1" s="1"/>
  <c r="V336" i="1"/>
  <c r="W336" i="1" s="1"/>
  <c r="V339" i="1"/>
  <c r="W339" i="1" s="1"/>
  <c r="V337" i="1"/>
  <c r="W337" i="1" s="1"/>
  <c r="V355" i="1"/>
  <c r="W355" i="1" s="1"/>
  <c r="V341" i="1"/>
  <c r="W341" i="1" s="1"/>
  <c r="V348" i="1"/>
  <c r="W348" i="1" s="1"/>
  <c r="V354" i="1"/>
  <c r="W354" i="1" s="1"/>
  <c r="V335" i="1"/>
  <c r="W335" i="1" s="1"/>
  <c r="V343" i="1"/>
  <c r="W343" i="1" s="1"/>
  <c r="V349" i="1"/>
  <c r="W349" i="1" s="1"/>
  <c r="V350" i="1"/>
  <c r="W350" i="1" s="1"/>
  <c r="V324" i="1"/>
  <c r="W324" i="1" s="1"/>
  <c r="V325" i="1"/>
  <c r="W325" i="1" s="1"/>
  <c r="V346" i="1"/>
  <c r="W346" i="1" s="1"/>
  <c r="V351" i="1"/>
  <c r="W351" i="1" s="1"/>
  <c r="V326" i="1"/>
  <c r="W326" i="1" s="1"/>
  <c r="V327" i="1"/>
  <c r="W327" i="1" s="1"/>
  <c r="V328" i="1"/>
  <c r="W328" i="1" s="1"/>
  <c r="V352" i="1"/>
  <c r="W352" i="1" s="1"/>
  <c r="V329" i="1"/>
  <c r="W329" i="1" s="1"/>
  <c r="V330" i="1"/>
  <c r="W330" i="1" s="1"/>
  <c r="V331" i="1"/>
  <c r="W331" i="1" s="1"/>
  <c r="V340" i="1"/>
  <c r="W340" i="1" s="1"/>
  <c r="V334" i="1"/>
  <c r="W334" i="1" s="1"/>
  <c r="V338" i="1"/>
  <c r="W338" i="1" s="1"/>
  <c r="V342" i="1"/>
  <c r="W342" i="1" s="1"/>
  <c r="V344" i="1"/>
  <c r="W344" i="1" s="1"/>
  <c r="V332" i="1"/>
  <c r="W332" i="1" s="1"/>
  <c r="V353" i="1"/>
  <c r="W353" i="1" s="1"/>
  <c r="V333" i="1"/>
  <c r="W333" i="1" s="1"/>
  <c r="V345" i="1"/>
  <c r="W345" i="1" s="1"/>
  <c r="V312" i="1"/>
  <c r="V292" i="1"/>
  <c r="V308" i="1"/>
  <c r="V293" i="1"/>
  <c r="V323" i="1"/>
  <c r="V294" i="1"/>
  <c r="V295" i="1"/>
  <c r="V318" i="1"/>
  <c r="V306" i="1"/>
  <c r="V296" i="1"/>
  <c r="V297" i="1"/>
  <c r="V313" i="1"/>
  <c r="V298" i="1"/>
  <c r="V309" i="1"/>
  <c r="V314" i="1"/>
  <c r="V310" i="1"/>
  <c r="V299" i="1"/>
  <c r="V300" i="1"/>
  <c r="V301" i="1"/>
  <c r="V302" i="1"/>
  <c r="V322" i="1"/>
  <c r="W322" i="1" s="1"/>
  <c r="V303" i="1"/>
  <c r="V316" i="1"/>
  <c r="V307" i="1"/>
  <c r="V311" i="1"/>
  <c r="V304" i="1"/>
  <c r="V315" i="1"/>
  <c r="V319" i="1"/>
  <c r="V317" i="1"/>
  <c r="V321" i="1"/>
  <c r="V305" i="1"/>
  <c r="V320" i="1"/>
  <c r="V282" i="1"/>
  <c r="W282" i="1" s="1"/>
  <c r="V260" i="1"/>
  <c r="W260" i="1" s="1"/>
  <c r="V277" i="1"/>
  <c r="W277" i="1" s="1"/>
  <c r="V261" i="1"/>
  <c r="W261" i="1" s="1"/>
  <c r="V288" i="1"/>
  <c r="W288" i="1" s="1"/>
  <c r="V262" i="1"/>
  <c r="W262" i="1" s="1"/>
  <c r="V289" i="1"/>
  <c r="W289" i="1" s="1"/>
  <c r="V284" i="1"/>
  <c r="W284" i="1" s="1"/>
  <c r="V283" i="1"/>
  <c r="W283" i="1" s="1"/>
  <c r="V290" i="1"/>
  <c r="W290" i="1" s="1"/>
  <c r="V271" i="1"/>
  <c r="W271" i="1" s="1"/>
  <c r="V263" i="1"/>
  <c r="W263" i="1" s="1"/>
  <c r="V286" i="1"/>
  <c r="W286" i="1" s="1"/>
  <c r="V264" i="1"/>
  <c r="W264" i="1" s="1"/>
  <c r="V265" i="1"/>
  <c r="W265" i="1" s="1"/>
  <c r="V272" i="1"/>
  <c r="W272" i="1" s="1"/>
  <c r="V266" i="1"/>
  <c r="W266" i="1" s="1"/>
  <c r="V276" i="1"/>
  <c r="W276" i="1" s="1"/>
  <c r="V281" i="1"/>
  <c r="W281" i="1" s="1"/>
  <c r="V291" i="1"/>
  <c r="W291" i="1" s="1"/>
  <c r="V287" i="1"/>
  <c r="W287" i="1" s="1"/>
  <c r="V278" i="1"/>
  <c r="W278" i="1" s="1"/>
  <c r="V267" i="1"/>
  <c r="W267" i="1" s="1"/>
  <c r="V279" i="1"/>
  <c r="W279" i="1" s="1"/>
  <c r="V275" i="1"/>
  <c r="W275" i="1" s="1"/>
  <c r="V268" i="1"/>
  <c r="W268" i="1" s="1"/>
  <c r="V273" i="1"/>
  <c r="W273" i="1" s="1"/>
  <c r="V285" i="1"/>
  <c r="W285" i="1" s="1"/>
  <c r="V274" i="1"/>
  <c r="W274" i="1" s="1"/>
  <c r="V270" i="1"/>
  <c r="W270" i="1" s="1"/>
  <c r="V269" i="1"/>
  <c r="W269" i="1" s="1"/>
  <c r="V280" i="1"/>
  <c r="W280" i="1" s="1"/>
  <c r="V256" i="1"/>
  <c r="W256" i="1" s="1"/>
  <c r="V238" i="1"/>
  <c r="W238" i="1" s="1"/>
  <c r="V228" i="1"/>
  <c r="W228" i="1" s="1"/>
  <c r="V246" i="1"/>
  <c r="W246" i="1" s="1"/>
  <c r="V239" i="1"/>
  <c r="W239" i="1" s="1"/>
  <c r="V240" i="1"/>
  <c r="W240" i="1" s="1"/>
  <c r="V229" i="1"/>
  <c r="W229" i="1" s="1"/>
  <c r="V230" i="1"/>
  <c r="W230" i="1" s="1"/>
  <c r="V235" i="1"/>
  <c r="W235" i="1" s="1"/>
  <c r="V257" i="1"/>
  <c r="W257" i="1" s="1"/>
  <c r="V244" i="1"/>
  <c r="W244" i="1" s="1"/>
  <c r="V248" i="1"/>
  <c r="W248" i="1" s="1"/>
  <c r="V236" i="1"/>
  <c r="W236" i="1" s="1"/>
  <c r="V245" i="1"/>
  <c r="W245" i="1" s="1"/>
  <c r="V251" i="1"/>
  <c r="W251" i="1" s="1"/>
  <c r="V243" i="1"/>
  <c r="W243" i="1" s="1"/>
  <c r="V249" i="1"/>
  <c r="W249" i="1" s="1"/>
  <c r="V250" i="1"/>
  <c r="W250" i="1" s="1"/>
  <c r="V231" i="1"/>
  <c r="W231" i="1" s="1"/>
  <c r="V232" i="1"/>
  <c r="W232" i="1" s="1"/>
  <c r="V254" i="1"/>
  <c r="W254" i="1" s="1"/>
  <c r="V258" i="1"/>
  <c r="W258" i="1" s="1"/>
  <c r="V255" i="1"/>
  <c r="W255" i="1" s="1"/>
  <c r="V259" i="1"/>
  <c r="W259" i="1" s="1"/>
  <c r="V242" i="1"/>
  <c r="W242" i="1" s="1"/>
  <c r="V233" i="1"/>
  <c r="W233" i="1" s="1"/>
  <c r="V241" i="1"/>
  <c r="W241" i="1" s="1"/>
  <c r="V253" i="1"/>
  <c r="W253" i="1" s="1"/>
  <c r="V247" i="1"/>
  <c r="W247" i="1" s="1"/>
  <c r="V237" i="1"/>
  <c r="W237" i="1" s="1"/>
  <c r="V234" i="1"/>
  <c r="W234" i="1" s="1"/>
  <c r="V252" i="1"/>
  <c r="W252" i="1" s="1"/>
  <c r="V206" i="1"/>
  <c r="W206" i="1" s="1"/>
  <c r="V196" i="1"/>
  <c r="W196" i="1" s="1"/>
  <c r="V215" i="1"/>
  <c r="W215" i="1" s="1"/>
  <c r="V204" i="1"/>
  <c r="W204" i="1" s="1"/>
  <c r="V209" i="1"/>
  <c r="W209" i="1" s="1"/>
  <c r="V210" i="1"/>
  <c r="W210" i="1" s="1"/>
  <c r="V216" i="1"/>
  <c r="W216" i="1" s="1"/>
  <c r="V222" i="1"/>
  <c r="W222" i="1" s="1"/>
  <c r="V207" i="1"/>
  <c r="W207" i="1" s="1"/>
  <c r="V208" i="1"/>
  <c r="W208" i="1" s="1"/>
  <c r="V197" i="1"/>
  <c r="W197" i="1" s="1"/>
  <c r="V217" i="1"/>
  <c r="W217" i="1" s="1"/>
  <c r="V226" i="1"/>
  <c r="W226" i="1" s="1"/>
  <c r="V198" i="1"/>
  <c r="W198" i="1" s="1"/>
  <c r="V199" i="1"/>
  <c r="W199" i="1" s="1"/>
  <c r="V225" i="1"/>
  <c r="W225" i="1" s="1"/>
  <c r="V219" i="1"/>
  <c r="W219" i="1" s="1"/>
  <c r="V214" i="1"/>
  <c r="W214" i="1" s="1"/>
  <c r="V212" i="1"/>
  <c r="W212" i="1" s="1"/>
  <c r="V218" i="1"/>
  <c r="W218" i="1" s="1"/>
  <c r="V220" i="1"/>
  <c r="W220" i="1" s="1"/>
  <c r="V200" i="1"/>
  <c r="W200" i="1" s="1"/>
  <c r="V211" i="1"/>
  <c r="W211" i="1" s="1"/>
  <c r="V201" i="1"/>
  <c r="W201" i="1" s="1"/>
  <c r="V223" i="1"/>
  <c r="W223" i="1" s="1"/>
  <c r="V202" i="1"/>
  <c r="W202" i="1" s="1"/>
  <c r="V213" i="1"/>
  <c r="W213" i="1" s="1"/>
  <c r="V224" i="1"/>
  <c r="W224" i="1" s="1"/>
  <c r="V203" i="1"/>
  <c r="W203" i="1" s="1"/>
  <c r="V205" i="1"/>
  <c r="W205" i="1" s="1"/>
  <c r="V227" i="1"/>
  <c r="W227" i="1" s="1"/>
  <c r="V221" i="1"/>
  <c r="W221" i="1" s="1"/>
  <c r="V164" i="1"/>
  <c r="W164" i="1" s="1"/>
  <c r="V170" i="1"/>
  <c r="W170" i="1" s="1"/>
  <c r="V184" i="1"/>
  <c r="W184" i="1" s="1"/>
  <c r="V173" i="1"/>
  <c r="W173" i="1" s="1"/>
  <c r="V176" i="1"/>
  <c r="W176" i="1" s="1"/>
  <c r="V177" i="1"/>
  <c r="W177" i="1" s="1"/>
  <c r="V165" i="1"/>
  <c r="W165" i="1" s="1"/>
  <c r="V166" i="1"/>
  <c r="W166" i="1" s="1"/>
  <c r="V171" i="1"/>
  <c r="W171" i="1" s="1"/>
  <c r="V181" i="1"/>
  <c r="W181" i="1" s="1"/>
  <c r="V182" i="1"/>
  <c r="W182" i="1" s="1"/>
  <c r="V178" i="1"/>
  <c r="W178" i="1" s="1"/>
  <c r="V193" i="1"/>
  <c r="W193" i="1" s="1"/>
  <c r="V167" i="1"/>
  <c r="W167" i="1" s="1"/>
  <c r="V174" i="1"/>
  <c r="W174" i="1" s="1"/>
  <c r="V190" i="1"/>
  <c r="W190" i="1" s="1"/>
  <c r="V188" i="1"/>
  <c r="W188" i="1" s="1"/>
  <c r="V180" i="1"/>
  <c r="W180" i="1" s="1"/>
  <c r="V186" i="1"/>
  <c r="W186" i="1" s="1"/>
  <c r="V168" i="1"/>
  <c r="W168" i="1" s="1"/>
  <c r="V189" i="1"/>
  <c r="W189" i="1" s="1"/>
  <c r="V185" i="1"/>
  <c r="W185" i="1" s="1"/>
  <c r="V187" i="1"/>
  <c r="W187" i="1" s="1"/>
  <c r="V194" i="1"/>
  <c r="W194" i="1" s="1"/>
  <c r="V183" i="1"/>
  <c r="W183" i="1" s="1"/>
  <c r="V195" i="1"/>
  <c r="W195" i="1" s="1"/>
  <c r="V175" i="1"/>
  <c r="W175" i="1" s="1"/>
  <c r="V192" i="1"/>
  <c r="W192" i="1" s="1"/>
  <c r="V179" i="1"/>
  <c r="W179" i="1" s="1"/>
  <c r="V172" i="1"/>
  <c r="W172" i="1" s="1"/>
  <c r="V169" i="1"/>
  <c r="W169" i="1" s="1"/>
  <c r="V191" i="1"/>
  <c r="W191" i="1" s="1"/>
  <c r="V141" i="1"/>
  <c r="W141" i="1" s="1"/>
  <c r="V132" i="1"/>
  <c r="W132" i="1" s="1"/>
  <c r="V149" i="1"/>
  <c r="W149" i="1" s="1"/>
  <c r="V133" i="1"/>
  <c r="W133" i="1" s="1"/>
  <c r="V142" i="1"/>
  <c r="W142" i="1" s="1"/>
  <c r="V150" i="1"/>
  <c r="W150" i="1" s="1"/>
  <c r="V154" i="1"/>
  <c r="W154" i="1" s="1"/>
  <c r="V157" i="1"/>
  <c r="W157" i="1" s="1"/>
  <c r="V159" i="1"/>
  <c r="W159" i="1" s="1"/>
  <c r="V160" i="1"/>
  <c r="W160" i="1" s="1"/>
  <c r="V155" i="1"/>
  <c r="W155" i="1" s="1"/>
  <c r="V146" i="1"/>
  <c r="W146" i="1" s="1"/>
  <c r="V134" i="1"/>
  <c r="W134" i="1" s="1"/>
  <c r="V145" i="1"/>
  <c r="W145" i="1" s="1"/>
  <c r="V147" i="1"/>
  <c r="W147" i="1" s="1"/>
  <c r="V161" i="1"/>
  <c r="W161" i="1" s="1"/>
  <c r="V135" i="1"/>
  <c r="W135" i="1" s="1"/>
  <c r="V136" i="1"/>
  <c r="W136" i="1" s="1"/>
  <c r="V137" i="1"/>
  <c r="W137" i="1" s="1"/>
  <c r="V156" i="1"/>
  <c r="W156" i="1" s="1"/>
  <c r="V148" i="1"/>
  <c r="W148" i="1" s="1"/>
  <c r="V151" i="1"/>
  <c r="W151" i="1" s="1"/>
  <c r="V143" i="1"/>
  <c r="W143" i="1" s="1"/>
  <c r="V162" i="1"/>
  <c r="W162" i="1" s="1"/>
  <c r="V152" i="1"/>
  <c r="W152" i="1" s="1"/>
  <c r="V138" i="1"/>
  <c r="W138" i="1" s="1"/>
  <c r="V139" i="1"/>
  <c r="W139" i="1" s="1"/>
  <c r="V144" i="1"/>
  <c r="W144" i="1" s="1"/>
  <c r="V158" i="1"/>
  <c r="W158" i="1" s="1"/>
  <c r="V140" i="1"/>
  <c r="W140" i="1" s="1"/>
  <c r="V163" i="1"/>
  <c r="W163" i="1" s="1"/>
  <c r="V153" i="1"/>
  <c r="W153" i="1" s="1"/>
  <c r="V108" i="1"/>
  <c r="W108" i="1" s="1"/>
  <c r="V104" i="1"/>
  <c r="W104" i="1" s="1"/>
  <c r="V105" i="1"/>
  <c r="W105" i="1" s="1"/>
  <c r="V112" i="1"/>
  <c r="W112" i="1" s="1"/>
  <c r="V106" i="1"/>
  <c r="W106" i="1" s="1"/>
  <c r="V107" i="1"/>
  <c r="W107" i="1" s="1"/>
  <c r="V117" i="1"/>
  <c r="W117" i="1" s="1"/>
  <c r="V121" i="1"/>
  <c r="W121" i="1" s="1"/>
  <c r="V100" i="1"/>
  <c r="W100" i="1" s="1"/>
  <c r="V101" i="1"/>
  <c r="W101" i="1" s="1"/>
  <c r="V128" i="1"/>
  <c r="W128" i="1" s="1"/>
  <c r="V124" i="1"/>
  <c r="W124" i="1" s="1"/>
  <c r="V102" i="1"/>
  <c r="W102" i="1" s="1"/>
  <c r="V115" i="1"/>
  <c r="W115" i="1" s="1"/>
  <c r="V116" i="1"/>
  <c r="W116" i="1" s="1"/>
  <c r="V118" i="1"/>
  <c r="W118" i="1" s="1"/>
  <c r="V120" i="1"/>
  <c r="W120" i="1" s="1"/>
  <c r="V109" i="1"/>
  <c r="W109" i="1" s="1"/>
  <c r="V113" i="1"/>
  <c r="W113" i="1" s="1"/>
  <c r="V127" i="1"/>
  <c r="W127" i="1" s="1"/>
  <c r="V125" i="1"/>
  <c r="W125" i="1" s="1"/>
  <c r="V110" i="1"/>
  <c r="W110" i="1" s="1"/>
  <c r="V126" i="1"/>
  <c r="W126" i="1" s="1"/>
  <c r="V129" i="1"/>
  <c r="W129" i="1" s="1"/>
  <c r="V114" i="1"/>
  <c r="W114" i="1" s="1"/>
  <c r="V103" i="1"/>
  <c r="W103" i="1" s="1"/>
  <c r="V111" i="1"/>
  <c r="W111" i="1" s="1"/>
  <c r="V130" i="1"/>
  <c r="W130" i="1" s="1"/>
  <c r="V122" i="1"/>
  <c r="W122" i="1" s="1"/>
  <c r="V123" i="1"/>
  <c r="W123" i="1" s="1"/>
  <c r="V131" i="1"/>
  <c r="W131" i="1" s="1"/>
  <c r="V119" i="1"/>
  <c r="W119" i="1" s="1"/>
  <c r="V88" i="1"/>
  <c r="W88" i="1" s="1"/>
  <c r="V68" i="1"/>
  <c r="W68" i="1" s="1"/>
  <c r="V89" i="1"/>
  <c r="W89" i="1" s="1"/>
  <c r="V69" i="1"/>
  <c r="W69" i="1" s="1"/>
  <c r="V86" i="1"/>
  <c r="W86" i="1" s="1"/>
  <c r="V97" i="1"/>
  <c r="W97" i="1" s="1"/>
  <c r="V70" i="1"/>
  <c r="W70" i="1" s="1"/>
  <c r="V71" i="1"/>
  <c r="W71" i="1" s="1"/>
  <c r="V72" i="1"/>
  <c r="W72" i="1" s="1"/>
  <c r="V73" i="1"/>
  <c r="W73" i="1" s="1"/>
  <c r="V74" i="1"/>
  <c r="W74" i="1" s="1"/>
  <c r="V75" i="1"/>
  <c r="W75" i="1" s="1"/>
  <c r="V96" i="1"/>
  <c r="W96" i="1" s="1"/>
  <c r="V76" i="1"/>
  <c r="W76" i="1" s="1"/>
  <c r="V91" i="1"/>
  <c r="W91" i="1" s="1"/>
  <c r="V95" i="1"/>
  <c r="W95" i="1" s="1"/>
  <c r="V92" i="1"/>
  <c r="W92" i="1" s="1"/>
  <c r="V77" i="1"/>
  <c r="W77" i="1" s="1"/>
  <c r="V78" i="1"/>
  <c r="W78" i="1" s="1"/>
  <c r="V79" i="1"/>
  <c r="W79" i="1" s="1"/>
  <c r="V80" i="1"/>
  <c r="W80" i="1" s="1"/>
  <c r="V81" i="1"/>
  <c r="W81" i="1" s="1"/>
  <c r="V82" i="1"/>
  <c r="W82" i="1" s="1"/>
  <c r="V98" i="1"/>
  <c r="W98" i="1" s="1"/>
  <c r="V93" i="1"/>
  <c r="W93" i="1" s="1"/>
  <c r="V99" i="1"/>
  <c r="W99" i="1" s="1"/>
  <c r="V83" i="1"/>
  <c r="W83" i="1" s="1"/>
  <c r="V84" i="1"/>
  <c r="W84" i="1" s="1"/>
  <c r="V90" i="1"/>
  <c r="W90" i="1" s="1"/>
  <c r="V87" i="1"/>
  <c r="W87" i="1" s="1"/>
  <c r="V85" i="1"/>
  <c r="W85" i="1" s="1"/>
  <c r="V94" i="1"/>
  <c r="W94" i="1" s="1"/>
  <c r="V61" i="1"/>
  <c r="W61" i="1" s="1"/>
  <c r="V36" i="1"/>
  <c r="W36" i="1" s="1"/>
  <c r="V53" i="1"/>
  <c r="W53" i="1" s="1"/>
  <c r="V45" i="1"/>
  <c r="W45" i="1" s="1"/>
  <c r="V48" i="1"/>
  <c r="W48" i="1" s="1"/>
  <c r="V64" i="1"/>
  <c r="W64" i="1" s="1"/>
  <c r="V56" i="1"/>
  <c r="W56" i="1" s="1"/>
  <c r="V37" i="1"/>
  <c r="W37" i="1" s="1"/>
  <c r="V38" i="1"/>
  <c r="W38" i="1" s="1"/>
  <c r="V65" i="1"/>
  <c r="W65" i="1" s="1"/>
  <c r="V39" i="1"/>
  <c r="W39" i="1" s="1"/>
  <c r="V49" i="1"/>
  <c r="W49" i="1" s="1"/>
  <c r="V47" i="1"/>
  <c r="W47" i="1" s="1"/>
  <c r="V54" i="1"/>
  <c r="W54" i="1" s="1"/>
  <c r="V40" i="1"/>
  <c r="W40" i="1" s="1"/>
  <c r="V51" i="1"/>
  <c r="W51" i="1" s="1"/>
  <c r="V57" i="1"/>
  <c r="W57" i="1" s="1"/>
  <c r="V41" i="1"/>
  <c r="W41" i="1" s="1"/>
  <c r="V42" i="1"/>
  <c r="W42" i="1" s="1"/>
  <c r="V43" i="1"/>
  <c r="W43" i="1" s="1"/>
  <c r="V59" i="1"/>
  <c r="W59" i="1" s="1"/>
  <c r="V63" i="1"/>
  <c r="W63" i="1" s="1"/>
  <c r="V58" i="1"/>
  <c r="W58" i="1" s="1"/>
  <c r="V66" i="1"/>
  <c r="W66" i="1" s="1"/>
  <c r="V46" i="1"/>
  <c r="W46" i="1" s="1"/>
  <c r="V67" i="1"/>
  <c r="W67" i="1" s="1"/>
  <c r="V55" i="1"/>
  <c r="W55" i="1" s="1"/>
  <c r="V50" i="1"/>
  <c r="W50" i="1" s="1"/>
  <c r="V52" i="1"/>
  <c r="W52" i="1" s="1"/>
  <c r="V60" i="1"/>
  <c r="W60" i="1" s="1"/>
  <c r="V44" i="1"/>
  <c r="W44" i="1" s="1"/>
  <c r="V62" i="1"/>
  <c r="W62" i="1" s="1"/>
  <c r="V2" i="1"/>
  <c r="W2" i="1" s="1"/>
  <c r="V14" i="1"/>
  <c r="W14" i="1" s="1"/>
  <c r="V16" i="1"/>
  <c r="W16" i="1" s="1"/>
  <c r="V32" i="1"/>
  <c r="W32" i="1" s="1"/>
  <c r="V17" i="1"/>
  <c r="W17" i="1" s="1"/>
  <c r="V29" i="1"/>
  <c r="W29" i="1" s="1"/>
  <c r="V3" i="1"/>
  <c r="W3" i="1" s="1"/>
  <c r="V19" i="1"/>
  <c r="W19" i="1" s="1"/>
  <c r="V33" i="1"/>
  <c r="W33" i="1" s="1"/>
  <c r="V24" i="1"/>
  <c r="W24" i="1" s="1"/>
  <c r="V4" i="1"/>
  <c r="W4" i="1" s="1"/>
  <c r="V15" i="1"/>
  <c r="W15" i="1" s="1"/>
  <c r="V7" i="1"/>
  <c r="W7" i="1" s="1"/>
  <c r="V23" i="1"/>
  <c r="W23" i="1" s="1"/>
  <c r="V8" i="1"/>
  <c r="W8" i="1" s="1"/>
  <c r="V18" i="1"/>
  <c r="W18" i="1" s="1"/>
  <c r="V27" i="1"/>
  <c r="W27" i="1" s="1"/>
  <c r="V20" i="1"/>
  <c r="W20" i="1" s="1"/>
  <c r="V28" i="1"/>
  <c r="W28" i="1" s="1"/>
  <c r="V21" i="1"/>
  <c r="W21" i="1" s="1"/>
  <c r="V30" i="1"/>
  <c r="W30" i="1" s="1"/>
  <c r="V34" i="1"/>
  <c r="W34" i="1" s="1"/>
  <c r="V31" i="1"/>
  <c r="W31" i="1" s="1"/>
  <c r="V35" i="1"/>
  <c r="W35" i="1" s="1"/>
  <c r="V9" i="1"/>
  <c r="W9" i="1" s="1"/>
  <c r="V10" i="1"/>
  <c r="W10" i="1" s="1"/>
  <c r="V11" i="1"/>
  <c r="W11" i="1" s="1"/>
  <c r="V26" i="1"/>
  <c r="W26" i="1" s="1"/>
  <c r="V13" i="1"/>
  <c r="W13" i="1" s="1"/>
  <c r="V25" i="1"/>
  <c r="W25" i="1" s="1"/>
  <c r="V12" i="1"/>
  <c r="W12" i="1" s="1"/>
  <c r="V22" i="1"/>
  <c r="W22" i="1" s="1"/>
  <c r="U396" i="1"/>
  <c r="U388" i="1"/>
  <c r="U397" i="1"/>
  <c r="U411" i="1"/>
  <c r="U409" i="1"/>
  <c r="U389" i="1"/>
  <c r="U410" i="1"/>
  <c r="U416" i="1"/>
  <c r="U398" i="1"/>
  <c r="U415" i="1"/>
  <c r="U414" i="1"/>
  <c r="U390" i="1"/>
  <c r="U394" i="1"/>
  <c r="U402" i="1"/>
  <c r="U401" i="1"/>
  <c r="U406" i="1"/>
  <c r="U407" i="1"/>
  <c r="U391" i="1"/>
  <c r="U405" i="1"/>
  <c r="U412" i="1"/>
  <c r="U395" i="1"/>
  <c r="U413" i="1"/>
  <c r="U403" i="1"/>
  <c r="U417" i="1"/>
  <c r="U400" i="1"/>
  <c r="U404" i="1"/>
  <c r="U392" i="1"/>
  <c r="U399" i="1"/>
  <c r="U393" i="1"/>
  <c r="U408" i="1"/>
  <c r="U386" i="1"/>
  <c r="U368" i="1"/>
  <c r="U375" i="1"/>
  <c r="U367" i="1"/>
  <c r="U372" i="1"/>
  <c r="U356" i="1"/>
  <c r="U373" i="1"/>
  <c r="U357" i="1"/>
  <c r="U370" i="1"/>
  <c r="U358" i="1"/>
  <c r="U374" i="1"/>
  <c r="U382" i="1"/>
  <c r="U384" i="1"/>
  <c r="U377" i="1"/>
  <c r="U376" i="1"/>
  <c r="U371" i="1"/>
  <c r="U387" i="1"/>
  <c r="U359" i="1"/>
  <c r="U360" i="1"/>
  <c r="U361" i="1"/>
  <c r="U362" i="1"/>
  <c r="U363" i="1"/>
  <c r="U364" i="1"/>
  <c r="U365" i="1"/>
  <c r="U378" i="1"/>
  <c r="U369" i="1"/>
  <c r="U379" i="1"/>
  <c r="U380" i="1"/>
  <c r="U381" i="1"/>
  <c r="U385" i="1"/>
  <c r="U366" i="1"/>
  <c r="U383" i="1"/>
  <c r="U347" i="1"/>
  <c r="U336" i="1"/>
  <c r="U339" i="1"/>
  <c r="U337" i="1"/>
  <c r="U355" i="1"/>
  <c r="U341" i="1"/>
  <c r="U348" i="1"/>
  <c r="U354" i="1"/>
  <c r="U335" i="1"/>
  <c r="U343" i="1"/>
  <c r="U349" i="1"/>
  <c r="U350" i="1"/>
  <c r="U324" i="1"/>
  <c r="U325" i="1"/>
  <c r="U346" i="1"/>
  <c r="U351" i="1"/>
  <c r="U326" i="1"/>
  <c r="U327" i="1"/>
  <c r="U328" i="1"/>
  <c r="U352" i="1"/>
  <c r="U329" i="1"/>
  <c r="U330" i="1"/>
  <c r="U331" i="1"/>
  <c r="U340" i="1"/>
  <c r="U334" i="1"/>
  <c r="U338" i="1"/>
  <c r="U342" i="1"/>
  <c r="U344" i="1"/>
  <c r="U332" i="1"/>
  <c r="U353" i="1"/>
  <c r="U333" i="1"/>
  <c r="U345" i="1"/>
  <c r="U312" i="1"/>
  <c r="U292" i="1"/>
  <c r="U308" i="1"/>
  <c r="U293" i="1"/>
  <c r="U323" i="1"/>
  <c r="U294" i="1"/>
  <c r="U295" i="1"/>
  <c r="U318" i="1"/>
  <c r="U306" i="1"/>
  <c r="U296" i="1"/>
  <c r="U297" i="1"/>
  <c r="U313" i="1"/>
  <c r="U298" i="1"/>
  <c r="U309" i="1"/>
  <c r="U314" i="1"/>
  <c r="U310" i="1"/>
  <c r="U299" i="1"/>
  <c r="U300" i="1"/>
  <c r="U301" i="1"/>
  <c r="U302" i="1"/>
  <c r="U322" i="1"/>
  <c r="U303" i="1"/>
  <c r="U316" i="1"/>
  <c r="U307" i="1"/>
  <c r="U311" i="1"/>
  <c r="U304" i="1"/>
  <c r="U315" i="1"/>
  <c r="U319" i="1"/>
  <c r="U317" i="1"/>
  <c r="U321" i="1"/>
  <c r="U305" i="1"/>
  <c r="U320" i="1"/>
  <c r="U282" i="1"/>
  <c r="U260" i="1"/>
  <c r="U277" i="1"/>
  <c r="U261" i="1"/>
  <c r="U288" i="1"/>
  <c r="U262" i="1"/>
  <c r="U289" i="1"/>
  <c r="U284" i="1"/>
  <c r="U283" i="1"/>
  <c r="U290" i="1"/>
  <c r="U271" i="1"/>
  <c r="U263" i="1"/>
  <c r="U286" i="1"/>
  <c r="U264" i="1"/>
  <c r="U265" i="1"/>
  <c r="U272" i="1"/>
  <c r="U266" i="1"/>
  <c r="U276" i="1"/>
  <c r="U281" i="1"/>
  <c r="U291" i="1"/>
  <c r="U287" i="1"/>
  <c r="U278" i="1"/>
  <c r="U267" i="1"/>
  <c r="U279" i="1"/>
  <c r="U275" i="1"/>
  <c r="U268" i="1"/>
  <c r="U273" i="1"/>
  <c r="U285" i="1"/>
  <c r="U274" i="1"/>
  <c r="U270" i="1"/>
  <c r="U269" i="1"/>
  <c r="U280" i="1"/>
  <c r="U256" i="1"/>
  <c r="U238" i="1"/>
  <c r="U228" i="1"/>
  <c r="U246" i="1"/>
  <c r="U239" i="1"/>
  <c r="U240" i="1"/>
  <c r="U229" i="1"/>
  <c r="U230" i="1"/>
  <c r="U235" i="1"/>
  <c r="U257" i="1"/>
  <c r="U244" i="1"/>
  <c r="U248" i="1"/>
  <c r="U236" i="1"/>
  <c r="U245" i="1"/>
  <c r="U251" i="1"/>
  <c r="U243" i="1"/>
  <c r="U249" i="1"/>
  <c r="U250" i="1"/>
  <c r="U231" i="1"/>
  <c r="U232" i="1"/>
  <c r="U254" i="1"/>
  <c r="U258" i="1"/>
  <c r="U255" i="1"/>
  <c r="U259" i="1"/>
  <c r="U242" i="1"/>
  <c r="U233" i="1"/>
  <c r="U241" i="1"/>
  <c r="U253" i="1"/>
  <c r="U247" i="1"/>
  <c r="U237" i="1"/>
  <c r="U234" i="1"/>
  <c r="U252" i="1"/>
  <c r="U206" i="1"/>
  <c r="U196" i="1"/>
  <c r="U215" i="1"/>
  <c r="U204" i="1"/>
  <c r="U209" i="1"/>
  <c r="U210" i="1"/>
  <c r="U216" i="1"/>
  <c r="U222" i="1"/>
  <c r="U207" i="1"/>
  <c r="U208" i="1"/>
  <c r="U197" i="1"/>
  <c r="U217" i="1"/>
  <c r="U226" i="1"/>
  <c r="U198" i="1"/>
  <c r="U199" i="1"/>
  <c r="U225" i="1"/>
  <c r="U219" i="1"/>
  <c r="U214" i="1"/>
  <c r="U212" i="1"/>
  <c r="U218" i="1"/>
  <c r="U220" i="1"/>
  <c r="U200" i="1"/>
  <c r="U211" i="1"/>
  <c r="U201" i="1"/>
  <c r="U223" i="1"/>
  <c r="U202" i="1"/>
  <c r="U213" i="1"/>
  <c r="U224" i="1"/>
  <c r="U203" i="1"/>
  <c r="U205" i="1"/>
  <c r="U227" i="1"/>
  <c r="U221" i="1"/>
  <c r="U164" i="1"/>
  <c r="U170" i="1"/>
  <c r="U184" i="1"/>
  <c r="U173" i="1"/>
  <c r="U176" i="1"/>
  <c r="U177" i="1"/>
  <c r="U165" i="1"/>
  <c r="U166" i="1"/>
  <c r="U171" i="1"/>
  <c r="U181" i="1"/>
  <c r="U182" i="1"/>
  <c r="U178" i="1"/>
  <c r="U193" i="1"/>
  <c r="U167" i="1"/>
  <c r="U174" i="1"/>
  <c r="U190" i="1"/>
  <c r="U188" i="1"/>
  <c r="U180" i="1"/>
  <c r="U186" i="1"/>
  <c r="U168" i="1"/>
  <c r="U189" i="1"/>
  <c r="U185" i="1"/>
  <c r="U187" i="1"/>
  <c r="U194" i="1"/>
  <c r="U183" i="1"/>
  <c r="U195" i="1"/>
  <c r="U175" i="1"/>
  <c r="U192" i="1"/>
  <c r="U179" i="1"/>
  <c r="U172" i="1"/>
  <c r="U169" i="1"/>
  <c r="U191" i="1"/>
  <c r="U141" i="1"/>
  <c r="U132" i="1"/>
  <c r="U149" i="1"/>
  <c r="U133" i="1"/>
  <c r="U142" i="1"/>
  <c r="U150" i="1"/>
  <c r="U154" i="1"/>
  <c r="U157" i="1"/>
  <c r="U159" i="1"/>
  <c r="U160" i="1"/>
  <c r="U155" i="1"/>
  <c r="U146" i="1"/>
  <c r="U134" i="1"/>
  <c r="U145" i="1"/>
  <c r="U147" i="1"/>
  <c r="U161" i="1"/>
  <c r="U135" i="1"/>
  <c r="U136" i="1"/>
  <c r="U137" i="1"/>
  <c r="U156" i="1"/>
  <c r="U148" i="1"/>
  <c r="U151" i="1"/>
  <c r="U143" i="1"/>
  <c r="U162" i="1"/>
  <c r="U152" i="1"/>
  <c r="U138" i="1"/>
  <c r="U139" i="1"/>
  <c r="U144" i="1"/>
  <c r="U158" i="1"/>
  <c r="U140" i="1"/>
  <c r="U163" i="1"/>
  <c r="U153" i="1"/>
  <c r="U108" i="1"/>
  <c r="U104" i="1"/>
  <c r="U105" i="1"/>
  <c r="U112" i="1"/>
  <c r="U106" i="1"/>
  <c r="U107" i="1"/>
  <c r="U117" i="1"/>
  <c r="U121" i="1"/>
  <c r="U100" i="1"/>
  <c r="U101" i="1"/>
  <c r="U128" i="1"/>
  <c r="U124" i="1"/>
  <c r="U102" i="1"/>
  <c r="U115" i="1"/>
  <c r="U116" i="1"/>
  <c r="U118" i="1"/>
  <c r="U120" i="1"/>
  <c r="U109" i="1"/>
  <c r="U113" i="1"/>
  <c r="U127" i="1"/>
  <c r="U125" i="1"/>
  <c r="U110" i="1"/>
  <c r="U126" i="1"/>
  <c r="U129" i="1"/>
  <c r="U114" i="1"/>
  <c r="U103" i="1"/>
  <c r="U111" i="1"/>
  <c r="U130" i="1"/>
  <c r="U122" i="1"/>
  <c r="U123" i="1"/>
  <c r="U131" i="1"/>
  <c r="U119" i="1"/>
  <c r="U88" i="1"/>
  <c r="U68" i="1"/>
  <c r="U89" i="1"/>
  <c r="U69" i="1"/>
  <c r="U86" i="1"/>
  <c r="U97" i="1"/>
  <c r="U70" i="1"/>
  <c r="U71" i="1"/>
  <c r="U72" i="1"/>
  <c r="U73" i="1"/>
  <c r="U74" i="1"/>
  <c r="U75" i="1"/>
  <c r="U96" i="1"/>
  <c r="U76" i="1"/>
  <c r="U91" i="1"/>
  <c r="U95" i="1"/>
  <c r="U92" i="1"/>
  <c r="U77" i="1"/>
  <c r="U78" i="1"/>
  <c r="U79" i="1"/>
  <c r="U80" i="1"/>
  <c r="U81" i="1"/>
  <c r="U82" i="1"/>
  <c r="U98" i="1"/>
  <c r="U93" i="1"/>
  <c r="U99" i="1"/>
  <c r="U83" i="1"/>
  <c r="U84" i="1"/>
  <c r="U90" i="1"/>
  <c r="U87" i="1"/>
  <c r="U85" i="1"/>
  <c r="U94" i="1"/>
  <c r="U61" i="1"/>
  <c r="U36" i="1"/>
  <c r="U53" i="1"/>
  <c r="U45" i="1"/>
  <c r="U48" i="1"/>
  <c r="U64" i="1"/>
  <c r="U56" i="1"/>
  <c r="U37" i="1"/>
  <c r="U38" i="1"/>
  <c r="U65" i="1"/>
  <c r="U39" i="1"/>
  <c r="U49" i="1"/>
  <c r="U47" i="1"/>
  <c r="U54" i="1"/>
  <c r="U40" i="1"/>
  <c r="U51" i="1"/>
  <c r="U57" i="1"/>
  <c r="U41" i="1"/>
  <c r="U42" i="1"/>
  <c r="U43" i="1"/>
  <c r="U59" i="1"/>
  <c r="U63" i="1"/>
  <c r="U58" i="1"/>
  <c r="U66" i="1"/>
  <c r="U46" i="1"/>
  <c r="U67" i="1"/>
  <c r="U55" i="1"/>
  <c r="U50" i="1"/>
  <c r="U52" i="1"/>
  <c r="U60" i="1"/>
  <c r="U44" i="1"/>
  <c r="U62" i="1"/>
  <c r="U2" i="1"/>
  <c r="U14" i="1"/>
  <c r="U16" i="1"/>
  <c r="U32" i="1"/>
  <c r="U17" i="1"/>
  <c r="U29" i="1"/>
  <c r="U3" i="1"/>
  <c r="U19" i="1"/>
  <c r="U33" i="1"/>
  <c r="U24" i="1"/>
  <c r="U4" i="1"/>
  <c r="U15" i="1"/>
  <c r="U7" i="1"/>
  <c r="U23" i="1"/>
  <c r="U8" i="1"/>
  <c r="U18" i="1"/>
  <c r="U27" i="1"/>
  <c r="U20" i="1"/>
  <c r="U28" i="1"/>
  <c r="U21" i="1"/>
  <c r="U30" i="1"/>
  <c r="U34" i="1"/>
  <c r="U31" i="1"/>
  <c r="U35" i="1"/>
  <c r="U9" i="1"/>
  <c r="U10" i="1"/>
  <c r="U11" i="1"/>
  <c r="U26" i="1"/>
  <c r="U13" i="1"/>
  <c r="U25" i="1"/>
  <c r="U12" i="1"/>
  <c r="U22" i="1"/>
  <c r="T396" i="1"/>
  <c r="T388" i="1"/>
  <c r="T397" i="1"/>
  <c r="T411" i="1"/>
  <c r="T409" i="1"/>
  <c r="T389" i="1"/>
  <c r="T410" i="1"/>
  <c r="T416" i="1"/>
  <c r="T398" i="1"/>
  <c r="T415" i="1"/>
  <c r="T414" i="1"/>
  <c r="T390" i="1"/>
  <c r="T394" i="1"/>
  <c r="T402" i="1"/>
  <c r="T401" i="1"/>
  <c r="T406" i="1"/>
  <c r="T407" i="1"/>
  <c r="T391" i="1"/>
  <c r="T405" i="1"/>
  <c r="T412" i="1"/>
  <c r="T395" i="1"/>
  <c r="T413" i="1"/>
  <c r="T403" i="1"/>
  <c r="T417" i="1"/>
  <c r="T400" i="1"/>
  <c r="T404" i="1"/>
  <c r="T392" i="1"/>
  <c r="T399" i="1"/>
  <c r="T393" i="1"/>
  <c r="T408" i="1"/>
  <c r="T386" i="1"/>
  <c r="T368" i="1"/>
  <c r="T375" i="1"/>
  <c r="T367" i="1"/>
  <c r="T372" i="1"/>
  <c r="T356" i="1"/>
  <c r="T373" i="1"/>
  <c r="T357" i="1"/>
  <c r="T370" i="1"/>
  <c r="T358" i="1"/>
  <c r="T374" i="1"/>
  <c r="T382" i="1"/>
  <c r="T384" i="1"/>
  <c r="T377" i="1"/>
  <c r="T376" i="1"/>
  <c r="T371" i="1"/>
  <c r="T387" i="1"/>
  <c r="T359" i="1"/>
  <c r="T360" i="1"/>
  <c r="T361" i="1"/>
  <c r="T362" i="1"/>
  <c r="T363" i="1"/>
  <c r="T364" i="1"/>
  <c r="T365" i="1"/>
  <c r="T378" i="1"/>
  <c r="T369" i="1"/>
  <c r="T379" i="1"/>
  <c r="T380" i="1"/>
  <c r="T381" i="1"/>
  <c r="T385" i="1"/>
  <c r="T366" i="1"/>
  <c r="T383" i="1"/>
  <c r="T347" i="1"/>
  <c r="T336" i="1"/>
  <c r="T339" i="1"/>
  <c r="T337" i="1"/>
  <c r="T355" i="1"/>
  <c r="T341" i="1"/>
  <c r="T348" i="1"/>
  <c r="T354" i="1"/>
  <c r="T335" i="1"/>
  <c r="T343" i="1"/>
  <c r="T349" i="1"/>
  <c r="T350" i="1"/>
  <c r="T324" i="1"/>
  <c r="T325" i="1"/>
  <c r="T346" i="1"/>
  <c r="T351" i="1"/>
  <c r="T326" i="1"/>
  <c r="T327" i="1"/>
  <c r="T328" i="1"/>
  <c r="T352" i="1"/>
  <c r="T329" i="1"/>
  <c r="T330" i="1"/>
  <c r="T331" i="1"/>
  <c r="T340" i="1"/>
  <c r="T334" i="1"/>
  <c r="T338" i="1"/>
  <c r="T342" i="1"/>
  <c r="T344" i="1"/>
  <c r="T332" i="1"/>
  <c r="T353" i="1"/>
  <c r="T333" i="1"/>
  <c r="T345" i="1"/>
  <c r="T312" i="1"/>
  <c r="T292" i="1"/>
  <c r="T308" i="1"/>
  <c r="T293" i="1"/>
  <c r="T323" i="1"/>
  <c r="T294" i="1"/>
  <c r="T295" i="1"/>
  <c r="T318" i="1"/>
  <c r="T306" i="1"/>
  <c r="T296" i="1"/>
  <c r="T297" i="1"/>
  <c r="T313" i="1"/>
  <c r="T298" i="1"/>
  <c r="T309" i="1"/>
  <c r="T314" i="1"/>
  <c r="T310" i="1"/>
  <c r="T299" i="1"/>
  <c r="T300" i="1"/>
  <c r="T301" i="1"/>
  <c r="T302" i="1"/>
  <c r="T322" i="1"/>
  <c r="T303" i="1"/>
  <c r="T316" i="1"/>
  <c r="T307" i="1"/>
  <c r="T311" i="1"/>
  <c r="T304" i="1"/>
  <c r="T315" i="1"/>
  <c r="T319" i="1"/>
  <c r="T317" i="1"/>
  <c r="T321" i="1"/>
  <c r="T305" i="1"/>
  <c r="T320" i="1"/>
  <c r="T282" i="1"/>
  <c r="T260" i="1"/>
  <c r="T277" i="1"/>
  <c r="T261" i="1"/>
  <c r="T288" i="1"/>
  <c r="T262" i="1"/>
  <c r="T289" i="1"/>
  <c r="T284" i="1"/>
  <c r="T283" i="1"/>
  <c r="T290" i="1"/>
  <c r="T271" i="1"/>
  <c r="T263" i="1"/>
  <c r="T286" i="1"/>
  <c r="T264" i="1"/>
  <c r="T265" i="1"/>
  <c r="T272" i="1"/>
  <c r="T266" i="1"/>
  <c r="T276" i="1"/>
  <c r="T281" i="1"/>
  <c r="T291" i="1"/>
  <c r="T287" i="1"/>
  <c r="T278" i="1"/>
  <c r="T267" i="1"/>
  <c r="T279" i="1"/>
  <c r="T275" i="1"/>
  <c r="T268" i="1"/>
  <c r="T273" i="1"/>
  <c r="T285" i="1"/>
  <c r="T274" i="1"/>
  <c r="T270" i="1"/>
  <c r="T269" i="1"/>
  <c r="T280" i="1"/>
  <c r="T256" i="1"/>
  <c r="T238" i="1"/>
  <c r="T228" i="1"/>
  <c r="T246" i="1"/>
  <c r="T239" i="1"/>
  <c r="T240" i="1"/>
  <c r="T229" i="1"/>
  <c r="T230" i="1"/>
  <c r="T235" i="1"/>
  <c r="T257" i="1"/>
  <c r="T244" i="1"/>
  <c r="T248" i="1"/>
  <c r="T236" i="1"/>
  <c r="T245" i="1"/>
  <c r="T251" i="1"/>
  <c r="T243" i="1"/>
  <c r="T249" i="1"/>
  <c r="T250" i="1"/>
  <c r="T231" i="1"/>
  <c r="T232" i="1"/>
  <c r="T254" i="1"/>
  <c r="T258" i="1"/>
  <c r="T255" i="1"/>
  <c r="T259" i="1"/>
  <c r="T242" i="1"/>
  <c r="T233" i="1"/>
  <c r="T241" i="1"/>
  <c r="T253" i="1"/>
  <c r="T247" i="1"/>
  <c r="T237" i="1"/>
  <c r="T234" i="1"/>
  <c r="T252" i="1"/>
  <c r="T206" i="1"/>
  <c r="T196" i="1"/>
  <c r="T215" i="1"/>
  <c r="T204" i="1"/>
  <c r="T209" i="1"/>
  <c r="T210" i="1"/>
  <c r="T216" i="1"/>
  <c r="T222" i="1"/>
  <c r="T207" i="1"/>
  <c r="T208" i="1"/>
  <c r="T197" i="1"/>
  <c r="T217" i="1"/>
  <c r="T226" i="1"/>
  <c r="T198" i="1"/>
  <c r="T199" i="1"/>
  <c r="T225" i="1"/>
  <c r="T219" i="1"/>
  <c r="T214" i="1"/>
  <c r="T212" i="1"/>
  <c r="T218" i="1"/>
  <c r="T220" i="1"/>
  <c r="T200" i="1"/>
  <c r="T211" i="1"/>
  <c r="T201" i="1"/>
  <c r="T223" i="1"/>
  <c r="T202" i="1"/>
  <c r="T213" i="1"/>
  <c r="T224" i="1"/>
  <c r="T203" i="1"/>
  <c r="T205" i="1"/>
  <c r="T227" i="1"/>
  <c r="T221" i="1"/>
  <c r="T164" i="1"/>
  <c r="T170" i="1"/>
  <c r="T184" i="1"/>
  <c r="T173" i="1"/>
  <c r="T176" i="1"/>
  <c r="T177" i="1"/>
  <c r="T165" i="1"/>
  <c r="T166" i="1"/>
  <c r="T171" i="1"/>
  <c r="T181" i="1"/>
  <c r="T182" i="1"/>
  <c r="T178" i="1"/>
  <c r="T193" i="1"/>
  <c r="T167" i="1"/>
  <c r="T174" i="1"/>
  <c r="T190" i="1"/>
  <c r="T188" i="1"/>
  <c r="T180" i="1"/>
  <c r="T186" i="1"/>
  <c r="T168" i="1"/>
  <c r="T189" i="1"/>
  <c r="T185" i="1"/>
  <c r="T187" i="1"/>
  <c r="T194" i="1"/>
  <c r="T183" i="1"/>
  <c r="T195" i="1"/>
  <c r="T175" i="1"/>
  <c r="T192" i="1"/>
  <c r="T179" i="1"/>
  <c r="T172" i="1"/>
  <c r="T169" i="1"/>
  <c r="T191" i="1"/>
  <c r="T141" i="1"/>
  <c r="T132" i="1"/>
  <c r="T149" i="1"/>
  <c r="T133" i="1"/>
  <c r="T142" i="1"/>
  <c r="T150" i="1"/>
  <c r="T154" i="1"/>
  <c r="T157" i="1"/>
  <c r="T159" i="1"/>
  <c r="T160" i="1"/>
  <c r="T155" i="1"/>
  <c r="T146" i="1"/>
  <c r="T134" i="1"/>
  <c r="T145" i="1"/>
  <c r="T147" i="1"/>
  <c r="T161" i="1"/>
  <c r="T135" i="1"/>
  <c r="T136" i="1"/>
  <c r="T137" i="1"/>
  <c r="T156" i="1"/>
  <c r="T148" i="1"/>
  <c r="T151" i="1"/>
  <c r="T143" i="1"/>
  <c r="T162" i="1"/>
  <c r="T152" i="1"/>
  <c r="T138" i="1"/>
  <c r="T139" i="1"/>
  <c r="T144" i="1"/>
  <c r="T158" i="1"/>
  <c r="T140" i="1"/>
  <c r="T163" i="1"/>
  <c r="T153" i="1"/>
  <c r="T108" i="1"/>
  <c r="T104" i="1"/>
  <c r="T105" i="1"/>
  <c r="T112" i="1"/>
  <c r="T106" i="1"/>
  <c r="T107" i="1"/>
  <c r="T117" i="1"/>
  <c r="T121" i="1"/>
  <c r="T100" i="1"/>
  <c r="T101" i="1"/>
  <c r="T128" i="1"/>
  <c r="T124" i="1"/>
  <c r="T102" i="1"/>
  <c r="T115" i="1"/>
  <c r="T116" i="1"/>
  <c r="T118" i="1"/>
  <c r="T120" i="1"/>
  <c r="T109" i="1"/>
  <c r="T113" i="1"/>
  <c r="T127" i="1"/>
  <c r="T125" i="1"/>
  <c r="T110" i="1"/>
  <c r="T126" i="1"/>
  <c r="T129" i="1"/>
  <c r="T114" i="1"/>
  <c r="T103" i="1"/>
  <c r="T111" i="1"/>
  <c r="T130" i="1"/>
  <c r="T122" i="1"/>
  <c r="T123" i="1"/>
  <c r="T131" i="1"/>
  <c r="T119" i="1"/>
  <c r="T88" i="1"/>
  <c r="T68" i="1"/>
  <c r="T89" i="1"/>
  <c r="T69" i="1"/>
  <c r="T86" i="1"/>
  <c r="T97" i="1"/>
  <c r="T70" i="1"/>
  <c r="T71" i="1"/>
  <c r="T72" i="1"/>
  <c r="T73" i="1"/>
  <c r="T74" i="1"/>
  <c r="T75" i="1"/>
  <c r="T96" i="1"/>
  <c r="T76" i="1"/>
  <c r="T91" i="1"/>
  <c r="T95" i="1"/>
  <c r="T92" i="1"/>
  <c r="T77" i="1"/>
  <c r="T78" i="1"/>
  <c r="T79" i="1"/>
  <c r="T80" i="1"/>
  <c r="T81" i="1"/>
  <c r="T82" i="1"/>
  <c r="T98" i="1"/>
  <c r="T93" i="1"/>
  <c r="T99" i="1"/>
  <c r="T83" i="1"/>
  <c r="T84" i="1"/>
  <c r="T90" i="1"/>
  <c r="T87" i="1"/>
  <c r="T85" i="1"/>
  <c r="T94" i="1"/>
  <c r="T61" i="1"/>
  <c r="T36" i="1"/>
  <c r="T53" i="1"/>
  <c r="T45" i="1"/>
  <c r="T48" i="1"/>
  <c r="T64" i="1"/>
  <c r="T56" i="1"/>
  <c r="T37" i="1"/>
  <c r="T38" i="1"/>
  <c r="T65" i="1"/>
  <c r="T39" i="1"/>
  <c r="T49" i="1"/>
  <c r="T47" i="1"/>
  <c r="T54" i="1"/>
  <c r="T40" i="1"/>
  <c r="T51" i="1"/>
  <c r="T57" i="1"/>
  <c r="T41" i="1"/>
  <c r="T42" i="1"/>
  <c r="T43" i="1"/>
  <c r="T59" i="1"/>
  <c r="T63" i="1"/>
  <c r="T58" i="1"/>
  <c r="T66" i="1"/>
  <c r="T46" i="1"/>
  <c r="T67" i="1"/>
  <c r="T55" i="1"/>
  <c r="T50" i="1"/>
  <c r="T52" i="1"/>
  <c r="T60" i="1"/>
  <c r="T44" i="1"/>
  <c r="T62" i="1"/>
  <c r="T2" i="1"/>
  <c r="T14" i="1"/>
  <c r="T16" i="1"/>
  <c r="T32" i="1"/>
  <c r="T17" i="1"/>
  <c r="T29" i="1"/>
  <c r="T3" i="1"/>
  <c r="T19" i="1"/>
  <c r="T33" i="1"/>
  <c r="T24" i="1"/>
  <c r="T4" i="1"/>
  <c r="T15" i="1"/>
  <c r="T7" i="1"/>
  <c r="T23" i="1"/>
  <c r="T8" i="1"/>
  <c r="T18" i="1"/>
  <c r="T27" i="1"/>
  <c r="T20" i="1"/>
  <c r="T28" i="1"/>
  <c r="T21" i="1"/>
  <c r="T30" i="1"/>
  <c r="T34" i="1"/>
  <c r="T31" i="1"/>
  <c r="T35" i="1"/>
  <c r="T9" i="1"/>
  <c r="T10" i="1"/>
  <c r="T11" i="1"/>
  <c r="T26" i="1"/>
  <c r="T13" i="1"/>
  <c r="T25" i="1"/>
  <c r="T12" i="1"/>
  <c r="T22" i="1"/>
  <c r="P14" i="1"/>
  <c r="P16" i="1"/>
  <c r="P17" i="1"/>
  <c r="P29" i="1"/>
  <c r="P3" i="1"/>
  <c r="P19" i="1"/>
  <c r="P33" i="1"/>
  <c r="P24" i="1"/>
  <c r="P4" i="1"/>
  <c r="P15" i="1"/>
  <c r="P7" i="1"/>
  <c r="P23" i="1"/>
  <c r="P8" i="1"/>
  <c r="P18" i="1"/>
  <c r="P27" i="1"/>
  <c r="P20" i="1"/>
  <c r="P28" i="1"/>
  <c r="P21" i="1"/>
  <c r="P30" i="1"/>
  <c r="P34" i="1"/>
  <c r="P31" i="1"/>
  <c r="P35" i="1"/>
  <c r="P9" i="1"/>
  <c r="P10" i="1"/>
  <c r="P11" i="1"/>
  <c r="P26" i="1"/>
  <c r="P13" i="1"/>
  <c r="P25" i="1"/>
  <c r="P12" i="1"/>
  <c r="P22" i="1"/>
  <c r="Q2" i="1"/>
  <c r="Q14" i="1"/>
  <c r="Q16" i="1"/>
  <c r="Q32" i="1"/>
  <c r="Q17" i="1"/>
  <c r="Q29" i="1"/>
  <c r="Q3" i="1"/>
  <c r="Q19" i="1"/>
  <c r="Q33" i="1"/>
  <c r="Q24" i="1"/>
  <c r="Q4" i="1"/>
  <c r="Q15" i="1"/>
  <c r="Q7" i="1"/>
  <c r="Q23" i="1"/>
  <c r="Q8" i="1"/>
  <c r="Q18" i="1"/>
  <c r="Q27" i="1"/>
  <c r="Q20" i="1"/>
  <c r="Q28" i="1"/>
  <c r="Q21" i="1"/>
  <c r="Q30" i="1"/>
  <c r="Q34" i="1"/>
  <c r="Q31" i="1"/>
  <c r="Q35" i="1"/>
  <c r="Q9" i="1"/>
  <c r="Q10" i="1"/>
  <c r="Q11" i="1"/>
  <c r="Q26" i="1"/>
  <c r="Q13" i="1"/>
  <c r="Q25" i="1"/>
  <c r="Q12" i="1"/>
  <c r="Q22" i="1"/>
  <c r="R2" i="1"/>
  <c r="R14" i="1"/>
  <c r="R16" i="1"/>
  <c r="R32" i="1"/>
  <c r="R17" i="1"/>
  <c r="R29" i="1"/>
  <c r="R3" i="1"/>
  <c r="R19" i="1"/>
  <c r="R33" i="1"/>
  <c r="R24" i="1"/>
  <c r="R4" i="1"/>
  <c r="R15" i="1"/>
  <c r="R7" i="1"/>
  <c r="R23" i="1"/>
  <c r="R8" i="1"/>
  <c r="R18" i="1"/>
  <c r="R27" i="1"/>
  <c r="R20" i="1"/>
  <c r="R28" i="1"/>
  <c r="R21" i="1"/>
  <c r="R30" i="1"/>
  <c r="R34" i="1"/>
  <c r="R31" i="1"/>
  <c r="R35" i="1"/>
  <c r="R9" i="1"/>
  <c r="R10" i="1"/>
  <c r="R11" i="1"/>
  <c r="R26" i="1"/>
  <c r="R13" i="1"/>
  <c r="R25" i="1"/>
  <c r="R12" i="1"/>
  <c r="R22" i="1"/>
  <c r="S2" i="1"/>
  <c r="S14" i="1"/>
  <c r="S16" i="1"/>
  <c r="S32" i="1"/>
  <c r="S17" i="1"/>
  <c r="S29" i="1"/>
  <c r="S3" i="1"/>
  <c r="S19" i="1"/>
  <c r="S33" i="1"/>
  <c r="S24" i="1"/>
  <c r="S4" i="1"/>
  <c r="S15" i="1"/>
  <c r="S7" i="1"/>
  <c r="S23" i="1"/>
  <c r="S8" i="1"/>
  <c r="S18" i="1"/>
  <c r="S27" i="1"/>
  <c r="S20" i="1"/>
  <c r="S28" i="1"/>
  <c r="S21" i="1"/>
  <c r="S30" i="1"/>
  <c r="S34" i="1"/>
  <c r="S31" i="1"/>
  <c r="S35" i="1"/>
  <c r="S9" i="1"/>
  <c r="S10" i="1"/>
  <c r="S11" i="1"/>
  <c r="S26" i="1"/>
  <c r="S13" i="1"/>
  <c r="S25" i="1"/>
  <c r="S12" i="1"/>
  <c r="S22" i="1"/>
  <c r="AH33" i="9" l="1"/>
  <c r="AE33" i="9"/>
  <c r="AB33" i="9"/>
  <c r="Y33" i="9"/>
  <c r="V33" i="9"/>
  <c r="S33" i="9"/>
  <c r="P33" i="9"/>
  <c r="M33" i="9"/>
  <c r="J33" i="9"/>
  <c r="G33" i="9"/>
  <c r="I3" i="11"/>
  <c r="I4" i="11" s="1"/>
  <c r="I5" i="11" s="1"/>
  <c r="I6" i="11" s="1"/>
  <c r="I7" i="11" s="1"/>
  <c r="I8" i="11" s="1"/>
  <c r="I9" i="11" s="1"/>
  <c r="I10" i="11" s="1"/>
  <c r="I11" i="11" s="1"/>
  <c r="I12" i="11" s="1"/>
  <c r="I13" i="11" s="1"/>
  <c r="I14" i="11" s="1"/>
  <c r="I15" i="11" s="1"/>
  <c r="W320" i="1"/>
  <c r="W319" i="1"/>
  <c r="W307" i="1"/>
  <c r="W302" i="1"/>
  <c r="W310" i="1"/>
  <c r="W313" i="1"/>
  <c r="W318" i="1"/>
  <c r="W293" i="1"/>
  <c r="W365" i="1"/>
  <c r="W367" i="1"/>
  <c r="W408" i="1"/>
  <c r="W404" i="1"/>
  <c r="W413" i="1"/>
  <c r="W391" i="1"/>
  <c r="W402" i="1"/>
  <c r="W415" i="1"/>
  <c r="W315" i="1"/>
  <c r="W316" i="1"/>
  <c r="W301" i="1"/>
  <c r="W297" i="1"/>
  <c r="W295" i="1"/>
  <c r="W308" i="1"/>
  <c r="W400" i="1"/>
  <c r="W395" i="1"/>
  <c r="W407" i="1"/>
  <c r="W394" i="1"/>
  <c r="W398" i="1"/>
  <c r="W396" i="1"/>
  <c r="W314" i="1"/>
  <c r="W321" i="1"/>
  <c r="W303" i="1"/>
  <c r="W300" i="1"/>
  <c r="W309" i="1"/>
  <c r="W294" i="1"/>
  <c r="W292" i="1"/>
  <c r="W399" i="1"/>
  <c r="W412" i="1"/>
  <c r="W406" i="1"/>
  <c r="W416" i="1"/>
  <c r="W411" i="1"/>
  <c r="W305" i="1"/>
  <c r="W296" i="1"/>
  <c r="W317" i="1"/>
  <c r="W311" i="1"/>
  <c r="W299" i="1"/>
  <c r="W298" i="1"/>
  <c r="W306" i="1"/>
  <c r="W312" i="1"/>
  <c r="W392" i="1"/>
  <c r="W403" i="1"/>
  <c r="W401" i="1"/>
  <c r="W414" i="1"/>
  <c r="W304" i="1"/>
  <c r="W323" i="1"/>
  <c r="W390" i="1"/>
  <c r="W397" i="1"/>
  <c r="W388" i="1"/>
  <c r="S396" i="1"/>
  <c r="S388" i="1"/>
  <c r="S397" i="1"/>
  <c r="S411" i="1"/>
  <c r="S409" i="1"/>
  <c r="S389" i="1"/>
  <c r="S410" i="1"/>
  <c r="S416" i="1"/>
  <c r="S398" i="1"/>
  <c r="S415" i="1"/>
  <c r="S414" i="1"/>
  <c r="S390" i="1"/>
  <c r="S394" i="1"/>
  <c r="S402" i="1"/>
  <c r="S401" i="1"/>
  <c r="S406" i="1"/>
  <c r="S407" i="1"/>
  <c r="S391" i="1"/>
  <c r="S405" i="1"/>
  <c r="S412" i="1"/>
  <c r="S395" i="1"/>
  <c r="S413" i="1"/>
  <c r="S403" i="1"/>
  <c r="S417" i="1"/>
  <c r="S400" i="1"/>
  <c r="S404" i="1"/>
  <c r="S392" i="1"/>
  <c r="S399" i="1"/>
  <c r="S393" i="1"/>
  <c r="S408" i="1"/>
  <c r="S386" i="1"/>
  <c r="S368" i="1"/>
  <c r="S375" i="1"/>
  <c r="S367" i="1"/>
  <c r="S372" i="1"/>
  <c r="S356" i="1"/>
  <c r="S373" i="1"/>
  <c r="S357" i="1"/>
  <c r="S370" i="1"/>
  <c r="S358" i="1"/>
  <c r="S374" i="1"/>
  <c r="S382" i="1"/>
  <c r="S384" i="1"/>
  <c r="S377" i="1"/>
  <c r="S376" i="1"/>
  <c r="S371" i="1"/>
  <c r="S387" i="1"/>
  <c r="S359" i="1"/>
  <c r="S360" i="1"/>
  <c r="S361" i="1"/>
  <c r="S362" i="1"/>
  <c r="S363" i="1"/>
  <c r="S364" i="1"/>
  <c r="S365" i="1"/>
  <c r="S378" i="1"/>
  <c r="S369" i="1"/>
  <c r="S379" i="1"/>
  <c r="S380" i="1"/>
  <c r="S381" i="1"/>
  <c r="S385" i="1"/>
  <c r="S366" i="1"/>
  <c r="S383" i="1"/>
  <c r="S347" i="1"/>
  <c r="S336" i="1"/>
  <c r="S339" i="1"/>
  <c r="S337" i="1"/>
  <c r="S355" i="1"/>
  <c r="S341" i="1"/>
  <c r="S348" i="1"/>
  <c r="S354" i="1"/>
  <c r="S335" i="1"/>
  <c r="S343" i="1"/>
  <c r="S349" i="1"/>
  <c r="S350" i="1"/>
  <c r="S324" i="1"/>
  <c r="S325" i="1"/>
  <c r="S346" i="1"/>
  <c r="S351" i="1"/>
  <c r="S326" i="1"/>
  <c r="S327" i="1"/>
  <c r="S328" i="1"/>
  <c r="S352" i="1"/>
  <c r="S329" i="1"/>
  <c r="S330" i="1"/>
  <c r="S331" i="1"/>
  <c r="S340" i="1"/>
  <c r="S334" i="1"/>
  <c r="S338" i="1"/>
  <c r="S342" i="1"/>
  <c r="S344" i="1"/>
  <c r="S332" i="1"/>
  <c r="S353" i="1"/>
  <c r="S333" i="1"/>
  <c r="S345" i="1"/>
  <c r="S312" i="1"/>
  <c r="S292" i="1"/>
  <c r="S308" i="1"/>
  <c r="S293" i="1"/>
  <c r="S323" i="1"/>
  <c r="S294" i="1"/>
  <c r="S295" i="1"/>
  <c r="S318" i="1"/>
  <c r="S306" i="1"/>
  <c r="S296" i="1"/>
  <c r="S297" i="1"/>
  <c r="S313" i="1"/>
  <c r="S298" i="1"/>
  <c r="S309" i="1"/>
  <c r="S314" i="1"/>
  <c r="S310" i="1"/>
  <c r="S299" i="1"/>
  <c r="S300" i="1"/>
  <c r="S301" i="1"/>
  <c r="S302" i="1"/>
  <c r="S322" i="1"/>
  <c r="S303" i="1"/>
  <c r="S316" i="1"/>
  <c r="S307" i="1"/>
  <c r="S311" i="1"/>
  <c r="S304" i="1"/>
  <c r="S315" i="1"/>
  <c r="S319" i="1"/>
  <c r="S317" i="1"/>
  <c r="S321" i="1"/>
  <c r="S305" i="1"/>
  <c r="S320" i="1"/>
  <c r="S282" i="1"/>
  <c r="S260" i="1"/>
  <c r="S277" i="1"/>
  <c r="S261" i="1"/>
  <c r="S288" i="1"/>
  <c r="S262" i="1"/>
  <c r="S289" i="1"/>
  <c r="S284" i="1"/>
  <c r="S283" i="1"/>
  <c r="S290" i="1"/>
  <c r="S271" i="1"/>
  <c r="S263" i="1"/>
  <c r="S286" i="1"/>
  <c r="S264" i="1"/>
  <c r="S265" i="1"/>
  <c r="S272" i="1"/>
  <c r="S266" i="1"/>
  <c r="S276" i="1"/>
  <c r="S281" i="1"/>
  <c r="S291" i="1"/>
  <c r="S287" i="1"/>
  <c r="S278" i="1"/>
  <c r="S267" i="1"/>
  <c r="S279" i="1"/>
  <c r="S275" i="1"/>
  <c r="S268" i="1"/>
  <c r="S273" i="1"/>
  <c r="S285" i="1"/>
  <c r="S274" i="1"/>
  <c r="S270" i="1"/>
  <c r="S269" i="1"/>
  <c r="S280" i="1"/>
  <c r="S256" i="1"/>
  <c r="S238" i="1"/>
  <c r="S228" i="1"/>
  <c r="S246" i="1"/>
  <c r="S239" i="1"/>
  <c r="S240" i="1"/>
  <c r="S229" i="1"/>
  <c r="S230" i="1"/>
  <c r="S235" i="1"/>
  <c r="S257" i="1"/>
  <c r="S244" i="1"/>
  <c r="S248" i="1"/>
  <c r="S236" i="1"/>
  <c r="S245" i="1"/>
  <c r="S251" i="1"/>
  <c r="S243" i="1"/>
  <c r="S249" i="1"/>
  <c r="S250" i="1"/>
  <c r="S231" i="1"/>
  <c r="S232" i="1"/>
  <c r="S254" i="1"/>
  <c r="S258" i="1"/>
  <c r="S255" i="1"/>
  <c r="S259" i="1"/>
  <c r="S242" i="1"/>
  <c r="S233" i="1"/>
  <c r="S241" i="1"/>
  <c r="S253" i="1"/>
  <c r="S247" i="1"/>
  <c r="S237" i="1"/>
  <c r="S234" i="1"/>
  <c r="S252" i="1"/>
  <c r="S206" i="1"/>
  <c r="S196" i="1"/>
  <c r="S215" i="1"/>
  <c r="S204" i="1"/>
  <c r="S209" i="1"/>
  <c r="S210" i="1"/>
  <c r="S216" i="1"/>
  <c r="S222" i="1"/>
  <c r="S207" i="1"/>
  <c r="S208" i="1"/>
  <c r="S197" i="1"/>
  <c r="S217" i="1"/>
  <c r="S226" i="1"/>
  <c r="S198" i="1"/>
  <c r="S199" i="1"/>
  <c r="S225" i="1"/>
  <c r="S219" i="1"/>
  <c r="S214" i="1"/>
  <c r="S212" i="1"/>
  <c r="S218" i="1"/>
  <c r="S220" i="1"/>
  <c r="S200" i="1"/>
  <c r="S211" i="1"/>
  <c r="S201" i="1"/>
  <c r="S223" i="1"/>
  <c r="S202" i="1"/>
  <c r="S213" i="1"/>
  <c r="S224" i="1"/>
  <c r="S203" i="1"/>
  <c r="S205" i="1"/>
  <c r="S227" i="1"/>
  <c r="S221" i="1"/>
  <c r="S164" i="1"/>
  <c r="S170" i="1"/>
  <c r="S184" i="1"/>
  <c r="S173" i="1"/>
  <c r="S176" i="1"/>
  <c r="S177" i="1"/>
  <c r="S165" i="1"/>
  <c r="S166" i="1"/>
  <c r="S171" i="1"/>
  <c r="S181" i="1"/>
  <c r="S182" i="1"/>
  <c r="S178" i="1"/>
  <c r="S193" i="1"/>
  <c r="S167" i="1"/>
  <c r="S174" i="1"/>
  <c r="S190" i="1"/>
  <c r="S188" i="1"/>
  <c r="S180" i="1"/>
  <c r="S186" i="1"/>
  <c r="S168" i="1"/>
  <c r="S189" i="1"/>
  <c r="S185" i="1"/>
  <c r="S187" i="1"/>
  <c r="S194" i="1"/>
  <c r="S183" i="1"/>
  <c r="S195" i="1"/>
  <c r="S175" i="1"/>
  <c r="S192" i="1"/>
  <c r="S179" i="1"/>
  <c r="S172" i="1"/>
  <c r="S169" i="1"/>
  <c r="S191" i="1"/>
  <c r="S141" i="1"/>
  <c r="S132" i="1"/>
  <c r="S149" i="1"/>
  <c r="S133" i="1"/>
  <c r="S142" i="1"/>
  <c r="S150" i="1"/>
  <c r="S154" i="1"/>
  <c r="S157" i="1"/>
  <c r="S159" i="1"/>
  <c r="S160" i="1"/>
  <c r="S155" i="1"/>
  <c r="S146" i="1"/>
  <c r="S134" i="1"/>
  <c r="S145" i="1"/>
  <c r="S147" i="1"/>
  <c r="S161" i="1"/>
  <c r="S135" i="1"/>
  <c r="S136" i="1"/>
  <c r="S137" i="1"/>
  <c r="S156" i="1"/>
  <c r="S148" i="1"/>
  <c r="S151" i="1"/>
  <c r="S143" i="1"/>
  <c r="S162" i="1"/>
  <c r="S152" i="1"/>
  <c r="S138" i="1"/>
  <c r="S139" i="1"/>
  <c r="S144" i="1"/>
  <c r="S158" i="1"/>
  <c r="S140" i="1"/>
  <c r="S163" i="1"/>
  <c r="S153" i="1"/>
  <c r="S108" i="1"/>
  <c r="S104" i="1"/>
  <c r="S105" i="1"/>
  <c r="S112" i="1"/>
  <c r="S106" i="1"/>
  <c r="S107" i="1"/>
  <c r="S117" i="1"/>
  <c r="S121" i="1"/>
  <c r="S100" i="1"/>
  <c r="S101" i="1"/>
  <c r="S128" i="1"/>
  <c r="S124" i="1"/>
  <c r="S102" i="1"/>
  <c r="S115" i="1"/>
  <c r="S116" i="1"/>
  <c r="S118" i="1"/>
  <c r="S120" i="1"/>
  <c r="S109" i="1"/>
  <c r="S113" i="1"/>
  <c r="S127" i="1"/>
  <c r="S125" i="1"/>
  <c r="S110" i="1"/>
  <c r="S126" i="1"/>
  <c r="S129" i="1"/>
  <c r="S114" i="1"/>
  <c r="S103" i="1"/>
  <c r="S111" i="1"/>
  <c r="S130" i="1"/>
  <c r="S122" i="1"/>
  <c r="S123" i="1"/>
  <c r="S131" i="1"/>
  <c r="S119" i="1"/>
  <c r="S88" i="1"/>
  <c r="S68" i="1"/>
  <c r="S89" i="1"/>
  <c r="S69" i="1"/>
  <c r="S86" i="1"/>
  <c r="S97" i="1"/>
  <c r="S70" i="1"/>
  <c r="S71" i="1"/>
  <c r="S72" i="1"/>
  <c r="S73" i="1"/>
  <c r="S74" i="1"/>
  <c r="S75" i="1"/>
  <c r="S96" i="1"/>
  <c r="S76" i="1"/>
  <c r="S91" i="1"/>
  <c r="S95" i="1"/>
  <c r="S92" i="1"/>
  <c r="S77" i="1"/>
  <c r="S78" i="1"/>
  <c r="S79" i="1"/>
  <c r="S80" i="1"/>
  <c r="S81" i="1"/>
  <c r="S82" i="1"/>
  <c r="S98" i="1"/>
  <c r="S93" i="1"/>
  <c r="S99" i="1"/>
  <c r="S83" i="1"/>
  <c r="S84" i="1"/>
  <c r="S90" i="1"/>
  <c r="S87" i="1"/>
  <c r="S85" i="1"/>
  <c r="S94" i="1"/>
  <c r="S61" i="1"/>
  <c r="S36" i="1"/>
  <c r="E32" i="9" s="1" a="1"/>
  <c r="E32" i="9" s="1"/>
  <c r="S53" i="1"/>
  <c r="S45" i="1"/>
  <c r="S48" i="1"/>
  <c r="S64" i="1"/>
  <c r="S56" i="1"/>
  <c r="S37" i="1"/>
  <c r="S38" i="1"/>
  <c r="S65" i="1"/>
  <c r="S39" i="1"/>
  <c r="S49" i="1"/>
  <c r="S47" i="1"/>
  <c r="S54" i="1"/>
  <c r="S40" i="1"/>
  <c r="S51" i="1"/>
  <c r="S57" i="1"/>
  <c r="S41" i="1"/>
  <c r="S42" i="1"/>
  <c r="S43" i="1"/>
  <c r="S59" i="1"/>
  <c r="S63" i="1"/>
  <c r="S58" i="1"/>
  <c r="S66" i="1"/>
  <c r="S46" i="1"/>
  <c r="S67" i="1"/>
  <c r="S55" i="1"/>
  <c r="S50" i="1"/>
  <c r="S52" i="1"/>
  <c r="S60" i="1"/>
  <c r="S44" i="1"/>
  <c r="S62" i="1"/>
  <c r="N32" i="9" l="1" a="1"/>
  <c r="N32" i="9" s="1"/>
  <c r="Z32" i="9" a="1"/>
  <c r="Z32" i="9" s="1"/>
  <c r="E33" i="9" a="1"/>
  <c r="E33" i="9" s="1"/>
  <c r="Q33" i="9" a="1"/>
  <c r="Q33" i="9" s="1"/>
  <c r="AC33" i="9" a="1"/>
  <c r="AC33" i="9" s="1"/>
  <c r="Q32" i="9" a="1"/>
  <c r="Q32" i="9" s="1"/>
  <c r="AC32" i="9" a="1"/>
  <c r="AC32" i="9" s="1"/>
  <c r="H33" i="9" a="1"/>
  <c r="H33" i="9" s="1"/>
  <c r="T33" i="9" a="1"/>
  <c r="T33" i="9" s="1"/>
  <c r="H32" i="9" a="1"/>
  <c r="H32" i="9" s="1"/>
  <c r="T32" i="9" a="1"/>
  <c r="T32" i="9" s="1"/>
  <c r="K33" i="9" a="1"/>
  <c r="K33" i="9" s="1"/>
  <c r="AI33" i="9" a="1"/>
  <c r="AI33" i="9" s="1"/>
  <c r="K32" i="9" a="1"/>
  <c r="K32" i="9" s="1"/>
  <c r="AI32" i="9" a="1"/>
  <c r="AI32" i="9" s="1"/>
  <c r="N33" i="9" a="1"/>
  <c r="N33" i="9" s="1"/>
  <c r="Z33" i="9" a="1"/>
  <c r="Z33" i="9" s="1"/>
  <c r="E20" i="9" a="1"/>
  <c r="E20" i="9" s="1"/>
  <c r="H3" i="11"/>
  <c r="B3" i="9" s="1"/>
  <c r="AI45" i="9" a="1"/>
  <c r="AI45" i="9" s="1"/>
  <c r="AI27" i="9" a="1"/>
  <c r="AI27" i="9" s="1"/>
  <c r="AI46" i="9" a="1"/>
  <c r="AI46" i="9" s="1"/>
  <c r="AI28" i="9" a="1"/>
  <c r="AI28" i="9" s="1"/>
  <c r="AI47" i="9" a="1"/>
  <c r="AI47" i="9" s="1"/>
  <c r="AI29" i="9" a="1"/>
  <c r="AI29" i="9" s="1"/>
  <c r="AI48" i="9" a="1"/>
  <c r="AI48" i="9" s="1"/>
  <c r="AI30" i="9" a="1"/>
  <c r="AI30" i="9" s="1"/>
  <c r="E44" i="9" a="1"/>
  <c r="E44" i="9" s="1"/>
  <c r="E18" i="9" a="1"/>
  <c r="E18" i="9" s="1"/>
  <c r="E40" i="9" a="1"/>
  <c r="E40" i="9" s="1"/>
  <c r="E37" i="9" a="1"/>
  <c r="E37" i="9" s="1"/>
  <c r="E43" i="9" a="1"/>
  <c r="E43" i="9" s="1"/>
  <c r="E25" i="9" a="1"/>
  <c r="E25" i="9" s="1"/>
  <c r="E42" i="9" a="1"/>
  <c r="E42" i="9" s="1"/>
  <c r="E24" i="9" a="1"/>
  <c r="E24" i="9" s="1"/>
  <c r="AI41" i="9" a="1"/>
  <c r="AI41" i="9" s="1"/>
  <c r="AI23" i="9" a="1"/>
  <c r="AI23" i="9" s="1"/>
  <c r="AI42" i="9" a="1"/>
  <c r="AI42" i="9" s="1"/>
  <c r="AI24" i="9" a="1"/>
  <c r="AI24" i="9" s="1"/>
  <c r="AI43" i="9" a="1"/>
  <c r="AI43" i="9" s="1"/>
  <c r="AI25" i="9" a="1"/>
  <c r="AI25" i="9" s="1"/>
  <c r="AI44" i="9" a="1"/>
  <c r="AI44" i="9" s="1"/>
  <c r="AI26" i="9" a="1"/>
  <c r="AI26" i="9" s="1"/>
  <c r="E31" i="9" a="1"/>
  <c r="E31" i="9" s="1"/>
  <c r="E30" i="9" a="1"/>
  <c r="E30" i="9" s="1"/>
  <c r="E27" i="9" a="1"/>
  <c r="E27" i="9" s="1"/>
  <c r="E39" i="9" a="1"/>
  <c r="E39" i="9" s="1"/>
  <c r="E21" i="9" a="1"/>
  <c r="E21" i="9" s="1"/>
  <c r="E38" i="9" a="1"/>
  <c r="E38" i="9" s="1"/>
  <c r="T15" i="9" a="1"/>
  <c r="T15" i="9" s="1"/>
  <c r="T19" i="9" a="1"/>
  <c r="T19" i="9" s="1"/>
  <c r="T23" i="9" a="1"/>
  <c r="T23" i="9" s="1"/>
  <c r="T27" i="9" a="1"/>
  <c r="T27" i="9" s="1"/>
  <c r="T31" i="9" a="1"/>
  <c r="T31" i="9" s="1"/>
  <c r="T37" i="9" a="1"/>
  <c r="T37" i="9" s="1"/>
  <c r="T41" i="9" a="1"/>
  <c r="T41" i="9" s="1"/>
  <c r="T45" i="9" a="1"/>
  <c r="T45" i="9" s="1"/>
  <c r="N15" i="9" a="1"/>
  <c r="N15" i="9" s="1"/>
  <c r="AC15" i="9" a="1"/>
  <c r="AC15" i="9" s="1"/>
  <c r="N17" i="9" a="1"/>
  <c r="N17" i="9" s="1"/>
  <c r="AC17" i="9" a="1"/>
  <c r="AC17" i="9" s="1"/>
  <c r="N19" i="9" a="1"/>
  <c r="N19" i="9" s="1"/>
  <c r="AC19" i="9" a="1"/>
  <c r="AC19" i="9" s="1"/>
  <c r="N21" i="9" a="1"/>
  <c r="N21" i="9" s="1"/>
  <c r="AC21" i="9" a="1"/>
  <c r="AC21" i="9" s="1"/>
  <c r="N23" i="9" a="1"/>
  <c r="N23" i="9" s="1"/>
  <c r="AC23" i="9" a="1"/>
  <c r="AC23" i="9" s="1"/>
  <c r="N25" i="9" a="1"/>
  <c r="N25" i="9" s="1"/>
  <c r="AC25" i="9" a="1"/>
  <c r="AC25" i="9" s="1"/>
  <c r="N27" i="9" a="1"/>
  <c r="N27" i="9" s="1"/>
  <c r="AC27" i="9" a="1"/>
  <c r="AC27" i="9" s="1"/>
  <c r="N29" i="9" a="1"/>
  <c r="N29" i="9" s="1"/>
  <c r="AC29" i="9" a="1"/>
  <c r="AC29" i="9" s="1"/>
  <c r="N31" i="9" a="1"/>
  <c r="N31" i="9" s="1"/>
  <c r="AC31" i="9" a="1"/>
  <c r="AC31" i="9" s="1"/>
  <c r="N35" i="9" a="1"/>
  <c r="N35" i="9" s="1"/>
  <c r="AC35" i="9" a="1"/>
  <c r="AC35" i="9" s="1"/>
  <c r="N37" i="9" a="1"/>
  <c r="N37" i="9" s="1"/>
  <c r="AC37" i="9" a="1"/>
  <c r="AC37" i="9" s="1"/>
  <c r="N39" i="9" a="1"/>
  <c r="N39" i="9" s="1"/>
  <c r="AC39" i="9" a="1"/>
  <c r="AC39" i="9" s="1"/>
  <c r="N41" i="9" a="1"/>
  <c r="N41" i="9" s="1"/>
  <c r="AC41" i="9" a="1"/>
  <c r="AC41" i="9" s="1"/>
  <c r="N43" i="9" a="1"/>
  <c r="N43" i="9" s="1"/>
  <c r="AC43" i="9" a="1"/>
  <c r="AC43" i="9" s="1"/>
  <c r="N45" i="9" a="1"/>
  <c r="N45" i="9" s="1"/>
  <c r="AC45" i="9" a="1"/>
  <c r="AC45" i="9" s="1"/>
  <c r="N47" i="9" a="1"/>
  <c r="N47" i="9" s="1"/>
  <c r="AC47" i="9" a="1"/>
  <c r="AC47" i="9" s="1"/>
  <c r="K18" i="9" a="1"/>
  <c r="K18" i="9" s="1"/>
  <c r="K22" i="9" a="1"/>
  <c r="K22" i="9" s="1"/>
  <c r="K26" i="9" a="1"/>
  <c r="K26" i="9" s="1"/>
  <c r="K30" i="9" a="1"/>
  <c r="K30" i="9" s="1"/>
  <c r="K36" i="9" a="1"/>
  <c r="K36" i="9" s="1"/>
  <c r="K40" i="9" a="1"/>
  <c r="K40" i="9" s="1"/>
  <c r="K44" i="9" a="1"/>
  <c r="K44" i="9" s="1"/>
  <c r="K48" i="9" a="1"/>
  <c r="K48" i="9" s="1"/>
  <c r="T16" i="9" a="1"/>
  <c r="T16" i="9" s="1"/>
  <c r="T20" i="9" a="1"/>
  <c r="T20" i="9" s="1"/>
  <c r="T24" i="9" a="1"/>
  <c r="T24" i="9" s="1"/>
  <c r="T28" i="9" a="1"/>
  <c r="T28" i="9" s="1"/>
  <c r="T34" i="9" a="1"/>
  <c r="T34" i="9" s="1"/>
  <c r="T38" i="9" a="1"/>
  <c r="T38" i="9" s="1"/>
  <c r="T42" i="9" a="1"/>
  <c r="T42" i="9" s="1"/>
  <c r="T46" i="9" a="1"/>
  <c r="T46" i="9" s="1"/>
  <c r="Q15" i="9" a="1"/>
  <c r="Q15" i="9" s="1"/>
  <c r="Z16" i="9" a="1"/>
  <c r="Z16" i="9" s="1"/>
  <c r="Q17" i="9" a="1"/>
  <c r="Q17" i="9" s="1"/>
  <c r="Z18" i="9" a="1"/>
  <c r="Z18" i="9" s="1"/>
  <c r="Q19" i="9" a="1"/>
  <c r="Q19" i="9" s="1"/>
  <c r="Z20" i="9" a="1"/>
  <c r="Z20" i="9" s="1"/>
  <c r="Q21" i="9" a="1"/>
  <c r="Q21" i="9" s="1"/>
  <c r="Z22" i="9" a="1"/>
  <c r="Z22" i="9" s="1"/>
  <c r="Q23" i="9" a="1"/>
  <c r="Q23" i="9" s="1"/>
  <c r="Z24" i="9" a="1"/>
  <c r="Z24" i="9" s="1"/>
  <c r="Q25" i="9" a="1"/>
  <c r="Q25" i="9" s="1"/>
  <c r="Z26" i="9" a="1"/>
  <c r="Z26" i="9" s="1"/>
  <c r="Q27" i="9" a="1"/>
  <c r="Q27" i="9" s="1"/>
  <c r="Z28" i="9" a="1"/>
  <c r="Z28" i="9" s="1"/>
  <c r="Q29" i="9" a="1"/>
  <c r="Q29" i="9" s="1"/>
  <c r="Z30" i="9" a="1"/>
  <c r="Z30" i="9" s="1"/>
  <c r="Q31" i="9" a="1"/>
  <c r="Q31" i="9" s="1"/>
  <c r="Z34" i="9" a="1"/>
  <c r="Z34" i="9" s="1"/>
  <c r="Q35" i="9" a="1"/>
  <c r="Q35" i="9" s="1"/>
  <c r="Z36" i="9" a="1"/>
  <c r="Z36" i="9" s="1"/>
  <c r="Q37" i="9" a="1"/>
  <c r="Q37" i="9" s="1"/>
  <c r="Z38" i="9" a="1"/>
  <c r="Z38" i="9" s="1"/>
  <c r="Q39" i="9" a="1"/>
  <c r="Q39" i="9" s="1"/>
  <c r="Z40" i="9" a="1"/>
  <c r="Z40" i="9" s="1"/>
  <c r="Q41" i="9" a="1"/>
  <c r="Q41" i="9" s="1"/>
  <c r="Z42" i="9" a="1"/>
  <c r="Z42" i="9" s="1"/>
  <c r="Q43" i="9" a="1"/>
  <c r="Q43" i="9" s="1"/>
  <c r="Z44" i="9" a="1"/>
  <c r="Z44" i="9" s="1"/>
  <c r="Q45" i="9" a="1"/>
  <c r="Q45" i="9" s="1"/>
  <c r="Z46" i="9" a="1"/>
  <c r="Z46" i="9" s="1"/>
  <c r="Q47" i="9" a="1"/>
  <c r="Q47" i="9" s="1"/>
  <c r="Z48" i="9" a="1"/>
  <c r="Z48" i="9" s="1"/>
  <c r="K15" i="9" a="1"/>
  <c r="K15" i="9" s="1"/>
  <c r="K19" i="9" a="1"/>
  <c r="K19" i="9" s="1"/>
  <c r="K23" i="9" a="1"/>
  <c r="K23" i="9" s="1"/>
  <c r="K27" i="9" a="1"/>
  <c r="K27" i="9" s="1"/>
  <c r="K31" i="9" a="1"/>
  <c r="K31" i="9" s="1"/>
  <c r="K37" i="9" a="1"/>
  <c r="K37" i="9" s="1"/>
  <c r="K41" i="9" a="1"/>
  <c r="K41" i="9" s="1"/>
  <c r="K45" i="9" a="1"/>
  <c r="K45" i="9" s="1"/>
  <c r="T17" i="9" a="1"/>
  <c r="T17" i="9" s="1"/>
  <c r="T21" i="9" a="1"/>
  <c r="T21" i="9" s="1"/>
  <c r="T25" i="9" a="1"/>
  <c r="T25" i="9" s="1"/>
  <c r="T29" i="9" a="1"/>
  <c r="T29" i="9" s="1"/>
  <c r="T35" i="9" a="1"/>
  <c r="T35" i="9" s="1"/>
  <c r="T39" i="9" a="1"/>
  <c r="T39" i="9" s="1"/>
  <c r="T43" i="9" a="1"/>
  <c r="T43" i="9" s="1"/>
  <c r="T47" i="9" a="1"/>
  <c r="T47" i="9" s="1"/>
  <c r="N16" i="9" a="1"/>
  <c r="N16" i="9" s="1"/>
  <c r="AC16" i="9" a="1"/>
  <c r="AC16" i="9" s="1"/>
  <c r="N18" i="9" a="1"/>
  <c r="N18" i="9" s="1"/>
  <c r="AC18" i="9" a="1"/>
  <c r="AC18" i="9" s="1"/>
  <c r="N20" i="9" a="1"/>
  <c r="N20" i="9" s="1"/>
  <c r="AC20" i="9" a="1"/>
  <c r="AC20" i="9" s="1"/>
  <c r="N22" i="9" a="1"/>
  <c r="N22" i="9" s="1"/>
  <c r="AC22" i="9" a="1"/>
  <c r="AC22" i="9" s="1"/>
  <c r="N24" i="9" a="1"/>
  <c r="N24" i="9" s="1"/>
  <c r="AC24" i="9" a="1"/>
  <c r="AC24" i="9" s="1"/>
  <c r="N26" i="9" a="1"/>
  <c r="N26" i="9" s="1"/>
  <c r="AC26" i="9" a="1"/>
  <c r="AC26" i="9" s="1"/>
  <c r="N28" i="9" a="1"/>
  <c r="N28" i="9" s="1"/>
  <c r="AC28" i="9" a="1"/>
  <c r="AC28" i="9" s="1"/>
  <c r="N30" i="9" a="1"/>
  <c r="N30" i="9" s="1"/>
  <c r="AC30" i="9" a="1"/>
  <c r="AC30" i="9" s="1"/>
  <c r="N34" i="9" a="1"/>
  <c r="N34" i="9" s="1"/>
  <c r="AC34" i="9" a="1"/>
  <c r="AC34" i="9" s="1"/>
  <c r="N36" i="9" a="1"/>
  <c r="N36" i="9" s="1"/>
  <c r="AC36" i="9" a="1"/>
  <c r="AC36" i="9" s="1"/>
  <c r="N38" i="9" a="1"/>
  <c r="N38" i="9" s="1"/>
  <c r="AC38" i="9" a="1"/>
  <c r="AC38" i="9" s="1"/>
  <c r="N40" i="9" a="1"/>
  <c r="N40" i="9" s="1"/>
  <c r="AC40" i="9" a="1"/>
  <c r="AC40" i="9" s="1"/>
  <c r="N42" i="9" a="1"/>
  <c r="N42" i="9" s="1"/>
  <c r="AC42" i="9" a="1"/>
  <c r="AC42" i="9" s="1"/>
  <c r="N44" i="9" a="1"/>
  <c r="N44" i="9" s="1"/>
  <c r="AC44" i="9" a="1"/>
  <c r="AC44" i="9" s="1"/>
  <c r="N46" i="9" a="1"/>
  <c r="N46" i="9" s="1"/>
  <c r="AC46" i="9" a="1"/>
  <c r="AC46" i="9" s="1"/>
  <c r="N48" i="9" a="1"/>
  <c r="N48" i="9" s="1"/>
  <c r="AC48" i="9" a="1"/>
  <c r="AC48" i="9" s="1"/>
  <c r="K16" i="9" a="1"/>
  <c r="K16" i="9" s="1"/>
  <c r="K20" i="9" a="1"/>
  <c r="K20" i="9" s="1"/>
  <c r="K24" i="9" a="1"/>
  <c r="K24" i="9" s="1"/>
  <c r="K28" i="9" a="1"/>
  <c r="K28" i="9" s="1"/>
  <c r="K34" i="9" a="1"/>
  <c r="K34" i="9" s="1"/>
  <c r="K38" i="9" a="1"/>
  <c r="K38" i="9" s="1"/>
  <c r="K42" i="9" a="1"/>
  <c r="K42" i="9" s="1"/>
  <c r="K46" i="9" a="1"/>
  <c r="K46" i="9" s="1"/>
  <c r="T18" i="9" a="1"/>
  <c r="T18" i="9" s="1"/>
  <c r="T22" i="9" a="1"/>
  <c r="T22" i="9" s="1"/>
  <c r="T26" i="9" a="1"/>
  <c r="T26" i="9" s="1"/>
  <c r="T30" i="9" a="1"/>
  <c r="T30" i="9" s="1"/>
  <c r="T36" i="9" a="1"/>
  <c r="T36" i="9" s="1"/>
  <c r="T40" i="9" a="1"/>
  <c r="T40" i="9" s="1"/>
  <c r="T44" i="9" a="1"/>
  <c r="T44" i="9" s="1"/>
  <c r="T48" i="9" a="1"/>
  <c r="T48" i="9" s="1"/>
  <c r="Z15" i="9" a="1"/>
  <c r="Z15" i="9" s="1"/>
  <c r="Q16" i="9" a="1"/>
  <c r="Q16" i="9" s="1"/>
  <c r="Z17" i="9" a="1"/>
  <c r="Z17" i="9" s="1"/>
  <c r="Q18" i="9" a="1"/>
  <c r="Q18" i="9" s="1"/>
  <c r="Z19" i="9" a="1"/>
  <c r="Z19" i="9" s="1"/>
  <c r="Q20" i="9" a="1"/>
  <c r="Q20" i="9" s="1"/>
  <c r="Z21" i="9" a="1"/>
  <c r="Z21" i="9" s="1"/>
  <c r="Q22" i="9" a="1"/>
  <c r="Q22" i="9" s="1"/>
  <c r="Z23" i="9" a="1"/>
  <c r="Z23" i="9" s="1"/>
  <c r="Q24" i="9" a="1"/>
  <c r="Q24" i="9" s="1"/>
  <c r="Z25" i="9" a="1"/>
  <c r="Z25" i="9" s="1"/>
  <c r="Q26" i="9" a="1"/>
  <c r="Q26" i="9" s="1"/>
  <c r="Z27" i="9" a="1"/>
  <c r="Z27" i="9" s="1"/>
  <c r="Q28" i="9" a="1"/>
  <c r="Q28" i="9" s="1"/>
  <c r="Z29" i="9" a="1"/>
  <c r="Z29" i="9" s="1"/>
  <c r="Q30" i="9" a="1"/>
  <c r="Q30" i="9" s="1"/>
  <c r="Z31" i="9" a="1"/>
  <c r="Z31" i="9" s="1"/>
  <c r="Q34" i="9" a="1"/>
  <c r="Q34" i="9" s="1"/>
  <c r="Z35" i="9" a="1"/>
  <c r="Z35" i="9" s="1"/>
  <c r="Q36" i="9" a="1"/>
  <c r="Q36" i="9" s="1"/>
  <c r="Z37" i="9" a="1"/>
  <c r="Z37" i="9" s="1"/>
  <c r="Q38" i="9" a="1"/>
  <c r="Q38" i="9" s="1"/>
  <c r="Z39" i="9" a="1"/>
  <c r="Z39" i="9" s="1"/>
  <c r="Q40" i="9" a="1"/>
  <c r="Q40" i="9" s="1"/>
  <c r="Z41" i="9" a="1"/>
  <c r="Z41" i="9" s="1"/>
  <c r="Q42" i="9" a="1"/>
  <c r="Q42" i="9" s="1"/>
  <c r="Z43" i="9" a="1"/>
  <c r="Z43" i="9" s="1"/>
  <c r="Q44" i="9" a="1"/>
  <c r="Q44" i="9" s="1"/>
  <c r="Z45" i="9" a="1"/>
  <c r="Z45" i="9" s="1"/>
  <c r="Q46" i="9" a="1"/>
  <c r="Q46" i="9" s="1"/>
  <c r="Z47" i="9" a="1"/>
  <c r="Z47" i="9" s="1"/>
  <c r="Q48" i="9" a="1"/>
  <c r="Q48" i="9" s="1"/>
  <c r="K17" i="9" a="1"/>
  <c r="K17" i="9" s="1"/>
  <c r="K21" i="9" a="1"/>
  <c r="K21" i="9" s="1"/>
  <c r="K25" i="9" a="1"/>
  <c r="K25" i="9" s="1"/>
  <c r="K29" i="9" a="1"/>
  <c r="K29" i="9" s="1"/>
  <c r="K35" i="9" a="1"/>
  <c r="K35" i="9" s="1"/>
  <c r="K39" i="9" a="1"/>
  <c r="K39" i="9" s="1"/>
  <c r="K43" i="9" a="1"/>
  <c r="K43" i="9" s="1"/>
  <c r="K47" i="9" a="1"/>
  <c r="K47" i="9" s="1"/>
  <c r="AI37" i="9" a="1"/>
  <c r="AI37" i="9" s="1"/>
  <c r="AI19" i="9" a="1"/>
  <c r="AI19" i="9" s="1"/>
  <c r="AI38" i="9" a="1"/>
  <c r="AI38" i="9" s="1"/>
  <c r="AI20" i="9" a="1"/>
  <c r="AI20" i="9" s="1"/>
  <c r="AI39" i="9" a="1"/>
  <c r="AI39" i="9" s="1"/>
  <c r="AI21" i="9" a="1"/>
  <c r="AI21" i="9" s="1"/>
  <c r="AI40" i="9" a="1"/>
  <c r="AI40" i="9" s="1"/>
  <c r="AI22" i="9" a="1"/>
  <c r="AI22" i="9" s="1"/>
  <c r="E36" i="9" a="1"/>
  <c r="E36" i="9" s="1"/>
  <c r="E41" i="9" a="1"/>
  <c r="E41" i="9" s="1"/>
  <c r="E23" i="9" a="1"/>
  <c r="E23" i="9" s="1"/>
  <c r="E22" i="9" a="1"/>
  <c r="E22" i="9" s="1"/>
  <c r="E19" i="9" a="1"/>
  <c r="E19" i="9" s="1"/>
  <c r="E35" i="9" a="1"/>
  <c r="E35" i="9" s="1"/>
  <c r="E17" i="9" a="1"/>
  <c r="E17" i="9" s="1"/>
  <c r="E34" i="9" a="1"/>
  <c r="E34" i="9" s="1"/>
  <c r="E16" i="9" a="1"/>
  <c r="E16" i="9" s="1"/>
  <c r="AI31" i="9" a="1"/>
  <c r="AI31" i="9" s="1"/>
  <c r="AI15" i="9" a="1"/>
  <c r="AI15" i="9" s="1"/>
  <c r="AI34" i="9" a="1"/>
  <c r="AI34" i="9" s="1"/>
  <c r="AI16" i="9" a="1"/>
  <c r="AI16" i="9" s="1"/>
  <c r="AI35" i="9" a="1"/>
  <c r="AI35" i="9" s="1"/>
  <c r="AI17" i="9" a="1"/>
  <c r="AI17" i="9" s="1"/>
  <c r="AI36" i="9" a="1"/>
  <c r="AI36" i="9" s="1"/>
  <c r="AI18" i="9" a="1"/>
  <c r="AI18" i="9" s="1"/>
  <c r="E48" i="9" a="1"/>
  <c r="E48" i="9" s="1"/>
  <c r="E26" i="9" a="1"/>
  <c r="E26" i="9" s="1"/>
  <c r="E15" i="9" a="1"/>
  <c r="E15" i="9" s="1"/>
  <c r="E45" i="9" a="1"/>
  <c r="E45" i="9" s="1"/>
  <c r="E47" i="9" a="1"/>
  <c r="E47" i="9" s="1"/>
  <c r="E29" i="9" a="1"/>
  <c r="E29" i="9" s="1"/>
  <c r="E46" i="9" a="1"/>
  <c r="E46" i="9" s="1"/>
  <c r="E28" i="9" a="1"/>
  <c r="E28" i="9" s="1"/>
  <c r="H17" i="9" a="1"/>
  <c r="H17" i="9" s="1"/>
  <c r="H19" i="9" a="1"/>
  <c r="H19" i="9" s="1"/>
  <c r="H21" i="9" a="1"/>
  <c r="H21" i="9" s="1"/>
  <c r="H23" i="9" a="1"/>
  <c r="H23" i="9" s="1"/>
  <c r="H25" i="9" a="1"/>
  <c r="H25" i="9" s="1"/>
  <c r="H27" i="9" a="1"/>
  <c r="H27" i="9" s="1"/>
  <c r="H29" i="9" a="1"/>
  <c r="H29" i="9" s="1"/>
  <c r="H31" i="9" a="1"/>
  <c r="H31" i="9" s="1"/>
  <c r="H35" i="9" a="1"/>
  <c r="H35" i="9" s="1"/>
  <c r="H37" i="9" a="1"/>
  <c r="H37" i="9" s="1"/>
  <c r="H39" i="9" a="1"/>
  <c r="H39" i="9" s="1"/>
  <c r="H41" i="9" a="1"/>
  <c r="H41" i="9" s="1"/>
  <c r="H43" i="9" a="1"/>
  <c r="H43" i="9" s="1"/>
  <c r="H45" i="9" a="1"/>
  <c r="H45" i="9" s="1"/>
  <c r="H47" i="9" a="1"/>
  <c r="H47" i="9" s="1"/>
  <c r="H16" i="9" a="1"/>
  <c r="H16" i="9" s="1"/>
  <c r="H18" i="9" a="1"/>
  <c r="H18" i="9" s="1"/>
  <c r="H20" i="9" a="1"/>
  <c r="H20" i="9" s="1"/>
  <c r="H22" i="9" a="1"/>
  <c r="H22" i="9" s="1"/>
  <c r="H24" i="9" a="1"/>
  <c r="H24" i="9" s="1"/>
  <c r="H26" i="9" a="1"/>
  <c r="H26" i="9" s="1"/>
  <c r="H28" i="9" a="1"/>
  <c r="H28" i="9" s="1"/>
  <c r="H30" i="9" a="1"/>
  <c r="H30" i="9" s="1"/>
  <c r="H34" i="9" a="1"/>
  <c r="H34" i="9" s="1"/>
  <c r="H36" i="9" a="1"/>
  <c r="H36" i="9" s="1"/>
  <c r="H38" i="9" a="1"/>
  <c r="H38" i="9" s="1"/>
  <c r="H40" i="9" a="1"/>
  <c r="H40" i="9" s="1"/>
  <c r="H42" i="9" a="1"/>
  <c r="H42" i="9" s="1"/>
  <c r="H15" i="9" a="1"/>
  <c r="H15" i="9" s="1"/>
  <c r="H44" i="9" a="1"/>
  <c r="H44" i="9" s="1"/>
  <c r="H48" i="9" a="1"/>
  <c r="H48" i="9" s="1"/>
  <c r="H46" i="9" a="1"/>
  <c r="H46" i="9" s="1"/>
  <c r="P50" i="1"/>
  <c r="Q50" i="1"/>
  <c r="R50" i="1"/>
  <c r="P47" i="1"/>
  <c r="Q47" i="1"/>
  <c r="R47" i="1"/>
  <c r="P48" i="1"/>
  <c r="Q48" i="1"/>
  <c r="R48" i="1"/>
  <c r="P39" i="1"/>
  <c r="Q39" i="1"/>
  <c r="R39" i="1"/>
  <c r="P49" i="1"/>
  <c r="Q49" i="1"/>
  <c r="R49" i="1"/>
  <c r="P58" i="1"/>
  <c r="Q58" i="1"/>
  <c r="R58" i="1"/>
  <c r="P63" i="1"/>
  <c r="Q63" i="1"/>
  <c r="R63" i="1"/>
  <c r="P45" i="1"/>
  <c r="Q45" i="1"/>
  <c r="R45" i="1"/>
  <c r="P42" i="1"/>
  <c r="Q42" i="1"/>
  <c r="R42" i="1"/>
  <c r="P62" i="1"/>
  <c r="Q62" i="1"/>
  <c r="R62" i="1"/>
  <c r="P54" i="1"/>
  <c r="Q54" i="1"/>
  <c r="R54" i="1"/>
  <c r="P66" i="1"/>
  <c r="Q66" i="1"/>
  <c r="R66" i="1"/>
  <c r="P43" i="1"/>
  <c r="Q43" i="1"/>
  <c r="R43" i="1"/>
  <c r="P41" i="1"/>
  <c r="Q41" i="1"/>
  <c r="R41" i="1"/>
  <c r="P40" i="1"/>
  <c r="Q40" i="1"/>
  <c r="R40" i="1"/>
  <c r="P56" i="1"/>
  <c r="Q56" i="1"/>
  <c r="R56" i="1"/>
  <c r="P53" i="1"/>
  <c r="Q53" i="1"/>
  <c r="R53" i="1"/>
  <c r="P65" i="1"/>
  <c r="Q65" i="1"/>
  <c r="R65" i="1"/>
  <c r="P38" i="1"/>
  <c r="Q38" i="1"/>
  <c r="R38" i="1"/>
  <c r="P57" i="1"/>
  <c r="Q57" i="1"/>
  <c r="R57" i="1"/>
  <c r="P36" i="1"/>
  <c r="Q36" i="1"/>
  <c r="R36" i="1"/>
  <c r="P61" i="1"/>
  <c r="Q61" i="1"/>
  <c r="R61" i="1"/>
  <c r="P51" i="1"/>
  <c r="Q51" i="1"/>
  <c r="R51" i="1"/>
  <c r="P60" i="1"/>
  <c r="Q60" i="1"/>
  <c r="R60" i="1"/>
  <c r="P64" i="1"/>
  <c r="Q64" i="1"/>
  <c r="R64" i="1"/>
  <c r="P44" i="1"/>
  <c r="Q44" i="1"/>
  <c r="R44" i="1"/>
  <c r="P37" i="1"/>
  <c r="Q37" i="1"/>
  <c r="R37" i="1"/>
  <c r="P52" i="1"/>
  <c r="Q52" i="1"/>
  <c r="R52" i="1"/>
  <c r="P55" i="1"/>
  <c r="Q55" i="1"/>
  <c r="R55" i="1"/>
  <c r="P67" i="1"/>
  <c r="Q67" i="1"/>
  <c r="R67" i="1"/>
  <c r="P46" i="1"/>
  <c r="Q46" i="1"/>
  <c r="R46" i="1"/>
  <c r="P59" i="1"/>
  <c r="Q59" i="1"/>
  <c r="R59" i="1"/>
  <c r="L84" i="9" l="1"/>
  <c r="C32" i="9"/>
  <c r="F32" i="9"/>
  <c r="I32" i="9"/>
  <c r="L32" i="9"/>
  <c r="O32" i="9"/>
  <c r="R32" i="9"/>
  <c r="U32" i="9"/>
  <c r="X32" i="9"/>
  <c r="AA32" i="9"/>
  <c r="AD32" i="9"/>
  <c r="AG32" i="9"/>
  <c r="C33" i="9"/>
  <c r="F33" i="9"/>
  <c r="I33" i="9"/>
  <c r="L33" i="9"/>
  <c r="O33" i="9"/>
  <c r="R33" i="9"/>
  <c r="U33" i="9"/>
  <c r="X33" i="9"/>
  <c r="AA33" i="9"/>
  <c r="AD33" i="9"/>
  <c r="AG33" i="9"/>
  <c r="I84" i="9"/>
  <c r="A1" i="9"/>
  <c r="R406" i="1"/>
  <c r="R414" i="1"/>
  <c r="R397" i="1"/>
  <c r="R398" i="1"/>
  <c r="R403" i="1"/>
  <c r="R412" i="1"/>
  <c r="R413" i="1"/>
  <c r="R392" i="1"/>
  <c r="R394" i="1"/>
  <c r="R390" i="1"/>
  <c r="R415" i="1"/>
  <c r="R405" i="1"/>
  <c r="R391" i="1"/>
  <c r="R402" i="1"/>
  <c r="R409" i="1"/>
  <c r="R395" i="1"/>
  <c r="R416" i="1"/>
  <c r="R410" i="1"/>
  <c r="R407" i="1"/>
  <c r="R388" i="1"/>
  <c r="R396" i="1"/>
  <c r="R401" i="1"/>
  <c r="R411" i="1"/>
  <c r="R408" i="1"/>
  <c r="R389" i="1"/>
  <c r="R393" i="1"/>
  <c r="R404" i="1"/>
  <c r="R400" i="1"/>
  <c r="R417" i="1"/>
  <c r="R399" i="1"/>
  <c r="R383" i="1"/>
  <c r="R384" i="1"/>
  <c r="R375" i="1"/>
  <c r="R358" i="1"/>
  <c r="R374" i="1"/>
  <c r="R378" i="1"/>
  <c r="R363" i="1"/>
  <c r="R365" i="1"/>
  <c r="R381" i="1"/>
  <c r="R371" i="1"/>
  <c r="R376" i="1"/>
  <c r="R382" i="1"/>
  <c r="R362" i="1"/>
  <c r="R361" i="1"/>
  <c r="R387" i="1"/>
  <c r="R372" i="1"/>
  <c r="R364" i="1"/>
  <c r="R370" i="1"/>
  <c r="R357" i="1"/>
  <c r="R360" i="1"/>
  <c r="R368" i="1"/>
  <c r="R386" i="1"/>
  <c r="R359" i="1"/>
  <c r="R373" i="1"/>
  <c r="R367" i="1"/>
  <c r="R377" i="1"/>
  <c r="R356" i="1"/>
  <c r="R366" i="1"/>
  <c r="R380" i="1"/>
  <c r="R379" i="1"/>
  <c r="R369" i="1"/>
  <c r="R385" i="1"/>
  <c r="R332" i="1"/>
  <c r="R349" i="1"/>
  <c r="R339" i="1"/>
  <c r="R335" i="1"/>
  <c r="R345" i="1"/>
  <c r="R340" i="1"/>
  <c r="R329" i="1"/>
  <c r="R331" i="1"/>
  <c r="R328" i="1"/>
  <c r="R325" i="1"/>
  <c r="R324" i="1"/>
  <c r="R343" i="1"/>
  <c r="R352" i="1"/>
  <c r="R327" i="1"/>
  <c r="R346" i="1"/>
  <c r="R355" i="1"/>
  <c r="R330" i="1"/>
  <c r="R334" i="1"/>
  <c r="R354" i="1"/>
  <c r="R326" i="1"/>
  <c r="R336" i="1"/>
  <c r="R347" i="1"/>
  <c r="R351" i="1"/>
  <c r="R348" i="1"/>
  <c r="R337" i="1"/>
  <c r="R350" i="1"/>
  <c r="R341" i="1"/>
  <c r="R333" i="1"/>
  <c r="R344" i="1"/>
  <c r="R342" i="1"/>
  <c r="R338" i="1"/>
  <c r="R353" i="1"/>
  <c r="R321" i="1"/>
  <c r="R313" i="1"/>
  <c r="R308" i="1"/>
  <c r="R296" i="1"/>
  <c r="R320" i="1"/>
  <c r="R304" i="1"/>
  <c r="R316" i="1"/>
  <c r="R311" i="1"/>
  <c r="R302" i="1"/>
  <c r="R314" i="1"/>
  <c r="R309" i="1"/>
  <c r="R297" i="1"/>
  <c r="R322" i="1"/>
  <c r="R301" i="1"/>
  <c r="R310" i="1"/>
  <c r="R323" i="1"/>
  <c r="R307" i="1"/>
  <c r="R306" i="1"/>
  <c r="R318" i="1"/>
  <c r="R300" i="1"/>
  <c r="R292" i="1"/>
  <c r="R312" i="1"/>
  <c r="R299" i="1"/>
  <c r="R295" i="1"/>
  <c r="R293" i="1"/>
  <c r="R298" i="1"/>
  <c r="R294" i="1"/>
  <c r="R305" i="1"/>
  <c r="R317" i="1"/>
  <c r="R319" i="1"/>
  <c r="R315" i="1"/>
  <c r="R303" i="1"/>
  <c r="R273" i="1"/>
  <c r="R286" i="1"/>
  <c r="R288" i="1"/>
  <c r="R271" i="1"/>
  <c r="R274" i="1"/>
  <c r="R278" i="1"/>
  <c r="R280" i="1"/>
  <c r="R261" i="1"/>
  <c r="R281" i="1"/>
  <c r="R270" i="1"/>
  <c r="R265" i="1"/>
  <c r="R263" i="1"/>
  <c r="R291" i="1"/>
  <c r="R276" i="1"/>
  <c r="R272" i="1"/>
  <c r="R289" i="1"/>
  <c r="R277" i="1"/>
  <c r="R267" i="1"/>
  <c r="R290" i="1"/>
  <c r="R269" i="1"/>
  <c r="R260" i="1"/>
  <c r="R282" i="1"/>
  <c r="R266" i="1"/>
  <c r="R283" i="1"/>
  <c r="R262" i="1"/>
  <c r="R264" i="1"/>
  <c r="R284" i="1"/>
  <c r="R285" i="1"/>
  <c r="R268" i="1"/>
  <c r="R275" i="1"/>
  <c r="R279" i="1"/>
  <c r="R287" i="1"/>
  <c r="R252" i="1"/>
  <c r="R236" i="1"/>
  <c r="R246" i="1"/>
  <c r="R257" i="1"/>
  <c r="R244" i="1"/>
  <c r="R255" i="1"/>
  <c r="R258" i="1"/>
  <c r="R228" i="1"/>
  <c r="R231" i="1"/>
  <c r="R234" i="1"/>
  <c r="R251" i="1"/>
  <c r="R248" i="1"/>
  <c r="R232" i="1"/>
  <c r="R250" i="1"/>
  <c r="R243" i="1"/>
  <c r="R240" i="1"/>
  <c r="R238" i="1"/>
  <c r="R235" i="1"/>
  <c r="R230" i="1"/>
  <c r="R241" i="1"/>
  <c r="R256" i="1"/>
  <c r="R247" i="1"/>
  <c r="R249" i="1"/>
  <c r="R237" i="1"/>
  <c r="R239" i="1"/>
  <c r="R245" i="1"/>
  <c r="R229" i="1"/>
  <c r="R253" i="1"/>
  <c r="R233" i="1"/>
  <c r="R242" i="1"/>
  <c r="R259" i="1"/>
  <c r="R254" i="1"/>
  <c r="R203" i="1"/>
  <c r="R198" i="1"/>
  <c r="R209" i="1"/>
  <c r="R197" i="1"/>
  <c r="R217" i="1"/>
  <c r="R202" i="1"/>
  <c r="R201" i="1"/>
  <c r="R204" i="1"/>
  <c r="R220" i="1"/>
  <c r="R219" i="1"/>
  <c r="R225" i="1"/>
  <c r="R226" i="1"/>
  <c r="R200" i="1"/>
  <c r="R218" i="1"/>
  <c r="R214" i="1"/>
  <c r="R223" i="1"/>
  <c r="R215" i="1"/>
  <c r="R208" i="1"/>
  <c r="R207" i="1"/>
  <c r="R205" i="1"/>
  <c r="R196" i="1"/>
  <c r="R206" i="1"/>
  <c r="R212" i="1"/>
  <c r="R222" i="1"/>
  <c r="R210" i="1"/>
  <c r="R199" i="1"/>
  <c r="R216" i="1"/>
  <c r="R227" i="1"/>
  <c r="R224" i="1"/>
  <c r="R213" i="1"/>
  <c r="R221" i="1"/>
  <c r="R211" i="1"/>
  <c r="R192" i="1"/>
  <c r="R193" i="1"/>
  <c r="R176" i="1"/>
  <c r="R181" i="1"/>
  <c r="R182" i="1"/>
  <c r="R194" i="1"/>
  <c r="R185" i="1"/>
  <c r="R173" i="1"/>
  <c r="R186" i="1"/>
  <c r="R174" i="1"/>
  <c r="R167" i="1"/>
  <c r="R178" i="1"/>
  <c r="R168" i="1"/>
  <c r="R180" i="1"/>
  <c r="R190" i="1"/>
  <c r="R187" i="1"/>
  <c r="R184" i="1"/>
  <c r="R171" i="1"/>
  <c r="R166" i="1"/>
  <c r="R179" i="1"/>
  <c r="R170" i="1"/>
  <c r="R164" i="1"/>
  <c r="R188" i="1"/>
  <c r="R169" i="1"/>
  <c r="R177" i="1"/>
  <c r="R191" i="1"/>
  <c r="R165" i="1"/>
  <c r="R172" i="1"/>
  <c r="R175" i="1"/>
  <c r="R195" i="1"/>
  <c r="R183" i="1"/>
  <c r="R189" i="1"/>
  <c r="R138" i="1"/>
  <c r="R146" i="1"/>
  <c r="R133" i="1"/>
  <c r="R159" i="1"/>
  <c r="R160" i="1"/>
  <c r="R143" i="1"/>
  <c r="R148" i="1"/>
  <c r="R151" i="1"/>
  <c r="R153" i="1"/>
  <c r="R163" i="1"/>
  <c r="R145" i="1"/>
  <c r="R155" i="1"/>
  <c r="R137" i="1"/>
  <c r="R136" i="1"/>
  <c r="R147" i="1"/>
  <c r="R144" i="1"/>
  <c r="R149" i="1"/>
  <c r="R157" i="1"/>
  <c r="R154" i="1"/>
  <c r="R135" i="1"/>
  <c r="R132" i="1"/>
  <c r="R141" i="1"/>
  <c r="R161" i="1"/>
  <c r="R158" i="1"/>
  <c r="R142" i="1"/>
  <c r="R134" i="1"/>
  <c r="R150" i="1"/>
  <c r="R139" i="1"/>
  <c r="R152" i="1"/>
  <c r="R162" i="1"/>
  <c r="R140" i="1"/>
  <c r="R156" i="1"/>
  <c r="R130" i="1"/>
  <c r="R102" i="1"/>
  <c r="R106" i="1"/>
  <c r="R101" i="1"/>
  <c r="R128" i="1"/>
  <c r="R114" i="1"/>
  <c r="R126" i="1"/>
  <c r="R112" i="1"/>
  <c r="R127" i="1"/>
  <c r="R116" i="1"/>
  <c r="R131" i="1"/>
  <c r="R124" i="1"/>
  <c r="R125" i="1"/>
  <c r="R113" i="1"/>
  <c r="R118" i="1"/>
  <c r="R129" i="1"/>
  <c r="R105" i="1"/>
  <c r="R100" i="1"/>
  <c r="R121" i="1"/>
  <c r="R109" i="1"/>
  <c r="R104" i="1"/>
  <c r="R108" i="1"/>
  <c r="R120" i="1"/>
  <c r="R122" i="1"/>
  <c r="R107" i="1"/>
  <c r="R115" i="1"/>
  <c r="R117" i="1"/>
  <c r="R119" i="1"/>
  <c r="R111" i="1"/>
  <c r="R103" i="1"/>
  <c r="R123" i="1"/>
  <c r="R110" i="1"/>
  <c r="R84" i="1"/>
  <c r="R96" i="1"/>
  <c r="R86" i="1"/>
  <c r="R74" i="1"/>
  <c r="R75" i="1"/>
  <c r="R87" i="1"/>
  <c r="R82" i="1"/>
  <c r="R69" i="1"/>
  <c r="R79" i="1"/>
  <c r="R91" i="1"/>
  <c r="R76" i="1"/>
  <c r="R98" i="1"/>
  <c r="R80" i="1"/>
  <c r="R78" i="1"/>
  <c r="R95" i="1"/>
  <c r="R70" i="1"/>
  <c r="R89" i="1"/>
  <c r="R73" i="1"/>
  <c r="R72" i="1"/>
  <c r="R77" i="1"/>
  <c r="R68" i="1"/>
  <c r="R88" i="1"/>
  <c r="R92" i="1"/>
  <c r="R85" i="1"/>
  <c r="R97" i="1"/>
  <c r="R94" i="1"/>
  <c r="R71" i="1"/>
  <c r="R90" i="1"/>
  <c r="R83" i="1"/>
  <c r="R99" i="1"/>
  <c r="R93" i="1"/>
  <c r="R81" i="1"/>
  <c r="I86" i="9" l="1"/>
  <c r="I85" i="9"/>
  <c r="L86" i="9"/>
  <c r="L85" i="9"/>
  <c r="F84" i="9"/>
  <c r="J48" i="9"/>
  <c r="P48" i="9"/>
  <c r="S48" i="9"/>
  <c r="AB48" i="9"/>
  <c r="M48" i="9"/>
  <c r="Y48" i="9"/>
  <c r="D48" i="9"/>
  <c r="AH48" i="9"/>
  <c r="G48" i="9"/>
  <c r="L48" i="9"/>
  <c r="O48" i="9"/>
  <c r="R48" i="9"/>
  <c r="AA48" i="9"/>
  <c r="X48" i="9"/>
  <c r="I48" i="9"/>
  <c r="C48" i="9"/>
  <c r="AG48" i="9"/>
  <c r="F48" i="9"/>
  <c r="R47" i="9"/>
  <c r="O47" i="9"/>
  <c r="L47" i="9"/>
  <c r="AA47" i="9"/>
  <c r="X47" i="9"/>
  <c r="I47" i="9"/>
  <c r="AG47" i="9"/>
  <c r="C47" i="9"/>
  <c r="F47" i="9"/>
  <c r="Y47" i="9"/>
  <c r="J47" i="9"/>
  <c r="S47" i="9"/>
  <c r="P47" i="9"/>
  <c r="M47" i="9"/>
  <c r="AB47" i="9"/>
  <c r="D47" i="9"/>
  <c r="AH47" i="9"/>
  <c r="G47" i="9"/>
  <c r="L46" i="9"/>
  <c r="X46" i="9"/>
  <c r="I46" i="9"/>
  <c r="O46" i="9"/>
  <c r="AA46" i="9"/>
  <c r="R46" i="9"/>
  <c r="AG46" i="9"/>
  <c r="C46" i="9"/>
  <c r="F46" i="9"/>
  <c r="S46" i="9"/>
  <c r="AB46" i="9"/>
  <c r="J46" i="9"/>
  <c r="Y46" i="9"/>
  <c r="M46" i="9"/>
  <c r="P46" i="9"/>
  <c r="AH46" i="9"/>
  <c r="D46" i="9"/>
  <c r="G46" i="9"/>
  <c r="P45" i="9"/>
  <c r="J45" i="9"/>
  <c r="AB45" i="9"/>
  <c r="Y45" i="9"/>
  <c r="M45" i="9"/>
  <c r="S45" i="9"/>
  <c r="D45" i="9"/>
  <c r="AH45" i="9"/>
  <c r="G45" i="9"/>
  <c r="AA45" i="9"/>
  <c r="X45" i="9"/>
  <c r="R45" i="9"/>
  <c r="L45" i="9"/>
  <c r="O45" i="9"/>
  <c r="I45" i="9"/>
  <c r="AG45" i="9"/>
  <c r="C45" i="9"/>
  <c r="F45" i="9"/>
  <c r="L44" i="9"/>
  <c r="O44" i="9"/>
  <c r="R44" i="9"/>
  <c r="AA44" i="9"/>
  <c r="X44" i="9"/>
  <c r="I44" i="9"/>
  <c r="C44" i="9"/>
  <c r="AG44" i="9"/>
  <c r="F44" i="9"/>
  <c r="J44" i="9"/>
  <c r="P44" i="9"/>
  <c r="S44" i="9"/>
  <c r="AB44" i="9"/>
  <c r="M44" i="9"/>
  <c r="Y44" i="9"/>
  <c r="D44" i="9"/>
  <c r="AH44" i="9"/>
  <c r="G44" i="9"/>
  <c r="Y43" i="9"/>
  <c r="J43" i="9"/>
  <c r="S43" i="9"/>
  <c r="P43" i="9"/>
  <c r="M43" i="9"/>
  <c r="AB43" i="9"/>
  <c r="D43" i="9"/>
  <c r="AH43" i="9"/>
  <c r="G43" i="9"/>
  <c r="R43" i="9"/>
  <c r="O43" i="9"/>
  <c r="L43" i="9"/>
  <c r="AA43" i="9"/>
  <c r="I43" i="9"/>
  <c r="X43" i="9"/>
  <c r="C43" i="9"/>
  <c r="AG43" i="9"/>
  <c r="F43" i="9"/>
  <c r="L42" i="9"/>
  <c r="X42" i="9"/>
  <c r="O42" i="9"/>
  <c r="R42" i="9"/>
  <c r="AA42" i="9"/>
  <c r="I42" i="9"/>
  <c r="AG42" i="9"/>
  <c r="C42" i="9"/>
  <c r="F42" i="9"/>
  <c r="S42" i="9"/>
  <c r="AB42" i="9"/>
  <c r="J42" i="9"/>
  <c r="Y42" i="9"/>
  <c r="M42" i="9"/>
  <c r="P42" i="9"/>
  <c r="D42" i="9"/>
  <c r="AH42" i="9"/>
  <c r="G42" i="9"/>
  <c r="AA41" i="9"/>
  <c r="X41" i="9"/>
  <c r="R41" i="9"/>
  <c r="L41" i="9"/>
  <c r="O41" i="9"/>
  <c r="I41" i="9"/>
  <c r="C41" i="9"/>
  <c r="AG41" i="9"/>
  <c r="F41" i="9"/>
  <c r="P41" i="9"/>
  <c r="J41" i="9"/>
  <c r="AB41" i="9"/>
  <c r="Y41" i="9"/>
  <c r="M41" i="9"/>
  <c r="S41" i="9"/>
  <c r="D41" i="9"/>
  <c r="AH41" i="9"/>
  <c r="G41" i="9"/>
  <c r="L40" i="9"/>
  <c r="O40" i="9"/>
  <c r="R40" i="9"/>
  <c r="AA40" i="9"/>
  <c r="X40" i="9"/>
  <c r="I40" i="9"/>
  <c r="C40" i="9"/>
  <c r="AG40" i="9"/>
  <c r="F40" i="9"/>
  <c r="J40" i="9"/>
  <c r="P40" i="9"/>
  <c r="S40" i="9"/>
  <c r="AB40" i="9"/>
  <c r="M40" i="9"/>
  <c r="Y40" i="9"/>
  <c r="D40" i="9"/>
  <c r="AH40" i="9"/>
  <c r="G40" i="9"/>
  <c r="Y39" i="9"/>
  <c r="J39" i="9"/>
  <c r="S39" i="9"/>
  <c r="P39" i="9"/>
  <c r="M39" i="9"/>
  <c r="AB39" i="9"/>
  <c r="D39" i="9"/>
  <c r="AH39" i="9"/>
  <c r="G39" i="9"/>
  <c r="R39" i="9"/>
  <c r="I39" i="9"/>
  <c r="O39" i="9"/>
  <c r="L39" i="9"/>
  <c r="AA39" i="9"/>
  <c r="X39" i="9"/>
  <c r="C39" i="9"/>
  <c r="AG39" i="9"/>
  <c r="F39" i="9"/>
  <c r="S38" i="9"/>
  <c r="AB38" i="9"/>
  <c r="J38" i="9"/>
  <c r="Y38" i="9"/>
  <c r="M38" i="9"/>
  <c r="P38" i="9"/>
  <c r="D38" i="9"/>
  <c r="AH38" i="9"/>
  <c r="G38" i="9"/>
  <c r="L38" i="9"/>
  <c r="X38" i="9"/>
  <c r="O38" i="9"/>
  <c r="R38" i="9"/>
  <c r="AA38" i="9"/>
  <c r="I38" i="9"/>
  <c r="C38" i="9"/>
  <c r="AG38" i="9"/>
  <c r="F38" i="9"/>
  <c r="AA37" i="9"/>
  <c r="X37" i="9"/>
  <c r="R37" i="9"/>
  <c r="L37" i="9"/>
  <c r="O37" i="9"/>
  <c r="I37" i="9"/>
  <c r="F37" i="9"/>
  <c r="AG37" i="9"/>
  <c r="C37" i="9"/>
  <c r="P37" i="9"/>
  <c r="J37" i="9"/>
  <c r="AB37" i="9"/>
  <c r="Y37" i="9"/>
  <c r="M37" i="9"/>
  <c r="S37" i="9"/>
  <c r="D37" i="9"/>
  <c r="AH37" i="9"/>
  <c r="G37" i="9"/>
  <c r="J36" i="9"/>
  <c r="P36" i="9"/>
  <c r="S36" i="9"/>
  <c r="AB36" i="9"/>
  <c r="M36" i="9"/>
  <c r="Y36" i="9"/>
  <c r="AH36" i="9"/>
  <c r="D36" i="9"/>
  <c r="G36" i="9"/>
  <c r="L36" i="9"/>
  <c r="O36" i="9"/>
  <c r="R36" i="9"/>
  <c r="AA36" i="9"/>
  <c r="I36" i="9"/>
  <c r="X36" i="9"/>
  <c r="C36" i="9"/>
  <c r="AG36" i="9"/>
  <c r="F36" i="9"/>
  <c r="R35" i="9"/>
  <c r="O35" i="9"/>
  <c r="L35" i="9"/>
  <c r="AA35" i="9"/>
  <c r="I35" i="9"/>
  <c r="X35" i="9"/>
  <c r="AG35" i="9"/>
  <c r="C35" i="9"/>
  <c r="F35" i="9"/>
  <c r="Y35" i="9"/>
  <c r="S35" i="9"/>
  <c r="P35" i="9"/>
  <c r="M35" i="9"/>
  <c r="J35" i="9"/>
  <c r="AB35" i="9"/>
  <c r="D35" i="9"/>
  <c r="AH35" i="9"/>
  <c r="G35" i="9"/>
  <c r="S34" i="9"/>
  <c r="AB34" i="9"/>
  <c r="J34" i="9"/>
  <c r="Y34" i="9"/>
  <c r="M34" i="9"/>
  <c r="P34" i="9"/>
  <c r="AH34" i="9"/>
  <c r="D34" i="9"/>
  <c r="G34" i="9"/>
  <c r="L34" i="9"/>
  <c r="X34" i="9"/>
  <c r="O34" i="9"/>
  <c r="R34" i="9"/>
  <c r="AA34" i="9"/>
  <c r="I34" i="9"/>
  <c r="AG34" i="9"/>
  <c r="C34" i="9"/>
  <c r="F34" i="9"/>
  <c r="AA31" i="9"/>
  <c r="X31" i="9"/>
  <c r="R31" i="9"/>
  <c r="L31" i="9"/>
  <c r="O31" i="9"/>
  <c r="I31" i="9"/>
  <c r="AG31" i="9"/>
  <c r="C31" i="9"/>
  <c r="F31" i="9"/>
  <c r="P31" i="9"/>
  <c r="J31" i="9"/>
  <c r="M31" i="9"/>
  <c r="AB31" i="9"/>
  <c r="Y31" i="9"/>
  <c r="S31" i="9"/>
  <c r="AH31" i="9"/>
  <c r="D31" i="9"/>
  <c r="G31" i="9"/>
  <c r="J30" i="9"/>
  <c r="P30" i="9"/>
  <c r="S30" i="9"/>
  <c r="AB30" i="9"/>
  <c r="M30" i="9"/>
  <c r="Y30" i="9"/>
  <c r="AH30" i="9"/>
  <c r="D30" i="9"/>
  <c r="G30" i="9"/>
  <c r="L30" i="9"/>
  <c r="O30" i="9"/>
  <c r="R30" i="9"/>
  <c r="AA30" i="9"/>
  <c r="X30" i="9"/>
  <c r="I30" i="9"/>
  <c r="AG30" i="9"/>
  <c r="C30" i="9"/>
  <c r="F30" i="9"/>
  <c r="R29" i="9"/>
  <c r="O29" i="9"/>
  <c r="L29" i="9"/>
  <c r="AA29" i="9"/>
  <c r="X29" i="9"/>
  <c r="I29" i="9"/>
  <c r="AG29" i="9"/>
  <c r="C29" i="9"/>
  <c r="F29" i="9"/>
  <c r="Y29" i="9"/>
  <c r="J29" i="9"/>
  <c r="S29" i="9"/>
  <c r="P29" i="9"/>
  <c r="M29" i="9"/>
  <c r="AB29" i="9"/>
  <c r="AH29" i="9"/>
  <c r="D29" i="9"/>
  <c r="G29" i="9"/>
  <c r="L28" i="9"/>
  <c r="X28" i="9"/>
  <c r="O28" i="9"/>
  <c r="R28" i="9"/>
  <c r="AA28" i="9"/>
  <c r="I28" i="9"/>
  <c r="AG28" i="9"/>
  <c r="C28" i="9"/>
  <c r="F28" i="9"/>
  <c r="S28" i="9"/>
  <c r="AB28" i="9"/>
  <c r="J28" i="9"/>
  <c r="Y28" i="9"/>
  <c r="M28" i="9"/>
  <c r="P28" i="9"/>
  <c r="AH28" i="9"/>
  <c r="D28" i="9"/>
  <c r="G28" i="9"/>
  <c r="AA27" i="9"/>
  <c r="X27" i="9"/>
  <c r="R27" i="9"/>
  <c r="L27" i="9"/>
  <c r="O27" i="9"/>
  <c r="I27" i="9"/>
  <c r="C27" i="9"/>
  <c r="AG27" i="9"/>
  <c r="F27" i="9"/>
  <c r="P27" i="9"/>
  <c r="J27" i="9"/>
  <c r="AB27" i="9"/>
  <c r="Y27" i="9"/>
  <c r="M27" i="9"/>
  <c r="S27" i="9"/>
  <c r="AH27" i="9"/>
  <c r="D27" i="9"/>
  <c r="G27" i="9"/>
  <c r="P26" i="9"/>
  <c r="S26" i="9"/>
  <c r="AB26" i="9"/>
  <c r="M26" i="9"/>
  <c r="Y26" i="9"/>
  <c r="J26" i="9"/>
  <c r="AH26" i="9"/>
  <c r="D26" i="9"/>
  <c r="G26" i="9"/>
  <c r="L26" i="9"/>
  <c r="O26" i="9"/>
  <c r="R26" i="9"/>
  <c r="AA26" i="9"/>
  <c r="X26" i="9"/>
  <c r="I26" i="9"/>
  <c r="C26" i="9"/>
  <c r="AG26" i="9"/>
  <c r="F26" i="9"/>
  <c r="Y25" i="9"/>
  <c r="J25" i="9"/>
  <c r="S25" i="9"/>
  <c r="P25" i="9"/>
  <c r="M25" i="9"/>
  <c r="AB25" i="9"/>
  <c r="D25" i="9"/>
  <c r="AH25" i="9"/>
  <c r="G25" i="9"/>
  <c r="R25" i="9"/>
  <c r="O25" i="9"/>
  <c r="L25" i="9"/>
  <c r="AA25" i="9"/>
  <c r="I25" i="9"/>
  <c r="X25" i="9"/>
  <c r="C25" i="9"/>
  <c r="AG25" i="9"/>
  <c r="F25" i="9"/>
  <c r="S24" i="9"/>
  <c r="AB24" i="9"/>
  <c r="J24" i="9"/>
  <c r="Y24" i="9"/>
  <c r="M24" i="9"/>
  <c r="P24" i="9"/>
  <c r="D24" i="9"/>
  <c r="AH24" i="9"/>
  <c r="G24" i="9"/>
  <c r="L24" i="9"/>
  <c r="X24" i="9"/>
  <c r="O24" i="9"/>
  <c r="R24" i="9"/>
  <c r="AA24" i="9"/>
  <c r="I24" i="9"/>
  <c r="AG24" i="9"/>
  <c r="C24" i="9"/>
  <c r="F24" i="9"/>
  <c r="AA23" i="9"/>
  <c r="X23" i="9"/>
  <c r="R23" i="9"/>
  <c r="L23" i="9"/>
  <c r="O23" i="9"/>
  <c r="I23" i="9"/>
  <c r="C23" i="9"/>
  <c r="AG23" i="9"/>
  <c r="F23" i="9"/>
  <c r="P23" i="9"/>
  <c r="J23" i="9"/>
  <c r="AB23" i="9"/>
  <c r="Y23" i="9"/>
  <c r="M23" i="9"/>
  <c r="S23" i="9"/>
  <c r="AH23" i="9"/>
  <c r="D23" i="9"/>
  <c r="G23" i="9"/>
  <c r="J22" i="9"/>
  <c r="P22" i="9"/>
  <c r="S22" i="9"/>
  <c r="AB22" i="9"/>
  <c r="M22" i="9"/>
  <c r="Y22" i="9"/>
  <c r="G22" i="9"/>
  <c r="D22" i="9"/>
  <c r="AH22" i="9"/>
  <c r="L22" i="9"/>
  <c r="O22" i="9"/>
  <c r="R22" i="9"/>
  <c r="AA22" i="9"/>
  <c r="I22" i="9"/>
  <c r="X22" i="9"/>
  <c r="C22" i="9"/>
  <c r="AG22" i="9"/>
  <c r="F22" i="9"/>
  <c r="R21" i="9"/>
  <c r="O21" i="9"/>
  <c r="L21" i="9"/>
  <c r="AA21" i="9"/>
  <c r="X21" i="9"/>
  <c r="I21" i="9"/>
  <c r="C21" i="9"/>
  <c r="AG21" i="9"/>
  <c r="F21" i="9"/>
  <c r="Y21" i="9"/>
  <c r="J21" i="9"/>
  <c r="S21" i="9"/>
  <c r="P21" i="9"/>
  <c r="M21" i="9"/>
  <c r="AB21" i="9"/>
  <c r="AH21" i="9"/>
  <c r="D21" i="9"/>
  <c r="G21" i="9"/>
  <c r="S20" i="9"/>
  <c r="AB20" i="9"/>
  <c r="Y20" i="9"/>
  <c r="M20" i="9"/>
  <c r="P20" i="9"/>
  <c r="J20" i="9"/>
  <c r="D20" i="9"/>
  <c r="AH20" i="9"/>
  <c r="G20" i="9"/>
  <c r="L20" i="9"/>
  <c r="X20" i="9"/>
  <c r="O20" i="9"/>
  <c r="R20" i="9"/>
  <c r="AA20" i="9"/>
  <c r="I20" i="9"/>
  <c r="C20" i="9"/>
  <c r="R54" i="9"/>
  <c r="O54" i="9"/>
  <c r="AA54" i="9"/>
  <c r="AG54" i="9"/>
  <c r="X54" i="9"/>
  <c r="AG20" i="9"/>
  <c r="L54" i="9"/>
  <c r="F20" i="9"/>
  <c r="P19" i="9"/>
  <c r="J19" i="9"/>
  <c r="M19" i="9"/>
  <c r="AB19" i="9"/>
  <c r="Y19" i="9"/>
  <c r="S19" i="9"/>
  <c r="AH19" i="9"/>
  <c r="D19" i="9"/>
  <c r="G19" i="9"/>
  <c r="AA19" i="9"/>
  <c r="X19" i="9"/>
  <c r="R19" i="9"/>
  <c r="L19" i="9"/>
  <c r="O19" i="9"/>
  <c r="I19" i="9"/>
  <c r="C19" i="9"/>
  <c r="AG19" i="9"/>
  <c r="F19" i="9"/>
  <c r="J18" i="9"/>
  <c r="P18" i="9"/>
  <c r="S18" i="9"/>
  <c r="AB18" i="9"/>
  <c r="M18" i="9"/>
  <c r="Y18" i="9"/>
  <c r="AH18" i="9"/>
  <c r="D18" i="9"/>
  <c r="G18" i="9"/>
  <c r="L18" i="9"/>
  <c r="O18" i="9"/>
  <c r="R18" i="9"/>
  <c r="AA18" i="9"/>
  <c r="X18" i="9"/>
  <c r="I18" i="9"/>
  <c r="C18" i="9"/>
  <c r="AG18" i="9"/>
  <c r="F18" i="9"/>
  <c r="Y17" i="9"/>
  <c r="S17" i="9"/>
  <c r="P17" i="9"/>
  <c r="M17" i="9"/>
  <c r="J17" i="9"/>
  <c r="AB17" i="9"/>
  <c r="AH17" i="9"/>
  <c r="D17" i="9"/>
  <c r="G17" i="9"/>
  <c r="R17" i="9"/>
  <c r="O17" i="9"/>
  <c r="L17" i="9"/>
  <c r="AA17" i="9"/>
  <c r="X17" i="9"/>
  <c r="I17" i="9"/>
  <c r="AG17" i="9"/>
  <c r="O51" i="9"/>
  <c r="C17" i="9"/>
  <c r="X51" i="9"/>
  <c r="R51" i="9"/>
  <c r="L51" i="9"/>
  <c r="AA51" i="9"/>
  <c r="AG51" i="9"/>
  <c r="F17" i="9"/>
  <c r="L16" i="9"/>
  <c r="X16" i="9"/>
  <c r="O16" i="9"/>
  <c r="R16" i="9"/>
  <c r="AA16" i="9"/>
  <c r="I16" i="9"/>
  <c r="AG16" i="9"/>
  <c r="C16" i="9"/>
  <c r="AA53" i="9"/>
  <c r="O53" i="9"/>
  <c r="AG53" i="9"/>
  <c r="X53" i="9"/>
  <c r="L53" i="9"/>
  <c r="R53" i="9"/>
  <c r="F16" i="9"/>
  <c r="S16" i="9"/>
  <c r="AB16" i="9"/>
  <c r="J16" i="9"/>
  <c r="Y16" i="9"/>
  <c r="M16" i="9"/>
  <c r="P16" i="9"/>
  <c r="D16" i="9"/>
  <c r="AH16" i="9"/>
  <c r="G16" i="9"/>
  <c r="AA50" i="9"/>
  <c r="O50" i="9"/>
  <c r="X15" i="9"/>
  <c r="I15" i="9"/>
  <c r="X50" i="9"/>
  <c r="L50" i="9"/>
  <c r="AG15" i="9"/>
  <c r="C15" i="9"/>
  <c r="F15" i="9"/>
  <c r="AG50" i="9"/>
  <c r="R15" i="9"/>
  <c r="O15" i="9"/>
  <c r="R50" i="9"/>
  <c r="AA15" i="9"/>
  <c r="AD6" i="9"/>
  <c r="L15" i="9"/>
  <c r="R6" i="9"/>
  <c r="L52" i="9"/>
  <c r="O52" i="9"/>
  <c r="AA52" i="9"/>
  <c r="R52" i="9"/>
  <c r="AG52" i="9"/>
  <c r="X52" i="9"/>
  <c r="AD11" i="9"/>
  <c r="X6" i="9"/>
  <c r="AB15" i="9"/>
  <c r="AD7" i="9"/>
  <c r="M15" i="9"/>
  <c r="Y15" i="9"/>
  <c r="J15" i="9"/>
  <c r="AH15" i="9"/>
  <c r="G15" i="9"/>
  <c r="S15" i="9"/>
  <c r="P15" i="9"/>
  <c r="D15" i="9"/>
  <c r="R7" i="9"/>
  <c r="AD12" i="9"/>
  <c r="X7" i="9"/>
  <c r="Q406" i="1"/>
  <c r="Q414" i="1"/>
  <c r="Q397" i="1"/>
  <c r="Q398" i="1"/>
  <c r="Q403" i="1"/>
  <c r="Q412" i="1"/>
  <c r="Q413" i="1"/>
  <c r="Q392" i="1"/>
  <c r="Q394" i="1"/>
  <c r="Q390" i="1"/>
  <c r="Q415" i="1"/>
  <c r="Q405" i="1"/>
  <c r="Q391" i="1"/>
  <c r="Q402" i="1"/>
  <c r="Q409" i="1"/>
  <c r="Q395" i="1"/>
  <c r="Q416" i="1"/>
  <c r="Q410" i="1"/>
  <c r="Q407" i="1"/>
  <c r="Q388" i="1"/>
  <c r="Q396" i="1"/>
  <c r="Q401" i="1"/>
  <c r="Q411" i="1"/>
  <c r="Q408" i="1"/>
  <c r="Q389" i="1"/>
  <c r="Q393" i="1"/>
  <c r="Q404" i="1"/>
  <c r="Q400" i="1"/>
  <c r="Q417" i="1"/>
  <c r="Q399" i="1"/>
  <c r="Q383" i="1"/>
  <c r="Q384" i="1"/>
  <c r="Q375" i="1"/>
  <c r="Q358" i="1"/>
  <c r="Q374" i="1"/>
  <c r="Q378" i="1"/>
  <c r="Q363" i="1"/>
  <c r="Q365" i="1"/>
  <c r="Q381" i="1"/>
  <c r="Q371" i="1"/>
  <c r="Q376" i="1"/>
  <c r="Q382" i="1"/>
  <c r="Q362" i="1"/>
  <c r="Q361" i="1"/>
  <c r="Q387" i="1"/>
  <c r="Q372" i="1"/>
  <c r="Q364" i="1"/>
  <c r="Q370" i="1"/>
  <c r="Q357" i="1"/>
  <c r="Q360" i="1"/>
  <c r="Q368" i="1"/>
  <c r="Q386" i="1"/>
  <c r="Q359" i="1"/>
  <c r="Q373" i="1"/>
  <c r="Q367" i="1"/>
  <c r="Q377" i="1"/>
  <c r="Q356" i="1"/>
  <c r="Q366" i="1"/>
  <c r="Q380" i="1"/>
  <c r="Q379" i="1"/>
  <c r="Q369" i="1"/>
  <c r="Q385" i="1"/>
  <c r="Q332" i="1"/>
  <c r="Q349" i="1"/>
  <c r="Q339" i="1"/>
  <c r="Q335" i="1"/>
  <c r="Q345" i="1"/>
  <c r="Q340" i="1"/>
  <c r="Q329" i="1"/>
  <c r="Q331" i="1"/>
  <c r="Q328" i="1"/>
  <c r="Q325" i="1"/>
  <c r="Q324" i="1"/>
  <c r="Q343" i="1"/>
  <c r="Q352" i="1"/>
  <c r="Q327" i="1"/>
  <c r="Q346" i="1"/>
  <c r="Q355" i="1"/>
  <c r="Q330" i="1"/>
  <c r="Q334" i="1"/>
  <c r="Q354" i="1"/>
  <c r="Q326" i="1"/>
  <c r="Q336" i="1"/>
  <c r="Q347" i="1"/>
  <c r="Q351" i="1"/>
  <c r="Q348" i="1"/>
  <c r="Q337" i="1"/>
  <c r="Q350" i="1"/>
  <c r="Q341" i="1"/>
  <c r="Q333" i="1"/>
  <c r="Q344" i="1"/>
  <c r="Q342" i="1"/>
  <c r="Q338" i="1"/>
  <c r="Q353" i="1"/>
  <c r="Q321" i="1"/>
  <c r="Q313" i="1"/>
  <c r="Q308" i="1"/>
  <c r="Q296" i="1"/>
  <c r="Q320" i="1"/>
  <c r="Q304" i="1"/>
  <c r="Q316" i="1"/>
  <c r="Q311" i="1"/>
  <c r="Q302" i="1"/>
  <c r="Q314" i="1"/>
  <c r="Q309" i="1"/>
  <c r="Q297" i="1"/>
  <c r="Q322" i="1"/>
  <c r="Q301" i="1"/>
  <c r="Q310" i="1"/>
  <c r="Q323" i="1"/>
  <c r="Q307" i="1"/>
  <c r="Q306" i="1"/>
  <c r="Q318" i="1"/>
  <c r="Q300" i="1"/>
  <c r="Q292" i="1"/>
  <c r="Q312" i="1"/>
  <c r="Q299" i="1"/>
  <c r="Q295" i="1"/>
  <c r="Q293" i="1"/>
  <c r="Q298" i="1"/>
  <c r="Q294" i="1"/>
  <c r="Q305" i="1"/>
  <c r="Q317" i="1"/>
  <c r="Q319" i="1"/>
  <c r="Q315" i="1"/>
  <c r="Q303" i="1"/>
  <c r="Q273" i="1"/>
  <c r="Q286" i="1"/>
  <c r="Q288" i="1"/>
  <c r="Q271" i="1"/>
  <c r="Q274" i="1"/>
  <c r="Q278" i="1"/>
  <c r="Q280" i="1"/>
  <c r="Q261" i="1"/>
  <c r="Q281" i="1"/>
  <c r="Q270" i="1"/>
  <c r="Q265" i="1"/>
  <c r="Q263" i="1"/>
  <c r="Q291" i="1"/>
  <c r="Q276" i="1"/>
  <c r="Q272" i="1"/>
  <c r="Q289" i="1"/>
  <c r="Q277" i="1"/>
  <c r="Q267" i="1"/>
  <c r="Q290" i="1"/>
  <c r="Q269" i="1"/>
  <c r="Q260" i="1"/>
  <c r="Q282" i="1"/>
  <c r="Q266" i="1"/>
  <c r="Q283" i="1"/>
  <c r="Q262" i="1"/>
  <c r="Q264" i="1"/>
  <c r="Q284" i="1"/>
  <c r="Q285" i="1"/>
  <c r="Q268" i="1"/>
  <c r="Q275" i="1"/>
  <c r="Q279" i="1"/>
  <c r="Q287" i="1"/>
  <c r="Q252" i="1"/>
  <c r="Q236" i="1"/>
  <c r="Q246" i="1"/>
  <c r="Q257" i="1"/>
  <c r="Q244" i="1"/>
  <c r="Q255" i="1"/>
  <c r="Q258" i="1"/>
  <c r="Q228" i="1"/>
  <c r="Q231" i="1"/>
  <c r="Q234" i="1"/>
  <c r="Q251" i="1"/>
  <c r="Q248" i="1"/>
  <c r="Q232" i="1"/>
  <c r="Q250" i="1"/>
  <c r="Q243" i="1"/>
  <c r="Q240" i="1"/>
  <c r="Q238" i="1"/>
  <c r="Q235" i="1"/>
  <c r="Q230" i="1"/>
  <c r="Q241" i="1"/>
  <c r="Q256" i="1"/>
  <c r="Q247" i="1"/>
  <c r="Q249" i="1"/>
  <c r="Q237" i="1"/>
  <c r="Q239" i="1"/>
  <c r="Q245" i="1"/>
  <c r="Q229" i="1"/>
  <c r="Q253" i="1"/>
  <c r="Q233" i="1"/>
  <c r="Q242" i="1"/>
  <c r="Q259" i="1"/>
  <c r="Q254" i="1"/>
  <c r="Q203" i="1"/>
  <c r="Q198" i="1"/>
  <c r="Q209" i="1"/>
  <c r="Q197" i="1"/>
  <c r="Q217" i="1"/>
  <c r="Q202" i="1"/>
  <c r="Q201" i="1"/>
  <c r="Q204" i="1"/>
  <c r="Q220" i="1"/>
  <c r="Q219" i="1"/>
  <c r="Q225" i="1"/>
  <c r="Q226" i="1"/>
  <c r="Q200" i="1"/>
  <c r="Q218" i="1"/>
  <c r="Q214" i="1"/>
  <c r="Q223" i="1"/>
  <c r="Q215" i="1"/>
  <c r="Q208" i="1"/>
  <c r="Q207" i="1"/>
  <c r="Q205" i="1"/>
  <c r="Q196" i="1"/>
  <c r="Q206" i="1"/>
  <c r="Q212" i="1"/>
  <c r="Q222" i="1"/>
  <c r="Q210" i="1"/>
  <c r="Q199" i="1"/>
  <c r="Q216" i="1"/>
  <c r="Q227" i="1"/>
  <c r="Q224" i="1"/>
  <c r="Q213" i="1"/>
  <c r="Q221" i="1"/>
  <c r="Q211" i="1"/>
  <c r="Q192" i="1"/>
  <c r="Q193" i="1"/>
  <c r="Q176" i="1"/>
  <c r="Q181" i="1"/>
  <c r="Q182" i="1"/>
  <c r="Q194" i="1"/>
  <c r="Q185" i="1"/>
  <c r="Q173" i="1"/>
  <c r="Q186" i="1"/>
  <c r="Q174" i="1"/>
  <c r="Q167" i="1"/>
  <c r="Q178" i="1"/>
  <c r="Q168" i="1"/>
  <c r="Q180" i="1"/>
  <c r="Q190" i="1"/>
  <c r="Q187" i="1"/>
  <c r="Q184" i="1"/>
  <c r="Q171" i="1"/>
  <c r="Q166" i="1"/>
  <c r="Q179" i="1"/>
  <c r="Q170" i="1"/>
  <c r="Q164" i="1"/>
  <c r="Q188" i="1"/>
  <c r="Q169" i="1"/>
  <c r="Q177" i="1"/>
  <c r="Q191" i="1"/>
  <c r="Q165" i="1"/>
  <c r="Q172" i="1"/>
  <c r="Q175" i="1"/>
  <c r="Q195" i="1"/>
  <c r="Q183" i="1"/>
  <c r="Q189" i="1"/>
  <c r="Q138" i="1"/>
  <c r="Q146" i="1"/>
  <c r="Q133" i="1"/>
  <c r="Q159" i="1"/>
  <c r="Q160" i="1"/>
  <c r="Q143" i="1"/>
  <c r="Q148" i="1"/>
  <c r="Q151" i="1"/>
  <c r="Q153" i="1"/>
  <c r="Q163" i="1"/>
  <c r="Q145" i="1"/>
  <c r="Q155" i="1"/>
  <c r="Q137" i="1"/>
  <c r="Q136" i="1"/>
  <c r="Q147" i="1"/>
  <c r="Q144" i="1"/>
  <c r="Q149" i="1"/>
  <c r="Q157" i="1"/>
  <c r="Q154" i="1"/>
  <c r="Q135" i="1"/>
  <c r="Q132" i="1"/>
  <c r="Q141" i="1"/>
  <c r="Q161" i="1"/>
  <c r="Q158" i="1"/>
  <c r="Q142" i="1"/>
  <c r="Q134" i="1"/>
  <c r="Q150" i="1"/>
  <c r="Q139" i="1"/>
  <c r="Q152" i="1"/>
  <c r="Q162" i="1"/>
  <c r="Q140" i="1"/>
  <c r="Q156" i="1"/>
  <c r="Q130" i="1"/>
  <c r="Q102" i="1"/>
  <c r="Q106" i="1"/>
  <c r="Q101" i="1"/>
  <c r="Q128" i="1"/>
  <c r="Q114" i="1"/>
  <c r="Q126" i="1"/>
  <c r="Q112" i="1"/>
  <c r="Q127" i="1"/>
  <c r="Q116" i="1"/>
  <c r="Q131" i="1"/>
  <c r="Q124" i="1"/>
  <c r="Q125" i="1"/>
  <c r="Q113" i="1"/>
  <c r="Q118" i="1"/>
  <c r="Q129" i="1"/>
  <c r="Q105" i="1"/>
  <c r="Q100" i="1"/>
  <c r="Q121" i="1"/>
  <c r="Q109" i="1"/>
  <c r="Q104" i="1"/>
  <c r="Q108" i="1"/>
  <c r="Q120" i="1"/>
  <c r="Q122" i="1"/>
  <c r="Q107" i="1"/>
  <c r="Q115" i="1"/>
  <c r="Q117" i="1"/>
  <c r="Q119" i="1"/>
  <c r="Q111" i="1"/>
  <c r="Q103" i="1"/>
  <c r="Q123" i="1"/>
  <c r="Q110" i="1"/>
  <c r="Q84" i="1"/>
  <c r="Q96" i="1"/>
  <c r="Q86" i="1"/>
  <c r="Q74" i="1"/>
  <c r="Q75" i="1"/>
  <c r="Q87" i="1"/>
  <c r="Q82" i="1"/>
  <c r="Q69" i="1"/>
  <c r="Q79" i="1"/>
  <c r="Q91" i="1"/>
  <c r="Q76" i="1"/>
  <c r="Q98" i="1"/>
  <c r="Q80" i="1"/>
  <c r="Q78" i="1"/>
  <c r="Q95" i="1"/>
  <c r="Q70" i="1"/>
  <c r="Q89" i="1"/>
  <c r="Q73" i="1"/>
  <c r="Q72" i="1"/>
  <c r="Q77" i="1"/>
  <c r="Q68" i="1"/>
  <c r="Q88" i="1"/>
  <c r="Q92" i="1"/>
  <c r="Q85" i="1"/>
  <c r="Q97" i="1"/>
  <c r="Q94" i="1"/>
  <c r="Q71" i="1"/>
  <c r="Q90" i="1"/>
  <c r="Q83" i="1"/>
  <c r="Q99" i="1"/>
  <c r="Q93" i="1"/>
  <c r="Q81" i="1"/>
  <c r="P406" i="1"/>
  <c r="P414" i="1"/>
  <c r="P397" i="1"/>
  <c r="P398" i="1"/>
  <c r="P403" i="1"/>
  <c r="P412" i="1"/>
  <c r="P413" i="1"/>
  <c r="P392" i="1"/>
  <c r="P394" i="1"/>
  <c r="P390" i="1"/>
  <c r="P415" i="1"/>
  <c r="P405" i="1"/>
  <c r="P391" i="1"/>
  <c r="P402" i="1"/>
  <c r="P409" i="1"/>
  <c r="P395" i="1"/>
  <c r="P416" i="1"/>
  <c r="P410" i="1"/>
  <c r="P407" i="1"/>
  <c r="P388" i="1"/>
  <c r="P396" i="1"/>
  <c r="P401" i="1"/>
  <c r="P411" i="1"/>
  <c r="P408" i="1"/>
  <c r="P389" i="1"/>
  <c r="P393" i="1"/>
  <c r="P404" i="1"/>
  <c r="P400" i="1"/>
  <c r="P417" i="1"/>
  <c r="P399" i="1"/>
  <c r="P383" i="1"/>
  <c r="P384" i="1"/>
  <c r="P375" i="1"/>
  <c r="P358" i="1"/>
  <c r="P374" i="1"/>
  <c r="P378" i="1"/>
  <c r="P363" i="1"/>
  <c r="P365" i="1"/>
  <c r="P381" i="1"/>
  <c r="P371" i="1"/>
  <c r="P376" i="1"/>
  <c r="P382" i="1"/>
  <c r="P362" i="1"/>
  <c r="P361" i="1"/>
  <c r="P387" i="1"/>
  <c r="P372" i="1"/>
  <c r="P364" i="1"/>
  <c r="P370" i="1"/>
  <c r="P357" i="1"/>
  <c r="P360" i="1"/>
  <c r="P368" i="1"/>
  <c r="P386" i="1"/>
  <c r="P359" i="1"/>
  <c r="P373" i="1"/>
  <c r="P367" i="1"/>
  <c r="P377" i="1"/>
  <c r="P356" i="1"/>
  <c r="P366" i="1"/>
  <c r="P380" i="1"/>
  <c r="P379" i="1"/>
  <c r="P369" i="1"/>
  <c r="P385" i="1"/>
  <c r="P332" i="1"/>
  <c r="P349" i="1"/>
  <c r="P339" i="1"/>
  <c r="P335" i="1"/>
  <c r="P345" i="1"/>
  <c r="P340" i="1"/>
  <c r="P329" i="1"/>
  <c r="P331" i="1"/>
  <c r="P328" i="1"/>
  <c r="P325" i="1"/>
  <c r="P324" i="1"/>
  <c r="P343" i="1"/>
  <c r="P352" i="1"/>
  <c r="P327" i="1"/>
  <c r="P346" i="1"/>
  <c r="P355" i="1"/>
  <c r="P330" i="1"/>
  <c r="P334" i="1"/>
  <c r="P354" i="1"/>
  <c r="P326" i="1"/>
  <c r="P336" i="1"/>
  <c r="P347" i="1"/>
  <c r="P351" i="1"/>
  <c r="P348" i="1"/>
  <c r="P337" i="1"/>
  <c r="P350" i="1"/>
  <c r="P341" i="1"/>
  <c r="P333" i="1"/>
  <c r="P344" i="1"/>
  <c r="P342" i="1"/>
  <c r="P338" i="1"/>
  <c r="P353" i="1"/>
  <c r="P321" i="1"/>
  <c r="P313" i="1"/>
  <c r="P308" i="1"/>
  <c r="P296" i="1"/>
  <c r="P320" i="1"/>
  <c r="P304" i="1"/>
  <c r="P316" i="1"/>
  <c r="P311" i="1"/>
  <c r="P302" i="1"/>
  <c r="P314" i="1"/>
  <c r="P309" i="1"/>
  <c r="P297" i="1"/>
  <c r="P322" i="1"/>
  <c r="P301" i="1"/>
  <c r="P310" i="1"/>
  <c r="P323" i="1"/>
  <c r="P307" i="1"/>
  <c r="P306" i="1"/>
  <c r="P318" i="1"/>
  <c r="P300" i="1"/>
  <c r="P292" i="1"/>
  <c r="P312" i="1"/>
  <c r="P299" i="1"/>
  <c r="P295" i="1"/>
  <c r="P293" i="1"/>
  <c r="P298" i="1"/>
  <c r="P294" i="1"/>
  <c r="P305" i="1"/>
  <c r="P317" i="1"/>
  <c r="P319" i="1"/>
  <c r="P315" i="1"/>
  <c r="P303" i="1"/>
  <c r="P273" i="1"/>
  <c r="P286" i="1"/>
  <c r="P288" i="1"/>
  <c r="P271" i="1"/>
  <c r="P274" i="1"/>
  <c r="P278" i="1"/>
  <c r="P280" i="1"/>
  <c r="P261" i="1"/>
  <c r="P281" i="1"/>
  <c r="P270" i="1"/>
  <c r="P265" i="1"/>
  <c r="P263" i="1"/>
  <c r="P291" i="1"/>
  <c r="P276" i="1"/>
  <c r="P272" i="1"/>
  <c r="P289" i="1"/>
  <c r="P277" i="1"/>
  <c r="P267" i="1"/>
  <c r="P290" i="1"/>
  <c r="P269" i="1"/>
  <c r="P260" i="1"/>
  <c r="P282" i="1"/>
  <c r="P266" i="1"/>
  <c r="P283" i="1"/>
  <c r="P262" i="1"/>
  <c r="P264" i="1"/>
  <c r="P284" i="1"/>
  <c r="P285" i="1"/>
  <c r="P268" i="1"/>
  <c r="P275" i="1"/>
  <c r="P279" i="1"/>
  <c r="P287" i="1"/>
  <c r="P252" i="1"/>
  <c r="P236" i="1"/>
  <c r="P246" i="1"/>
  <c r="P257" i="1"/>
  <c r="P244" i="1"/>
  <c r="P255" i="1"/>
  <c r="P258" i="1"/>
  <c r="P228" i="1"/>
  <c r="P231" i="1"/>
  <c r="P234" i="1"/>
  <c r="P251" i="1"/>
  <c r="P248" i="1"/>
  <c r="P232" i="1"/>
  <c r="P250" i="1"/>
  <c r="P243" i="1"/>
  <c r="P240" i="1"/>
  <c r="P238" i="1"/>
  <c r="P235" i="1"/>
  <c r="P230" i="1"/>
  <c r="P241" i="1"/>
  <c r="P256" i="1"/>
  <c r="P247" i="1"/>
  <c r="P249" i="1"/>
  <c r="P237" i="1"/>
  <c r="P239" i="1"/>
  <c r="P245" i="1"/>
  <c r="P229" i="1"/>
  <c r="P253" i="1"/>
  <c r="P233" i="1"/>
  <c r="P242" i="1"/>
  <c r="P259" i="1"/>
  <c r="P254" i="1"/>
  <c r="P203" i="1"/>
  <c r="P198" i="1"/>
  <c r="P209" i="1"/>
  <c r="P197" i="1"/>
  <c r="P217" i="1"/>
  <c r="P202" i="1"/>
  <c r="P201" i="1"/>
  <c r="P204" i="1"/>
  <c r="P220" i="1"/>
  <c r="P219" i="1"/>
  <c r="P225" i="1"/>
  <c r="P226" i="1"/>
  <c r="P200" i="1"/>
  <c r="P218" i="1"/>
  <c r="P214" i="1"/>
  <c r="P223" i="1"/>
  <c r="P215" i="1"/>
  <c r="P208" i="1"/>
  <c r="P207" i="1"/>
  <c r="P205" i="1"/>
  <c r="P196" i="1"/>
  <c r="P206" i="1"/>
  <c r="P212" i="1"/>
  <c r="P222" i="1"/>
  <c r="P210" i="1"/>
  <c r="P199" i="1"/>
  <c r="P216" i="1"/>
  <c r="P227" i="1"/>
  <c r="P224" i="1"/>
  <c r="P213" i="1"/>
  <c r="P221" i="1"/>
  <c r="P211" i="1"/>
  <c r="P192" i="1"/>
  <c r="P193" i="1"/>
  <c r="P176" i="1"/>
  <c r="P181" i="1"/>
  <c r="P182" i="1"/>
  <c r="P194" i="1"/>
  <c r="P185" i="1"/>
  <c r="P173" i="1"/>
  <c r="P186" i="1"/>
  <c r="P174" i="1"/>
  <c r="P167" i="1"/>
  <c r="P178" i="1"/>
  <c r="P168" i="1"/>
  <c r="P180" i="1"/>
  <c r="P190" i="1"/>
  <c r="P187" i="1"/>
  <c r="P184" i="1"/>
  <c r="P171" i="1"/>
  <c r="P166" i="1"/>
  <c r="P179" i="1"/>
  <c r="P170" i="1"/>
  <c r="P164" i="1"/>
  <c r="P188" i="1"/>
  <c r="P169" i="1"/>
  <c r="P177" i="1"/>
  <c r="P191" i="1"/>
  <c r="P165" i="1"/>
  <c r="P172" i="1"/>
  <c r="P175" i="1"/>
  <c r="P195" i="1"/>
  <c r="P183" i="1"/>
  <c r="P189" i="1"/>
  <c r="P138" i="1"/>
  <c r="P146" i="1"/>
  <c r="P133" i="1"/>
  <c r="P159" i="1"/>
  <c r="P160" i="1"/>
  <c r="P143" i="1"/>
  <c r="P148" i="1"/>
  <c r="P151" i="1"/>
  <c r="P153" i="1"/>
  <c r="P163" i="1"/>
  <c r="P145" i="1"/>
  <c r="P155" i="1"/>
  <c r="P137" i="1"/>
  <c r="P136" i="1"/>
  <c r="P147" i="1"/>
  <c r="P144" i="1"/>
  <c r="P149" i="1"/>
  <c r="P157" i="1"/>
  <c r="P154" i="1"/>
  <c r="P135" i="1"/>
  <c r="P132" i="1"/>
  <c r="P141" i="1"/>
  <c r="P161" i="1"/>
  <c r="P158" i="1"/>
  <c r="P142" i="1"/>
  <c r="P134" i="1"/>
  <c r="P150" i="1"/>
  <c r="P139" i="1"/>
  <c r="P152" i="1"/>
  <c r="P162" i="1"/>
  <c r="P140" i="1"/>
  <c r="P156" i="1"/>
  <c r="P130" i="1"/>
  <c r="P102" i="1"/>
  <c r="P106" i="1"/>
  <c r="P101" i="1"/>
  <c r="P128" i="1"/>
  <c r="P114" i="1"/>
  <c r="P126" i="1"/>
  <c r="P112" i="1"/>
  <c r="P127" i="1"/>
  <c r="P116" i="1"/>
  <c r="P131" i="1"/>
  <c r="P124" i="1"/>
  <c r="P125" i="1"/>
  <c r="P113" i="1"/>
  <c r="P118" i="1"/>
  <c r="P129" i="1"/>
  <c r="P105" i="1"/>
  <c r="P100" i="1"/>
  <c r="P121" i="1"/>
  <c r="P109" i="1"/>
  <c r="P104" i="1"/>
  <c r="P108" i="1"/>
  <c r="P120" i="1"/>
  <c r="P122" i="1"/>
  <c r="P107" i="1"/>
  <c r="P115" i="1"/>
  <c r="P117" i="1"/>
  <c r="P119" i="1"/>
  <c r="P111" i="1"/>
  <c r="P103" i="1"/>
  <c r="P123" i="1"/>
  <c r="P110" i="1"/>
  <c r="P84" i="1"/>
  <c r="P96" i="1"/>
  <c r="P86" i="1"/>
  <c r="P74" i="1"/>
  <c r="P75" i="1"/>
  <c r="P87" i="1"/>
  <c r="P82" i="1"/>
  <c r="P69" i="1"/>
  <c r="P79" i="1"/>
  <c r="P91" i="1"/>
  <c r="P76" i="1"/>
  <c r="P98" i="1"/>
  <c r="P80" i="1"/>
  <c r="P78" i="1"/>
  <c r="P95" i="1"/>
  <c r="P70" i="1"/>
  <c r="P89" i="1"/>
  <c r="P73" i="1"/>
  <c r="P72" i="1"/>
  <c r="P77" i="1"/>
  <c r="P68" i="1"/>
  <c r="P88" i="1"/>
  <c r="P92" i="1"/>
  <c r="P85" i="1"/>
  <c r="P97" i="1"/>
  <c r="P94" i="1"/>
  <c r="P71" i="1"/>
  <c r="P90" i="1"/>
  <c r="P83" i="1"/>
  <c r="P99" i="1"/>
  <c r="P93" i="1"/>
  <c r="P81" i="1"/>
  <c r="W32" i="9" l="1" a="1"/>
  <c r="W32" i="9" s="1"/>
  <c r="W33" i="9" a="1"/>
  <c r="W33" i="9" s="1"/>
  <c r="AF32" i="9" a="1"/>
  <c r="AF32" i="9" s="1"/>
  <c r="AF33" i="9" a="1"/>
  <c r="AF33" i="9" s="1"/>
  <c r="F86" i="9"/>
  <c r="F85" i="9"/>
  <c r="AD45" i="9"/>
  <c r="AD40" i="9"/>
  <c r="V46" i="9"/>
  <c r="U30" i="9"/>
  <c r="AE44" i="9"/>
  <c r="V19" i="9"/>
  <c r="U48" i="9"/>
  <c r="AD19" i="9"/>
  <c r="AD15" i="9"/>
  <c r="AE18" i="9"/>
  <c r="AE39" i="9"/>
  <c r="AD46" i="9"/>
  <c r="U22" i="9"/>
  <c r="V29" i="9"/>
  <c r="V38" i="9"/>
  <c r="I87" i="9"/>
  <c r="AD36" i="9"/>
  <c r="U31" i="9"/>
  <c r="V20" i="9"/>
  <c r="V23" i="9"/>
  <c r="U39" i="9"/>
  <c r="U23" i="9"/>
  <c r="V41" i="9"/>
  <c r="V28" i="9"/>
  <c r="V45" i="9"/>
  <c r="AD43" i="9"/>
  <c r="AD38" i="9"/>
  <c r="AD21" i="9"/>
  <c r="AD24" i="9"/>
  <c r="AE24" i="9"/>
  <c r="AE27" i="9"/>
  <c r="V34" i="9"/>
  <c r="V21" i="9"/>
  <c r="AE48" i="9"/>
  <c r="AE37" i="9"/>
  <c r="V15" i="9"/>
  <c r="U28" i="9"/>
  <c r="U27" i="9"/>
  <c r="U42" i="9"/>
  <c r="AD26" i="9"/>
  <c r="V44" i="9"/>
  <c r="U19" i="9"/>
  <c r="U45" i="9"/>
  <c r="V18" i="9"/>
  <c r="U40" i="9"/>
  <c r="U36" i="9"/>
  <c r="V48" i="9"/>
  <c r="V39" i="9"/>
  <c r="V37" i="9"/>
  <c r="AE19" i="9"/>
  <c r="AE46" i="9"/>
  <c r="AD22" i="9"/>
  <c r="AD30" i="9"/>
  <c r="AD29" i="9"/>
  <c r="AD48" i="9"/>
  <c r="AD54" i="9"/>
  <c r="AD31" i="9"/>
  <c r="AE20" i="9"/>
  <c r="AE34" i="9"/>
  <c r="AE22" i="9"/>
  <c r="AE38" i="9"/>
  <c r="AE21" i="9"/>
  <c r="AE35" i="9"/>
  <c r="R11" i="9"/>
  <c r="V22" i="9"/>
  <c r="V35" i="9"/>
  <c r="F87" i="9"/>
  <c r="U41" i="9"/>
  <c r="U15" i="9"/>
  <c r="U35" i="9"/>
  <c r="V36" i="9"/>
  <c r="V30" i="9"/>
  <c r="AE43" i="9"/>
  <c r="AD37" i="9"/>
  <c r="AD44" i="9"/>
  <c r="AD47" i="9"/>
  <c r="AD34" i="9"/>
  <c r="AE25" i="9"/>
  <c r="AE31" i="9"/>
  <c r="AE40" i="9"/>
  <c r="AE47" i="9"/>
  <c r="V43" i="9"/>
  <c r="U37" i="9"/>
  <c r="U43" i="9"/>
  <c r="V17" i="9"/>
  <c r="U44" i="9"/>
  <c r="V26" i="9"/>
  <c r="U38" i="9"/>
  <c r="U47" i="9"/>
  <c r="U21" i="9"/>
  <c r="U34" i="9"/>
  <c r="U25" i="9"/>
  <c r="U52" i="9"/>
  <c r="V31" i="9"/>
  <c r="V40" i="9"/>
  <c r="V24" i="9"/>
  <c r="V47" i="9"/>
  <c r="V27" i="9"/>
  <c r="AE23" i="9"/>
  <c r="AD41" i="9"/>
  <c r="AD28" i="9"/>
  <c r="AD39" i="9"/>
  <c r="AD27" i="9"/>
  <c r="AD23" i="9"/>
  <c r="AD35" i="9"/>
  <c r="AD42" i="9"/>
  <c r="AE41" i="9"/>
  <c r="AE28" i="9"/>
  <c r="AE36" i="9"/>
  <c r="AE30" i="9"/>
  <c r="AE45" i="9"/>
  <c r="X12" i="9"/>
  <c r="L87" i="9"/>
  <c r="AE15" i="9"/>
  <c r="AD51" i="9"/>
  <c r="U18" i="9"/>
  <c r="AD18" i="9"/>
  <c r="U54" i="9"/>
  <c r="U20" i="9"/>
  <c r="U24" i="9"/>
  <c r="V25" i="9"/>
  <c r="U29" i="9"/>
  <c r="V42" i="9"/>
  <c r="U46" i="9"/>
  <c r="R12" i="9"/>
  <c r="I88" i="9"/>
  <c r="F88" i="9"/>
  <c r="U53" i="9"/>
  <c r="AD16" i="9"/>
  <c r="U51" i="9"/>
  <c r="AD17" i="9"/>
  <c r="AD25" i="9"/>
  <c r="AE26" i="9"/>
  <c r="AE29" i="9"/>
  <c r="AE42" i="9"/>
  <c r="W22" i="9" a="1"/>
  <c r="W22" i="9" s="1"/>
  <c r="W30" i="9" a="1"/>
  <c r="W30" i="9" s="1"/>
  <c r="W40" i="9" a="1"/>
  <c r="W40" i="9" s="1"/>
  <c r="W48" i="9" a="1"/>
  <c r="W48" i="9" s="1"/>
  <c r="W17" i="9" a="1"/>
  <c r="W17" i="9" s="1"/>
  <c r="W25" i="9" a="1"/>
  <c r="W25" i="9" s="1"/>
  <c r="W35" i="9" a="1"/>
  <c r="W35" i="9" s="1"/>
  <c r="W43" i="9" a="1"/>
  <c r="W43" i="9" s="1"/>
  <c r="W20" i="9" a="1"/>
  <c r="W20" i="9" s="1"/>
  <c r="W28" i="9" a="1"/>
  <c r="W28" i="9" s="1"/>
  <c r="W38" i="9" a="1"/>
  <c r="W38" i="9" s="1"/>
  <c r="W46" i="9" a="1"/>
  <c r="W46" i="9" s="1"/>
  <c r="W15" i="9" a="1"/>
  <c r="W15" i="9" s="1"/>
  <c r="W23" i="9" a="1"/>
  <c r="W23" i="9" s="1"/>
  <c r="W31" i="9" a="1"/>
  <c r="W31" i="9" s="1"/>
  <c r="W41" i="9" a="1"/>
  <c r="W41" i="9" s="1"/>
  <c r="W18" i="9" a="1"/>
  <c r="W18" i="9" s="1"/>
  <c r="W26" i="9" a="1"/>
  <c r="W26" i="9" s="1"/>
  <c r="W36" i="9" a="1"/>
  <c r="W36" i="9" s="1"/>
  <c r="W44" i="9" a="1"/>
  <c r="W44" i="9" s="1"/>
  <c r="W21" i="9" a="1"/>
  <c r="W21" i="9" s="1"/>
  <c r="W29" i="9" a="1"/>
  <c r="W29" i="9" s="1"/>
  <c r="W39" i="9" a="1"/>
  <c r="W39" i="9" s="1"/>
  <c r="W47" i="9" a="1"/>
  <c r="W47" i="9" s="1"/>
  <c r="W16" i="9" a="1"/>
  <c r="W16" i="9" s="1"/>
  <c r="W24" i="9" a="1"/>
  <c r="W24" i="9" s="1"/>
  <c r="W34" i="9" a="1"/>
  <c r="W34" i="9" s="1"/>
  <c r="W42" i="9" a="1"/>
  <c r="W42" i="9" s="1"/>
  <c r="W19" i="9" a="1"/>
  <c r="W19" i="9" s="1"/>
  <c r="W27" i="9" a="1"/>
  <c r="W27" i="9" s="1"/>
  <c r="W37" i="9" a="1"/>
  <c r="W37" i="9" s="1"/>
  <c r="W45" i="9" a="1"/>
  <c r="W45" i="9" s="1"/>
  <c r="L88" i="9"/>
  <c r="AF19" i="9" a="1"/>
  <c r="AF19" i="9" s="1"/>
  <c r="AF27" i="9" a="1"/>
  <c r="AF27" i="9" s="1"/>
  <c r="AF37" i="9" a="1"/>
  <c r="AF37" i="9" s="1"/>
  <c r="AF45" i="9" a="1"/>
  <c r="AF45" i="9" s="1"/>
  <c r="AF22" i="9" a="1"/>
  <c r="AF22" i="9" s="1"/>
  <c r="AF30" i="9" a="1"/>
  <c r="AF30" i="9" s="1"/>
  <c r="AF40" i="9" a="1"/>
  <c r="AF40" i="9" s="1"/>
  <c r="AF48" i="9" a="1"/>
  <c r="AF48" i="9" s="1"/>
  <c r="AF17" i="9" a="1"/>
  <c r="AF17" i="9" s="1"/>
  <c r="AF25" i="9" a="1"/>
  <c r="AF25" i="9" s="1"/>
  <c r="AF35" i="9" a="1"/>
  <c r="AF35" i="9" s="1"/>
  <c r="AF43" i="9" a="1"/>
  <c r="AF43" i="9" s="1"/>
  <c r="AF20" i="9" a="1"/>
  <c r="AF20" i="9" s="1"/>
  <c r="AF28" i="9" a="1"/>
  <c r="AF28" i="9" s="1"/>
  <c r="AF38" i="9" a="1"/>
  <c r="AF38" i="9" s="1"/>
  <c r="AF46" i="9" a="1"/>
  <c r="AF46" i="9" s="1"/>
  <c r="AF15" i="9" a="1"/>
  <c r="AF15" i="9" s="1"/>
  <c r="AF23" i="9" a="1"/>
  <c r="AF23" i="9" s="1"/>
  <c r="AF31" i="9" a="1"/>
  <c r="AF31" i="9" s="1"/>
  <c r="AF41" i="9" a="1"/>
  <c r="AF41" i="9" s="1"/>
  <c r="AF18" i="9" a="1"/>
  <c r="AF18" i="9" s="1"/>
  <c r="AF26" i="9" a="1"/>
  <c r="AF26" i="9" s="1"/>
  <c r="AF36" i="9" a="1"/>
  <c r="AF36" i="9" s="1"/>
  <c r="AF44" i="9" a="1"/>
  <c r="AF44" i="9" s="1"/>
  <c r="AF21" i="9" a="1"/>
  <c r="AF21" i="9" s="1"/>
  <c r="AF29" i="9" a="1"/>
  <c r="AF29" i="9" s="1"/>
  <c r="AF39" i="9" a="1"/>
  <c r="AF39" i="9" s="1"/>
  <c r="AF47" i="9" a="1"/>
  <c r="AF47" i="9" s="1"/>
  <c r="AF16" i="9" a="1"/>
  <c r="AF16" i="9" s="1"/>
  <c r="AF24" i="9" a="1"/>
  <c r="AF24" i="9" s="1"/>
  <c r="AF34" i="9" a="1"/>
  <c r="AF34" i="9" s="1"/>
  <c r="AF42" i="9" a="1"/>
  <c r="AF42" i="9" s="1"/>
  <c r="AD52" i="9"/>
  <c r="X11" i="9"/>
  <c r="AD50" i="9"/>
  <c r="U50" i="9"/>
  <c r="V16" i="9"/>
  <c r="AD53" i="9"/>
  <c r="AD20" i="9"/>
  <c r="U26" i="9"/>
  <c r="AE16" i="9"/>
  <c r="U16" i="9"/>
  <c r="U17" i="9"/>
  <c r="AE17" i="9"/>
  <c r="C84" i="9" l="1"/>
  <c r="J86" i="9" l="1"/>
  <c r="H86" i="9"/>
  <c r="D86" i="9"/>
  <c r="J85" i="9"/>
  <c r="H85" i="9"/>
  <c r="D85" i="9"/>
  <c r="K86" i="9"/>
  <c r="G86" i="9"/>
  <c r="E86" i="9"/>
  <c r="C86" i="9"/>
  <c r="K85" i="9"/>
  <c r="G85" i="9"/>
  <c r="E85" i="9"/>
  <c r="C85" i="9"/>
  <c r="C87" i="9"/>
  <c r="C88" i="9"/>
  <c r="B84" i="9"/>
  <c r="B86" i="9" l="1"/>
  <c r="B85" i="9"/>
  <c r="B88" i="9"/>
  <c r="B87" i="9"/>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<sst xmlns="http://schemas.openxmlformats.org/spreadsheetml/2006/main" count="1977" uniqueCount="462">
  <si>
    <t>Date</t>
  </si>
  <si>
    <t>CodeName</t>
  </si>
  <si>
    <t>Attendance (1 = Here, 0 = Not here)</t>
  </si>
  <si>
    <t>Excused (1 = Yes, 0 = No)</t>
  </si>
  <si>
    <t>Stress</t>
  </si>
  <si>
    <t>SleepQuality</t>
  </si>
  <si>
    <t>Energy</t>
  </si>
  <si>
    <t>InjuryStatus</t>
  </si>
  <si>
    <t>Exercise24Hr</t>
  </si>
  <si>
    <t>LatestRPE</t>
  </si>
  <si>
    <t>LatestDuration</t>
  </si>
  <si>
    <t>QuestionOfTheDay</t>
  </si>
  <si>
    <t>QODAnswer</t>
  </si>
  <si>
    <t>Superpower</t>
  </si>
  <si>
    <t>tendons of STEEL</t>
  </si>
  <si>
    <t>Full</t>
  </si>
  <si>
    <t>Time Travel</t>
  </si>
  <si>
    <t>flying</t>
  </si>
  <si>
    <t>Flying</t>
  </si>
  <si>
    <t>invisibility</t>
  </si>
  <si>
    <t>teleportation</t>
  </si>
  <si>
    <t>x ray vision</t>
  </si>
  <si>
    <t>Control Time</t>
  </si>
  <si>
    <t>invisibiity</t>
  </si>
  <si>
    <t>invisbility</t>
  </si>
  <si>
    <t>Read peoples mind</t>
  </si>
  <si>
    <t>time travel</t>
  </si>
  <si>
    <t>Fly</t>
  </si>
  <si>
    <t>Spiderman</t>
  </si>
  <si>
    <t>Not get injured</t>
  </si>
  <si>
    <t>Complete control of Time</t>
  </si>
  <si>
    <t>Read Minds</t>
  </si>
  <si>
    <t>Limited</t>
  </si>
  <si>
    <t>Time travel</t>
  </si>
  <si>
    <t>Entry Song</t>
  </si>
  <si>
    <t>One More Round</t>
  </si>
  <si>
    <t>The office themesong</t>
  </si>
  <si>
    <t>Star Spangled Banner</t>
  </si>
  <si>
    <t>year 3000</t>
  </si>
  <si>
    <t>Read My Mind</t>
  </si>
  <si>
    <t>I want to break free</t>
  </si>
  <si>
    <t>take on me</t>
  </si>
  <si>
    <t>Sunflower</t>
  </si>
  <si>
    <t>Gasolina</t>
  </si>
  <si>
    <t>Sick Love RHCP</t>
  </si>
  <si>
    <t>Bass Boosted Sandstorm</t>
  </si>
  <si>
    <t>beast of burden rolling stones</t>
  </si>
  <si>
    <t>Friends theme song</t>
  </si>
  <si>
    <t>jersey shore theme song</t>
  </si>
  <si>
    <t>party in the USA</t>
  </si>
  <si>
    <t>Anything by Taylor Swift</t>
  </si>
  <si>
    <t>anything country</t>
  </si>
  <si>
    <t>famous</t>
  </si>
  <si>
    <t>memories maroon 5</t>
  </si>
  <si>
    <t>Undertaker's entrance music</t>
  </si>
  <si>
    <t>Chosen</t>
  </si>
  <si>
    <t>Coffee</t>
  </si>
  <si>
    <t>Scooby doo theme</t>
  </si>
  <si>
    <t>all star</t>
  </si>
  <si>
    <t>All star</t>
  </si>
  <si>
    <t xml:space="preserve">Eye of the Tiger
</t>
  </si>
  <si>
    <t>Mambo No. 5</t>
  </si>
  <si>
    <t>Welcome to the Jungle</t>
  </si>
  <si>
    <t>Prospective Population of Interest</t>
  </si>
  <si>
    <t>(mountain) athletes</t>
  </si>
  <si>
    <t>General Population</t>
  </si>
  <si>
    <t>Kids</t>
  </si>
  <si>
    <t>general population</t>
  </si>
  <si>
    <t>oncology pop.</t>
  </si>
  <si>
    <t>SCI</t>
  </si>
  <si>
    <t>youth/adolescents</t>
  </si>
  <si>
    <t>athletes</t>
  </si>
  <si>
    <t>Athletes</t>
  </si>
  <si>
    <t>pediatrics maybe</t>
  </si>
  <si>
    <t>Amputees</t>
  </si>
  <si>
    <t>SCI/TBI</t>
  </si>
  <si>
    <t>Stroke / SCI</t>
  </si>
  <si>
    <t>General population</t>
  </si>
  <si>
    <t>college / professional athletes</t>
  </si>
  <si>
    <t>Athletes &amp; Performers</t>
  </si>
  <si>
    <t>Youth or Elderly</t>
  </si>
  <si>
    <t>Recovering substance abusers</t>
  </si>
  <si>
    <t>collegiate athletes</t>
  </si>
  <si>
    <t>outpatient PT/special needs</t>
  </si>
  <si>
    <t>Ortho/Athletes</t>
  </si>
  <si>
    <t>Children</t>
  </si>
  <si>
    <t>Elite athletes</t>
  </si>
  <si>
    <t>brad tasik</t>
  </si>
  <si>
    <t>James Franco</t>
  </si>
  <si>
    <t>Jennifer Anniston</t>
  </si>
  <si>
    <t>Chelsea Handler</t>
  </si>
  <si>
    <t>Zoey Deutch</t>
  </si>
  <si>
    <t>amber heard</t>
  </si>
  <si>
    <t>seth rogan</t>
  </si>
  <si>
    <t>rob pattinson</t>
  </si>
  <si>
    <t>Matthew Perry</t>
  </si>
  <si>
    <t>Zach Galifinakis</t>
  </si>
  <si>
    <t>Jason Faunt</t>
  </si>
  <si>
    <t>zac efron</t>
  </si>
  <si>
    <t>Gina Rodriguez</t>
  </si>
  <si>
    <t>chelsea peretti</t>
  </si>
  <si>
    <t>Emma Watson</t>
  </si>
  <si>
    <t>Scarlett Johansson</t>
  </si>
  <si>
    <t>jennifer lawrence</t>
  </si>
  <si>
    <t>meryl streep</t>
  </si>
  <si>
    <t>Jenifer Aniston</t>
  </si>
  <si>
    <t>Rachel McAdams</t>
  </si>
  <si>
    <t>Margot Robbie</t>
  </si>
  <si>
    <t>Sophia Bush</t>
  </si>
  <si>
    <t>kate mackinnon</t>
  </si>
  <si>
    <t>Edward Nortan</t>
  </si>
  <si>
    <t>Seth Rogen</t>
  </si>
  <si>
    <t>Last Meal</t>
  </si>
  <si>
    <t>sushi</t>
  </si>
  <si>
    <t>Lobster</t>
  </si>
  <si>
    <t>Pizza and ice cream</t>
  </si>
  <si>
    <t xml:space="preserve">
bagel</t>
  </si>
  <si>
    <t>chicken marsala w/ garlic bread</t>
  </si>
  <si>
    <t>pizza</t>
  </si>
  <si>
    <t>honey mango</t>
  </si>
  <si>
    <t>Taylor Ham</t>
  </si>
  <si>
    <t>Beefaronie</t>
  </si>
  <si>
    <t>steak and mashed potatoes</t>
  </si>
  <si>
    <t>Mac and Cheese</t>
  </si>
  <si>
    <t>mashed potatoes</t>
  </si>
  <si>
    <t>Toasted everything bagel w/ butter</t>
  </si>
  <si>
    <t>chicken enchilada</t>
  </si>
  <si>
    <t>lobster</t>
  </si>
  <si>
    <t>ice cream</t>
  </si>
  <si>
    <t>Ice cream</t>
  </si>
  <si>
    <t>Lou Malnati's deep dish pizza</t>
  </si>
  <si>
    <t>PB &amp; J</t>
  </si>
  <si>
    <t>Potatoes</t>
  </si>
  <si>
    <t>Spaghetti</t>
  </si>
  <si>
    <t>bacon egg and cheese on plain bagel</t>
  </si>
  <si>
    <t>Molten lava cake</t>
  </si>
  <si>
    <t>world class dumplings</t>
  </si>
  <si>
    <t>Annies Mac and Cheese</t>
  </si>
  <si>
    <t>Chinese</t>
  </si>
  <si>
    <t>Mentor or Someone Look up to</t>
  </si>
  <si>
    <t>Mom</t>
  </si>
  <si>
    <t>Sue Kasser</t>
  </si>
  <si>
    <t>my parents</t>
  </si>
  <si>
    <t>my mom</t>
  </si>
  <si>
    <t>my dad</t>
  </si>
  <si>
    <t>finn</t>
  </si>
  <si>
    <t>My parents</t>
  </si>
  <si>
    <t>my mama</t>
  </si>
  <si>
    <t>My sister</t>
  </si>
  <si>
    <t>My Mom</t>
  </si>
  <si>
    <t>lauren curry</t>
  </si>
  <si>
    <t>morgan furbay</t>
  </si>
  <si>
    <t>sue kasser</t>
  </si>
  <si>
    <t>My grandpa</t>
  </si>
  <si>
    <t>Dad</t>
  </si>
  <si>
    <t>My mom</t>
  </si>
  <si>
    <t>Connie Tompkins</t>
  </si>
  <si>
    <t>cathy rahill</t>
  </si>
  <si>
    <t>my advisors</t>
  </si>
  <si>
    <t>Dwayne Johnson</t>
  </si>
  <si>
    <t>Jessica A</t>
  </si>
  <si>
    <t>Father</t>
  </si>
  <si>
    <t>obama</t>
  </si>
  <si>
    <t>John Wall</t>
  </si>
  <si>
    <t>Chris Pratt</t>
  </si>
  <si>
    <t>harry styles</t>
  </si>
  <si>
    <t>Gronk</t>
  </si>
  <si>
    <t>James Cordon</t>
  </si>
  <si>
    <t>Ellen</t>
  </si>
  <si>
    <t>miley cyrus</t>
  </si>
  <si>
    <t>Harry Styles</t>
  </si>
  <si>
    <t>cardi b</t>
  </si>
  <si>
    <t>Creed Bratton</t>
  </si>
  <si>
    <t>Shakira</t>
  </si>
  <si>
    <t>seth rogen</t>
  </si>
  <si>
    <t>Khloe K</t>
  </si>
  <si>
    <t>kate daniels</t>
  </si>
  <si>
    <t>will ferrell</t>
  </si>
  <si>
    <t>Taylor Swift</t>
  </si>
  <si>
    <t>Kris Jenner</t>
  </si>
  <si>
    <t>khloe k</t>
  </si>
  <si>
    <t>tyler cameron</t>
  </si>
  <si>
    <t>Odell Beckham Jr</t>
  </si>
  <si>
    <t>Nick Offerman</t>
  </si>
  <si>
    <t>Kim K</t>
  </si>
  <si>
    <t>Rally cat</t>
  </si>
  <si>
    <t>Elvis</t>
  </si>
  <si>
    <t>Julian Edelman</t>
  </si>
  <si>
    <t>sRPE</t>
  </si>
  <si>
    <t>Road Trip with Celebrity</t>
  </si>
  <si>
    <t>chugging sailor jerry</t>
  </si>
  <si>
    <t>Can walk on a ball</t>
  </si>
  <si>
    <t>curling tongue</t>
  </si>
  <si>
    <t>saying the alphabet backwards</t>
  </si>
  <si>
    <t>spending money</t>
  </si>
  <si>
    <t>shake my eyes</t>
  </si>
  <si>
    <t>wiggling my ears</t>
  </si>
  <si>
    <t>putting my clothes on right in the morning</t>
  </si>
  <si>
    <t>finishing a degree i dont want</t>
  </si>
  <si>
    <t>bartending</t>
  </si>
  <si>
    <t>Nalgene Stands</t>
  </si>
  <si>
    <t>Near Perfect Jason Faunt Impression</t>
  </si>
  <si>
    <t>putting my foot behind my head</t>
  </si>
  <si>
    <t>no talents</t>
  </si>
  <si>
    <t>being good at card games</t>
  </si>
  <si>
    <t>remembering all friends episodes</t>
  </si>
  <si>
    <t>licking my elbow</t>
  </si>
  <si>
    <t>i have none</t>
  </si>
  <si>
    <t>cartwheel</t>
  </si>
  <si>
    <t>being really good at mario kart</t>
  </si>
  <si>
    <t>Puzzles</t>
  </si>
  <si>
    <t>tearing my acls</t>
  </si>
  <si>
    <t>Taco tongue</t>
  </si>
  <si>
    <t>Singing alphabet backwards</t>
  </si>
  <si>
    <t>making owl noises with my hands</t>
  </si>
  <si>
    <t>making really good cards</t>
  </si>
  <si>
    <t>Can lick my elbow</t>
  </si>
  <si>
    <t>no talent</t>
  </si>
  <si>
    <t>Play hot cross buns on the recorder with my nose</t>
  </si>
  <si>
    <t>Readiness Score</t>
  </si>
  <si>
    <t>Performance</t>
  </si>
  <si>
    <t>Attended, but did not complete data</t>
  </si>
  <si>
    <t>Out</t>
  </si>
  <si>
    <t>Actor or Actress who Represents your Lift</t>
  </si>
  <si>
    <t>Most Useless Talent</t>
  </si>
  <si>
    <t>Wish You Had Known Earlier</t>
  </si>
  <si>
    <t>taxes</t>
  </si>
  <si>
    <t>How to fix cars</t>
  </si>
  <si>
    <t>a foreign language</t>
  </si>
  <si>
    <t>play multiple instruments</t>
  </si>
  <si>
    <t>how to speak multiple languages</t>
  </si>
  <si>
    <t>to like drinking water</t>
  </si>
  <si>
    <t>keep practicing other languages</t>
  </si>
  <si>
    <t>being able to do the alphabet backwards</t>
  </si>
  <si>
    <t>How to bowl</t>
  </si>
  <si>
    <t>The ranger code</t>
  </si>
  <si>
    <t>spanish</t>
  </si>
  <si>
    <t>how to ice skate</t>
  </si>
  <si>
    <t>not to procrastinate</t>
  </si>
  <si>
    <t>second language</t>
  </si>
  <si>
    <t>ASL</t>
  </si>
  <si>
    <t>how to ski</t>
  </si>
  <si>
    <t>how to whistle</t>
  </si>
  <si>
    <t>Another language</t>
  </si>
  <si>
    <t>speak another language</t>
  </si>
  <si>
    <t>Foreign Language</t>
  </si>
  <si>
    <t>A second language</t>
  </si>
  <si>
    <t>how to fold a fitted sheet</t>
  </si>
  <si>
    <t>good skiing technique</t>
  </si>
  <si>
    <t xml:space="preserve">How to shave
</t>
  </si>
  <si>
    <t>To be consistent</t>
  </si>
  <si>
    <t>Boat Name</t>
  </si>
  <si>
    <t>Tequila sunrise</t>
  </si>
  <si>
    <t>Da Boat</t>
  </si>
  <si>
    <t>Brighter everyday</t>
  </si>
  <si>
    <t>liquid assets</t>
  </si>
  <si>
    <t>Barney</t>
  </si>
  <si>
    <t>Buoyoncé</t>
  </si>
  <si>
    <t>big bertha</t>
  </si>
  <si>
    <t>boaty mc boatface</t>
  </si>
  <si>
    <t>boaty</t>
  </si>
  <si>
    <t>chonk</t>
  </si>
  <si>
    <t>I &lt;3 Jason Faunt</t>
  </si>
  <si>
    <t>santa Maria</t>
  </si>
  <si>
    <t>big buoy</t>
  </si>
  <si>
    <t>Sunshine</t>
  </si>
  <si>
    <t>flounder pounder</t>
  </si>
  <si>
    <t>The Scout</t>
  </si>
  <si>
    <t>seaside</t>
  </si>
  <si>
    <t>yeah buoy</t>
  </si>
  <si>
    <t>Morgan</t>
  </si>
  <si>
    <t>Junior</t>
  </si>
  <si>
    <t>Gordo</t>
  </si>
  <si>
    <t>Vitamin Sea</t>
  </si>
  <si>
    <t>Big Boi Boat</t>
  </si>
  <si>
    <t>Little Wolf</t>
  </si>
  <si>
    <t>The wave</t>
  </si>
  <si>
    <t>No Worries</t>
  </si>
  <si>
    <t>I Sea You P</t>
  </si>
  <si>
    <t>Animal to Ride On</t>
  </si>
  <si>
    <t>california condor</t>
  </si>
  <si>
    <t>Narwhal</t>
  </si>
  <si>
    <t>bird</t>
  </si>
  <si>
    <t>dog</t>
  </si>
  <si>
    <t>elephant</t>
  </si>
  <si>
    <t>dolphin</t>
  </si>
  <si>
    <t>platypus</t>
  </si>
  <si>
    <t>kestrel</t>
  </si>
  <si>
    <t>lion</t>
  </si>
  <si>
    <t>Wolf</t>
  </si>
  <si>
    <t>blue whale</t>
  </si>
  <si>
    <t>Tiger</t>
  </si>
  <si>
    <t>Turtle</t>
  </si>
  <si>
    <t>catamount</t>
  </si>
  <si>
    <t>whale shark</t>
  </si>
  <si>
    <t>Otter</t>
  </si>
  <si>
    <t>Eagle</t>
  </si>
  <si>
    <t>horse</t>
  </si>
  <si>
    <t>Bird</t>
  </si>
  <si>
    <t>Dolphin</t>
  </si>
  <si>
    <t>Moose</t>
  </si>
  <si>
    <t>cheetah</t>
  </si>
  <si>
    <t>None</t>
  </si>
  <si>
    <t>Cheetah</t>
  </si>
  <si>
    <t>Leopard</t>
  </si>
  <si>
    <t>Falcon</t>
  </si>
  <si>
    <t>Is a hotdog a sandwich?</t>
  </si>
  <si>
    <t>yes</t>
  </si>
  <si>
    <t>no</t>
  </si>
  <si>
    <t>No</t>
  </si>
  <si>
    <t>Obviously YES</t>
  </si>
  <si>
    <t>TITLE HERE</t>
  </si>
  <si>
    <t>Ones</t>
  </si>
  <si>
    <t>Ol' Kentuck</t>
  </si>
  <si>
    <t>The Beach</t>
  </si>
  <si>
    <t>europe</t>
  </si>
  <si>
    <t>Maldives</t>
  </si>
  <si>
    <t>Alps</t>
  </si>
  <si>
    <t>anywhere warm</t>
  </si>
  <si>
    <t>BURLINGTON VERMONT BABY!</t>
  </si>
  <si>
    <t>Cancun</t>
  </si>
  <si>
    <t>The Alps</t>
  </si>
  <si>
    <t>Jason Faunt's Comic Con</t>
  </si>
  <si>
    <t>Aruba</t>
  </si>
  <si>
    <t>chile</t>
  </si>
  <si>
    <t>Morocco</t>
  </si>
  <si>
    <t>Santorini</t>
  </si>
  <si>
    <t>New Zealand</t>
  </si>
  <si>
    <t>Turks &amp; Caicos</t>
  </si>
  <si>
    <t>Bora Bora</t>
  </si>
  <si>
    <t>Greece</t>
  </si>
  <si>
    <t>Bali</t>
  </si>
  <si>
    <t>Disney World</t>
  </si>
  <si>
    <t>Italy (just not right now)</t>
  </si>
  <si>
    <t>Punta Cana</t>
  </si>
  <si>
    <t>Iceland</t>
  </si>
  <si>
    <t>Sea/ocean</t>
  </si>
  <si>
    <t>Somewhere warm, sunny, and a beach</t>
  </si>
  <si>
    <t>Gen Pop</t>
  </si>
  <si>
    <t>Special</t>
  </si>
  <si>
    <t>Youth</t>
  </si>
  <si>
    <t>2019-2020</t>
  </si>
  <si>
    <t>Grad Class</t>
  </si>
  <si>
    <t>Cohort of Interest</t>
  </si>
  <si>
    <t>Academic Year</t>
  </si>
  <si>
    <t>Group Filter (Filter by Group of Athletes)</t>
  </si>
  <si>
    <t>Date Picker (Not Slicer -- Entry Box)</t>
  </si>
  <si>
    <t>HEADERS FOR TABLE</t>
  </si>
  <si>
    <t>YEAR AVG</t>
  </si>
  <si>
    <t>YEAR %</t>
  </si>
  <si>
    <t>CLASS ATTENDANCE (% HERE)</t>
  </si>
  <si>
    <t>CLASS INJURY STATUS (% FULL)</t>
  </si>
  <si>
    <t>CLASS WELLNESS (AVG)</t>
  </si>
  <si>
    <t>CLASS EXERCISE (% EXERCISED)</t>
  </si>
  <si>
    <t>CLASS sRPE (AVG)</t>
  </si>
  <si>
    <t>CLASS TABLE</t>
  </si>
  <si>
    <t>GROUP AND TOTAL CLASS AVERAGES</t>
  </si>
  <si>
    <t>TEXT LOGIC</t>
  </si>
  <si>
    <t>Past X Days Selector</t>
  </si>
  <si>
    <t>LOAD PICKER</t>
  </si>
  <si>
    <t>LOAD and WELLNESS GRAPH</t>
  </si>
  <si>
    <t>WELLNESS PICKER</t>
  </si>
  <si>
    <t>GROUP PICKER</t>
  </si>
  <si>
    <t>HIDDEN GRAPH SUPPORTING DATA</t>
  </si>
  <si>
    <t>Athlete Filter (Filter by Individual Athletes)</t>
  </si>
  <si>
    <t>Grade</t>
  </si>
  <si>
    <t>Grades</t>
  </si>
  <si>
    <t>Readiness</t>
  </si>
  <si>
    <t>RPE</t>
  </si>
  <si>
    <t>Exercise</t>
  </si>
  <si>
    <t>Duration</t>
  </si>
  <si>
    <t>Date Picker</t>
  </si>
  <si>
    <t>Attendance</t>
  </si>
  <si>
    <t>Attendance Refined</t>
  </si>
  <si>
    <t>Injury Refined</t>
  </si>
  <si>
    <t>Past x days</t>
  </si>
  <si>
    <t>Injury Status</t>
  </si>
  <si>
    <t>Sleep Quality</t>
  </si>
  <si>
    <t>Attendance AVG</t>
  </si>
  <si>
    <t>Injury Status AVG</t>
  </si>
  <si>
    <t>Stress AVG</t>
  </si>
  <si>
    <t>Sleep Quality AVG</t>
  </si>
  <si>
    <t>Energy AVG</t>
  </si>
  <si>
    <t>Readiness Score AVG</t>
  </si>
  <si>
    <t>RPE AVG</t>
  </si>
  <si>
    <t>Duration AVG</t>
  </si>
  <si>
    <t>sRPE AVG</t>
  </si>
  <si>
    <t>Grade AVG</t>
  </si>
  <si>
    <t>Attendance SD</t>
  </si>
  <si>
    <t>Injury Status SD</t>
  </si>
  <si>
    <t>Stress SD</t>
  </si>
  <si>
    <t>Sleep Quality SD</t>
  </si>
  <si>
    <t>Energy SD</t>
  </si>
  <si>
    <t>Readiness Score SD</t>
  </si>
  <si>
    <t>RPE SD</t>
  </si>
  <si>
    <t>Duration SD</t>
  </si>
  <si>
    <t>sRPE SD</t>
  </si>
  <si>
    <t>Grade SD</t>
  </si>
  <si>
    <t>Exercise AVG</t>
  </si>
  <si>
    <t>Exercise SD</t>
  </si>
  <si>
    <t>Injury</t>
  </si>
  <si>
    <t>Not collected daily, performance metrics (1RM, jump testing, etc)</t>
  </si>
  <si>
    <t>To format text same as conditional formatting, More Number Formats &gt; Number &gt; Custom &gt; Type: ;;;</t>
  </si>
  <si>
    <t>code name could be athletes</t>
  </si>
  <si>
    <t>Cohort of interest could be positions</t>
  </si>
  <si>
    <t>Load</t>
  </si>
  <si>
    <t>Dates</t>
  </si>
  <si>
    <t>To create table: copy player names with header to sheet, select several columns &gt; insert table &gt; my table has headers</t>
  </si>
  <si>
    <t>Class AVG sRPE</t>
  </si>
  <si>
    <t>Class AVG Readiness Score</t>
  </si>
  <si>
    <t>Kenneth Thomas </t>
  </si>
  <si>
    <t>Samantha Berry</t>
  </si>
  <si>
    <t>Christian Mckinney</t>
  </si>
  <si>
    <t>Kyler Holmes</t>
  </si>
  <si>
    <t>Charlotte Fowler</t>
  </si>
  <si>
    <t>Allison Moore</t>
  </si>
  <si>
    <t>Maria Murphy</t>
  </si>
  <si>
    <t>Marshall Gomez</t>
  </si>
  <si>
    <t>Nina Lambert</t>
  </si>
  <si>
    <t>Eva Nelson</t>
  </si>
  <si>
    <t>Dylan Scott</t>
  </si>
  <si>
    <t>Sofia Hamilton</t>
  </si>
  <si>
    <t>Charlotte Woods</t>
  </si>
  <si>
    <t>Alani Lindsey</t>
  </si>
  <si>
    <t>Armani Johnston</t>
  </si>
  <si>
    <t>Savannah Woods</t>
  </si>
  <si>
    <t>Giselle Webster</t>
  </si>
  <si>
    <t>Melissa Kelly</t>
  </si>
  <si>
    <t>Lillian Hall</t>
  </si>
  <si>
    <t>Ryan Ortiz</t>
  </si>
  <si>
    <t>Kyrie Wilson </t>
  </si>
  <si>
    <t>Francisco Ruiz </t>
  </si>
  <si>
    <t>Amelia Evans</t>
  </si>
  <si>
    <t>Mckenzie Peterson </t>
  </si>
  <si>
    <t>Ada Hoffman</t>
  </si>
  <si>
    <t>Lauren Morgan</t>
  </si>
  <si>
    <t>Adrian Nelson</t>
  </si>
  <si>
    <t>Palmer Collins</t>
  </si>
  <si>
    <t>Allison Kim</t>
  </si>
  <si>
    <t>Henry Gutierrez</t>
  </si>
  <si>
    <t>Alayna Rogers</t>
  </si>
  <si>
    <t>Nathan Meyer</t>
  </si>
  <si>
    <t>Athlete Name</t>
  </si>
  <si>
    <t>Group</t>
  </si>
  <si>
    <t>Group Average</t>
  </si>
  <si>
    <t>ID</t>
  </si>
  <si>
    <t>Scroll bar selection</t>
  </si>
  <si>
    <t>Date Selection</t>
  </si>
  <si>
    <t>to use the lastest date in the table, use =MAX(tbl_daily[Date])</t>
  </si>
  <si>
    <t>Line</t>
  </si>
  <si>
    <t>Bar</t>
  </si>
  <si>
    <t>All Metrics</t>
  </si>
  <si>
    <t>Team Average</t>
  </si>
  <si>
    <t>Eli Taylor</t>
  </si>
  <si>
    <t>Paisley Lambert</t>
  </si>
  <si>
    <t>Older</t>
  </si>
  <si>
    <t>Football</t>
  </si>
  <si>
    <t>Created for the date spin button
Insert spin button using developer tab</t>
  </si>
  <si>
    <t>Select from 
drop down:</t>
  </si>
  <si>
    <t>1. Why?</t>
  </si>
  <si>
    <t>2. How?</t>
  </si>
  <si>
    <t>3. What does it look like?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</si>
</sst>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
    <numFmt numFmtId="166" formatCode=";;;"/>
  </numFmts>
  <fonts count="19" x14ac:knownFonts="1">
    <font>
      <sz val="11"/>
      <color theme="1"/>
      <name val="Calibri"/>
      <family val="2"/>
      <scheme val="minor"/>
    </font>
    <font>
      <b/>
      <sz val="20"/>
      <color theme="1"/>
      <name val="Calibri"/>
      <family val="2"/>
      <scheme val="minor"/>
    </font>
    <font>
      <b/>
      <sz val="11"/>
      <color theme="1"/>
      <name val="Calibri"/>
      <family val="2"/>
      <scheme val="minor"/>
    </font>
    <font>
      <b/>
      <sz val="11"/>
      <color rgb="FFFF0000"/>
      <name val="Calibri"/>
      <family val="2"/>
      <scheme val="minor"/>
    </font>
    <font>
      <sz val="10"/>
      <color theme="1"/>
      <name val="Calibri"/>
      <family val="2"/>
      <scheme val="minor"/>
    </font>
    <font>
      <sz val="8"/>
      <name val="Calibri"/>
      <family val="2"/>
      <scheme val="minor"/>
    </font>
    <font>
      <sz val="11"/>
      <color theme="1"/>
      <name val="Calibri"/>
      <family val="2"/>
      <scheme val="minor"/>
    </font>
    <font>
      <sz val="11"/>
      <color theme="0"/>
      <name val="Calibri"/>
      <family val="2"/>
      <scheme val="minor"/>
    </font>
    <font>
      <b/>
      <sz val="12"/>
      <color theme="1"/>
      <name val="Calibri"/>
      <family val="2"/>
      <scheme val="minor"/>
    </font>
    <font>
      <b/>
      <sz val="14"/>
      <color theme="1"/>
      <name val="Calibri"/>
      <family val="2"/>
      <scheme val="minor"/>
    </font>
    <font>
      <b/>
      <sz val="20"/>
      <color theme="0"/>
      <name val="Calibri"/>
      <family val="2"/>
      <scheme val="minor"/>
    </font>
    <font>
      <i/>
      <sz val="11"/>
      <color theme="1"/>
      <name val="Calibri"/>
      <family val="2"/>
      <scheme val="minor"/>
    </font>
    <font>
      <i/>
      <sz val="11"/>
      <color theme="0" tint="-0.499984740745262"/>
      <name val="Calibri"/>
      <family val="2"/>
      <scheme val="minor"/>
    </font>
    <font>
      <b/>
      <sz val="12"/>
      <color theme="0"/>
      <name val="Calibri"/>
      <family val="2"/>
      <scheme val="minor"/>
    </font>
    <font>
      <sz val="12"/>
      <color theme="1"/>
      <name val="Calibri"/>
      <family val="2"/>
      <scheme val="minor"/>
    </font>
    <font>
      <b/>
      <sz val="14"/>
      <color theme="0"/>
      <name val="Calibri"/>
      <family val="2"/>
      <scheme val="minor"/>
    </font>
    <font>
      <i/>
      <sz val="12"/>
      <color theme="0" tint="-0.499984740745262"/>
      <name val="Calibri"/>
      <family val="2"/>
      <scheme val="minor"/>
    </font>
    <font>
      <b/>
      <sz val="12"/>
      <color rgb="FF000118"/>
      <name val="Nunito Sans"/>
    </font>
    <font>
      <b/>
      <sz val="24"/>
      <color theme="0"/>
      <name val="Calibri"/>
      <family val="2"/>
      <scheme val="minor"/>
    </font>
  </fonts>
  <fills count="13">
    <fill>
      <patternFill patternType="none"/>
    </fill>
    <fill>
      <patternFill patternType="gray125"/>
    </fill>
    <fill>
      <patternFill patternType="solid">
        <fgColor rgb="FFC00000"/>
        <bgColor indexed="64"/>
      </patternFill>
    </fill>
    <fill>
      <patternFill patternType="solid">
        <fgColor rgb="FFFFFF00"/>
        <bgColor indexed="64"/>
      </patternFill>
    </fill>
    <fill>
      <patternFill patternType="solid">
        <fgColor theme="4" tint="0.79998168889431442"/>
        <bgColor theme="4" tint="0.79998168889431442"/>
      </patternFill>
    </fill>
    <fill>
      <patternFill patternType="solid">
        <fgColor rgb="FF002060"/>
        <bgColor indexed="64"/>
      </patternFill>
    </fill>
    <fill>
      <patternFill patternType="solid">
        <fgColor theme="0" tint="-0.14999847407452621"/>
        <bgColor theme="4" tint="0.79998168889431442"/>
      </patternFill>
    </fill>
    <fill>
      <patternFill patternType="solid">
        <fgColor theme="0" tint="-4.9989318521683403E-2"/>
        <bgColor indexed="64"/>
      </patternFill>
    </fill>
    <fill>
      <patternFill patternType="solid">
        <fgColor theme="0"/>
        <bgColor indexed="64"/>
      </patternFill>
    </fill>
    <fill>
      <patternFill patternType="solid">
        <fgColor theme="0" tint="-0.14999847407452621"/>
        <bgColor indexed="64"/>
      </patternFill>
    </fill>
    <fill>
      <patternFill patternType="solid">
        <fgColor rgb="FFE78075"/>
        <bgColor indexed="64"/>
      </patternFill>
    </fill>
    <fill>
      <patternFill patternType="solid">
        <fgColor theme="0"/>
        <bgColor theme="4" tint="0.79998168889431442"/>
      </patternFill>
    </fill>
    <fill>
      <patternFill patternType="solid">
        <fgColor theme="0" tint="-0.249977111117893"/>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
      <left/>
      <right/>
      <top/>
      <bottom style="thin">
        <color indexed="64"/>
      </bottom>
      <diagonal/>
    </border>
    <border>
      <left/>
      <right/>
      <top style="thin">
        <color theme="4" tint="0.39997558519241921"/>
      </top>
      <bottom style="thin">
        <color theme="4"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medium">
        <color indexed="64"/>
      </bottom>
      <diagonal/>
    </border>
  </borders>
  <cellStyleXfs count="2">
    <xf numFmtId="0" fontId="0" fillId="0" borderId="0"/>
    <xf numFmtId="9" fontId="6" fillId="0" borderId="0" applyFont="0" applyFill="0" applyBorder="0" applyAlignment="0" applyProtection="0"/>
  </cellStyleXfs>
  <cellXfs count="157">
    <xf numFmtId="0" fontId="0" fillId="0" borderId="0" xfId="0"/>
    <xf numFmtId="14" fontId="0" fillId="0" borderId="0" xfId="0" applyNumberFormat="1"/>
    <xf numFmtId="0" fontId="0" fillId="0" borderId="0" xfId="0" applyAlignment="1">
      <alignment wrapText="1"/>
    </xf>
    <xf numFmtId="0" fontId="0" fillId="0" borderId="0" xfId="0" applyNumberFormat="1"/>
    <xf numFmtId="0" fontId="3" fillId="0" borderId="0" xfId="0" applyFont="1"/>
    <xf numFmtId="0" fontId="0" fillId="0" borderId="0" xfId="0" applyAlignment="1">
      <alignment horizontal="left" vertical="top" textRotation="90" wrapText="1"/>
    </xf>
    <xf numFmtId="0" fontId="4" fillId="0" borderId="1" xfId="0" applyFont="1" applyBorder="1" applyAlignment="1">
      <alignment horizontal="center" vertical="center" wrapText="1"/>
    </xf>
    <xf numFmtId="0" fontId="0" fillId="4" borderId="10" xfId="0" applyFont="1" applyFill="1" applyBorder="1"/>
    <xf numFmtId="0" fontId="0" fillId="0" borderId="10" xfId="0" applyFont="1" applyBorder="1"/>
    <xf numFmtId="0" fontId="0" fillId="0" borderId="0" xfId="0" applyAlignment="1">
      <alignment vertical="center"/>
    </xf>
    <xf numFmtId="0" fontId="0" fillId="0" borderId="0" xfId="0" applyAlignment="1"/>
    <xf numFmtId="164" fontId="0" fillId="0" borderId="0" xfId="0" applyNumberFormat="1"/>
    <xf numFmtId="0" fontId="0" fillId="0" borderId="0" xfId="0" applyAlignment="1">
      <alignment horizontal="center" vertical="center" wrapText="1"/>
    </xf>
    <xf numFmtId="0" fontId="0" fillId="2" borderId="0" xfId="0" applyFill="1" applyAlignment="1">
      <alignment horizontal="center" vertical="center" wrapText="1"/>
    </xf>
    <xf numFmtId="14" fontId="0" fillId="0" borderId="0" xfId="0" applyNumberFormat="1" applyAlignment="1">
      <alignment horizontal="left"/>
    </xf>
    <xf numFmtId="1" fontId="0" fillId="0" borderId="0" xfId="0" applyNumberFormat="1"/>
    <xf numFmtId="0" fontId="10" fillId="5" borderId="0" xfId="0" applyFont="1" applyFill="1" applyAlignment="1">
      <alignment vertical="center"/>
    </xf>
    <xf numFmtId="0" fontId="11" fillId="0" borderId="0" xfId="0" applyFont="1" applyFill="1" applyBorder="1"/>
    <xf numFmtId="0" fontId="11" fillId="0" borderId="17" xfId="0" applyFont="1" applyFill="1" applyBorder="1"/>
    <xf numFmtId="0" fontId="11" fillId="7" borderId="0" xfId="0" applyFont="1" applyFill="1" applyBorder="1"/>
    <xf numFmtId="0" fontId="2" fillId="0" borderId="12" xfId="0" applyFont="1" applyFill="1" applyBorder="1"/>
    <xf numFmtId="0" fontId="2" fillId="0" borderId="0" xfId="0" applyFont="1"/>
    <xf numFmtId="0" fontId="0" fillId="0" borderId="0" xfId="0" applyAlignment="1">
      <alignment horizontal="center" vertical="center"/>
    </xf>
    <xf numFmtId="164" fontId="0" fillId="0" borderId="0" xfId="0" applyNumberFormat="1" applyAlignment="1">
      <alignment horizontal="center" vertical="center"/>
    </xf>
    <xf numFmtId="0" fontId="10" fillId="8" borderId="0" xfId="0" applyFont="1" applyFill="1" applyAlignment="1">
      <alignment horizontal="center" vertical="center"/>
    </xf>
    <xf numFmtId="0" fontId="0" fillId="8" borderId="0" xfId="0" applyFill="1"/>
    <xf numFmtId="0" fontId="13" fillId="8" borderId="0" xfId="0" applyFont="1" applyFill="1" applyAlignment="1">
      <alignment horizontal="center" vertical="center"/>
    </xf>
    <xf numFmtId="0" fontId="15" fillId="8" borderId="0" xfId="0" applyFont="1" applyFill="1" applyAlignment="1">
      <alignment horizontal="center" vertical="center"/>
    </xf>
    <xf numFmtId="0" fontId="15" fillId="8" borderId="12" xfId="0" applyFont="1" applyFill="1" applyBorder="1" applyAlignment="1">
      <alignment horizontal="center" vertical="center"/>
    </xf>
    <xf numFmtId="0" fontId="13" fillId="8" borderId="0" xfId="0" applyFont="1" applyFill="1" applyBorder="1" applyAlignment="1">
      <alignment horizontal="center" vertical="center"/>
    </xf>
    <xf numFmtId="0" fontId="0" fillId="7" borderId="12" xfId="0" applyFill="1" applyBorder="1"/>
    <xf numFmtId="0" fontId="0" fillId="7" borderId="13" xfId="0" applyFill="1" applyBorder="1"/>
    <xf numFmtId="0" fontId="2" fillId="7" borderId="0" xfId="0" applyFont="1" applyFill="1" applyBorder="1"/>
    <xf numFmtId="0" fontId="2" fillId="7" borderId="15" xfId="0" applyFont="1" applyFill="1" applyBorder="1"/>
    <xf numFmtId="0" fontId="0" fillId="7" borderId="0" xfId="0" applyFill="1" applyBorder="1"/>
    <xf numFmtId="0" fontId="0" fillId="7" borderId="15" xfId="0" applyFill="1" applyBorder="1"/>
    <xf numFmtId="0" fontId="0" fillId="7" borderId="14" xfId="0" applyFill="1" applyBorder="1"/>
    <xf numFmtId="0" fontId="0" fillId="7" borderId="16" xfId="0" applyFill="1" applyBorder="1"/>
    <xf numFmtId="0" fontId="0" fillId="7" borderId="17" xfId="0" applyFill="1" applyBorder="1"/>
    <xf numFmtId="0" fontId="0" fillId="7" borderId="18" xfId="0" applyFill="1" applyBorder="1"/>
    <xf numFmtId="0" fontId="0" fillId="7" borderId="11" xfId="0" applyFill="1" applyBorder="1"/>
    <xf numFmtId="0" fontId="2" fillId="7" borderId="14" xfId="0" applyFont="1" applyFill="1" applyBorder="1"/>
    <xf numFmtId="0" fontId="0" fillId="8" borderId="0" xfId="0" applyFill="1" applyBorder="1"/>
    <xf numFmtId="0" fontId="0" fillId="8" borderId="0" xfId="0" applyFill="1" applyAlignment="1">
      <alignment wrapText="1"/>
    </xf>
    <xf numFmtId="0" fontId="9" fillId="8" borderId="0" xfId="0" applyFont="1" applyFill="1" applyAlignment="1">
      <alignment horizontal="center" vertical="center"/>
    </xf>
    <xf numFmtId="0" fontId="9" fillId="8" borderId="0" xfId="0" applyFont="1" applyFill="1" applyBorder="1" applyAlignment="1">
      <alignment horizontal="center" vertical="center"/>
    </xf>
    <xf numFmtId="0" fontId="2" fillId="8" borderId="0" xfId="0" applyFont="1" applyFill="1" applyAlignment="1">
      <alignment horizontal="center" vertical="center" wrapText="1"/>
    </xf>
    <xf numFmtId="0" fontId="0" fillId="8" borderId="0" xfId="0" applyFill="1" applyAlignment="1">
      <alignment horizontal="center" vertical="center"/>
    </xf>
    <xf numFmtId="0" fontId="12" fillId="8" borderId="0" xfId="0" applyFont="1" applyFill="1" applyAlignment="1">
      <alignment horizontal="center" vertical="center"/>
    </xf>
    <xf numFmtId="164" fontId="8" fillId="8" borderId="0" xfId="0" applyNumberFormat="1" applyFont="1" applyFill="1" applyAlignment="1">
      <alignment horizontal="center" vertical="center"/>
    </xf>
    <xf numFmtId="164" fontId="8" fillId="8" borderId="0" xfId="0" applyNumberFormat="1" applyFont="1" applyFill="1" applyBorder="1" applyAlignment="1">
      <alignment horizontal="center" vertical="center"/>
    </xf>
    <xf numFmtId="0" fontId="2" fillId="8" borderId="0" xfId="0" applyFont="1" applyFill="1" applyAlignment="1">
      <alignment horizontal="center" vertical="center"/>
    </xf>
    <xf numFmtId="0" fontId="16" fillId="8" borderId="0" xfId="0" applyFont="1" applyFill="1" applyAlignment="1">
      <alignment horizontal="center" vertical="center"/>
    </xf>
    <xf numFmtId="0" fontId="16" fillId="8" borderId="17" xfId="0" applyFont="1" applyFill="1" applyBorder="1" applyAlignment="1">
      <alignment horizontal="center" vertical="center"/>
    </xf>
    <xf numFmtId="0" fontId="10" fillId="8" borderId="0" xfId="0" applyFont="1" applyFill="1" applyAlignment="1">
      <alignment vertical="center"/>
    </xf>
    <xf numFmtId="0" fontId="0" fillId="8" borderId="0" xfId="0" applyFill="1" applyAlignment="1">
      <alignment horizontal="left" vertical="top" textRotation="90" wrapText="1"/>
    </xf>
    <xf numFmtId="0" fontId="2" fillId="8" borderId="0" xfId="0" applyFont="1" applyFill="1"/>
    <xf numFmtId="0" fontId="0" fillId="2" borderId="0" xfId="0" applyFont="1" applyFill="1" applyAlignment="1">
      <alignment horizontal="center" vertical="center" wrapText="1"/>
    </xf>
    <xf numFmtId="0" fontId="0" fillId="8" borderId="16" xfId="0" applyFill="1" applyBorder="1"/>
    <xf numFmtId="0" fontId="17" fillId="0" borderId="0" xfId="0" applyFont="1"/>
    <xf numFmtId="0" fontId="2" fillId="0" borderId="12" xfId="0" applyFont="1" applyFill="1" applyBorder="1" applyAlignment="1">
      <alignment vertical="center"/>
    </xf>
    <xf numFmtId="0" fontId="11" fillId="7" borderId="0" xfId="0" applyFont="1" applyFill="1" applyBorder="1" applyAlignment="1">
      <alignment vertical="center"/>
    </xf>
    <xf numFmtId="0" fontId="11" fillId="0" borderId="0" xfId="0" applyFont="1" applyFill="1" applyBorder="1" applyAlignment="1">
      <alignment vertical="center"/>
    </xf>
    <xf numFmtId="0" fontId="11" fillId="0" borderId="17" xfId="0" applyFont="1" applyFill="1" applyBorder="1" applyAlignment="1">
      <alignment vertical="center"/>
    </xf>
    <xf numFmtId="164" fontId="2" fillId="0" borderId="12" xfId="0" applyNumberFormat="1" applyFont="1" applyFill="1" applyBorder="1" applyAlignment="1">
      <alignment horizontal="center" vertical="center"/>
    </xf>
    <xf numFmtId="0" fontId="2" fillId="0" borderId="12" xfId="0" applyFont="1" applyFill="1" applyBorder="1" applyAlignment="1">
      <alignment horizontal="center" vertical="center"/>
    </xf>
    <xf numFmtId="164" fontId="2" fillId="0" borderId="13" xfId="0" applyNumberFormat="1" applyFont="1" applyFill="1" applyBorder="1" applyAlignment="1">
      <alignment horizontal="center" vertical="center"/>
    </xf>
    <xf numFmtId="164" fontId="11" fillId="7" borderId="0" xfId="0" applyNumberFormat="1" applyFont="1" applyFill="1" applyBorder="1" applyAlignment="1">
      <alignment horizontal="center" vertical="center"/>
    </xf>
    <xf numFmtId="0" fontId="11" fillId="7" borderId="0" xfId="0" applyFont="1" applyFill="1" applyBorder="1" applyAlignment="1">
      <alignment horizontal="center" vertical="center"/>
    </xf>
    <xf numFmtId="164" fontId="11" fillId="7" borderId="15" xfId="0" applyNumberFormat="1" applyFont="1" applyFill="1" applyBorder="1" applyAlignment="1">
      <alignment horizontal="center" vertical="center"/>
    </xf>
    <xf numFmtId="164" fontId="11" fillId="0" borderId="0" xfId="0" applyNumberFormat="1" applyFont="1" applyFill="1" applyBorder="1" applyAlignment="1">
      <alignment horizontal="center" vertical="center"/>
    </xf>
    <xf numFmtId="0" fontId="11" fillId="0" borderId="0" xfId="0" applyFont="1" applyFill="1" applyBorder="1" applyAlignment="1">
      <alignment horizontal="center" vertical="center"/>
    </xf>
    <xf numFmtId="164" fontId="11" fillId="0" borderId="15" xfId="0" applyNumberFormat="1" applyFont="1" applyFill="1" applyBorder="1" applyAlignment="1">
      <alignment horizontal="center" vertical="center"/>
    </xf>
    <xf numFmtId="164" fontId="11" fillId="0" borderId="17" xfId="0" applyNumberFormat="1" applyFont="1" applyFill="1" applyBorder="1" applyAlignment="1">
      <alignment horizontal="center" vertical="center"/>
    </xf>
    <xf numFmtId="0" fontId="11" fillId="0" borderId="17" xfId="0" applyFont="1" applyFill="1" applyBorder="1" applyAlignment="1">
      <alignment horizontal="center" vertical="center"/>
    </xf>
    <xf numFmtId="164" fontId="11" fillId="0" borderId="18" xfId="0" applyNumberFormat="1" applyFont="1" applyFill="1" applyBorder="1" applyAlignment="1">
      <alignment horizontal="center" vertical="center"/>
    </xf>
    <xf numFmtId="166" fontId="0" fillId="0" borderId="0" xfId="0" applyNumberFormat="1" applyAlignment="1">
      <alignment vertical="center"/>
    </xf>
    <xf numFmtId="0" fontId="0" fillId="0" borderId="0" xfId="0" applyFont="1" applyBorder="1" applyAlignment="1">
      <alignment vertical="center"/>
    </xf>
    <xf numFmtId="0" fontId="0" fillId="6" borderId="0" xfId="0" applyFont="1" applyFill="1" applyBorder="1" applyAlignment="1">
      <alignment vertical="center"/>
    </xf>
    <xf numFmtId="0" fontId="2" fillId="0" borderId="11" xfId="0" applyFont="1" applyFill="1" applyBorder="1" applyAlignment="1">
      <alignment vertical="center"/>
    </xf>
    <xf numFmtId="0" fontId="11" fillId="7" borderId="14" xfId="0" applyFont="1" applyFill="1" applyBorder="1" applyAlignment="1">
      <alignment vertical="center"/>
    </xf>
    <xf numFmtId="0" fontId="11" fillId="0" borderId="14" xfId="0" applyFont="1" applyFill="1" applyBorder="1" applyAlignment="1">
      <alignment vertical="center"/>
    </xf>
    <xf numFmtId="0" fontId="11" fillId="0" borderId="16" xfId="0" applyFont="1" applyFill="1" applyBorder="1" applyAlignment="1">
      <alignment vertical="center"/>
    </xf>
    <xf numFmtId="0" fontId="0" fillId="0" borderId="0" xfId="0" applyFont="1" applyBorder="1" applyAlignment="1">
      <alignment horizontal="center" vertical="center"/>
    </xf>
    <xf numFmtId="0" fontId="0" fillId="6" borderId="0" xfId="0" applyFont="1" applyFill="1" applyBorder="1" applyAlignment="1">
      <alignment horizontal="center" vertical="center"/>
    </xf>
    <xf numFmtId="14" fontId="2" fillId="0" borderId="0" xfId="0" applyNumberFormat="1" applyFont="1"/>
    <xf numFmtId="0" fontId="2" fillId="10" borderId="25" xfId="0" applyFont="1" applyFill="1" applyBorder="1" applyAlignment="1">
      <alignment horizontal="center" vertical="center"/>
    </xf>
    <xf numFmtId="0" fontId="0" fillId="9" borderId="26" xfId="0" applyFill="1" applyBorder="1" applyAlignment="1">
      <alignment horizontal="center" vertical="center"/>
    </xf>
    <xf numFmtId="0" fontId="0" fillId="6" borderId="0" xfId="0" applyNumberFormat="1" applyFont="1" applyFill="1" applyBorder="1" applyAlignment="1">
      <alignment horizontal="center" vertical="center"/>
    </xf>
    <xf numFmtId="0" fontId="0" fillId="11" borderId="0" xfId="0" applyNumberFormat="1" applyFont="1" applyFill="1" applyBorder="1" applyAlignment="1">
      <alignment horizontal="center" vertical="center"/>
    </xf>
    <xf numFmtId="0" fontId="0" fillId="11" borderId="0" xfId="0" applyFont="1" applyFill="1" applyBorder="1" applyAlignment="1">
      <alignment vertical="center"/>
    </xf>
    <xf numFmtId="0" fontId="7" fillId="8" borderId="0" xfId="0" applyFont="1" applyFill="1"/>
    <xf numFmtId="14" fontId="7" fillId="8" borderId="0" xfId="0" applyNumberFormat="1" applyFont="1" applyFill="1"/>
    <xf numFmtId="164" fontId="7" fillId="8" borderId="0" xfId="0" applyNumberFormat="1" applyFont="1" applyFill="1"/>
    <xf numFmtId="0" fontId="7" fillId="0" borderId="0" xfId="0" applyFont="1"/>
    <xf numFmtId="164" fontId="7" fillId="0" borderId="0" xfId="0" applyNumberFormat="1" applyFont="1"/>
    <xf numFmtId="0" fontId="0" fillId="12" borderId="12" xfId="0" applyFill="1" applyBorder="1"/>
    <xf numFmtId="0" fontId="0" fillId="12" borderId="13" xfId="0" applyFill="1" applyBorder="1"/>
    <xf numFmtId="0" fontId="2" fillId="12" borderId="0" xfId="0" applyFont="1" applyFill="1" applyBorder="1"/>
    <xf numFmtId="0" fontId="2" fillId="12" borderId="15" xfId="0" applyFont="1" applyFill="1" applyBorder="1"/>
    <xf numFmtId="0" fontId="0" fillId="12" borderId="0" xfId="0" applyFill="1" applyBorder="1"/>
    <xf numFmtId="0" fontId="0" fillId="12" borderId="15" xfId="0" applyFill="1" applyBorder="1"/>
    <xf numFmtId="0" fontId="0" fillId="12" borderId="17" xfId="0" applyFill="1" applyBorder="1"/>
    <xf numFmtId="0" fontId="0" fillId="12" borderId="18" xfId="0" applyFill="1" applyBorder="1"/>
    <xf numFmtId="0" fontId="0" fillId="0" borderId="0" xfId="0" applyAlignment="1">
      <alignment horizontal="center"/>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2" fillId="3" borderId="1" xfId="0" applyFont="1" applyFill="1" applyBorder="1" applyAlignment="1">
      <alignment horizontal="center"/>
    </xf>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4" fillId="0" borderId="1" xfId="0" applyFont="1" applyBorder="1" applyAlignment="1">
      <alignment horizontal="center" vertical="center" wrapText="1"/>
    </xf>
    <xf numFmtId="0" fontId="2" fillId="0" borderId="1" xfId="0" applyFont="1" applyBorder="1" applyAlignment="1">
      <alignment horizontal="center"/>
    </xf>
    <xf numFmtId="0" fontId="1" fillId="0" borderId="1" xfId="0" applyFont="1" applyBorder="1" applyAlignment="1">
      <alignment horizontal="center" vertical="center"/>
    </xf>
    <xf numFmtId="0" fontId="2" fillId="3" borderId="8" xfId="0" applyFont="1" applyFill="1" applyBorder="1" applyAlignment="1">
      <alignment horizontal="center" vertical="center" wrapText="1"/>
    </xf>
    <xf numFmtId="0" fontId="2" fillId="3" borderId="0" xfId="0" applyFont="1" applyFill="1" applyBorder="1" applyAlignment="1">
      <alignment horizontal="center" vertical="center" wrapText="1"/>
    </xf>
    <xf numFmtId="0" fontId="2" fillId="3" borderId="9" xfId="0" applyFont="1" applyFill="1" applyBorder="1" applyAlignment="1">
      <alignment horizontal="center" vertical="center" wrapText="1"/>
    </xf>
    <xf numFmtId="0" fontId="2" fillId="10" borderId="23" xfId="0" applyFont="1" applyFill="1" applyBorder="1" applyAlignment="1">
      <alignment horizontal="center" vertical="center"/>
    </xf>
    <xf numFmtId="0" fontId="2" fillId="10" borderId="24" xfId="0" applyFont="1" applyFill="1" applyBorder="1" applyAlignment="1">
      <alignment horizontal="center" vertical="center"/>
    </xf>
    <xf numFmtId="14" fontId="0" fillId="9" borderId="27" xfId="0" applyNumberFormat="1" applyFill="1" applyBorder="1" applyAlignment="1">
      <alignment horizontal="center" vertical="center"/>
    </xf>
    <xf numFmtId="14" fontId="0" fillId="9" borderId="28" xfId="0" applyNumberFormat="1" applyFill="1" applyBorder="1" applyAlignment="1">
      <alignment horizontal="center" vertical="center"/>
    </xf>
    <xf numFmtId="0" fontId="10" fillId="0" borderId="0" xfId="0" applyFont="1" applyFill="1" applyBorder="1" applyAlignment="1">
      <alignment horizontal="center" vertical="center"/>
    </xf>
    <xf numFmtId="0" fontId="14" fillId="9" borderId="21" xfId="0" applyFont="1" applyFill="1" applyBorder="1" applyAlignment="1">
      <alignment horizontal="center" vertical="center"/>
    </xf>
    <xf numFmtId="0" fontId="14" fillId="9" borderId="22" xfId="0" applyFont="1" applyFill="1" applyBorder="1" applyAlignment="1">
      <alignment horizontal="center" vertical="center"/>
    </xf>
    <xf numFmtId="0" fontId="8" fillId="10" borderId="19" xfId="0" applyFont="1" applyFill="1" applyBorder="1" applyAlignment="1">
      <alignment horizontal="center" vertical="center"/>
    </xf>
    <xf numFmtId="0" fontId="8" fillId="10" borderId="20" xfId="0" applyFont="1" applyFill="1" applyBorder="1" applyAlignment="1">
      <alignment horizontal="center" vertical="center"/>
    </xf>
    <xf numFmtId="0" fontId="8" fillId="8" borderId="13" xfId="0" applyFont="1" applyFill="1" applyBorder="1" applyAlignment="1">
      <alignment horizontal="center" vertical="center" wrapText="1"/>
    </xf>
    <xf numFmtId="0" fontId="8" fillId="8" borderId="15" xfId="0" applyFont="1" applyFill="1" applyBorder="1" applyAlignment="1">
      <alignment horizontal="center" vertical="center" wrapText="1"/>
    </xf>
    <xf numFmtId="0" fontId="8" fillId="8" borderId="18" xfId="0" applyFont="1" applyFill="1" applyBorder="1" applyAlignment="1">
      <alignment horizontal="center" vertical="center" wrapText="1"/>
    </xf>
    <xf numFmtId="164" fontId="8" fillId="8" borderId="14" xfId="0" applyNumberFormat="1" applyFont="1" applyFill="1" applyBorder="1" applyAlignment="1">
      <alignment horizontal="center" vertical="center"/>
    </xf>
    <xf numFmtId="164" fontId="8" fillId="8" borderId="0" xfId="0" applyNumberFormat="1" applyFont="1" applyFill="1" applyBorder="1" applyAlignment="1">
      <alignment horizontal="center" vertical="center"/>
    </xf>
    <xf numFmtId="164" fontId="8" fillId="8" borderId="15" xfId="0" applyNumberFormat="1" applyFont="1" applyFill="1" applyBorder="1" applyAlignment="1">
      <alignment horizontal="center" vertical="center"/>
    </xf>
    <xf numFmtId="164" fontId="16" fillId="8" borderId="16" xfId="0" applyNumberFormat="1" applyFont="1" applyFill="1" applyBorder="1" applyAlignment="1">
      <alignment horizontal="center" vertical="center"/>
    </xf>
    <xf numFmtId="164" fontId="16" fillId="8" borderId="17" xfId="0" applyNumberFormat="1" applyFont="1" applyFill="1" applyBorder="1" applyAlignment="1">
      <alignment horizontal="center" vertical="center"/>
    </xf>
    <xf numFmtId="164" fontId="16" fillId="8" borderId="18" xfId="0" applyNumberFormat="1" applyFont="1" applyFill="1" applyBorder="1" applyAlignment="1">
      <alignment horizontal="center" vertical="center"/>
    </xf>
    <xf numFmtId="0" fontId="0" fillId="8" borderId="14" xfId="0" applyFill="1" applyBorder="1" applyAlignment="1">
      <alignment horizontal="center"/>
    </xf>
    <xf numFmtId="0" fontId="0" fillId="8" borderId="0" xfId="0" applyFill="1" applyBorder="1" applyAlignment="1">
      <alignment horizontal="center"/>
    </xf>
    <xf numFmtId="0" fontId="0" fillId="8" borderId="15" xfId="0" applyFill="1" applyBorder="1" applyAlignment="1">
      <alignment horizontal="center"/>
    </xf>
    <xf numFmtId="165" fontId="16" fillId="8" borderId="16" xfId="1" applyNumberFormat="1" applyFont="1" applyFill="1" applyBorder="1" applyAlignment="1">
      <alignment horizontal="center" vertical="center"/>
    </xf>
    <xf numFmtId="165" fontId="16" fillId="8" borderId="17" xfId="1" applyNumberFormat="1" applyFont="1" applyFill="1" applyBorder="1" applyAlignment="1">
      <alignment horizontal="center" vertical="center"/>
    </xf>
    <xf numFmtId="165" fontId="16" fillId="8" borderId="18" xfId="1" applyNumberFormat="1" applyFont="1" applyFill="1" applyBorder="1" applyAlignment="1">
      <alignment horizontal="center" vertical="center"/>
    </xf>
    <xf numFmtId="165" fontId="8" fillId="8" borderId="14" xfId="0" applyNumberFormat="1" applyFont="1" applyFill="1" applyBorder="1" applyAlignment="1">
      <alignment horizontal="center" vertical="center"/>
    </xf>
    <xf numFmtId="165" fontId="8" fillId="8" borderId="0" xfId="0" applyNumberFormat="1" applyFont="1" applyFill="1" applyBorder="1" applyAlignment="1">
      <alignment horizontal="center" vertical="center"/>
    </xf>
    <xf numFmtId="165" fontId="8" fillId="8" borderId="15" xfId="0" applyNumberFormat="1" applyFont="1" applyFill="1" applyBorder="1" applyAlignment="1">
      <alignment horizontal="center" vertical="center"/>
    </xf>
    <xf numFmtId="0" fontId="18" fillId="2" borderId="0" xfId="0" applyFont="1" applyFill="1" applyAlignment="1">
      <alignment horizontal="center" vertical="center"/>
    </xf>
    <xf numFmtId="0" fontId="9" fillId="8" borderId="11" xfId="0" applyFont="1" applyFill="1" applyBorder="1" applyAlignment="1">
      <alignment horizontal="center" vertical="center"/>
    </xf>
    <xf numFmtId="0" fontId="9" fillId="8" borderId="12" xfId="0" applyFont="1" applyFill="1" applyBorder="1" applyAlignment="1">
      <alignment horizontal="center" vertical="center"/>
    </xf>
    <xf numFmtId="0" fontId="9" fillId="8" borderId="13" xfId="0" applyFont="1" applyFill="1" applyBorder="1" applyAlignment="1">
      <alignment horizontal="center" vertical="center"/>
    </xf>
    <xf numFmtId="0" fontId="9" fillId="8" borderId="11" xfId="0" applyFont="1" applyFill="1" applyBorder="1" applyAlignment="1">
      <alignment horizontal="center" vertical="center" wrapText="1"/>
    </xf>
    <xf numFmtId="0" fontId="9" fillId="8" borderId="12" xfId="0" applyFont="1" applyFill="1" applyBorder="1" applyAlignment="1">
      <alignment horizontal="center" vertical="center" wrapText="1"/>
    </xf>
    <xf numFmtId="0" fontId="9" fillId="8" borderId="13" xfId="0" applyFont="1" applyFill="1" applyBorder="1" applyAlignment="1">
      <alignment horizontal="center" vertical="center" wrapText="1"/>
    </xf>
    <xf numFmtId="0" fontId="9" fillId="8" borderId="14" xfId="0" applyFont="1" applyFill="1" applyBorder="1" applyAlignment="1">
      <alignment horizontal="center" vertical="center"/>
    </xf>
    <xf numFmtId="0" fontId="9" fillId="8" borderId="0" xfId="0" applyFont="1" applyFill="1" applyBorder="1" applyAlignment="1">
      <alignment horizontal="center" vertical="center"/>
    </xf>
    <xf numFmtId="0" fontId="2" fillId="0" borderId="0" xfId="0" applyFont="1" applyAlignment="1">
      <alignment horizontal="center" vertical="center" wrapText="1"/>
    </xf>
  </cellXfs>
  <cellStyles count="2">
    <cellStyle name="Normal" xfId="0" builtinId="0"/>
    <cellStyle name="Percent" xfId="1" builtinId="5"/>
  </cellStyles>
  <dxfs count="83">
    <dxf>
      <numFmt numFmtId="164" formatCode="0.0"/>
    </dxf>
    <dxf>
      <numFmt numFmtId="164" formatCode="0.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alignment horizontal="center" vertical="center" textRotation="0" wrapText="0" indent="0" justifyLastLine="0" shrinkToFit="0" readingOrder="0"/>
    </dxf>
    <dxf>
      <numFmt numFmtId="164" formatCode="0.0"/>
    </dxf>
    <dxf>
      <numFmt numFmtId="164" formatCode="0.0"/>
    </dxf>
    <dxf>
      <numFmt numFmtId="166" formatCode=";;;"/>
      <alignment horizontal="general" vertical="center" textRotation="0" wrapText="0" indent="0" justifyLastLine="0" shrinkToFit="0" readingOrder="0"/>
    </dxf>
    <dxf>
      <numFmt numFmtId="166" formatCode=";;;"/>
      <alignment horizontal="general" vertical="center" textRotation="0" wrapText="0" indent="0" justifyLastLine="0" shrinkToFit="0" readingOrder="0"/>
    </dxf>
    <dxf>
      <numFmt numFmtId="166" formatCode=";;;"/>
      <alignment horizontal="general" vertical="center" textRotation="0" wrapText="0" indent="0" justifyLastLine="0" shrinkToFit="0" readingOrder="0"/>
    </dxf>
    <dxf>
      <numFmt numFmtId="166" formatCode=";;;"/>
      <alignment horizontal="general" vertical="center" textRotation="0" wrapText="0" indent="0" justifyLastLine="0" shrinkToFit="0" readingOrder="0"/>
    </dxf>
    <dxf>
      <numFmt numFmtId="166" formatCode=";;;"/>
      <alignment horizontal="general" vertical="center" textRotation="0" wrapText="0" indent="0" justifyLastLine="0" shrinkToFit="0" readingOrder="0"/>
    </dxf>
    <dxf>
      <numFmt numFmtId="166" formatCode=";;;"/>
      <alignment horizontal="general" vertical="center" textRotation="0" wrapText="0" indent="0" justifyLastLine="0" shrinkToFit="0" readingOrder="0"/>
    </dxf>
    <dxf>
      <numFmt numFmtId="166" formatCode=";;;"/>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0" formatCode="Genera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center" textRotation="0" wrapText="0" indent="0" justifyLastLine="0" shrinkToFit="0" readingOrder="0"/>
      <border diagonalUp="0" diagonalDown="0" outline="0">
        <left/>
        <right/>
        <top style="thin">
          <color theme="4" tint="0.39997558519241921"/>
        </top>
        <bottom style="thin">
          <color theme="4" tint="0.39997558519241921"/>
        </bottom>
      </border>
    </dxf>
    <dxf>
      <border outline="0">
        <left style="thin">
          <color theme="4" tint="0.39997558519241921"/>
        </left>
      </border>
    </dxf>
    <dxf>
      <alignment horizontal="left" vertical="top" textRotation="90" wrapText="1" indent="0" justifyLastLine="0" shrinkToFit="0" readingOrder="0"/>
    </dxf>
    <dxf>
      <font>
        <b/>
        <i val="0"/>
      </font>
      <fill>
        <patternFill>
          <bgColor rgb="FF92D050"/>
        </patternFill>
      </fill>
    </dxf>
    <dxf>
      <font>
        <b/>
        <i val="0"/>
      </font>
      <fill>
        <patternFill>
          <bgColor rgb="FFFF6161"/>
        </patternFill>
      </fill>
    </dxf>
    <dxf>
      <font>
        <b/>
        <i val="0"/>
      </font>
      <fill>
        <patternFill>
          <bgColor rgb="FF92D050"/>
        </patternFill>
      </fill>
    </dxf>
    <dxf>
      <font>
        <b/>
        <i val="0"/>
      </font>
      <fill>
        <patternFill>
          <bgColor rgb="FFFF6161"/>
        </patternFill>
      </fill>
    </dxf>
    <dxf>
      <font>
        <b/>
        <i val="0"/>
      </font>
      <fill>
        <patternFill>
          <bgColor rgb="FF92D050"/>
        </patternFill>
      </fill>
    </dxf>
    <dxf>
      <font>
        <b/>
        <i val="0"/>
      </font>
      <fill>
        <patternFill>
          <bgColor rgb="FFFF6161"/>
        </patternFill>
      </fill>
    </dxf>
    <dxf>
      <font>
        <b/>
        <i val="0"/>
      </font>
      <fill>
        <patternFill>
          <bgColor rgb="FFFF6161"/>
        </patternFill>
      </fill>
    </dxf>
    <dxf>
      <font>
        <b/>
        <i val="0"/>
      </font>
      <fill>
        <patternFill>
          <bgColor rgb="FF92D050"/>
        </patternFill>
      </fill>
    </dxf>
    <dxf>
      <font>
        <b/>
        <i val="0"/>
      </font>
      <fill>
        <patternFill>
          <bgColor rgb="FFFF6161"/>
        </patternFill>
      </fill>
    </dxf>
    <dxf>
      <font>
        <b/>
        <i val="0"/>
      </font>
      <fill>
        <patternFill>
          <bgColor rgb="FF92D050"/>
        </patternFill>
      </fill>
    </dxf>
    <dxf>
      <font>
        <b/>
        <i val="0"/>
      </font>
      <fill>
        <patternFill>
          <bgColor rgb="FFFF6161"/>
        </patternFill>
      </fill>
    </dxf>
    <dxf>
      <font>
        <b/>
        <i val="0"/>
      </font>
      <fill>
        <patternFill>
          <bgColor rgb="FF92D050"/>
        </patternFill>
      </fill>
    </dxf>
    <dxf>
      <font>
        <b/>
        <i val="0"/>
      </font>
      <fill>
        <patternFill>
          <bgColor rgb="FFFF6161"/>
        </patternFill>
      </fill>
    </dxf>
    <dxf>
      <font>
        <b/>
        <i val="0"/>
      </font>
      <fill>
        <patternFill>
          <bgColor rgb="FF92D050"/>
        </patternFill>
      </fill>
    </dxf>
    <dxf>
      <font>
        <b/>
        <i val="0"/>
      </font>
      <fill>
        <patternFill>
          <bgColor rgb="FFFF6161"/>
        </patternFill>
      </fill>
    </dxf>
    <dxf>
      <font>
        <b/>
        <i val="0"/>
      </font>
      <fill>
        <patternFill>
          <bgColor rgb="FF92D050"/>
        </patternFill>
      </fill>
    </dxf>
    <dxf>
      <font>
        <b/>
        <i val="0"/>
      </font>
      <fill>
        <patternFill>
          <bgColor rgb="FF92D050"/>
        </patternFill>
      </fill>
    </dxf>
    <dxf>
      <font>
        <b/>
        <i val="0"/>
      </font>
      <fill>
        <patternFill>
          <bgColor rgb="FFFF6161"/>
        </patternFill>
      </fill>
    </dxf>
    <dxf>
      <font>
        <b val="0"/>
        <i val="0"/>
      </font>
      <fill>
        <patternFill>
          <bgColor theme="0" tint="-4.9989318521683403E-2"/>
        </patternFill>
      </fill>
    </dxf>
    <dxf>
      <font>
        <b/>
        <i val="0"/>
      </font>
      <fill>
        <patternFill>
          <bgColor rgb="FF92D050"/>
        </patternFill>
      </fill>
    </dxf>
    <dxf>
      <font>
        <b/>
        <i val="0"/>
      </font>
      <fill>
        <patternFill>
          <bgColor rgb="FFFF6161"/>
        </patternFill>
      </fill>
    </dxf>
    <dxf>
      <font>
        <b val="0"/>
        <i val="0"/>
      </font>
      <fill>
        <patternFill>
          <bgColor theme="0" tint="-4.9989318521683403E-2"/>
        </patternFill>
      </fill>
    </dxf>
    <dxf>
      <font>
        <b/>
        <i val="0"/>
      </font>
      <fill>
        <patternFill>
          <bgColor rgb="FF92D050"/>
        </patternFill>
      </fill>
    </dxf>
    <dxf>
      <font>
        <b/>
        <i val="0"/>
      </font>
      <fill>
        <patternFill>
          <bgColor rgb="FFFF6161"/>
        </patternFill>
      </fill>
    </dxf>
    <dxf>
      <font>
        <b val="0"/>
        <i val="0"/>
      </font>
      <fill>
        <patternFill>
          <bgColor theme="0" tint="-4.9989318521683403E-2"/>
        </patternFill>
      </fill>
    </dxf>
    <dxf>
      <font>
        <b/>
        <i val="0"/>
      </font>
      <fill>
        <patternFill>
          <bgColor rgb="FF92D050"/>
        </patternFill>
      </fill>
    </dxf>
    <dxf>
      <font>
        <b/>
        <i val="0"/>
      </font>
      <fill>
        <patternFill>
          <bgColor rgb="FFFF6161"/>
        </patternFill>
      </fill>
    </dxf>
    <dxf>
      <font>
        <b val="0"/>
        <i val="0"/>
      </font>
      <fill>
        <patternFill>
          <bgColor theme="0" tint="-4.9989318521683403E-2"/>
        </patternFill>
      </fill>
    </dxf>
    <dxf>
      <font>
        <b/>
        <i val="0"/>
      </font>
      <fill>
        <patternFill>
          <bgColor rgb="FF92D050"/>
        </patternFill>
      </fill>
    </dxf>
    <dxf>
      <font>
        <b/>
        <i val="0"/>
      </font>
      <fill>
        <patternFill>
          <bgColor rgb="FFFF6161"/>
        </patternFill>
      </fill>
    </dxf>
    <dxf>
      <font>
        <b val="0"/>
        <i val="0"/>
      </font>
      <fill>
        <patternFill>
          <bgColor theme="0" tint="-4.9989318521683403E-2"/>
        </patternFill>
      </fill>
    </dxf>
    <dxf>
      <font>
        <b/>
        <i val="0"/>
      </font>
      <fill>
        <patternFill>
          <bgColor rgb="FF92D050"/>
        </patternFill>
      </fill>
    </dxf>
    <dxf>
      <font>
        <b/>
        <i val="0"/>
      </font>
      <fill>
        <patternFill>
          <bgColor rgb="FFFF6161"/>
        </patternFill>
      </fill>
    </dxf>
    <dxf>
      <font>
        <b val="0"/>
        <i val="0"/>
      </font>
      <fill>
        <patternFill>
          <bgColor theme="0" tint="-4.9989318521683403E-2"/>
        </patternFill>
      </fill>
    </dxf>
    <dxf>
      <numFmt numFmtId="0" formatCode="General"/>
    </dxf>
    <dxf>
      <numFmt numFmtId="19" formatCode="m/d/yyyy"/>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alignment horizontal="center" vertical="center" textRotation="0" wrapText="1" indent="0" justifyLastLine="0" shrinkToFit="0" readingOrder="0"/>
    </dxf>
  </dxfs>
  <tableStyles count="0" defaultTableStyle="TableStyleMedium2" defaultPivotStyle="PivotStyleLight16"/>
  <colors>
    <mruColors>
      <color rgb="FFE78075"/>
      <color rgb="FFFF6161"/>
      <color rgb="FF7AB8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Dashboard!$A$83</c:f>
          <c:strCache>
            <c:ptCount val="1"/>
            <c:pt idx="0">
              <c:v>Team Average: sRPE vs. Energy</c:v>
            </c:pt>
          </c:strCache>
        </c:strRef>
      </c:tx>
      <c:overlay val="0"/>
      <c:spPr>
        <a:noFill/>
        <a:ln>
          <a:noFill/>
        </a:ln>
        <a:effectLst/>
      </c:spPr>
      <c:txPr>
        <a:bodyPr rot="0" spcFirstLastPara="1" vertOverflow="ellipsis" vert="horz" wrap="square" anchor="ctr" anchorCtr="1"/>
        <a:lstStyle/>
        <a:p>
          <a:pPr>
            <a:defRPr sz="16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v>Readiness</c:v>
          </c:tx>
          <c:spPr>
            <a:solidFill>
              <a:schemeClr val="tx1"/>
            </a:solidFill>
            <a:ln>
              <a:noFill/>
            </a:ln>
            <a:effectLst/>
          </c:spPr>
          <c:invertIfNegative val="0"/>
          <c:cat>
            <c:numRef>
              <c:f>Dashboard!$B$84:$L$84</c:f>
              <c:numCache>
                <c:formatCode>m/d/yyyy</c:formatCode>
                <c:ptCount val="5"/>
                <c:pt idx="0">
                  <c:v>43879</c:v>
                </c:pt>
                <c:pt idx="1">
                  <c:v>43881</c:v>
                </c:pt>
                <c:pt idx="2">
                  <c:v>43886</c:v>
                </c:pt>
                <c:pt idx="3">
                  <c:v>43888</c:v>
                </c:pt>
                <c:pt idx="4">
                  <c:v>43895</c:v>
                </c:pt>
              </c:numCache>
            </c:numRef>
          </c:cat>
          <c:val>
            <c:numRef>
              <c:f>Dashboard!$B$86:$L$86</c:f>
              <c:numCache>
                <c:formatCode>0.0</c:formatCode>
                <c:ptCount val="5"/>
                <c:pt idx="0">
                  <c:v>6.333333333333333</c:v>
                </c:pt>
                <c:pt idx="1">
                  <c:v>5.8214285714285712</c:v>
                </c:pt>
                <c:pt idx="2">
                  <c:v>6.1724137931034484</c:v>
                </c:pt>
                <c:pt idx="3">
                  <c:v>6.1034482758620694</c:v>
                </c:pt>
                <c:pt idx="4">
                  <c:v>6.8</c:v>
                </c:pt>
              </c:numCache>
            </c:numRef>
          </c:val>
          <c:extLst>
            <c:ext xmlns:c16="http://schemas.microsoft.com/office/drawing/2014/chart" uri="{C3380CC4-5D6E-409C-BE32-E72D297353CC}">
              <c16:uniqueId val="{00000002-C6F2-4A97-8CA9-C695DF1749E8}"/>
            </c:ext>
          </c:extLst>
        </c:ser>
        <c:dLbls>
          <c:showLegendKey val="0"/>
          <c:showVal val="0"/>
          <c:showCatName val="0"/>
          <c:showSerName val="0"/>
          <c:showPercent val="0"/>
          <c:showBubbleSize val="0"/>
        </c:dLbls>
        <c:gapWidth val="219"/>
        <c:overlap val="-27"/>
        <c:axId val="638462696"/>
        <c:axId val="727657808"/>
      </c:barChart>
      <c:lineChart>
        <c:grouping val="standard"/>
        <c:varyColors val="0"/>
        <c:ser>
          <c:idx val="0"/>
          <c:order val="0"/>
          <c:tx>
            <c:v>Load</c:v>
          </c:tx>
          <c:spPr>
            <a:ln w="31750" cap="rnd">
              <a:solidFill>
                <a:srgbClr val="FF0000"/>
              </a:solidFill>
              <a:round/>
            </a:ln>
            <a:effectLst/>
          </c:spPr>
          <c:marker>
            <c:symbol val="circle"/>
            <c:size val="6"/>
            <c:spPr>
              <a:solidFill>
                <a:srgbClr val="FF0000"/>
              </a:solidFill>
              <a:ln w="9525">
                <a:solidFill>
                  <a:srgbClr val="FF0000">
                    <a:alpha val="94000"/>
                  </a:srgbClr>
                </a:solidFill>
              </a:ln>
              <a:effectLst/>
            </c:spPr>
          </c:marker>
          <c:dPt>
            <c:idx val="0"/>
            <c:marker>
              <c:symbol val="circle"/>
              <c:size val="6"/>
              <c:spPr>
                <a:solidFill>
                  <a:srgbClr val="FF0000"/>
                </a:solidFill>
                <a:ln w="9525">
                  <a:solidFill>
                    <a:srgbClr val="FF0000">
                      <a:alpha val="94000"/>
                    </a:srgbClr>
                  </a:solidFill>
                </a:ln>
                <a:effectLst/>
              </c:spPr>
            </c:marker>
            <c:bubble3D val="0"/>
            <c:extLst>
              <c:ext xmlns:c16="http://schemas.microsoft.com/office/drawing/2014/chart" uri="{C3380CC4-5D6E-409C-BE32-E72D297353CC}">
                <c16:uniqueId val="{00000004-C6F2-4A97-8CA9-C695DF1749E8}"/>
              </c:ext>
            </c:extLst>
          </c:dPt>
          <c:cat>
            <c:numRef>
              <c:f>Dashboard!$B$84:$L$84</c:f>
              <c:numCache>
                <c:formatCode>m/d/yyyy</c:formatCode>
                <c:ptCount val="5"/>
                <c:pt idx="0">
                  <c:v>43879</c:v>
                </c:pt>
                <c:pt idx="1">
                  <c:v>43881</c:v>
                </c:pt>
                <c:pt idx="2">
                  <c:v>43886</c:v>
                </c:pt>
                <c:pt idx="3">
                  <c:v>43888</c:v>
                </c:pt>
                <c:pt idx="4">
                  <c:v>43895</c:v>
                </c:pt>
              </c:numCache>
            </c:numRef>
          </c:cat>
          <c:val>
            <c:numRef>
              <c:f>Dashboard!$B$85:$L$85</c:f>
              <c:numCache>
                <c:formatCode>0.0</c:formatCode>
                <c:ptCount val="5"/>
                <c:pt idx="0">
                  <c:v>233.88888888888889</c:v>
                </c:pt>
                <c:pt idx="1">
                  <c:v>435.89285714285717</c:v>
                </c:pt>
                <c:pt idx="2">
                  <c:v>156.20689655172413</c:v>
                </c:pt>
                <c:pt idx="3">
                  <c:v>269.65517241379308</c:v>
                </c:pt>
                <c:pt idx="4">
                  <c:v>317.33333333333331</c:v>
                </c:pt>
              </c:numCache>
            </c:numRef>
          </c:val>
          <c:smooth val="0"/>
          <c:extLst>
            <c:ext xmlns:c16="http://schemas.microsoft.com/office/drawing/2014/chart" uri="{C3380CC4-5D6E-409C-BE32-E72D297353CC}">
              <c16:uniqueId val="{00000000-C6F2-4A97-8CA9-C695DF1749E8}"/>
            </c:ext>
          </c:extLst>
        </c:ser>
        <c:dLbls>
          <c:showLegendKey val="0"/>
          <c:showVal val="0"/>
          <c:showCatName val="0"/>
          <c:showSerName val="0"/>
          <c:showPercent val="0"/>
          <c:showBubbleSize val="0"/>
        </c:dLbls>
        <c:marker val="1"/>
        <c:smooth val="0"/>
        <c:axId val="638460400"/>
        <c:axId val="638462040"/>
      </c:lineChart>
      <c:catAx>
        <c:axId val="638462696"/>
        <c:scaling>
          <c:orientation val="minMax"/>
        </c:scaling>
        <c:delete val="0"/>
        <c:axPos val="b"/>
        <c:numFmt formatCode="m/d/yyyy" sourceLinked="1"/>
        <c:majorTickMark val="none"/>
        <c:minorTickMark val="none"/>
        <c:tickLblPos val="nextTo"/>
        <c:spPr>
          <a:noFill/>
          <a:ln w="9525" cap="flat" cmpd="sng" algn="ctr">
            <a:solidFill>
              <a:schemeClr val="bg1">
                <a:lumMod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7657808"/>
        <c:crosses val="autoZero"/>
        <c:auto val="0"/>
        <c:lblAlgn val="ctr"/>
        <c:lblOffset val="100"/>
        <c:noMultiLvlLbl val="0"/>
      </c:catAx>
      <c:valAx>
        <c:axId val="727657808"/>
        <c:scaling>
          <c:orientation val="minMax"/>
        </c:scaling>
        <c:delete val="0"/>
        <c:axPos val="l"/>
        <c:numFmt formatCode="0.0" sourceLinked="1"/>
        <c:majorTickMark val="none"/>
        <c:minorTickMark val="none"/>
        <c:tickLblPos val="nextTo"/>
        <c:spPr>
          <a:noFill/>
          <a:ln>
            <a:solidFill>
              <a:schemeClr val="bg1">
                <a:lumMod val="75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8462696"/>
        <c:crosses val="autoZero"/>
        <c:crossBetween val="between"/>
      </c:valAx>
      <c:valAx>
        <c:axId val="638462040"/>
        <c:scaling>
          <c:orientation val="minMax"/>
        </c:scaling>
        <c:delete val="0"/>
        <c:axPos val="r"/>
        <c:numFmt formatCode="0.0" sourceLinked="1"/>
        <c:majorTickMark val="out"/>
        <c:minorTickMark val="none"/>
        <c:tickLblPos val="nextTo"/>
        <c:spPr>
          <a:noFill/>
          <a:ln>
            <a:solidFill>
              <a:schemeClr val="bg1">
                <a:lumMod val="75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8460400"/>
        <c:crosses val="max"/>
        <c:crossBetween val="between"/>
      </c:valAx>
      <c:dateAx>
        <c:axId val="638460400"/>
        <c:scaling>
          <c:orientation val="minMax"/>
        </c:scaling>
        <c:delete val="1"/>
        <c:axPos val="b"/>
        <c:numFmt formatCode="m/d/yyyy" sourceLinked="1"/>
        <c:majorTickMark val="out"/>
        <c:minorTickMark val="none"/>
        <c:tickLblPos val="nextTo"/>
        <c:crossAx val="638462040"/>
        <c:crosses val="autoZero"/>
        <c:auto val="1"/>
        <c:lblOffset val="100"/>
        <c:baseTimeUnit val="days"/>
      </c:dateAx>
      <c:spPr>
        <a:solidFill>
          <a:schemeClr val="bg1">
            <a:lumMod val="95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tx1"/>
                </a:solidFill>
                <a:latin typeface="+mn-lt"/>
                <a:ea typeface="+mn-ea"/>
                <a:cs typeface="+mn-cs"/>
              </a:defRPr>
            </a:pPr>
            <a:r>
              <a:rPr lang="en-US" sz="1600">
                <a:solidFill>
                  <a:schemeClr val="tx1"/>
                </a:solidFill>
              </a:rPr>
              <a:t>sRPE vs Readiness Score</a:t>
            </a: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v>Readiness Score</c:v>
          </c:tx>
          <c:spPr>
            <a:solidFill>
              <a:srgbClr val="FF0000"/>
            </a:solidFill>
            <a:ln>
              <a:solidFill>
                <a:srgbClr val="FF0000"/>
              </a:solidFill>
            </a:ln>
            <a:effectLst/>
          </c:spPr>
          <c:invertIfNegative val="0"/>
          <c:cat>
            <c:numRef>
              <c:f>Dashboard!$B$84:$L$84</c:f>
              <c:numCache>
                <c:formatCode>m/d/yyyy</c:formatCode>
                <c:ptCount val="5"/>
                <c:pt idx="0">
                  <c:v>43879</c:v>
                </c:pt>
                <c:pt idx="1">
                  <c:v>43881</c:v>
                </c:pt>
                <c:pt idx="2">
                  <c:v>43886</c:v>
                </c:pt>
                <c:pt idx="3">
                  <c:v>43888</c:v>
                </c:pt>
                <c:pt idx="4">
                  <c:v>43895</c:v>
                </c:pt>
              </c:numCache>
            </c:numRef>
          </c:cat>
          <c:val>
            <c:numRef>
              <c:f>Dashboard!$B$88:$L$88</c:f>
              <c:numCache>
                <c:formatCode>0.0</c:formatCode>
                <c:ptCount val="5"/>
                <c:pt idx="0">
                  <c:v>19</c:v>
                </c:pt>
                <c:pt idx="1">
                  <c:v>17.821428571428573</c:v>
                </c:pt>
                <c:pt idx="2">
                  <c:v>19.103448275862068</c:v>
                </c:pt>
                <c:pt idx="3">
                  <c:v>18.896551724137932</c:v>
                </c:pt>
                <c:pt idx="4">
                  <c:v>20.399999999999999</c:v>
                </c:pt>
              </c:numCache>
            </c:numRef>
          </c:val>
          <c:extLst>
            <c:ext xmlns:c16="http://schemas.microsoft.com/office/drawing/2014/chart" uri="{C3380CC4-5D6E-409C-BE32-E72D297353CC}">
              <c16:uniqueId val="{00000000-A652-4781-81DF-A48137304A3F}"/>
            </c:ext>
          </c:extLst>
        </c:ser>
        <c:dLbls>
          <c:showLegendKey val="0"/>
          <c:showVal val="0"/>
          <c:showCatName val="0"/>
          <c:showSerName val="0"/>
          <c:showPercent val="0"/>
          <c:showBubbleSize val="0"/>
        </c:dLbls>
        <c:gapWidth val="219"/>
        <c:overlap val="-27"/>
        <c:axId val="638462696"/>
        <c:axId val="727657808"/>
      </c:barChart>
      <c:lineChart>
        <c:grouping val="standard"/>
        <c:varyColors val="0"/>
        <c:ser>
          <c:idx val="0"/>
          <c:order val="0"/>
          <c:tx>
            <c:v>sRPE</c:v>
          </c:tx>
          <c:spPr>
            <a:ln w="28575" cap="rnd">
              <a:solidFill>
                <a:schemeClr val="tx1"/>
              </a:solidFill>
              <a:round/>
            </a:ln>
            <a:effectLst/>
          </c:spPr>
          <c:marker>
            <c:symbol val="circle"/>
            <c:size val="6"/>
            <c:spPr>
              <a:solidFill>
                <a:schemeClr val="tx1"/>
              </a:solidFill>
              <a:ln w="9525">
                <a:solidFill>
                  <a:schemeClr val="tx1"/>
                </a:solidFill>
              </a:ln>
              <a:effectLst/>
            </c:spPr>
          </c:marker>
          <c:cat>
            <c:numRef>
              <c:f>Dashboard!$B$84:$L$84</c:f>
              <c:numCache>
                <c:formatCode>m/d/yyyy</c:formatCode>
                <c:ptCount val="5"/>
                <c:pt idx="0">
                  <c:v>43879</c:v>
                </c:pt>
                <c:pt idx="1">
                  <c:v>43881</c:v>
                </c:pt>
                <c:pt idx="2">
                  <c:v>43886</c:v>
                </c:pt>
                <c:pt idx="3">
                  <c:v>43888</c:v>
                </c:pt>
                <c:pt idx="4">
                  <c:v>43895</c:v>
                </c:pt>
              </c:numCache>
            </c:numRef>
          </c:cat>
          <c:val>
            <c:numRef>
              <c:f>Dashboard!$B$87:$L$87</c:f>
              <c:numCache>
                <c:formatCode>0.0</c:formatCode>
                <c:ptCount val="5"/>
                <c:pt idx="0">
                  <c:v>233.88888888888889</c:v>
                </c:pt>
                <c:pt idx="1">
                  <c:v>435.89285714285717</c:v>
                </c:pt>
                <c:pt idx="2">
                  <c:v>156.20689655172413</c:v>
                </c:pt>
                <c:pt idx="3">
                  <c:v>269.65517241379308</c:v>
                </c:pt>
                <c:pt idx="4">
                  <c:v>317.33333333333331</c:v>
                </c:pt>
              </c:numCache>
            </c:numRef>
          </c:val>
          <c:smooth val="0"/>
          <c:extLst>
            <c:ext xmlns:c16="http://schemas.microsoft.com/office/drawing/2014/chart" uri="{C3380CC4-5D6E-409C-BE32-E72D297353CC}">
              <c16:uniqueId val="{00000001-A652-4781-81DF-A48137304A3F}"/>
            </c:ext>
          </c:extLst>
        </c:ser>
        <c:dLbls>
          <c:showLegendKey val="0"/>
          <c:showVal val="0"/>
          <c:showCatName val="0"/>
          <c:showSerName val="0"/>
          <c:showPercent val="0"/>
          <c:showBubbleSize val="0"/>
        </c:dLbls>
        <c:marker val="1"/>
        <c:smooth val="0"/>
        <c:axId val="638460400"/>
        <c:axId val="638462040"/>
      </c:lineChart>
      <c:catAx>
        <c:axId val="638462696"/>
        <c:scaling>
          <c:orientation val="minMax"/>
        </c:scaling>
        <c:delete val="0"/>
        <c:axPos val="b"/>
        <c:numFmt formatCode="m/d/yyyy" sourceLinked="1"/>
        <c:majorTickMark val="none"/>
        <c:minorTickMark val="none"/>
        <c:tickLblPos val="nextTo"/>
        <c:spPr>
          <a:noFill/>
          <a:ln w="9525" cap="flat" cmpd="sng" algn="ctr">
            <a:solidFill>
              <a:schemeClr val="bg1">
                <a:lumMod val="6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7657808"/>
        <c:crosses val="autoZero"/>
        <c:auto val="0"/>
        <c:lblAlgn val="ctr"/>
        <c:lblOffset val="100"/>
        <c:noMultiLvlLbl val="0"/>
      </c:catAx>
      <c:valAx>
        <c:axId val="727657808"/>
        <c:scaling>
          <c:orientation val="minMax"/>
          <c:max val="30"/>
          <c:min val="0"/>
        </c:scaling>
        <c:delete val="0"/>
        <c:axPos val="l"/>
        <c:numFmt formatCode="0.0" sourceLinked="1"/>
        <c:majorTickMark val="out"/>
        <c:minorTickMark val="none"/>
        <c:tickLblPos val="nextTo"/>
        <c:spPr>
          <a:noFill/>
          <a:ln>
            <a:solidFill>
              <a:schemeClr val="bg1">
                <a:lumMod val="65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8462696"/>
        <c:crosses val="autoZero"/>
        <c:crossBetween val="between"/>
        <c:majorUnit val="10"/>
        <c:minorUnit val="5"/>
      </c:valAx>
      <c:valAx>
        <c:axId val="638462040"/>
        <c:scaling>
          <c:orientation val="minMax"/>
          <c:max val="2000"/>
        </c:scaling>
        <c:delete val="0"/>
        <c:axPos val="r"/>
        <c:numFmt formatCode="0.0" sourceLinked="1"/>
        <c:majorTickMark val="out"/>
        <c:minorTickMark val="none"/>
        <c:tickLblPos val="nextTo"/>
        <c:spPr>
          <a:noFill/>
          <a:ln>
            <a:solidFill>
              <a:schemeClr val="bg1">
                <a:lumMod val="65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8460400"/>
        <c:crosses val="max"/>
        <c:crossBetween val="between"/>
        <c:majorUnit val="500"/>
      </c:valAx>
      <c:dateAx>
        <c:axId val="638460400"/>
        <c:scaling>
          <c:orientation val="minMax"/>
        </c:scaling>
        <c:delete val="1"/>
        <c:axPos val="b"/>
        <c:numFmt formatCode="m/d/yyyy" sourceLinked="1"/>
        <c:majorTickMark val="out"/>
        <c:minorTickMark val="none"/>
        <c:tickLblPos val="nextTo"/>
        <c:crossAx val="638462040"/>
        <c:crosses val="autoZero"/>
        <c:auto val="1"/>
        <c:lblOffset val="100"/>
        <c:baseTimeUnit val="days"/>
      </c:date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pin" dx="22" fmlaLink="Reference!$H$2" max="30000" noThreeD="1" page="10" val="13"/>
</file>

<file path=xl/drawings/_rels/drawing1.xml.rels><?xml version="1.0" encoding="UTF-8" standalone="yes"?>
<Relationships xmlns="http://schemas.openxmlformats.org/package/2006/relationships"><Relationship Id="rId8" Type="http://schemas.openxmlformats.org/officeDocument/2006/relationships/image" Target="../media/image6.svg"/><Relationship Id="rId13" Type="http://schemas.openxmlformats.org/officeDocument/2006/relationships/image" Target="../media/image11.png"/><Relationship Id="rId3" Type="http://schemas.openxmlformats.org/officeDocument/2006/relationships/image" Target="../media/image1.png"/><Relationship Id="rId7" Type="http://schemas.openxmlformats.org/officeDocument/2006/relationships/image" Target="../media/image5.png"/><Relationship Id="rId12" Type="http://schemas.openxmlformats.org/officeDocument/2006/relationships/image" Target="../media/image10.svg"/><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image" Target="../media/image4.svg"/><Relationship Id="rId11" Type="http://schemas.openxmlformats.org/officeDocument/2006/relationships/image" Target="../media/image9.png"/><Relationship Id="rId5" Type="http://schemas.openxmlformats.org/officeDocument/2006/relationships/image" Target="../media/image3.png"/><Relationship Id="rId10" Type="http://schemas.openxmlformats.org/officeDocument/2006/relationships/image" Target="../media/image8.svg"/><Relationship Id="rId4" Type="http://schemas.openxmlformats.org/officeDocument/2006/relationships/image" Target="../media/image2.svg"/><Relationship Id="rId9" Type="http://schemas.openxmlformats.org/officeDocument/2006/relationships/image" Target="../media/image7.png"/><Relationship Id="rId14" Type="http://schemas.openxmlformats.org/officeDocument/2006/relationships/image" Target="../media/image12.svg"/></Relationships>
</file>

<file path=xl/drawings/drawing1.xml><?xml version="1.0" encoding="utf-8"?>
<xdr:wsDr xmlns:xdr="http://schemas.openxmlformats.org/drawingml/2006/spreadsheetDrawing" xmlns:a="http://schemas.openxmlformats.org/drawingml/2006/main">
  <xdr:twoCellAnchor editAs="absolute">
    <xdr:from>
      <xdr:col>0</xdr:col>
      <xdr:colOff>350309</xdr:colOff>
      <xdr:row>6</xdr:row>
      <xdr:rowOff>67732</xdr:rowOff>
    </xdr:from>
    <xdr:to>
      <xdr:col>14</xdr:col>
      <xdr:colOff>502709</xdr:colOff>
      <xdr:row>12</xdr:row>
      <xdr:rowOff>10583</xdr:rowOff>
    </xdr:to>
    <mc:AlternateContent xmlns:mc="http://schemas.openxmlformats.org/markup-compatibility/2006" xmlns:sle15="http://schemas.microsoft.com/office/drawing/2012/slicer">
      <mc:Choice Requires="sle15">
        <xdr:graphicFrame macro="">
          <xdr:nvGraphicFramePr>
            <xdr:cNvPr id="2" name="CodeName">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microsoft.com/office/drawing/2010/slicer">
              <sle:slicer xmlns:sle="http://schemas.microsoft.com/office/drawing/2010/slicer" name="CodeName"/>
            </a:graphicData>
          </a:graphic>
        </xdr:graphicFrame>
      </mc:Choice>
      <mc:Fallback xmlns="">
        <xdr:sp macro="" textlink="">
          <xdr:nvSpPr>
            <xdr:cNvPr id="0" name=""/>
            <xdr:cNvSpPr>
              <a:spLocks noTextEdit="1"/>
            </xdr:cNvSpPr>
          </xdr:nvSpPr>
          <xdr:spPr>
            <a:xfrm>
              <a:off x="350309" y="1486957"/>
              <a:ext cx="5391150" cy="1314451"/>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8</xdr:col>
      <xdr:colOff>219075</xdr:colOff>
      <xdr:row>1</xdr:row>
      <xdr:rowOff>52916</xdr:rowOff>
    </xdr:from>
    <xdr:to>
      <xdr:col>14</xdr:col>
      <xdr:colOff>504825</xdr:colOff>
      <xdr:row>6</xdr:row>
      <xdr:rowOff>59266</xdr:rowOff>
    </xdr:to>
    <mc:AlternateContent xmlns:mc="http://schemas.openxmlformats.org/markup-compatibility/2006" xmlns:sle15="http://schemas.microsoft.com/office/drawing/2012/slicer">
      <mc:Choice Requires="sle15">
        <xdr:graphicFrame macro="">
          <xdr:nvGraphicFramePr>
            <xdr:cNvPr id="3" name="Groups">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microsoft.com/office/drawing/2010/slicer">
              <sle:slicer xmlns:sle="http://schemas.microsoft.com/office/drawing/2010/slicer" name="Groups"/>
            </a:graphicData>
          </a:graphic>
        </xdr:graphicFrame>
      </mc:Choice>
      <mc:Fallback xmlns="">
        <xdr:sp macro="" textlink="">
          <xdr:nvSpPr>
            <xdr:cNvPr id="0" name=""/>
            <xdr:cNvSpPr>
              <a:spLocks noTextEdit="1"/>
            </xdr:cNvSpPr>
          </xdr:nvSpPr>
          <xdr:spPr>
            <a:xfrm>
              <a:off x="3914775" y="500591"/>
              <a:ext cx="1828800" cy="97790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xdr:from>
      <xdr:col>1</xdr:col>
      <xdr:colOff>159806</xdr:colOff>
      <xdr:row>55</xdr:row>
      <xdr:rowOff>70114</xdr:rowOff>
    </xdr:from>
    <xdr:to>
      <xdr:col>14</xdr:col>
      <xdr:colOff>550333</xdr:colOff>
      <xdr:row>72</xdr:row>
      <xdr:rowOff>137584</xdr:rowOff>
    </xdr:to>
    <xdr:graphicFrame macro="">
      <xdr:nvGraphicFramePr>
        <xdr:cNvPr id="4" name="Chart 3">
          <a:extLst>
            <a:ext uri="{FF2B5EF4-FFF2-40B4-BE49-F238E27FC236}">
              <a16:creationId xmlns:a16="http://schemas.microsoft.com/office/drawing/2014/main" id="{00000000-0008-0000-04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xdr:col>
      <xdr:colOff>114828</xdr:colOff>
      <xdr:row>55</xdr:row>
      <xdr:rowOff>80698</xdr:rowOff>
    </xdr:from>
    <xdr:to>
      <xdr:col>32</xdr:col>
      <xdr:colOff>666749</xdr:colOff>
      <xdr:row>72</xdr:row>
      <xdr:rowOff>137584</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absolute">
    <xdr:from>
      <xdr:col>23</xdr:col>
      <xdr:colOff>577600</xdr:colOff>
      <xdr:row>7</xdr:row>
      <xdr:rowOff>209642</xdr:rowOff>
    </xdr:from>
    <xdr:to>
      <xdr:col>26</xdr:col>
      <xdr:colOff>210760</xdr:colOff>
      <xdr:row>9</xdr:row>
      <xdr:rowOff>157127</xdr:rowOff>
    </xdr:to>
    <xdr:pic>
      <xdr:nvPicPr>
        <xdr:cNvPr id="7" name="Graphic 6" descr="Speedometer Low with solid fill">
          <a:extLst>
            <a:ext uri="{FF2B5EF4-FFF2-40B4-BE49-F238E27FC236}">
              <a16:creationId xmlns:a16="http://schemas.microsoft.com/office/drawing/2014/main" id="{00000000-0008-0000-0400-000007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8130925" y="1857467"/>
          <a:ext cx="404685" cy="404685"/>
        </a:xfrm>
        <a:prstGeom prst="rect">
          <a:avLst/>
        </a:prstGeom>
      </xdr:spPr>
    </xdr:pic>
    <xdr:clientData/>
  </xdr:twoCellAnchor>
  <xdr:twoCellAnchor editAs="absolute">
    <xdr:from>
      <xdr:col>17</xdr:col>
      <xdr:colOff>504825</xdr:colOff>
      <xdr:row>2</xdr:row>
      <xdr:rowOff>219075</xdr:rowOff>
    </xdr:from>
    <xdr:to>
      <xdr:col>20</xdr:col>
      <xdr:colOff>175325</xdr:colOff>
      <xdr:row>4</xdr:row>
      <xdr:rowOff>210250</xdr:rowOff>
    </xdr:to>
    <xdr:pic>
      <xdr:nvPicPr>
        <xdr:cNvPr id="8" name="Graphic 8" descr="Users with solid fill">
          <a:extLst>
            <a:ext uri="{FF2B5EF4-FFF2-40B4-BE49-F238E27FC236}">
              <a16:creationId xmlns:a16="http://schemas.microsoft.com/office/drawing/2014/main" id="{00000000-0008-0000-0400-000008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6515100" y="723900"/>
          <a:ext cx="442025" cy="448375"/>
        </a:xfrm>
        <a:prstGeom prst="rect">
          <a:avLst/>
        </a:prstGeom>
      </xdr:spPr>
    </xdr:pic>
    <xdr:clientData/>
  </xdr:twoCellAnchor>
  <xdr:twoCellAnchor editAs="absolute">
    <xdr:from>
      <xdr:col>29</xdr:col>
      <xdr:colOff>615081</xdr:colOff>
      <xdr:row>3</xdr:row>
      <xdr:rowOff>29621</xdr:rowOff>
    </xdr:from>
    <xdr:to>
      <xdr:col>32</xdr:col>
      <xdr:colOff>190499</xdr:colOff>
      <xdr:row>4</xdr:row>
      <xdr:rowOff>147964</xdr:rowOff>
    </xdr:to>
    <xdr:pic>
      <xdr:nvPicPr>
        <xdr:cNvPr id="9" name="Graphic 10" descr="Run with solid fill">
          <a:extLst>
            <a:ext uri="{FF2B5EF4-FFF2-40B4-BE49-F238E27FC236}">
              <a16:creationId xmlns:a16="http://schemas.microsoft.com/office/drawing/2014/main" id="{00000000-0008-0000-0400-000009000000}"/>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9711456" y="763046"/>
          <a:ext cx="346943" cy="346943"/>
        </a:xfrm>
        <a:prstGeom prst="rect">
          <a:avLst/>
        </a:prstGeom>
      </xdr:spPr>
    </xdr:pic>
    <xdr:clientData/>
  </xdr:twoCellAnchor>
  <xdr:twoCellAnchor editAs="absolute">
    <xdr:from>
      <xdr:col>17</xdr:col>
      <xdr:colOff>586388</xdr:colOff>
      <xdr:row>8</xdr:row>
      <xdr:rowOff>20339</xdr:rowOff>
    </xdr:from>
    <xdr:to>
      <xdr:col>20</xdr:col>
      <xdr:colOff>194575</xdr:colOff>
      <xdr:row>9</xdr:row>
      <xdr:rowOff>171451</xdr:rowOff>
    </xdr:to>
    <xdr:pic>
      <xdr:nvPicPr>
        <xdr:cNvPr id="10" name="Graphic 12" descr="Battery charging with solid fill">
          <a:extLst>
            <a:ext uri="{FF2B5EF4-FFF2-40B4-BE49-F238E27FC236}">
              <a16:creationId xmlns:a16="http://schemas.microsoft.com/office/drawing/2014/main" id="{00000000-0008-0000-0400-00000A00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6596663" y="1896764"/>
          <a:ext cx="379712" cy="379712"/>
        </a:xfrm>
        <a:prstGeom prst="rect">
          <a:avLst/>
        </a:prstGeom>
      </xdr:spPr>
    </xdr:pic>
    <xdr:clientData/>
  </xdr:twoCellAnchor>
  <xdr:twoCellAnchor editAs="absolute">
    <xdr:from>
      <xdr:col>23</xdr:col>
      <xdr:colOff>547604</xdr:colOff>
      <xdr:row>2</xdr:row>
      <xdr:rowOff>219075</xdr:rowOff>
    </xdr:from>
    <xdr:to>
      <xdr:col>26</xdr:col>
      <xdr:colOff>241697</xdr:colOff>
      <xdr:row>4</xdr:row>
      <xdr:rowOff>227493</xdr:rowOff>
    </xdr:to>
    <xdr:pic>
      <xdr:nvPicPr>
        <xdr:cNvPr id="11" name="Graphic 14" descr="Ambulance with solid fill">
          <a:extLst>
            <a:ext uri="{FF2B5EF4-FFF2-40B4-BE49-F238E27FC236}">
              <a16:creationId xmlns:a16="http://schemas.microsoft.com/office/drawing/2014/main" id="{00000000-0008-0000-0400-00000B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8100929" y="723900"/>
          <a:ext cx="465618" cy="465618"/>
        </a:xfrm>
        <a:prstGeom prst="rect">
          <a:avLst/>
        </a:prstGeom>
      </xdr:spPr>
    </xdr:pic>
    <xdr:clientData/>
  </xdr:twoCellAnchor>
  <xdr:twoCellAnchor editAs="oneCell">
    <xdr:from>
      <xdr:col>29</xdr:col>
      <xdr:colOff>571500</xdr:colOff>
      <xdr:row>8</xdr:row>
      <xdr:rowOff>31750</xdr:rowOff>
    </xdr:from>
    <xdr:to>
      <xdr:col>32</xdr:col>
      <xdr:colOff>211667</xdr:colOff>
      <xdr:row>9</xdr:row>
      <xdr:rowOff>211667</xdr:rowOff>
    </xdr:to>
    <xdr:pic>
      <xdr:nvPicPr>
        <xdr:cNvPr id="12" name="Graphic 18" descr="Bar graph with upward trend with solid fill">
          <a:extLst>
            <a:ext uri="{FF2B5EF4-FFF2-40B4-BE49-F238E27FC236}">
              <a16:creationId xmlns:a16="http://schemas.microsoft.com/office/drawing/2014/main" id="{00000000-0008-0000-0400-00000C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9450917" y="1926167"/>
          <a:ext cx="412750" cy="412750"/>
        </a:xfrm>
        <a:prstGeom prst="rect">
          <a:avLst/>
        </a:prstGeom>
      </xdr:spPr>
    </xdr:pic>
    <xdr:clientData/>
  </xdr:twoCellAnchor>
  <mc:AlternateContent xmlns:mc="http://schemas.openxmlformats.org/markup-compatibility/2006">
    <mc:Choice xmlns:a14="http://schemas.microsoft.com/office/drawing/2010/main" Requires="a14">
      <xdr:twoCellAnchor>
        <xdr:from>
          <xdr:col>2</xdr:col>
          <xdr:colOff>28575</xdr:colOff>
          <xdr:row>2</xdr:row>
          <xdr:rowOff>19050</xdr:rowOff>
        </xdr:from>
        <xdr:to>
          <xdr:col>2</xdr:col>
          <xdr:colOff>733425</xdr:colOff>
          <xdr:row>3</xdr:row>
          <xdr:rowOff>190500</xdr:rowOff>
        </xdr:to>
        <xdr:sp macro="" textlink="">
          <xdr:nvSpPr>
            <xdr:cNvPr id="5139" name="Spinner 19" hidden="1">
              <a:extLst>
                <a:ext uri="{63B3BB69-23CF-44E3-9099-C40C66FF867C}">
                  <a14:compatExt spid="_x0000_s5139"/>
                </a:ext>
                <a:ext uri="{FF2B5EF4-FFF2-40B4-BE49-F238E27FC236}">
                  <a16:creationId xmlns:a16="http://schemas.microsoft.com/office/drawing/2014/main" id="{00000000-0008-0000-0400-0000131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deName" xr10:uid="{4163A925-B22E-45C9-84FE-4397FA710BE4}" sourceName="Athlete Name">
  <extLst>
    <x:ext xmlns:x15="http://schemas.microsoft.com/office/spreadsheetml/2010/11/main" uri="{2F2917AC-EB37-4324-AD4E-5DD8C200BD13}">
      <x15:tableSlicerCache tableId="3"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roups" xr10:uid="{55540890-EDD2-42B1-ABBD-A4AEE2CB1B4E}" sourceName="Group">
  <extLst>
    <x:ext xmlns:x15="http://schemas.microsoft.com/office/spreadsheetml/2010/11/main" uri="{2F2917AC-EB37-4324-AD4E-5DD8C200BD13}">
      <x15:tableSlicerCache tableId="3" column="45"/>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deName" xr10:uid="{32BF9FC5-D66A-4F18-8283-D889BA08DE52}" cache="Slicer_CodeName" caption="Athlete Name" columnCount="4" style="SlicerStyleOther1" rowHeight="241300"/>
  <slicer name="Groups" xr10:uid="{D4796D33-FAE4-4D4A-A72E-5019EA882214}" cache="Slicer_Groups" caption="Group" columnCount="2" style="SlicerStyleOther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bl_daily" displayName="tbl_daily" ref="A1:W417" totalsRowShown="0" headerRowDxfId="82">
  <autoFilter ref="A1:W417" xr:uid="{00000000-0009-0000-0100-000001000000}"/>
  <sortState xmlns:xlrd2="http://schemas.microsoft.com/office/spreadsheetml/2017/richdata2" ref="A2:V417">
    <sortCondition descending="1" ref="A1:A417"/>
  </sortState>
  <tableColumns count="23">
    <tableColumn id="1" xr3:uid="{00000000-0010-0000-0000-000001000000}" name="Date" dataDxfId="81"/>
    <tableColumn id="2" xr3:uid="{00000000-0010-0000-0000-000002000000}" name="CodeName"/>
    <tableColumn id="3" xr3:uid="{00000000-0010-0000-0000-000003000000}" name="Attendance (1 = Here, 0 = Not here)"/>
    <tableColumn id="4" xr3:uid="{00000000-0010-0000-0000-000004000000}" name="Excused (1 = Yes, 0 = No)"/>
    <tableColumn id="5" xr3:uid="{00000000-0010-0000-0000-000005000000}" name="Stress"/>
    <tableColumn id="6" xr3:uid="{00000000-0010-0000-0000-000006000000}" name="SleepQuality"/>
    <tableColumn id="7" xr3:uid="{00000000-0010-0000-0000-000007000000}" name="Energy"/>
    <tableColumn id="8" xr3:uid="{00000000-0010-0000-0000-000008000000}" name="InjuryStatus"/>
    <tableColumn id="9" xr3:uid="{00000000-0010-0000-0000-000009000000}" name="Exercise24Hr"/>
    <tableColumn id="10" xr3:uid="{00000000-0010-0000-0000-00000A000000}" name="LatestRPE"/>
    <tableColumn id="11" xr3:uid="{00000000-0010-0000-0000-00000B000000}" name="LatestDuration"/>
    <tableColumn id="15" xr3:uid="{C43DED05-235B-410F-8187-96C8DE201C40}" name="Performance"/>
    <tableColumn id="12" xr3:uid="{00000000-0010-0000-0000-00000C000000}" name="QuestionOfTheDay"/>
    <tableColumn id="13" xr3:uid="{00000000-0010-0000-0000-00000D000000}" name="QODAnswer"/>
    <tableColumn id="16" xr3:uid="{92B6B3EF-8EB1-45EA-B038-E196B6B057A5}" name="Attended, but did not complete data"/>
    <tableColumn id="18" xr3:uid="{BA52B8CC-65C7-481C-8BF9-EB41B05DD5A5}" name="Readiness Score" dataDxfId="80">
      <calculatedColumnFormula>IFERROR(IF(AND(tbl_daily[[#This Row],[Attendance (1 = Here, 0 = Not here)]]=1,tbl_daily[[#This Row],[Attended, but did not complete data]]&lt;&gt;1),tbl_daily[[#This Row],[Stress]]+tbl_daily[[#This Row],[SleepQuality]]+tbl_daily[[#This Row],[Energy]],""),"")</calculatedColumnFormula>
    </tableColumn>
    <tableColumn id="14" xr3:uid="{5291AD79-FBD2-494C-A43E-E982047B5506}" name="sRPE" dataDxfId="79">
      <calculatedColumnFormula>IFERROR(IF(AND(tbl_daily[[#This Row],[Attendance (1 = Here, 0 = Not here)]]=1,tbl_daily[[#This Row],[Attended, but did not complete data]]&lt;&gt;1),tbl_daily[[#This Row],[LatestRPE]]*tbl_daily[[#This Row],[LatestDuration]],""),"")</calculatedColumnFormula>
    </tableColumn>
    <tableColumn id="19" xr3:uid="{1310BD7C-D915-49F8-8FD5-01B50FCD852E}" name="Ones" dataDxfId="78">
      <calculatedColumnFormula>IF(tbl_daily[[#This Row],[CodeName]]&lt;&gt;"",1,"")</calculatedColumnFormula>
    </tableColumn>
    <tableColumn id="17" xr3:uid="{144DB2B5-03F9-4429-9E0E-7D260030A1F2}" name="Academic Year" dataDxfId="77">
      <calculatedColumnFormula>IF(AND(tbl_daily[[#This Row],[Date]]&gt;=DATE(2019,8,1),tbl_daily[[#This Row],[Date]]&lt;=DATE(2020,6,1)),"2019-2020")</calculatedColumnFormula>
    </tableColumn>
    <tableColumn id="21" xr3:uid="{B33F6D8E-CAB0-402B-A9A0-D62E18FBD5EA}" name="Cohort of Interest" dataDxfId="76">
      <calculatedColumnFormula>IFERROR(INDEX(tbl_prof[Cohort of Interest],MATCH(tbl_daily[[#This Row],[CodeName]],tbl_prof[CodeName],0)),"")</calculatedColumnFormula>
    </tableColumn>
    <tableColumn id="20" xr3:uid="{61E821DD-3CFD-4970-8A6E-748CFEAB7A67}" name="Grades" dataDxfId="75">
      <calculatedColumnFormula>IFERROR(AVERAGEIFS(tbl_perf[Grade],tbl_perf[CodeName],tbl_daily[[#This Row],[CodeName]],tbl_perf[Date],tbl_daily[[#This Row],[Date]]),"")</calculatedColumnFormula>
    </tableColumn>
    <tableColumn id="22" xr3:uid="{12CF0832-0C7A-478F-9291-1064B84D7F2F}" name="Attendance Refined" dataDxfId="74">
      <calculatedColumnFormula>IFERROR(IF(AND(tbl_daily[[#This Row],[Attendance (1 = Here, 0 = Not here)]]=1,tbl_daily[[#This Row],[Attended, but did not complete data]]&lt;&gt;1),1,IF(AND(tbl_daily[[#This Row],[Attendance (1 = Here, 0 = Not here)]]=1,tbl_daily[[#This Row],[Attended, but did not complete data]]=1),2,3)),"")</calculatedColumnFormula>
    </tableColumn>
    <tableColumn id="23" xr3:uid="{C3488735-F090-42F0-AA12-9F0C0EF3158C}" name="Injury Refined" dataDxfId="73">
      <calculatedColumnFormula>IF(AND(tbl_daily[[#This Row],[Attendance Refined]]=1,tbl_daily[[#This Row],[InjuryStatus]]="Full"),1,IF(AND(tbl_daily[[#This Row],[Attendance Refined]]=1,tbl_daily[[#This Row],[InjuryStatus]]="Limited"),2,IF(AND(tbl_daily[[#This Row],[Attendance Refined]]=1,tbl_daily[[#This Row],[InjuryStatus]]="Out"),3,"")))</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878DBFD-8B9E-4059-AE35-C7990E4F77D4}" name="tbl_perf" displayName="tbl_perf" ref="A1:C129" totalsRowShown="0">
  <autoFilter ref="A1:C129" xr:uid="{0C7B1ABD-474E-4E0E-8B84-AA171A9969D6}"/>
  <tableColumns count="3">
    <tableColumn id="4" xr3:uid="{7D5ACB73-BF54-41D8-9BC2-5B5C759AC834}" name="Date" dataDxfId="72"/>
    <tableColumn id="1" xr3:uid="{B675AC3C-3E17-4AF9-A3CD-0C4BC6DAE335}" name="CodeName"/>
    <tableColumn id="5" xr3:uid="{2451A03D-8FE2-4449-BDF3-C1D0ABAC1703}" name="Grade" dataDxfId="71"/>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6DA1703-F8BB-499A-906A-D274F5BA08C5}" name="tbl_prof" displayName="tbl_prof" ref="A1:C35" totalsRowShown="0">
  <autoFilter ref="A1:C35" xr:uid="{0C7B1ABD-474E-4E0E-8B84-AA171A9969D6}"/>
  <tableColumns count="3">
    <tableColumn id="1" xr3:uid="{E0F8970C-7708-4FFE-B303-4F33E615F5BA}" name="CodeName"/>
    <tableColumn id="2" xr3:uid="{E7BBB25E-C41A-47D8-98DA-3A3ECED21BF4}" name="Cohort of Interest"/>
    <tableColumn id="3" xr3:uid="{27041BCB-4E1D-4825-B691-AC60E13B3877}" name="Grad Class"/>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3F1566CC-EAC7-422A-A85C-783F59A4CE23}" name="Table3" displayName="Table3" ref="A14:AI48" totalsRowShown="0" headerRowDxfId="36" tableBorderDxfId="35">
  <autoFilter ref="A14:AI48" xr:uid="{3F1566CC-EAC7-422A-A85C-783F59A4CE23}"/>
  <tableColumns count="35">
    <tableColumn id="1" xr3:uid="{9B141AA5-A0A7-4570-BB47-A5643A8A97F0}" name="Athlete Name" dataDxfId="34"/>
    <tableColumn id="45" xr3:uid="{9951CA3B-2EEA-4136-949F-5D37CF11C4F9}" name="Group" dataDxfId="33">
      <calculatedColumnFormula>INDEX(tbl_prof[Cohort of Interest],MATCH(Table3[[#This Row],[Athlete Name]],tbl_prof[CodeName],0))</calculatedColumnFormula>
    </tableColumn>
    <tableColumn id="2" xr3:uid="{0B2687C9-D2AE-4BE8-B751-E915C8898467}" name="Attendance" dataDxfId="32">
      <calculatedColumnFormula>IFERROR(IF($B$5="",
AVERAGEIFS(tbl_daily[Attendance Refined],tbl_daily[Date],$B$3,tbl_daily[CodeName],Table3[[#This Row],[Athlete Name]],tbl_daily[Academic Year],$B$6,tbl_daily[Ones],1),
AVERAGEIFS(tbl_daily[Attendance Refined],tbl_daily[Date],"&lt;="&amp;$B$3,tbl_daily[Date],"&gt;="&amp;$B$3-$B$5,tbl_daily[CodeName],Table3[[#This Row],[Athlete Name]],tbl_daily[Academic Year],$B$6,tbl_daily[Ones],1)),"")</calculatedColumnFormula>
    </tableColumn>
    <tableColumn id="23" xr3:uid="{4BCE3DC6-D61B-4F04-80E1-CB83CFE6133F}" name="Attendance AVG" dataDxfId="31">
      <calculatedColumnFormula>IFERROR(AVERAGEIFS(tbl_daily[Attendance Refined],tbl_daily[CodeName],Table3[[#This Row],[Athlete Name]],tbl_daily[Academic Year],$B$6,tbl_daily[Ones],1),"")</calculatedColumnFormula>
    </tableColumn>
    <tableColumn id="24" xr3:uid="{B024FDAD-1A14-45CE-B8BB-7128F7FBF32C}" name="Attendance SD" dataDxfId="30">
      <calculatedColumnFormula array="1">_xlfn.STDEV.P(IF(tbl_daily[CodeName]=Table3[[#This Row],[Athlete Name]],IF(tbl_daily[Academic Year]=$B$6,tbl_daily[Attendance Refined])))</calculatedColumnFormula>
    </tableColumn>
    <tableColumn id="3" xr3:uid="{8D1C2C8E-7B87-41E9-9863-D8CB90BFF72A}" name="Injury Status" dataDxfId="29">
      <calculatedColumnFormula>IFERROR(IF($B$5="",
AVERAGEIFS(tbl_daily[Injury Refined],tbl_daily[Date],$B$3,tbl_daily[CodeName],Table3[[#This Row],[Athlete Name]],tbl_daily[Academic Year],$B$6,tbl_daily[Ones],1),
AVERAGEIFS(tbl_daily[Injury Refined],tbl_daily[Date],"&lt;="&amp;$B$3,tbl_daily[Date],"&gt;="&amp;$B$3-$B$5,tbl_daily[CodeName],Table3[[#This Row],[Athlete Name]],tbl_daily[Academic Year],$B$6,tbl_daily[Ones],1)),"")</calculatedColumnFormula>
    </tableColumn>
    <tableColumn id="28" xr3:uid="{6125511C-F71D-44FC-87B8-BF394A53970A}" name="Injury Status AVG" dataDxfId="28">
      <calculatedColumnFormula>IFERROR(AVERAGEIFS(tbl_daily[Injury Refined],tbl_daily[CodeName],Table3[[#This Row],[Athlete Name]],tbl_daily[Academic Year],$B$6,tbl_daily[Ones],1),"")</calculatedColumnFormula>
    </tableColumn>
    <tableColumn id="27" xr3:uid="{A0B9C749-8A37-405B-B0C4-178C61D93F0C}" name="Injury Status SD" dataDxfId="27">
      <calculatedColumnFormula array="1">_xlfn.STDEV.P(IF(tbl_daily[CodeName]=Table3[[#This Row],[Athlete Name]],IF(tbl_daily[Academic Year]=$B$6,tbl_daily[Injury Refined])))</calculatedColumnFormula>
    </tableColumn>
    <tableColumn id="4" xr3:uid="{51FC0A65-1059-4D55-BD67-D8056C5DE19B}" name="Exercise" dataDxfId="26">
      <calculatedColumnFormula>IFERROR(IF($B$5="",
AVERAGEIFS(tbl_daily[Exercise24Hr],tbl_daily[Date],$B$3,tbl_daily[CodeName],Table3[[#This Row],[Athlete Name]],tbl_daily[Academic Year],$B$6,tbl_daily[Ones],1),
AVERAGEIFS(tbl_daily[Exercise24Hr],tbl_daily[Date],"&lt;="&amp;$B$3,tbl_daily[Date],"&gt;="&amp;$B$3-$B$5,tbl_daily[CodeName],Table3[[#This Row],[Athlete Name]],tbl_daily[Academic Year],$B$6,tbl_daily[Ones],1)),"")</calculatedColumnFormula>
    </tableColumn>
    <tableColumn id="29" xr3:uid="{32C8F84E-942C-41B7-927F-80EBB081C971}" name="Exercise AVG" dataDxfId="25">
      <calculatedColumnFormula>IFERROR(AVERAGEIFS(tbl_daily[Exercise24Hr],tbl_daily[CodeName],Table3[[#This Row],[Athlete Name]],tbl_daily[Academic Year],$B$6,tbl_daily[Ones],1),"")</calculatedColumnFormula>
    </tableColumn>
    <tableColumn id="30" xr3:uid="{F4829E7D-1480-4DA3-A3E9-F6D8D62FF4DB}" name="Exercise SD" dataDxfId="24">
      <calculatedColumnFormula array="1">_xlfn.STDEV.P(IF(tbl_daily[CodeName]=Table3[[#This Row],[Athlete Name]],IF(tbl_daily[Academic Year]=$B$6,tbl_daily[Exercise24Hr])))</calculatedColumnFormula>
    </tableColumn>
    <tableColumn id="5" xr3:uid="{533D372B-F403-4C36-9038-251E3BF564FA}" name="Stress" dataDxfId="23">
      <calculatedColumnFormula>IFERROR(IF($B$5="",
AVERAGEIFS(tbl_daily[Stress],tbl_daily[Date],$B$3,tbl_daily[CodeName],Table3[[#This Row],[Athlete Name]],tbl_daily[Academic Year],$B$6,tbl_daily[Ones],1),
AVERAGEIFS(tbl_daily[Stress],tbl_daily[Date],"&lt;="&amp;$B$3,tbl_daily[Date],"&gt;="&amp;$B$3-$B$5,tbl_daily[CodeName],Table3[[#This Row],[Athlete Name]],tbl_daily[Academic Year],$B$6,tbl_daily[Ones],1)),"")</calculatedColumnFormula>
    </tableColumn>
    <tableColumn id="31" xr3:uid="{A49635BC-610F-475A-8EE1-7A01D99F0F8F}" name="Stress AVG" dataDxfId="22">
      <calculatedColumnFormula>IFERROR(AVERAGEIFS(tbl_daily[Stress],tbl_daily[CodeName],Table3[[#This Row],[Athlete Name]],tbl_daily[Academic Year],$B$6,tbl_daily[Ones],1),"")</calculatedColumnFormula>
    </tableColumn>
    <tableColumn id="32" xr3:uid="{334CE5B4-3775-49A2-AB16-2E9807F84C53}" name="Stress SD" dataDxfId="21">
      <calculatedColumnFormula array="1">_xlfn.STDEV.P(IF(tbl_daily[CodeName]=Table3[[#This Row],[Athlete Name]],IF(tbl_daily[Academic Year]=$B$6,IF(tbl_daily[Stress]&lt;&gt;"",tbl_daily[Stress]))))</calculatedColumnFormula>
    </tableColumn>
    <tableColumn id="6" xr3:uid="{6BC6FF1A-7D96-42CE-B7E8-76DD03573BDD}" name="Sleep Quality" dataDxfId="20">
      <calculatedColumnFormula>IFERROR(IF($B$5="",
AVERAGEIFS(tbl_daily[SleepQuality],tbl_daily[Date],$B$3,tbl_daily[CodeName],Table3[[#This Row],[Athlete Name]],tbl_daily[Academic Year],$B$6,tbl_daily[Ones],1),
AVERAGEIFS(tbl_daily[SleepQuality],tbl_daily[Date],"&lt;="&amp;$B$3,tbl_daily[Date],"&gt;="&amp;$B$3-$B$5,tbl_daily[CodeName],Table3[[#This Row],[Athlete Name]],tbl_daily[Academic Year],$B$6,tbl_daily[Ones],1)),"")</calculatedColumnFormula>
    </tableColumn>
    <tableColumn id="33" xr3:uid="{D16101D2-E1B0-49CC-884F-5F4C5DB9B817}" name="Sleep Quality AVG" dataDxfId="19">
      <calculatedColumnFormula>IFERROR(AVERAGEIFS(tbl_daily[SleepQuality],tbl_daily[CodeName],Table3[[#This Row],[Athlete Name]],tbl_daily[Academic Year],$B$6,tbl_daily[Ones],1),"")</calculatedColumnFormula>
    </tableColumn>
    <tableColumn id="34" xr3:uid="{D29348D2-18FB-4B3D-B840-FF44AA474EBC}" name="Sleep Quality SD" dataDxfId="18">
      <calculatedColumnFormula array="1">_xlfn.STDEV.P(IF(tbl_daily[CodeName]=Table3[[#This Row],[Athlete Name]],IF(tbl_daily[Academic Year]=$B$6,IF(tbl_daily[SleepQuality]&lt;&gt;"",tbl_daily[SleepQuality]))))</calculatedColumnFormula>
    </tableColumn>
    <tableColumn id="7" xr3:uid="{302F49CD-8DA5-4BB4-9265-07AEE63D8474}" name="Energy" dataDxfId="17">
      <calculatedColumnFormula>IFERROR(IF($B$5="",
AVERAGEIFS(tbl_daily[Energy],tbl_daily[Date],$B$3,tbl_daily[CodeName],Table3[[#This Row],[Athlete Name]],tbl_daily[Academic Year],$B$6,tbl_daily[Ones],1),
AVERAGEIFS(tbl_daily[Energy],tbl_daily[Date],"&lt;="&amp;$B$3,tbl_daily[Date],"&gt;="&amp;$B$3-$B$5,tbl_daily[CodeName],Table3[[#This Row],[Athlete Name]],tbl_daily[Academic Year],$B$6,tbl_daily[Ones],1)),"")</calculatedColumnFormula>
    </tableColumn>
    <tableColumn id="35" xr3:uid="{CBADB4EC-E1F1-465B-B269-9A339D633714}" name="Energy AVG" dataDxfId="16">
      <calculatedColumnFormula>IFERROR(AVERAGEIFS(tbl_daily[Energy],tbl_daily[CodeName],Table3[[#This Row],[Athlete Name]],tbl_daily[Academic Year],$B$6,tbl_daily[Ones],1),"")</calculatedColumnFormula>
    </tableColumn>
    <tableColumn id="36" xr3:uid="{043B055F-E29D-4A9D-A0E3-BB3ED1457EED}" name="Energy SD" dataDxfId="15">
      <calculatedColumnFormula array="1">_xlfn.STDEV.P(IF(tbl_daily[CodeName]=Table3[[#This Row],[Athlete Name]],IF(tbl_daily[Academic Year]=$B$6,IF(tbl_daily[Energy]&lt;&gt;"",tbl_daily[Energy]))))</calculatedColumnFormula>
    </tableColumn>
    <tableColumn id="8" xr3:uid="{CE42EEB6-6DB7-4B9B-B040-B3DBE55D994F}" name="Readiness Score" dataDxfId="14">
      <calculatedColumnFormula>IFERROR(IF($B$5="",
AVERAGEIFS(tbl_daily[Readiness Score],tbl_daily[Date],$B$3,tbl_daily[CodeName],Table3[[#This Row],[Athlete Name]],tbl_daily[Academic Year],$B$6,tbl_daily[Ones],1),
AVERAGEIFS(tbl_daily[Readiness Score],tbl_daily[Date],"&lt;="&amp;$B$3,tbl_daily[Date],"&gt;="&amp;$B$3-$B$5,tbl_daily[CodeName],Table3[[#This Row],[Athlete Name]],tbl_daily[Academic Year],$B$6,tbl_daily[Ones],1)),"")</calculatedColumnFormula>
    </tableColumn>
    <tableColumn id="37" xr3:uid="{655071F8-0AB6-45E8-80DD-C38C636B3C2C}" name="Readiness Score AVG" dataDxfId="13">
      <calculatedColumnFormula>IFERROR(AVERAGEIFS(tbl_daily[Readiness Score],tbl_daily[CodeName],Table3[[#This Row],[Athlete Name]],tbl_daily[Academic Year],$B$6,tbl_daily[Ones],1),"")</calculatedColumnFormula>
    </tableColumn>
    <tableColumn id="38" xr3:uid="{986080EC-2BD1-4591-95E3-2BE6BC1E6823}" name="Readiness Score SD" dataDxfId="12">
      <calculatedColumnFormula array="1">_xlfn.STDEV.P(IF(tbl_daily[CodeName]=Table3[[#This Row],[Athlete Name]],IF(tbl_daily[Academic Year]=$B$6,IF(tbl_daily[Readiness Score]&lt;&gt;"",tbl_daily[Readiness Score]))))</calculatedColumnFormula>
    </tableColumn>
    <tableColumn id="9" xr3:uid="{A5A001AC-6C2A-446D-8B4D-AA577B5CAB08}" name="RPE" dataDxfId="11">
      <calculatedColumnFormula>IFERROR(IF($B$5="",
AVERAGEIFS(tbl_daily[LatestRPE],tbl_daily[Date],$B$3,tbl_daily[CodeName],Table3[[#This Row],[Athlete Name]],tbl_daily[Academic Year],$B$6,tbl_daily[Ones],1),
AVERAGEIFS(tbl_daily[LatestRPE],tbl_daily[Date],"&lt;="&amp;$B$3,tbl_daily[Date],"&gt;="&amp;$B$3-$B$5,tbl_daily[CodeName],Table3[[#This Row],[Athlete Name]],tbl_daily[Academic Year],$B$6,tbl_daily[Ones],1)),"")</calculatedColumnFormula>
    </tableColumn>
    <tableColumn id="39" xr3:uid="{15941C06-D7E0-4AFC-B356-14A5AE90E8C0}" name="RPE AVG" dataDxfId="10">
      <calculatedColumnFormula>IFERROR(AVERAGEIFS(tbl_daily[LatestRPE],tbl_daily[CodeName],Table3[[#This Row],[Athlete Name]],tbl_daily[Academic Year],$B$6,tbl_daily[Ones],1),"")</calculatedColumnFormula>
    </tableColumn>
    <tableColumn id="40" xr3:uid="{B7F42D87-091F-4BA0-8D7E-7979D16669AE}" name="RPE SD" dataDxfId="9">
      <calculatedColumnFormula array="1">_xlfn.STDEV.P(IF(tbl_daily[CodeName]=Table3[[#This Row],[Athlete Name]],IF(tbl_daily[Academic Year]=$B$6,IF(tbl_daily[LatestRPE]&lt;&gt;"",tbl_daily[LatestRPE]))))</calculatedColumnFormula>
    </tableColumn>
    <tableColumn id="10" xr3:uid="{12152AD5-194D-4DD2-8F44-90B1430CC702}" name="Duration" dataDxfId="8">
      <calculatedColumnFormula>IFERROR(IF($B$5="",
AVERAGEIFS(tbl_daily[LatestDuration],tbl_daily[Date],$B$3,tbl_daily[CodeName],Table3[[#This Row],[Athlete Name]],tbl_daily[Academic Year],$B$6,tbl_daily[Ones],1),
AVERAGEIFS(tbl_daily[LatestDuration],tbl_daily[Date],"&lt;="&amp;$B$3,tbl_daily[Date],"&gt;="&amp;$B$3-$B$5,tbl_daily[CodeName],Table3[[#This Row],[Athlete Name]],tbl_daily[Academic Year],$B$6,tbl_daily[Ones],1)),"")</calculatedColumnFormula>
    </tableColumn>
    <tableColumn id="41" xr3:uid="{08B3938B-F916-4D14-86AA-9CC4D742403B}" name="Duration AVG" dataDxfId="7">
      <calculatedColumnFormula>IFERROR(AVERAGEIFS(tbl_daily[LatestDuration],tbl_daily[CodeName],Table3[[#This Row],[Athlete Name]],tbl_daily[Academic Year],$B$6,tbl_daily[Ones],1),"")</calculatedColumnFormula>
    </tableColumn>
    <tableColumn id="42" xr3:uid="{A8E9D543-649F-4948-AD2C-A97F2F4E4024}" name="Duration SD" dataDxfId="6">
      <calculatedColumnFormula array="1">_xlfn.STDEV.P(IF(tbl_daily[CodeName]=Table3[[#This Row],[Athlete Name]],IF(tbl_daily[Academic Year]=$B$6,IF(tbl_daily[LatestDuration]&lt;&gt;"",tbl_daily[LatestDuration]))))</calculatedColumnFormula>
    </tableColumn>
    <tableColumn id="11" xr3:uid="{E4863976-B215-4DD9-AB6C-46DDCF779565}" name="sRPE" dataDxfId="5">
      <calculatedColumnFormula>IFERROR(IF($B$5="",
AVERAGEIFS(tbl_daily[sRPE],tbl_daily[Date],$B$3,tbl_daily[CodeName],Table3[[#This Row],[Athlete Name]],tbl_daily[Academic Year],$B$6,tbl_daily[Ones],1),
AVERAGEIFS(tbl_daily[sRPE],tbl_daily[Date],"&lt;="&amp;$B$3,tbl_daily[Date],"&gt;="&amp;$B$3-$B$5,tbl_daily[CodeName],Table3[[#This Row],[Athlete Name]],tbl_daily[Academic Year],$B$6,tbl_daily[Ones],1)),"")</calculatedColumnFormula>
    </tableColumn>
    <tableColumn id="43" xr3:uid="{64F003B7-C9B8-4138-A327-DA42C0C5C5B7}" name="sRPE AVG" dataDxfId="4">
      <calculatedColumnFormula>IFERROR(AVERAGEIFS(tbl_daily[sRPE],tbl_daily[CodeName],Table3[[#This Row],[Athlete Name]],tbl_daily[Academic Year],$B$6,tbl_daily[Ones],1),"")</calculatedColumnFormula>
    </tableColumn>
    <tableColumn id="44" xr3:uid="{A00EB08A-D7C8-4765-A0CF-C3946EADEDC1}" name="sRPE SD" dataDxfId="3">
      <calculatedColumnFormula array="1">_xlfn.STDEV.P(IF(tbl_daily[CodeName]=Table3[[#This Row],[Athlete Name]],IF(tbl_daily[Academic Year]=$B$6,IF(tbl_daily[sRPE]&lt;&gt;"",tbl_daily[sRPE]))))</calculatedColumnFormula>
    </tableColumn>
    <tableColumn id="12" xr3:uid="{2CED5062-EE94-430E-AB9F-CA28D01E4D8D}" name="Performance" dataDxfId="2">
      <calculatedColumnFormula>IFERROR(IF($B$5="",
AVERAGEIFS(tbl_daily[Grades],tbl_daily[Date],$B$3,tbl_daily[CodeName],Table3[[#This Row],[Athlete Name]],tbl_daily[Academic Year],$B$6,tbl_daily[Ones],1),
AVERAGEIFS(tbl_daily[Grades],tbl_daily[Date],"&lt;="&amp;$B$3,tbl_daily[Date],"&gt;="&amp;$B$3-$B$5,tbl_daily[CodeName],Table3[[#This Row],[Athlete Name]],tbl_daily[Academic Year],$B$6,tbl_daily[Ones],1)),"")</calculatedColumnFormula>
    </tableColumn>
    <tableColumn id="13" xr3:uid="{D22C74BC-2F14-4AAF-8ACC-F42977FB81B7}" name="Grade AVG" dataDxfId="1">
      <calculatedColumnFormula>IFERROR(AVERAGEIFS(tbl_daily[Grades],tbl_daily[CodeName],Table3[[#This Row],[Athlete Name]],tbl_daily[Academic Year],$B$6,tbl_daily[Ones],1),"")</calculatedColumnFormula>
    </tableColumn>
    <tableColumn id="14" xr3:uid="{59BC45C5-794F-43BB-BABE-439F270EC9C7}" name="Grade SD" dataDxfId="0">
      <calculatedColumnFormula array="1">_xlfn.STDEV.P(IF(tbl_daily[CodeName]=Table3[[#This Row],[Athlete Name]],IF(tbl_daily[Academic Year]=$B$6,IF(tbl_daily[Grades]&lt;&gt;"",tbl_daily[Grades]))))</calculatedColumnFormula>
    </tableColumn>
  </tableColumns>
  <tableStyleInfo name="TableStyleMedium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3.bin"/><Relationship Id="rId6" Type="http://schemas.microsoft.com/office/2007/relationships/slicer" Target="../slicers/slicer1.xml"/><Relationship Id="rId5" Type="http://schemas.openxmlformats.org/officeDocument/2006/relationships/table" Target="../tables/table4.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17"/>
  <sheetViews>
    <sheetView topLeftCell="A10" workbookViewId="0">
      <selection sqref="A1:AG1"/>
    </sheetView>
  </sheetViews>
  <sheetFormatPr defaultRowHeight="15" x14ac:dyDescent="0.25"/>
  <cols>
    <col min="1" max="1" width="9.7109375" bestFit="1" customWidth="1"/>
    <col min="2" max="2" width="13" customWidth="1"/>
    <col min="3" max="10" width="8.7109375" customWidth="1"/>
    <col min="11" max="11" width="6" bestFit="1" customWidth="1"/>
    <col min="12" max="23" width="8.7109375" customWidth="1"/>
  </cols>
  <sheetData>
    <row r="1" spans="1:23" s="12" customFormat="1" ht="84" customHeight="1" x14ac:dyDescent="0.25">
      <c r="A1" s="12" t="s">
        <v>0</v>
      </c>
      <c r="B1" s="12" t="s">
        <v>1</v>
      </c>
      <c r="C1" s="12" t="s">
        <v>2</v>
      </c>
      <c r="D1" s="12" t="s">
        <v>3</v>
      </c>
      <c r="E1" s="12" t="s">
        <v>4</v>
      </c>
      <c r="F1" s="12" t="s">
        <v>5</v>
      </c>
      <c r="G1" s="12" t="s">
        <v>6</v>
      </c>
      <c r="H1" s="12" t="s">
        <v>7</v>
      </c>
      <c r="I1" s="12" t="s">
        <v>8</v>
      </c>
      <c r="J1" s="12" t="s">
        <v>9</v>
      </c>
      <c r="K1" s="12" t="s">
        <v>10</v>
      </c>
      <c r="L1" s="12" t="s">
        <v>220</v>
      </c>
      <c r="M1" s="12" t="s">
        <v>11</v>
      </c>
      <c r="N1" s="12" t="s">
        <v>12</v>
      </c>
      <c r="O1" s="12" t="s">
        <v>221</v>
      </c>
      <c r="P1" s="13" t="s">
        <v>219</v>
      </c>
      <c r="Q1" s="13" t="s">
        <v>188</v>
      </c>
      <c r="R1" s="13" t="s">
        <v>312</v>
      </c>
      <c r="S1" s="13" t="s">
        <v>344</v>
      </c>
      <c r="T1" s="13" t="s">
        <v>343</v>
      </c>
      <c r="U1" s="13" t="s">
        <v>366</v>
      </c>
      <c r="V1" s="13" t="s">
        <v>373</v>
      </c>
      <c r="W1" s="13" t="s">
        <v>374</v>
      </c>
    </row>
    <row r="2" spans="1:23" ht="15" customHeight="1" x14ac:dyDescent="0.25">
      <c r="A2" s="1">
        <v>43895</v>
      </c>
      <c r="B2" t="s">
        <v>411</v>
      </c>
      <c r="C2">
        <v>1</v>
      </c>
      <c r="E2">
        <v>4</v>
      </c>
      <c r="F2">
        <v>4</v>
      </c>
      <c r="G2">
        <v>6</v>
      </c>
      <c r="H2" t="s">
        <v>32</v>
      </c>
      <c r="I2">
        <v>0</v>
      </c>
      <c r="J2">
        <v>0</v>
      </c>
      <c r="K2">
        <v>0</v>
      </c>
      <c r="L2">
        <v>4</v>
      </c>
      <c r="N2" t="s">
        <v>313</v>
      </c>
      <c r="P2" s="3">
        <f>IFERROR(IF(AND(tbl_daily[[#This Row],[Attendance (1 = Here, 0 = Not here)]]=1,tbl_daily[[#This Row],[Attended, but did not complete data]]&lt;&gt;1),tbl_daily[[#This Row],[Stress]]+tbl_daily[[#This Row],[SleepQuality]]+tbl_daily[[#This Row],[Energy]],""),"")</f>
        <v>14</v>
      </c>
      <c r="Q2" s="3">
        <f>IFERROR(IF(AND(tbl_daily[[#This Row],[Attendance (1 = Here, 0 = Not here)]]=1,tbl_daily[[#This Row],[Attended, but did not complete data]]&lt;&gt;1),tbl_daily[[#This Row],[LatestRPE]]*tbl_daily[[#This Row],[LatestDuration]],""),"")</f>
        <v>0</v>
      </c>
      <c r="R2" s="3">
        <f>IF(tbl_daily[[#This Row],[CodeName]]&lt;&gt;"",1,"")</f>
        <v>1</v>
      </c>
      <c r="S2" s="3" t="str">
        <f>IF(AND(tbl_daily[[#This Row],[Date]]&gt;=DATE(2019,8,1),tbl_daily[[#This Row],[Date]]&lt;=DATE(2020,6,1)),"2019-2020")</f>
        <v>2019-2020</v>
      </c>
      <c r="T2" s="3" t="str">
        <f>IFERROR(INDEX(tbl_prof[Cohort of Interest],MATCH(tbl_daily[[#This Row],[CodeName]],tbl_prof[CodeName],0)),"")</f>
        <v>Athletes</v>
      </c>
      <c r="U2" s="3">
        <f>IFERROR(AVERAGEIFS(tbl_perf[Grade],tbl_perf[CodeName],tbl_daily[[#This Row],[CodeName]],tbl_perf[Date],tbl_daily[[#This Row],[Date]]),"")</f>
        <v>75</v>
      </c>
      <c r="V2" s="3">
        <f>IFERROR(IF(AND(tbl_daily[[#This Row],[Attendance (1 = Here, 0 = Not here)]]=1,tbl_daily[[#This Row],[Attended, but did not complete data]]&lt;&gt;1),1,IF(AND(tbl_daily[[#This Row],[Attendance (1 = Here, 0 = Not here)]]=1,tbl_daily[[#This Row],[Attended, but did not complete data]]=1),2,3)),"")</f>
        <v>1</v>
      </c>
      <c r="W2" s="3">
        <f>IF(AND(tbl_daily[[#This Row],[Attendance Refined]]=1,tbl_daily[[#This Row],[InjuryStatus]]="Full"),1,IF(AND(tbl_daily[[#This Row],[Attendance Refined]]=1,tbl_daily[[#This Row],[InjuryStatus]]="Limited"),2,IF(AND(tbl_daily[[#This Row],[Attendance Refined]]=1,tbl_daily[[#This Row],[InjuryStatus]]="Out"),3,"")))</f>
        <v>2</v>
      </c>
    </row>
    <row r="3" spans="1:23" ht="15" customHeight="1" x14ac:dyDescent="0.25">
      <c r="A3" s="1">
        <v>43895</v>
      </c>
      <c r="B3" t="s">
        <v>417</v>
      </c>
      <c r="C3">
        <v>1</v>
      </c>
      <c r="E3">
        <v>8</v>
      </c>
      <c r="F3">
        <v>7</v>
      </c>
      <c r="G3">
        <v>9</v>
      </c>
      <c r="H3" t="s">
        <v>15</v>
      </c>
      <c r="I3">
        <v>0</v>
      </c>
      <c r="J3">
        <v>0</v>
      </c>
      <c r="K3">
        <v>0</v>
      </c>
      <c r="L3">
        <v>16</v>
      </c>
      <c r="N3" t="s">
        <v>318</v>
      </c>
      <c r="P3" s="3">
        <f>IFERROR(IF(AND(tbl_daily[[#This Row],[Attendance (1 = Here, 0 = Not here)]]=1,tbl_daily[[#This Row],[Attended, but did not complete data]]&lt;&gt;1),tbl_daily[[#This Row],[Stress]]+tbl_daily[[#This Row],[SleepQuality]]+tbl_daily[[#This Row],[Energy]],""),"")</f>
        <v>24</v>
      </c>
      <c r="Q3" s="3">
        <f>IFERROR(IF(AND(tbl_daily[[#This Row],[Attendance (1 = Here, 0 = Not here)]]=1,tbl_daily[[#This Row],[Attended, but did not complete data]]&lt;&gt;1),tbl_daily[[#This Row],[LatestRPE]]*tbl_daily[[#This Row],[LatestDuration]],""),"")</f>
        <v>0</v>
      </c>
      <c r="R3" s="3">
        <f>IF(tbl_daily[[#This Row],[CodeName]]&lt;&gt;"",1,"")</f>
        <v>1</v>
      </c>
      <c r="S3" s="3" t="str">
        <f>IF(AND(tbl_daily[[#This Row],[Date]]&gt;=DATE(2019,8,1),tbl_daily[[#This Row],[Date]]&lt;=DATE(2020,6,1)),"2019-2020")</f>
        <v>2019-2020</v>
      </c>
      <c r="T3" s="3" t="str">
        <f>IFERROR(INDEX(tbl_prof[Cohort of Interest],MATCH(tbl_daily[[#This Row],[CodeName]],tbl_prof[CodeName],0)),"")</f>
        <v>Gen Pop</v>
      </c>
      <c r="U3" s="3">
        <f>IFERROR(AVERAGEIFS(tbl_perf[Grade],tbl_perf[CodeName],tbl_daily[[#This Row],[CodeName]],tbl_perf[Date],tbl_daily[[#This Row],[Date]]),"")</f>
        <v>96</v>
      </c>
      <c r="V3" s="3">
        <f>IFERROR(IF(AND(tbl_daily[[#This Row],[Attendance (1 = Here, 0 = Not here)]]=1,tbl_daily[[#This Row],[Attended, but did not complete data]]&lt;&gt;1),1,IF(AND(tbl_daily[[#This Row],[Attendance (1 = Here, 0 = Not here)]]=1,tbl_daily[[#This Row],[Attended, but did not complete data]]=1),2,3)),"")</f>
        <v>1</v>
      </c>
      <c r="W3" s="3">
        <f>IF(AND(tbl_daily[[#This Row],[Attendance Refined]]=1,tbl_daily[[#This Row],[InjuryStatus]]="Full"),1,IF(AND(tbl_daily[[#This Row],[Attendance Refined]]=1,tbl_daily[[#This Row],[InjuryStatus]]="Limited"),2,IF(AND(tbl_daily[[#This Row],[Attendance Refined]]=1,tbl_daily[[#This Row],[InjuryStatus]]="Out"),3,"")))</f>
        <v>1</v>
      </c>
    </row>
    <row r="4" spans="1:23" ht="15" customHeight="1" x14ac:dyDescent="0.25">
      <c r="A4" s="1">
        <v>43895</v>
      </c>
      <c r="B4" t="s">
        <v>421</v>
      </c>
      <c r="C4">
        <v>1</v>
      </c>
      <c r="E4">
        <v>9</v>
      </c>
      <c r="F4">
        <v>8</v>
      </c>
      <c r="G4">
        <v>8</v>
      </c>
      <c r="H4" t="s">
        <v>15</v>
      </c>
      <c r="I4">
        <v>0</v>
      </c>
      <c r="J4">
        <v>0</v>
      </c>
      <c r="K4">
        <v>0</v>
      </c>
      <c r="L4">
        <v>11</v>
      </c>
      <c r="N4" t="s">
        <v>321</v>
      </c>
      <c r="P4" s="3">
        <f>IFERROR(IF(AND(tbl_daily[[#This Row],[Attendance (1 = Here, 0 = Not here)]]=1,tbl_daily[[#This Row],[Attended, but did not complete data]]&lt;&gt;1),tbl_daily[[#This Row],[Stress]]+tbl_daily[[#This Row],[SleepQuality]]+tbl_daily[[#This Row],[Energy]],""),"")</f>
        <v>25</v>
      </c>
      <c r="Q4" s="3">
        <f>IFERROR(IF(AND(tbl_daily[[#This Row],[Attendance (1 = Here, 0 = Not here)]]=1,tbl_daily[[#This Row],[Attended, but did not complete data]]&lt;&gt;1),tbl_daily[[#This Row],[LatestRPE]]*tbl_daily[[#This Row],[LatestDuration]],""),"")</f>
        <v>0</v>
      </c>
      <c r="R4" s="3">
        <f>IF(tbl_daily[[#This Row],[CodeName]]&lt;&gt;"",1,"")</f>
        <v>1</v>
      </c>
      <c r="S4" s="3" t="str">
        <f>IF(AND(tbl_daily[[#This Row],[Date]]&gt;=DATE(2019,8,1),tbl_daily[[#This Row],[Date]]&lt;=DATE(2020,6,1)),"2019-2020")</f>
        <v>2019-2020</v>
      </c>
      <c r="T4" s="3" t="str">
        <f>IFERROR(INDEX(tbl_prof[Cohort of Interest],MATCH(tbl_daily[[#This Row],[CodeName]],tbl_prof[CodeName],0)),"")</f>
        <v>Athletes</v>
      </c>
      <c r="U4" s="3">
        <f>IFERROR(AVERAGEIFS(tbl_perf[Grade],tbl_perf[CodeName],tbl_daily[[#This Row],[CodeName]],tbl_perf[Date],tbl_daily[[#This Row],[Date]]),"")</f>
        <v>100</v>
      </c>
      <c r="V4" s="3">
        <f>IFERROR(IF(AND(tbl_daily[[#This Row],[Attendance (1 = Here, 0 = Not here)]]=1,tbl_daily[[#This Row],[Attended, but did not complete data]]&lt;&gt;1),1,IF(AND(tbl_daily[[#This Row],[Attendance (1 = Here, 0 = Not here)]]=1,tbl_daily[[#This Row],[Attended, but did not complete data]]=1),2,3)),"")</f>
        <v>1</v>
      </c>
      <c r="W4" s="3">
        <f>IF(AND(tbl_daily[[#This Row],[Attendance Refined]]=1,tbl_daily[[#This Row],[InjuryStatus]]="Full"),1,IF(AND(tbl_daily[[#This Row],[Attendance Refined]]=1,tbl_daily[[#This Row],[InjuryStatus]]="Limited"),2,IF(AND(tbl_daily[[#This Row],[Attendance Refined]]=1,tbl_daily[[#This Row],[InjuryStatus]]="Out"),3,"")))</f>
        <v>1</v>
      </c>
    </row>
    <row r="5" spans="1:23" ht="15" customHeight="1" x14ac:dyDescent="0.25">
      <c r="A5" s="1">
        <v>43895</v>
      </c>
      <c r="B5" t="s">
        <v>453</v>
      </c>
      <c r="C5">
        <v>1</v>
      </c>
      <c r="E5">
        <v>7</v>
      </c>
      <c r="F5">
        <v>7</v>
      </c>
      <c r="G5">
        <v>7</v>
      </c>
      <c r="H5" t="s">
        <v>15</v>
      </c>
      <c r="I5">
        <v>0</v>
      </c>
      <c r="J5">
        <v>7</v>
      </c>
      <c r="K5">
        <v>40</v>
      </c>
      <c r="L5">
        <v>9</v>
      </c>
      <c r="N5" t="s">
        <v>325</v>
      </c>
      <c r="P5" s="3">
        <f>IFERROR(IF(AND(tbl_daily[[#This Row],[Attendance (1 = Here, 0 = Not here)]]=1,tbl_daily[[#This Row],[Attended, but did not complete data]]&lt;&gt;1),tbl_daily[[#This Row],[Stress]]+tbl_daily[[#This Row],[SleepQuality]]+tbl_daily[[#This Row],[Energy]],""),"")</f>
        <v>21</v>
      </c>
      <c r="Q5" s="3">
        <f>IFERROR(IF(AND(tbl_daily[[#This Row],[Attendance (1 = Here, 0 = Not here)]]=1,tbl_daily[[#This Row],[Attended, but did not complete data]]&lt;&gt;1),tbl_daily[[#This Row],[LatestRPE]]*tbl_daily[[#This Row],[LatestDuration]],""),"")</f>
        <v>280</v>
      </c>
      <c r="R5" s="3">
        <f>IF(tbl_daily[[#This Row],[CodeName]]&lt;&gt;"",1,"")</f>
        <v>1</v>
      </c>
      <c r="S5" s="3" t="str">
        <f>IF(AND(tbl_daily[[#This Row],[Date]]&gt;=DATE(2019,8,1),tbl_daily[[#This Row],[Date]]&lt;=DATE(2020,6,1)),"2019-2020")</f>
        <v>2019-2020</v>
      </c>
      <c r="T5" s="3" t="str">
        <f>IFERROR(INDEX(tbl_prof[Cohort of Interest],MATCH(tbl_daily[[#This Row],[CodeName]],tbl_prof[CodeName],0)),"")</f>
        <v>Older</v>
      </c>
      <c r="U5" s="3" t="str">
        <f>IFERROR(AVERAGEIFS(tbl_perf[Grade],tbl_perf[CodeName],tbl_daily[[#This Row],[CodeName]],tbl_perf[Date],tbl_daily[[#This Row],[Date]]),"")</f>
        <v/>
      </c>
      <c r="V5" s="3">
        <f>IFERROR(IF(AND(tbl_daily[[#This Row],[Attendance (1 = Here, 0 = Not here)]]=1,tbl_daily[[#This Row],[Attended, but did not complete data]]&lt;&gt;1),1,IF(AND(tbl_daily[[#This Row],[Attendance (1 = Here, 0 = Not here)]]=1,tbl_daily[[#This Row],[Attended, but did not complete data]]=1),2,3)),"")</f>
        <v>1</v>
      </c>
      <c r="W5" s="3">
        <f>IF(AND(tbl_daily[[#This Row],[Attendance Refined]]=1,tbl_daily[[#This Row],[InjuryStatus]]="Full"),1,IF(AND(tbl_daily[[#This Row],[Attendance Refined]]=1,tbl_daily[[#This Row],[InjuryStatus]]="Limited"),2,IF(AND(tbl_daily[[#This Row],[Attendance Refined]]=1,tbl_daily[[#This Row],[InjuryStatus]]="Out"),3,"")))</f>
        <v>1</v>
      </c>
    </row>
    <row r="6" spans="1:23" ht="15" customHeight="1" x14ac:dyDescent="0.25">
      <c r="A6" s="1">
        <v>43895</v>
      </c>
      <c r="B6" t="s">
        <v>454</v>
      </c>
      <c r="C6">
        <v>1</v>
      </c>
      <c r="E6">
        <v>8</v>
      </c>
      <c r="F6">
        <v>9</v>
      </c>
      <c r="G6">
        <v>10</v>
      </c>
      <c r="H6" t="s">
        <v>15</v>
      </c>
      <c r="I6">
        <v>1</v>
      </c>
      <c r="J6">
        <v>5</v>
      </c>
      <c r="K6">
        <v>60</v>
      </c>
      <c r="L6">
        <v>6</v>
      </c>
      <c r="N6" t="s">
        <v>319</v>
      </c>
      <c r="P6" s="3">
        <f>IFERROR(IF(AND(tbl_daily[[#This Row],[Attendance (1 = Here, 0 = Not here)]]=1,tbl_daily[[#This Row],[Attended, but did not complete data]]&lt;&gt;1),tbl_daily[[#This Row],[Stress]]+tbl_daily[[#This Row],[SleepQuality]]+tbl_daily[[#This Row],[Energy]],""),"")</f>
        <v>27</v>
      </c>
      <c r="Q6" s="3">
        <f>IFERROR(IF(AND(tbl_daily[[#This Row],[Attendance (1 = Here, 0 = Not here)]]=1,tbl_daily[[#This Row],[Attended, but did not complete data]]&lt;&gt;1),tbl_daily[[#This Row],[LatestRPE]]*tbl_daily[[#This Row],[LatestDuration]],""),"")</f>
        <v>300</v>
      </c>
      <c r="R6" s="3">
        <f>IF(tbl_daily[[#This Row],[CodeName]]&lt;&gt;"",1,"")</f>
        <v>1</v>
      </c>
      <c r="S6" s="3" t="str">
        <f>IF(AND(tbl_daily[[#This Row],[Date]]&gt;=DATE(2019,8,1),tbl_daily[[#This Row],[Date]]&lt;=DATE(2020,6,1)),"2019-2020")</f>
        <v>2019-2020</v>
      </c>
      <c r="T6" s="3" t="str">
        <f>IFERROR(INDEX(tbl_prof[Cohort of Interest],MATCH(tbl_daily[[#This Row],[CodeName]],tbl_prof[CodeName],0)),"")</f>
        <v>Football</v>
      </c>
      <c r="U6" s="3" t="str">
        <f>IFERROR(AVERAGEIFS(tbl_perf[Grade],tbl_perf[CodeName],tbl_daily[[#This Row],[CodeName]],tbl_perf[Date],tbl_daily[[#This Row],[Date]]),"")</f>
        <v/>
      </c>
      <c r="V6" s="3">
        <f>IFERROR(IF(AND(tbl_daily[[#This Row],[Attendance (1 = Here, 0 = Not here)]]=1,tbl_daily[[#This Row],[Attended, but did not complete data]]&lt;&gt;1),1,IF(AND(tbl_daily[[#This Row],[Attendance (1 = Here, 0 = Not here)]]=1,tbl_daily[[#This Row],[Attended, but did not complete data]]=1),2,3)),"")</f>
        <v>1</v>
      </c>
      <c r="W6" s="3">
        <f>IF(AND(tbl_daily[[#This Row],[Attendance Refined]]=1,tbl_daily[[#This Row],[InjuryStatus]]="Full"),1,IF(AND(tbl_daily[[#This Row],[Attendance Refined]]=1,tbl_daily[[#This Row],[InjuryStatus]]="Limited"),2,IF(AND(tbl_daily[[#This Row],[Attendance Refined]]=1,tbl_daily[[#This Row],[InjuryStatus]]="Out"),3,"")))</f>
        <v>1</v>
      </c>
    </row>
    <row r="7" spans="1:23" ht="15" customHeight="1" x14ac:dyDescent="0.25">
      <c r="A7" s="1">
        <v>43895</v>
      </c>
      <c r="B7" t="s">
        <v>423</v>
      </c>
      <c r="C7">
        <v>1</v>
      </c>
      <c r="E7">
        <v>6</v>
      </c>
      <c r="F7">
        <v>8</v>
      </c>
      <c r="G7">
        <v>7</v>
      </c>
      <c r="H7" t="s">
        <v>15</v>
      </c>
      <c r="I7">
        <v>0</v>
      </c>
      <c r="J7">
        <v>3</v>
      </c>
      <c r="K7">
        <v>0</v>
      </c>
      <c r="L7">
        <v>0</v>
      </c>
      <c r="N7" t="s">
        <v>316</v>
      </c>
      <c r="P7" s="3">
        <f>IFERROR(IF(AND(tbl_daily[[#This Row],[Attendance (1 = Here, 0 = Not here)]]=1,tbl_daily[[#This Row],[Attended, but did not complete data]]&lt;&gt;1),tbl_daily[[#This Row],[Stress]]+tbl_daily[[#This Row],[SleepQuality]]+tbl_daily[[#This Row],[Energy]],""),"")</f>
        <v>21</v>
      </c>
      <c r="Q7" s="3">
        <f>IFERROR(IF(AND(tbl_daily[[#This Row],[Attendance (1 = Here, 0 = Not here)]]=1,tbl_daily[[#This Row],[Attended, but did not complete data]]&lt;&gt;1),tbl_daily[[#This Row],[LatestRPE]]*tbl_daily[[#This Row],[LatestDuration]],""),"")</f>
        <v>0</v>
      </c>
      <c r="R7" s="3">
        <f>IF(tbl_daily[[#This Row],[CodeName]]&lt;&gt;"",1,"")</f>
        <v>1</v>
      </c>
      <c r="S7" s="3" t="str">
        <f>IF(AND(tbl_daily[[#This Row],[Date]]&gt;=DATE(2019,8,1),tbl_daily[[#This Row],[Date]]&lt;=DATE(2020,6,1)),"2019-2020")</f>
        <v>2019-2020</v>
      </c>
      <c r="T7" s="3" t="str">
        <f>IFERROR(INDEX(tbl_prof[Cohort of Interest],MATCH(tbl_daily[[#This Row],[CodeName]],tbl_prof[CodeName],0)),"")</f>
        <v>Youth</v>
      </c>
      <c r="U7" s="3">
        <f>IFERROR(AVERAGEIFS(tbl_perf[Grade],tbl_perf[CodeName],tbl_daily[[#This Row],[CodeName]],tbl_perf[Date],tbl_daily[[#This Row],[Date]]),"")</f>
        <v>100</v>
      </c>
      <c r="V7" s="3">
        <f>IFERROR(IF(AND(tbl_daily[[#This Row],[Attendance (1 = Here, 0 = Not here)]]=1,tbl_daily[[#This Row],[Attended, but did not complete data]]&lt;&gt;1),1,IF(AND(tbl_daily[[#This Row],[Attendance (1 = Here, 0 = Not here)]]=1,tbl_daily[[#This Row],[Attended, but did not complete data]]=1),2,3)),"")</f>
        <v>1</v>
      </c>
      <c r="W7" s="3">
        <f>IF(AND(tbl_daily[[#This Row],[Attendance Refined]]=1,tbl_daily[[#This Row],[InjuryStatus]]="Full"),1,IF(AND(tbl_daily[[#This Row],[Attendance Refined]]=1,tbl_daily[[#This Row],[InjuryStatus]]="Limited"),2,IF(AND(tbl_daily[[#This Row],[Attendance Refined]]=1,tbl_daily[[#This Row],[InjuryStatus]]="Out"),3,"")))</f>
        <v>1</v>
      </c>
    </row>
    <row r="8" spans="1:23" ht="15" customHeight="1" x14ac:dyDescent="0.25">
      <c r="A8" s="1">
        <v>43895</v>
      </c>
      <c r="B8" t="s">
        <v>425</v>
      </c>
      <c r="C8">
        <v>1</v>
      </c>
      <c r="E8">
        <v>7</v>
      </c>
      <c r="F8">
        <v>6</v>
      </c>
      <c r="G8">
        <v>7</v>
      </c>
      <c r="H8" t="s">
        <v>15</v>
      </c>
      <c r="I8">
        <v>0</v>
      </c>
      <c r="J8">
        <v>0</v>
      </c>
      <c r="K8">
        <v>0</v>
      </c>
      <c r="L8">
        <v>12</v>
      </c>
      <c r="N8" t="s">
        <v>324</v>
      </c>
      <c r="P8" s="3">
        <f>IFERROR(IF(AND(tbl_daily[[#This Row],[Attendance (1 = Here, 0 = Not here)]]=1,tbl_daily[[#This Row],[Attended, but did not complete data]]&lt;&gt;1),tbl_daily[[#This Row],[Stress]]+tbl_daily[[#This Row],[SleepQuality]]+tbl_daily[[#This Row],[Energy]],""),"")</f>
        <v>20</v>
      </c>
      <c r="Q8" s="3">
        <f>IFERROR(IF(AND(tbl_daily[[#This Row],[Attendance (1 = Here, 0 = Not here)]]=1,tbl_daily[[#This Row],[Attended, but did not complete data]]&lt;&gt;1),tbl_daily[[#This Row],[LatestRPE]]*tbl_daily[[#This Row],[LatestDuration]],""),"")</f>
        <v>0</v>
      </c>
      <c r="R8" s="3">
        <f>IF(tbl_daily[[#This Row],[CodeName]]&lt;&gt;"",1,"")</f>
        <v>1</v>
      </c>
      <c r="S8" s="3" t="str">
        <f>IF(AND(tbl_daily[[#This Row],[Date]]&gt;=DATE(2019,8,1),tbl_daily[[#This Row],[Date]]&lt;=DATE(2020,6,1)),"2019-2020")</f>
        <v>2019-2020</v>
      </c>
      <c r="T8" s="3" t="str">
        <f>IFERROR(INDEX(tbl_prof[Cohort of Interest],MATCH(tbl_daily[[#This Row],[CodeName]],tbl_prof[CodeName],0)),"")</f>
        <v>Athletes</v>
      </c>
      <c r="U8" s="3">
        <f>IFERROR(AVERAGEIFS(tbl_perf[Grade],tbl_perf[CodeName],tbl_daily[[#This Row],[CodeName]],tbl_perf[Date],tbl_daily[[#This Row],[Date]]),"")</f>
        <v>98</v>
      </c>
      <c r="V8" s="3">
        <f>IFERROR(IF(AND(tbl_daily[[#This Row],[Attendance (1 = Here, 0 = Not here)]]=1,tbl_daily[[#This Row],[Attended, but did not complete data]]&lt;&gt;1),1,IF(AND(tbl_daily[[#This Row],[Attendance (1 = Here, 0 = Not here)]]=1,tbl_daily[[#This Row],[Attended, but did not complete data]]=1),2,3)),"")</f>
        <v>1</v>
      </c>
      <c r="W8" s="3">
        <f>IF(AND(tbl_daily[[#This Row],[Attendance Refined]]=1,tbl_daily[[#This Row],[InjuryStatus]]="Full"),1,IF(AND(tbl_daily[[#This Row],[Attendance Refined]]=1,tbl_daily[[#This Row],[InjuryStatus]]="Limited"),2,IF(AND(tbl_daily[[#This Row],[Attendance Refined]]=1,tbl_daily[[#This Row],[InjuryStatus]]="Out"),3,"")))</f>
        <v>1</v>
      </c>
    </row>
    <row r="9" spans="1:23" ht="15" customHeight="1" x14ac:dyDescent="0.25">
      <c r="A9" s="1">
        <v>43895</v>
      </c>
      <c r="B9" t="s">
        <v>437</v>
      </c>
      <c r="C9">
        <v>1</v>
      </c>
      <c r="E9">
        <v>7</v>
      </c>
      <c r="F9">
        <v>9</v>
      </c>
      <c r="G9">
        <v>8</v>
      </c>
      <c r="H9" t="s">
        <v>15</v>
      </c>
      <c r="I9">
        <v>0</v>
      </c>
      <c r="J9">
        <v>0</v>
      </c>
      <c r="K9">
        <v>0</v>
      </c>
      <c r="L9">
        <v>7</v>
      </c>
      <c r="N9" t="s">
        <v>332</v>
      </c>
      <c r="P9" s="3">
        <f>IFERROR(IF(AND(tbl_daily[[#This Row],[Attendance (1 = Here, 0 = Not here)]]=1,tbl_daily[[#This Row],[Attended, but did not complete data]]&lt;&gt;1),tbl_daily[[#This Row],[Stress]]+tbl_daily[[#This Row],[SleepQuality]]+tbl_daily[[#This Row],[Energy]],""),"")</f>
        <v>24</v>
      </c>
      <c r="Q9" s="3">
        <f>IFERROR(IF(AND(tbl_daily[[#This Row],[Attendance (1 = Here, 0 = Not here)]]=1,tbl_daily[[#This Row],[Attended, but did not complete data]]&lt;&gt;1),tbl_daily[[#This Row],[LatestRPE]]*tbl_daily[[#This Row],[LatestDuration]],""),"")</f>
        <v>0</v>
      </c>
      <c r="R9" s="3">
        <f>IF(tbl_daily[[#This Row],[CodeName]]&lt;&gt;"",1,"")</f>
        <v>1</v>
      </c>
      <c r="S9" s="3" t="str">
        <f>IF(AND(tbl_daily[[#This Row],[Date]]&gt;=DATE(2019,8,1),tbl_daily[[#This Row],[Date]]&lt;=DATE(2020,6,1)),"2019-2020")</f>
        <v>2019-2020</v>
      </c>
      <c r="T9" s="3" t="str">
        <f>IFERROR(INDEX(tbl_prof[Cohort of Interest],MATCH(tbl_daily[[#This Row],[CodeName]],tbl_prof[CodeName],0)),"")</f>
        <v>Athletes</v>
      </c>
      <c r="U9" s="3">
        <f>IFERROR(AVERAGEIFS(tbl_perf[Grade],tbl_perf[CodeName],tbl_daily[[#This Row],[CodeName]],tbl_perf[Date],tbl_daily[[#This Row],[Date]]),"")</f>
        <v>84</v>
      </c>
      <c r="V9" s="3">
        <f>IFERROR(IF(AND(tbl_daily[[#This Row],[Attendance (1 = Here, 0 = Not here)]]=1,tbl_daily[[#This Row],[Attended, but did not complete data]]&lt;&gt;1),1,IF(AND(tbl_daily[[#This Row],[Attendance (1 = Here, 0 = Not here)]]=1,tbl_daily[[#This Row],[Attended, but did not complete data]]=1),2,3)),"")</f>
        <v>1</v>
      </c>
      <c r="W9" s="3">
        <f>IF(AND(tbl_daily[[#This Row],[Attendance Refined]]=1,tbl_daily[[#This Row],[InjuryStatus]]="Full"),1,IF(AND(tbl_daily[[#This Row],[Attendance Refined]]=1,tbl_daily[[#This Row],[InjuryStatus]]="Limited"),2,IF(AND(tbl_daily[[#This Row],[Attendance Refined]]=1,tbl_daily[[#This Row],[InjuryStatus]]="Out"),3,"")))</f>
        <v>1</v>
      </c>
    </row>
    <row r="10" spans="1:23" ht="15" customHeight="1" x14ac:dyDescent="0.25">
      <c r="A10" s="1">
        <v>43895</v>
      </c>
      <c r="B10" t="s">
        <v>438</v>
      </c>
      <c r="C10">
        <v>1</v>
      </c>
      <c r="E10">
        <v>4</v>
      </c>
      <c r="F10">
        <v>6</v>
      </c>
      <c r="G10">
        <v>6</v>
      </c>
      <c r="H10" t="s">
        <v>15</v>
      </c>
      <c r="I10">
        <v>0</v>
      </c>
      <c r="J10">
        <v>0</v>
      </c>
      <c r="K10">
        <v>0</v>
      </c>
      <c r="L10">
        <v>5</v>
      </c>
      <c r="N10" t="s">
        <v>327</v>
      </c>
      <c r="P10" s="3">
        <f>IFERROR(IF(AND(tbl_daily[[#This Row],[Attendance (1 = Here, 0 = Not here)]]=1,tbl_daily[[#This Row],[Attended, but did not complete data]]&lt;&gt;1),tbl_daily[[#This Row],[Stress]]+tbl_daily[[#This Row],[SleepQuality]]+tbl_daily[[#This Row],[Energy]],""),"")</f>
        <v>16</v>
      </c>
      <c r="Q10" s="3">
        <f>IFERROR(IF(AND(tbl_daily[[#This Row],[Attendance (1 = Here, 0 = Not here)]]=1,tbl_daily[[#This Row],[Attended, but did not complete data]]&lt;&gt;1),tbl_daily[[#This Row],[LatestRPE]]*tbl_daily[[#This Row],[LatestDuration]],""),"")</f>
        <v>0</v>
      </c>
      <c r="R10" s="3">
        <f>IF(tbl_daily[[#This Row],[CodeName]]&lt;&gt;"",1,"")</f>
        <v>1</v>
      </c>
      <c r="S10" s="3" t="str">
        <f>IF(AND(tbl_daily[[#This Row],[Date]]&gt;=DATE(2019,8,1),tbl_daily[[#This Row],[Date]]&lt;=DATE(2020,6,1)),"2019-2020")</f>
        <v>2019-2020</v>
      </c>
      <c r="T10" s="3" t="str">
        <f>IFERROR(INDEX(tbl_prof[Cohort of Interest],MATCH(tbl_daily[[#This Row],[CodeName]],tbl_prof[CodeName],0)),"")</f>
        <v>Youth</v>
      </c>
      <c r="U10" s="3">
        <f>IFERROR(AVERAGEIFS(tbl_perf[Grade],tbl_perf[CodeName],tbl_daily[[#This Row],[CodeName]],tbl_perf[Date],tbl_daily[[#This Row],[Date]]),"")</f>
        <v>82</v>
      </c>
      <c r="V10" s="3">
        <f>IFERROR(IF(AND(tbl_daily[[#This Row],[Attendance (1 = Here, 0 = Not here)]]=1,tbl_daily[[#This Row],[Attended, but did not complete data]]&lt;&gt;1),1,IF(AND(tbl_daily[[#This Row],[Attendance (1 = Here, 0 = Not here)]]=1,tbl_daily[[#This Row],[Attended, but did not complete data]]=1),2,3)),"")</f>
        <v>1</v>
      </c>
      <c r="W10" s="3">
        <f>IF(AND(tbl_daily[[#This Row],[Attendance Refined]]=1,tbl_daily[[#This Row],[InjuryStatus]]="Full"),1,IF(AND(tbl_daily[[#This Row],[Attendance Refined]]=1,tbl_daily[[#This Row],[InjuryStatus]]="Limited"),2,IF(AND(tbl_daily[[#This Row],[Attendance Refined]]=1,tbl_daily[[#This Row],[InjuryStatus]]="Out"),3,"")))</f>
        <v>1</v>
      </c>
    </row>
    <row r="11" spans="1:23" ht="15" customHeight="1" x14ac:dyDescent="0.25">
      <c r="A11" s="1">
        <v>43895</v>
      </c>
      <c r="B11" t="s">
        <v>431</v>
      </c>
      <c r="C11">
        <v>1</v>
      </c>
      <c r="E11">
        <v>9</v>
      </c>
      <c r="F11">
        <v>9</v>
      </c>
      <c r="G11">
        <v>8</v>
      </c>
      <c r="H11" t="s">
        <v>15</v>
      </c>
      <c r="I11">
        <v>0</v>
      </c>
      <c r="J11">
        <v>0</v>
      </c>
      <c r="K11">
        <v>0</v>
      </c>
      <c r="L11">
        <v>10</v>
      </c>
      <c r="N11" t="s">
        <v>333</v>
      </c>
      <c r="P11" s="3">
        <f>IFERROR(IF(AND(tbl_daily[[#This Row],[Attendance (1 = Here, 0 = Not here)]]=1,tbl_daily[[#This Row],[Attended, but did not complete data]]&lt;&gt;1),tbl_daily[[#This Row],[Stress]]+tbl_daily[[#This Row],[SleepQuality]]+tbl_daily[[#This Row],[Energy]],""),"")</f>
        <v>26</v>
      </c>
      <c r="Q11" s="3">
        <f>IFERROR(IF(AND(tbl_daily[[#This Row],[Attendance (1 = Here, 0 = Not here)]]=1,tbl_daily[[#This Row],[Attended, but did not complete data]]&lt;&gt;1),tbl_daily[[#This Row],[LatestRPE]]*tbl_daily[[#This Row],[LatestDuration]],""),"")</f>
        <v>0</v>
      </c>
      <c r="R11" s="3">
        <f>IF(tbl_daily[[#This Row],[CodeName]]&lt;&gt;"",1,"")</f>
        <v>1</v>
      </c>
      <c r="S11" s="3" t="str">
        <f>IF(AND(tbl_daily[[#This Row],[Date]]&gt;=DATE(2019,8,1),tbl_daily[[#This Row],[Date]]&lt;=DATE(2020,6,1)),"2019-2020")</f>
        <v>2019-2020</v>
      </c>
      <c r="T11" s="3" t="str">
        <f>IFERROR(INDEX(tbl_prof[Cohort of Interest],MATCH(tbl_daily[[#This Row],[CodeName]],tbl_prof[CodeName],0)),"")</f>
        <v>Special</v>
      </c>
      <c r="U11" s="3">
        <f>IFERROR(AVERAGEIFS(tbl_perf[Grade],tbl_perf[CodeName],tbl_daily[[#This Row],[CodeName]],tbl_perf[Date],tbl_daily[[#This Row],[Date]]),"")</f>
        <v>75</v>
      </c>
      <c r="V11" s="3">
        <f>IFERROR(IF(AND(tbl_daily[[#This Row],[Attendance (1 = Here, 0 = Not here)]]=1,tbl_daily[[#This Row],[Attended, but did not complete data]]&lt;&gt;1),1,IF(AND(tbl_daily[[#This Row],[Attendance (1 = Here, 0 = Not here)]]=1,tbl_daily[[#This Row],[Attended, but did not complete data]]=1),2,3)),"")</f>
        <v>1</v>
      </c>
      <c r="W11" s="3">
        <f>IF(AND(tbl_daily[[#This Row],[Attendance Refined]]=1,tbl_daily[[#This Row],[InjuryStatus]]="Full"),1,IF(AND(tbl_daily[[#This Row],[Attendance Refined]]=1,tbl_daily[[#This Row],[InjuryStatus]]="Limited"),2,IF(AND(tbl_daily[[#This Row],[Attendance Refined]]=1,tbl_daily[[#This Row],[InjuryStatus]]="Out"),3,"")))</f>
        <v>1</v>
      </c>
    </row>
    <row r="12" spans="1:23" ht="15" customHeight="1" x14ac:dyDescent="0.25">
      <c r="A12" s="1">
        <v>43895</v>
      </c>
      <c r="B12" t="s">
        <v>440</v>
      </c>
      <c r="C12">
        <v>1</v>
      </c>
      <c r="E12">
        <v>8</v>
      </c>
      <c r="F12">
        <v>4</v>
      </c>
      <c r="G12">
        <v>5</v>
      </c>
      <c r="H12" t="s">
        <v>32</v>
      </c>
      <c r="I12">
        <v>0</v>
      </c>
      <c r="J12">
        <v>0</v>
      </c>
      <c r="K12">
        <v>0</v>
      </c>
      <c r="L12">
        <v>14</v>
      </c>
      <c r="N12" t="s">
        <v>329</v>
      </c>
      <c r="P12" s="3">
        <f>IFERROR(IF(AND(tbl_daily[[#This Row],[Attendance (1 = Here, 0 = Not here)]]=1,tbl_daily[[#This Row],[Attended, but did not complete data]]&lt;&gt;1),tbl_daily[[#This Row],[Stress]]+tbl_daily[[#This Row],[SleepQuality]]+tbl_daily[[#This Row],[Energy]],""),"")</f>
        <v>17</v>
      </c>
      <c r="Q12" s="3">
        <f>IFERROR(IF(AND(tbl_daily[[#This Row],[Attendance (1 = Here, 0 = Not here)]]=1,tbl_daily[[#This Row],[Attended, but did not complete data]]&lt;&gt;1),tbl_daily[[#This Row],[LatestRPE]]*tbl_daily[[#This Row],[LatestDuration]],""),"")</f>
        <v>0</v>
      </c>
      <c r="R12" s="3">
        <f>IF(tbl_daily[[#This Row],[CodeName]]&lt;&gt;"",1,"")</f>
        <v>1</v>
      </c>
      <c r="S12" s="3" t="str">
        <f>IF(AND(tbl_daily[[#This Row],[Date]]&gt;=DATE(2019,8,1),tbl_daily[[#This Row],[Date]]&lt;=DATE(2020,6,1)),"2019-2020")</f>
        <v>2019-2020</v>
      </c>
      <c r="T12" s="3" t="str">
        <f>IFERROR(INDEX(tbl_prof[Cohort of Interest],MATCH(tbl_daily[[#This Row],[CodeName]],tbl_prof[CodeName],0)),"")</f>
        <v>Youth</v>
      </c>
      <c r="U12" s="3">
        <f>IFERROR(AVERAGEIFS(tbl_perf[Grade],tbl_perf[CodeName],tbl_daily[[#This Row],[CodeName]],tbl_perf[Date],tbl_daily[[#This Row],[Date]]),"")</f>
        <v>87</v>
      </c>
      <c r="V12" s="3">
        <f>IFERROR(IF(AND(tbl_daily[[#This Row],[Attendance (1 = Here, 0 = Not here)]]=1,tbl_daily[[#This Row],[Attended, but did not complete data]]&lt;&gt;1),1,IF(AND(tbl_daily[[#This Row],[Attendance (1 = Here, 0 = Not here)]]=1,tbl_daily[[#This Row],[Attended, but did not complete data]]=1),2,3)),"")</f>
        <v>1</v>
      </c>
      <c r="W12" s="3">
        <f>IF(AND(tbl_daily[[#This Row],[Attendance Refined]]=1,tbl_daily[[#This Row],[InjuryStatus]]="Full"),1,IF(AND(tbl_daily[[#This Row],[Attendance Refined]]=1,tbl_daily[[#This Row],[InjuryStatus]]="Limited"),2,IF(AND(tbl_daily[[#This Row],[Attendance Refined]]=1,tbl_daily[[#This Row],[InjuryStatus]]="Out"),3,"")))</f>
        <v>2</v>
      </c>
    </row>
    <row r="13" spans="1:23" ht="15" customHeight="1" x14ac:dyDescent="0.25">
      <c r="A13" s="1">
        <v>43895</v>
      </c>
      <c r="B13" t="s">
        <v>439</v>
      </c>
      <c r="C13">
        <v>1</v>
      </c>
      <c r="E13">
        <v>9</v>
      </c>
      <c r="F13">
        <v>5</v>
      </c>
      <c r="G13">
        <v>5</v>
      </c>
      <c r="H13" t="s">
        <v>32</v>
      </c>
      <c r="I13">
        <v>1</v>
      </c>
      <c r="J13">
        <v>3</v>
      </c>
      <c r="K13">
        <v>30</v>
      </c>
      <c r="L13">
        <v>13</v>
      </c>
      <c r="N13" t="s">
        <v>335</v>
      </c>
      <c r="P13" s="3">
        <f>IFERROR(IF(AND(tbl_daily[[#This Row],[Attendance (1 = Here, 0 = Not here)]]=1,tbl_daily[[#This Row],[Attended, but did not complete data]]&lt;&gt;1),tbl_daily[[#This Row],[Stress]]+tbl_daily[[#This Row],[SleepQuality]]+tbl_daily[[#This Row],[Energy]],""),"")</f>
        <v>19</v>
      </c>
      <c r="Q13" s="3">
        <f>IFERROR(IF(AND(tbl_daily[[#This Row],[Attendance (1 = Here, 0 = Not here)]]=1,tbl_daily[[#This Row],[Attended, but did not complete data]]&lt;&gt;1),tbl_daily[[#This Row],[LatestRPE]]*tbl_daily[[#This Row],[LatestDuration]],""),"")</f>
        <v>90</v>
      </c>
      <c r="R13" s="3">
        <f>IF(tbl_daily[[#This Row],[CodeName]]&lt;&gt;"",1,"")</f>
        <v>1</v>
      </c>
      <c r="S13" s="3" t="str">
        <f>IF(AND(tbl_daily[[#This Row],[Date]]&gt;=DATE(2019,8,1),tbl_daily[[#This Row],[Date]]&lt;=DATE(2020,6,1)),"2019-2020")</f>
        <v>2019-2020</v>
      </c>
      <c r="T13" s="3" t="str">
        <f>IFERROR(INDEX(tbl_prof[Cohort of Interest],MATCH(tbl_daily[[#This Row],[CodeName]],tbl_prof[CodeName],0)),"")</f>
        <v>Special</v>
      </c>
      <c r="U13" s="3">
        <f>IFERROR(AVERAGEIFS(tbl_perf[Grade],tbl_perf[CodeName],tbl_daily[[#This Row],[CodeName]],tbl_perf[Date],tbl_daily[[#This Row],[Date]]),"")</f>
        <v>76</v>
      </c>
      <c r="V13" s="3">
        <f>IFERROR(IF(AND(tbl_daily[[#This Row],[Attendance (1 = Here, 0 = Not here)]]=1,tbl_daily[[#This Row],[Attended, but did not complete data]]&lt;&gt;1),1,IF(AND(tbl_daily[[#This Row],[Attendance (1 = Here, 0 = Not here)]]=1,tbl_daily[[#This Row],[Attended, but did not complete data]]=1),2,3)),"")</f>
        <v>1</v>
      </c>
      <c r="W13" s="3">
        <f>IF(AND(tbl_daily[[#This Row],[Attendance Refined]]=1,tbl_daily[[#This Row],[InjuryStatus]]="Full"),1,IF(AND(tbl_daily[[#This Row],[Attendance Refined]]=1,tbl_daily[[#This Row],[InjuryStatus]]="Limited"),2,IF(AND(tbl_daily[[#This Row],[Attendance Refined]]=1,tbl_daily[[#This Row],[InjuryStatus]]="Out"),3,"")))</f>
        <v>2</v>
      </c>
    </row>
    <row r="14" spans="1:23" ht="15" customHeight="1" x14ac:dyDescent="0.25">
      <c r="A14" s="1">
        <v>43895</v>
      </c>
      <c r="B14" t="s">
        <v>412</v>
      </c>
      <c r="C14">
        <v>1</v>
      </c>
      <c r="E14">
        <v>8</v>
      </c>
      <c r="F14">
        <v>3</v>
      </c>
      <c r="G14">
        <v>6</v>
      </c>
      <c r="H14" t="s">
        <v>15</v>
      </c>
      <c r="I14">
        <v>1</v>
      </c>
      <c r="J14">
        <v>4</v>
      </c>
      <c r="K14">
        <v>30</v>
      </c>
      <c r="L14">
        <v>12</v>
      </c>
      <c r="N14" t="s">
        <v>314</v>
      </c>
      <c r="P14" s="3">
        <f>IFERROR(IF(AND(tbl_daily[[#This Row],[Attendance (1 = Here, 0 = Not here)]]=1,tbl_daily[[#This Row],[Attended, but did not complete data]]&lt;&gt;1),tbl_daily[[#This Row],[Stress]]+tbl_daily[[#This Row],[SleepQuality]]+tbl_daily[[#This Row],[Energy]],""),"")</f>
        <v>17</v>
      </c>
      <c r="Q14" s="3">
        <f>IFERROR(IF(AND(tbl_daily[[#This Row],[Attendance (1 = Here, 0 = Not here)]]=1,tbl_daily[[#This Row],[Attended, but did not complete data]]&lt;&gt;1),tbl_daily[[#This Row],[LatestRPE]]*tbl_daily[[#This Row],[LatestDuration]],""),"")</f>
        <v>120</v>
      </c>
      <c r="R14" s="3">
        <f>IF(tbl_daily[[#This Row],[CodeName]]&lt;&gt;"",1,"")</f>
        <v>1</v>
      </c>
      <c r="S14" s="3" t="str">
        <f>IF(AND(tbl_daily[[#This Row],[Date]]&gt;=DATE(2019,8,1),tbl_daily[[#This Row],[Date]]&lt;=DATE(2020,6,1)),"2019-2020")</f>
        <v>2019-2020</v>
      </c>
      <c r="T14" s="3" t="str">
        <f>IFERROR(INDEX(tbl_prof[Cohort of Interest],MATCH(tbl_daily[[#This Row],[CodeName]],tbl_prof[CodeName],0)),"")</f>
        <v>Gen Pop</v>
      </c>
      <c r="U14" s="3">
        <f>IFERROR(AVERAGEIFS(tbl_perf[Grade],tbl_perf[CodeName],tbl_daily[[#This Row],[CodeName]],tbl_perf[Date],tbl_daily[[#This Row],[Date]]),"")</f>
        <v>91</v>
      </c>
      <c r="V14" s="3">
        <f>IFERROR(IF(AND(tbl_daily[[#This Row],[Attendance (1 = Here, 0 = Not here)]]=1,tbl_daily[[#This Row],[Attended, but did not complete data]]&lt;&gt;1),1,IF(AND(tbl_daily[[#This Row],[Attendance (1 = Here, 0 = Not here)]]=1,tbl_daily[[#This Row],[Attended, but did not complete data]]=1),2,3)),"")</f>
        <v>1</v>
      </c>
      <c r="W14" s="3">
        <f>IF(AND(tbl_daily[[#This Row],[Attendance Refined]]=1,tbl_daily[[#This Row],[InjuryStatus]]="Full"),1,IF(AND(tbl_daily[[#This Row],[Attendance Refined]]=1,tbl_daily[[#This Row],[InjuryStatus]]="Limited"),2,IF(AND(tbl_daily[[#This Row],[Attendance Refined]]=1,tbl_daily[[#This Row],[InjuryStatus]]="Out"),3,"")))</f>
        <v>1</v>
      </c>
    </row>
    <row r="15" spans="1:23" ht="15" customHeight="1" x14ac:dyDescent="0.25">
      <c r="A15" s="1">
        <v>43895</v>
      </c>
      <c r="B15" t="s">
        <v>422</v>
      </c>
      <c r="C15">
        <v>1</v>
      </c>
      <c r="E15">
        <v>7</v>
      </c>
      <c r="F15">
        <v>8</v>
      </c>
      <c r="G15">
        <v>8</v>
      </c>
      <c r="H15" t="s">
        <v>32</v>
      </c>
      <c r="I15">
        <v>1</v>
      </c>
      <c r="J15">
        <v>6</v>
      </c>
      <c r="K15">
        <v>25</v>
      </c>
      <c r="L15">
        <v>12</v>
      </c>
      <c r="N15" t="s">
        <v>322</v>
      </c>
      <c r="P15" s="3">
        <f>IFERROR(IF(AND(tbl_daily[[#This Row],[Attendance (1 = Here, 0 = Not here)]]=1,tbl_daily[[#This Row],[Attended, but did not complete data]]&lt;&gt;1),tbl_daily[[#This Row],[Stress]]+tbl_daily[[#This Row],[SleepQuality]]+tbl_daily[[#This Row],[Energy]],""),"")</f>
        <v>23</v>
      </c>
      <c r="Q15" s="3">
        <f>IFERROR(IF(AND(tbl_daily[[#This Row],[Attendance (1 = Here, 0 = Not here)]]=1,tbl_daily[[#This Row],[Attended, but did not complete data]]&lt;&gt;1),tbl_daily[[#This Row],[LatestRPE]]*tbl_daily[[#This Row],[LatestDuration]],""),"")</f>
        <v>150</v>
      </c>
      <c r="R15" s="3">
        <f>IF(tbl_daily[[#This Row],[CodeName]]&lt;&gt;"",1,"")</f>
        <v>1</v>
      </c>
      <c r="S15" s="3" t="str">
        <f>IF(AND(tbl_daily[[#This Row],[Date]]&gt;=DATE(2019,8,1),tbl_daily[[#This Row],[Date]]&lt;=DATE(2020,6,1)),"2019-2020")</f>
        <v>2019-2020</v>
      </c>
      <c r="T15" s="3" t="str">
        <f>IFERROR(INDEX(tbl_prof[Cohort of Interest],MATCH(tbl_daily[[#This Row],[CodeName]],tbl_prof[CodeName],0)),"")</f>
        <v>Athletes</v>
      </c>
      <c r="U15" s="3">
        <f>IFERROR(AVERAGEIFS(tbl_perf[Grade],tbl_perf[CodeName],tbl_daily[[#This Row],[CodeName]],tbl_perf[Date],tbl_daily[[#This Row],[Date]]),"")</f>
        <v>87</v>
      </c>
      <c r="V15" s="3">
        <f>IFERROR(IF(AND(tbl_daily[[#This Row],[Attendance (1 = Here, 0 = Not here)]]=1,tbl_daily[[#This Row],[Attended, but did not complete data]]&lt;&gt;1),1,IF(AND(tbl_daily[[#This Row],[Attendance (1 = Here, 0 = Not here)]]=1,tbl_daily[[#This Row],[Attended, but did not complete data]]=1),2,3)),"")</f>
        <v>1</v>
      </c>
      <c r="W15" s="3">
        <f>IF(AND(tbl_daily[[#This Row],[Attendance Refined]]=1,tbl_daily[[#This Row],[InjuryStatus]]="Full"),1,IF(AND(tbl_daily[[#This Row],[Attendance Refined]]=1,tbl_daily[[#This Row],[InjuryStatus]]="Limited"),2,IF(AND(tbl_daily[[#This Row],[Attendance Refined]]=1,tbl_daily[[#This Row],[InjuryStatus]]="Out"),3,"")))</f>
        <v>2</v>
      </c>
    </row>
    <row r="16" spans="1:23" ht="15" customHeight="1" x14ac:dyDescent="0.25">
      <c r="A16" s="1">
        <v>43895</v>
      </c>
      <c r="B16" t="s">
        <v>413</v>
      </c>
      <c r="C16">
        <v>1</v>
      </c>
      <c r="E16">
        <v>5</v>
      </c>
      <c r="F16">
        <v>5</v>
      </c>
      <c r="G16">
        <v>5</v>
      </c>
      <c r="H16" t="s">
        <v>15</v>
      </c>
      <c r="I16">
        <v>1</v>
      </c>
      <c r="J16">
        <v>6</v>
      </c>
      <c r="K16">
        <v>30</v>
      </c>
      <c r="L16">
        <v>11</v>
      </c>
      <c r="N16" t="s">
        <v>315</v>
      </c>
      <c r="P16" s="3">
        <f>IFERROR(IF(AND(tbl_daily[[#This Row],[Attendance (1 = Here, 0 = Not here)]]=1,tbl_daily[[#This Row],[Attended, but did not complete data]]&lt;&gt;1),tbl_daily[[#This Row],[Stress]]+tbl_daily[[#This Row],[SleepQuality]]+tbl_daily[[#This Row],[Energy]],""),"")</f>
        <v>15</v>
      </c>
      <c r="Q16" s="3">
        <f>IFERROR(IF(AND(tbl_daily[[#This Row],[Attendance (1 = Here, 0 = Not here)]]=1,tbl_daily[[#This Row],[Attended, but did not complete data]]&lt;&gt;1),tbl_daily[[#This Row],[LatestRPE]]*tbl_daily[[#This Row],[LatestDuration]],""),"")</f>
        <v>180</v>
      </c>
      <c r="R16" s="3">
        <f>IF(tbl_daily[[#This Row],[CodeName]]&lt;&gt;"",1,"")</f>
        <v>1</v>
      </c>
      <c r="S16" s="3" t="str">
        <f>IF(AND(tbl_daily[[#This Row],[Date]]&gt;=DATE(2019,8,1),tbl_daily[[#This Row],[Date]]&lt;=DATE(2020,6,1)),"2019-2020")</f>
        <v>2019-2020</v>
      </c>
      <c r="T16" s="3" t="str">
        <f>IFERROR(INDEX(tbl_prof[Cohort of Interest],MATCH(tbl_daily[[#This Row],[CodeName]],tbl_prof[CodeName],0)),"")</f>
        <v>Youth</v>
      </c>
      <c r="U16" s="3">
        <f>IFERROR(AVERAGEIFS(tbl_perf[Grade],tbl_perf[CodeName],tbl_daily[[#This Row],[CodeName]],tbl_perf[Date],tbl_daily[[#This Row],[Date]]),"")</f>
        <v>80</v>
      </c>
      <c r="V16" s="3">
        <f>IFERROR(IF(AND(tbl_daily[[#This Row],[Attendance (1 = Here, 0 = Not here)]]=1,tbl_daily[[#This Row],[Attended, but did not complete data]]&lt;&gt;1),1,IF(AND(tbl_daily[[#This Row],[Attendance (1 = Here, 0 = Not here)]]=1,tbl_daily[[#This Row],[Attended, but did not complete data]]=1),2,3)),"")</f>
        <v>1</v>
      </c>
      <c r="W16" s="3">
        <f>IF(AND(tbl_daily[[#This Row],[Attendance Refined]]=1,tbl_daily[[#This Row],[InjuryStatus]]="Full"),1,IF(AND(tbl_daily[[#This Row],[Attendance Refined]]=1,tbl_daily[[#This Row],[InjuryStatus]]="Limited"),2,IF(AND(tbl_daily[[#This Row],[Attendance Refined]]=1,tbl_daily[[#This Row],[InjuryStatus]]="Out"),3,"")))</f>
        <v>1</v>
      </c>
    </row>
    <row r="17" spans="1:23" ht="15" customHeight="1" x14ac:dyDescent="0.25">
      <c r="A17" s="1">
        <v>43895</v>
      </c>
      <c r="B17" t="s">
        <v>415</v>
      </c>
      <c r="C17">
        <v>1</v>
      </c>
      <c r="E17">
        <v>8</v>
      </c>
      <c r="F17">
        <v>8</v>
      </c>
      <c r="G17">
        <v>8</v>
      </c>
      <c r="H17" t="s">
        <v>15</v>
      </c>
      <c r="I17">
        <v>0</v>
      </c>
      <c r="J17">
        <v>6</v>
      </c>
      <c r="K17">
        <v>45</v>
      </c>
      <c r="L17">
        <v>12</v>
      </c>
      <c r="N17" t="s">
        <v>316</v>
      </c>
      <c r="P17" s="3">
        <f>IFERROR(IF(AND(tbl_daily[[#This Row],[Attendance (1 = Here, 0 = Not here)]]=1,tbl_daily[[#This Row],[Attended, but did not complete data]]&lt;&gt;1),tbl_daily[[#This Row],[Stress]]+tbl_daily[[#This Row],[SleepQuality]]+tbl_daily[[#This Row],[Energy]],""),"")</f>
        <v>24</v>
      </c>
      <c r="Q17" s="3">
        <f>IFERROR(IF(AND(tbl_daily[[#This Row],[Attendance (1 = Here, 0 = Not here)]]=1,tbl_daily[[#This Row],[Attended, but did not complete data]]&lt;&gt;1),tbl_daily[[#This Row],[LatestRPE]]*tbl_daily[[#This Row],[LatestDuration]],""),"")</f>
        <v>270</v>
      </c>
      <c r="R17" s="3">
        <f>IF(tbl_daily[[#This Row],[CodeName]]&lt;&gt;"",1,"")</f>
        <v>1</v>
      </c>
      <c r="S17" s="3" t="str">
        <f>IF(AND(tbl_daily[[#This Row],[Date]]&gt;=DATE(2019,8,1),tbl_daily[[#This Row],[Date]]&lt;=DATE(2020,6,1)),"2019-2020")</f>
        <v>2019-2020</v>
      </c>
      <c r="T17" s="3" t="str">
        <f>IFERROR(INDEX(tbl_prof[Cohort of Interest],MATCH(tbl_daily[[#This Row],[CodeName]],tbl_prof[CodeName],0)),"")</f>
        <v>Youth</v>
      </c>
      <c r="U17" s="3">
        <f>IFERROR(AVERAGEIFS(tbl_perf[Grade],tbl_perf[CodeName],tbl_daily[[#This Row],[CodeName]],tbl_perf[Date],tbl_daily[[#This Row],[Date]]),"")</f>
        <v>80</v>
      </c>
      <c r="V17" s="3">
        <f>IFERROR(IF(AND(tbl_daily[[#This Row],[Attendance (1 = Here, 0 = Not here)]]=1,tbl_daily[[#This Row],[Attended, but did not complete data]]&lt;&gt;1),1,IF(AND(tbl_daily[[#This Row],[Attendance (1 = Here, 0 = Not here)]]=1,tbl_daily[[#This Row],[Attended, but did not complete data]]=1),2,3)),"")</f>
        <v>1</v>
      </c>
      <c r="W17" s="3">
        <f>IF(AND(tbl_daily[[#This Row],[Attendance Refined]]=1,tbl_daily[[#This Row],[InjuryStatus]]="Full"),1,IF(AND(tbl_daily[[#This Row],[Attendance Refined]]=1,tbl_daily[[#This Row],[InjuryStatus]]="Limited"),2,IF(AND(tbl_daily[[#This Row],[Attendance Refined]]=1,tbl_daily[[#This Row],[InjuryStatus]]="Out"),3,"")))</f>
        <v>1</v>
      </c>
    </row>
    <row r="18" spans="1:23" ht="15" customHeight="1" x14ac:dyDescent="0.25">
      <c r="A18" s="1">
        <v>43895</v>
      </c>
      <c r="B18" t="s">
        <v>426</v>
      </c>
      <c r="C18">
        <v>1</v>
      </c>
      <c r="E18">
        <v>7</v>
      </c>
      <c r="F18">
        <v>7</v>
      </c>
      <c r="G18">
        <v>7</v>
      </c>
      <c r="H18" t="s">
        <v>15</v>
      </c>
      <c r="I18">
        <v>0</v>
      </c>
      <c r="J18">
        <v>7</v>
      </c>
      <c r="K18">
        <v>40</v>
      </c>
      <c r="L18">
        <v>9</v>
      </c>
      <c r="N18" t="s">
        <v>325</v>
      </c>
      <c r="P18" s="3">
        <f>IFERROR(IF(AND(tbl_daily[[#This Row],[Attendance (1 = Here, 0 = Not here)]]=1,tbl_daily[[#This Row],[Attended, but did not complete data]]&lt;&gt;1),tbl_daily[[#This Row],[Stress]]+tbl_daily[[#This Row],[SleepQuality]]+tbl_daily[[#This Row],[Energy]],""),"")</f>
        <v>21</v>
      </c>
      <c r="Q18" s="3">
        <f>IFERROR(IF(AND(tbl_daily[[#This Row],[Attendance (1 = Here, 0 = Not here)]]=1,tbl_daily[[#This Row],[Attended, but did not complete data]]&lt;&gt;1),tbl_daily[[#This Row],[LatestRPE]]*tbl_daily[[#This Row],[LatestDuration]],""),"")</f>
        <v>280</v>
      </c>
      <c r="R18" s="3">
        <f>IF(tbl_daily[[#This Row],[CodeName]]&lt;&gt;"",1,"")</f>
        <v>1</v>
      </c>
      <c r="S18" s="3" t="str">
        <f>IF(AND(tbl_daily[[#This Row],[Date]]&gt;=DATE(2019,8,1),tbl_daily[[#This Row],[Date]]&lt;=DATE(2020,6,1)),"2019-2020")</f>
        <v>2019-2020</v>
      </c>
      <c r="T18" s="3" t="str">
        <f>IFERROR(INDEX(tbl_prof[Cohort of Interest],MATCH(tbl_daily[[#This Row],[CodeName]],tbl_prof[CodeName],0)),"")</f>
        <v>Special</v>
      </c>
      <c r="U18" s="3">
        <f>IFERROR(AVERAGEIFS(tbl_perf[Grade],tbl_perf[CodeName],tbl_daily[[#This Row],[CodeName]],tbl_perf[Date],tbl_daily[[#This Row],[Date]]),"")</f>
        <v>99</v>
      </c>
      <c r="V18" s="3">
        <f>IFERROR(IF(AND(tbl_daily[[#This Row],[Attendance (1 = Here, 0 = Not here)]]=1,tbl_daily[[#This Row],[Attended, but did not complete data]]&lt;&gt;1),1,IF(AND(tbl_daily[[#This Row],[Attendance (1 = Here, 0 = Not here)]]=1,tbl_daily[[#This Row],[Attended, but did not complete data]]=1),2,3)),"")</f>
        <v>1</v>
      </c>
      <c r="W18" s="3">
        <f>IF(AND(tbl_daily[[#This Row],[Attendance Refined]]=1,tbl_daily[[#This Row],[InjuryStatus]]="Full"),1,IF(AND(tbl_daily[[#This Row],[Attendance Refined]]=1,tbl_daily[[#This Row],[InjuryStatus]]="Limited"),2,IF(AND(tbl_daily[[#This Row],[Attendance Refined]]=1,tbl_daily[[#This Row],[InjuryStatus]]="Out"),3,"")))</f>
        <v>1</v>
      </c>
    </row>
    <row r="19" spans="1:23" ht="15" customHeight="1" x14ac:dyDescent="0.25">
      <c r="A19" s="1">
        <v>43895</v>
      </c>
      <c r="B19" t="s">
        <v>418</v>
      </c>
      <c r="C19">
        <v>1</v>
      </c>
      <c r="E19">
        <v>8</v>
      </c>
      <c r="F19">
        <v>9</v>
      </c>
      <c r="G19">
        <v>10</v>
      </c>
      <c r="H19" t="s">
        <v>15</v>
      </c>
      <c r="I19">
        <v>1</v>
      </c>
      <c r="J19">
        <v>5</v>
      </c>
      <c r="K19">
        <v>60</v>
      </c>
      <c r="L19">
        <v>6</v>
      </c>
      <c r="N19" t="s">
        <v>319</v>
      </c>
      <c r="P19" s="3">
        <f>IFERROR(IF(AND(tbl_daily[[#This Row],[Attendance (1 = Here, 0 = Not here)]]=1,tbl_daily[[#This Row],[Attended, but did not complete data]]&lt;&gt;1),tbl_daily[[#This Row],[Stress]]+tbl_daily[[#This Row],[SleepQuality]]+tbl_daily[[#This Row],[Energy]],""),"")</f>
        <v>27</v>
      </c>
      <c r="Q19" s="3">
        <f>IFERROR(IF(AND(tbl_daily[[#This Row],[Attendance (1 = Here, 0 = Not here)]]=1,tbl_daily[[#This Row],[Attended, but did not complete data]]&lt;&gt;1),tbl_daily[[#This Row],[LatestRPE]]*tbl_daily[[#This Row],[LatestDuration]],""),"")</f>
        <v>300</v>
      </c>
      <c r="R19" s="3">
        <f>IF(tbl_daily[[#This Row],[CodeName]]&lt;&gt;"",1,"")</f>
        <v>1</v>
      </c>
      <c r="S19" s="3" t="str">
        <f>IF(AND(tbl_daily[[#This Row],[Date]]&gt;=DATE(2019,8,1),tbl_daily[[#This Row],[Date]]&lt;=DATE(2020,6,1)),"2019-2020")</f>
        <v>2019-2020</v>
      </c>
      <c r="T19" s="3" t="str">
        <f>IFERROR(INDEX(tbl_prof[Cohort of Interest],MATCH(tbl_daily[[#This Row],[CodeName]],tbl_prof[CodeName],0)),"")</f>
        <v>Special</v>
      </c>
      <c r="U19" s="3">
        <f>IFERROR(AVERAGEIFS(tbl_perf[Grade],tbl_perf[CodeName],tbl_daily[[#This Row],[CodeName]],tbl_perf[Date],tbl_daily[[#This Row],[Date]]),"")</f>
        <v>83</v>
      </c>
      <c r="V19" s="3">
        <f>IFERROR(IF(AND(tbl_daily[[#This Row],[Attendance (1 = Here, 0 = Not here)]]=1,tbl_daily[[#This Row],[Attended, but did not complete data]]&lt;&gt;1),1,IF(AND(tbl_daily[[#This Row],[Attendance (1 = Here, 0 = Not here)]]=1,tbl_daily[[#This Row],[Attended, but did not complete data]]=1),2,3)),"")</f>
        <v>1</v>
      </c>
      <c r="W19" s="3">
        <f>IF(AND(tbl_daily[[#This Row],[Attendance Refined]]=1,tbl_daily[[#This Row],[InjuryStatus]]="Full"),1,IF(AND(tbl_daily[[#This Row],[Attendance Refined]]=1,tbl_daily[[#This Row],[InjuryStatus]]="Limited"),2,IF(AND(tbl_daily[[#This Row],[Attendance Refined]]=1,tbl_daily[[#This Row],[InjuryStatus]]="Out"),3,"")))</f>
        <v>1</v>
      </c>
    </row>
    <row r="20" spans="1:23" ht="15" customHeight="1" x14ac:dyDescent="0.25">
      <c r="A20" s="1">
        <v>43895</v>
      </c>
      <c r="B20" t="s">
        <v>428</v>
      </c>
      <c r="C20">
        <v>1</v>
      </c>
      <c r="E20">
        <v>9</v>
      </c>
      <c r="F20">
        <v>9</v>
      </c>
      <c r="G20">
        <v>8</v>
      </c>
      <c r="H20" t="s">
        <v>15</v>
      </c>
      <c r="I20">
        <v>1</v>
      </c>
      <c r="J20">
        <v>5</v>
      </c>
      <c r="K20">
        <v>60</v>
      </c>
      <c r="L20">
        <v>9</v>
      </c>
      <c r="N20" t="s">
        <v>327</v>
      </c>
      <c r="P20" s="3">
        <f>IFERROR(IF(AND(tbl_daily[[#This Row],[Attendance (1 = Here, 0 = Not here)]]=1,tbl_daily[[#This Row],[Attended, but did not complete data]]&lt;&gt;1),tbl_daily[[#This Row],[Stress]]+tbl_daily[[#This Row],[SleepQuality]]+tbl_daily[[#This Row],[Energy]],""),"")</f>
        <v>26</v>
      </c>
      <c r="Q20" s="3">
        <f>IFERROR(IF(AND(tbl_daily[[#This Row],[Attendance (1 = Here, 0 = Not here)]]=1,tbl_daily[[#This Row],[Attended, but did not complete data]]&lt;&gt;1),tbl_daily[[#This Row],[LatestRPE]]*tbl_daily[[#This Row],[LatestDuration]],""),"")</f>
        <v>300</v>
      </c>
      <c r="R20" s="3">
        <f>IF(tbl_daily[[#This Row],[CodeName]]&lt;&gt;"",1,"")</f>
        <v>1</v>
      </c>
      <c r="S20" s="3" t="str">
        <f>IF(AND(tbl_daily[[#This Row],[Date]]&gt;=DATE(2019,8,1),tbl_daily[[#This Row],[Date]]&lt;=DATE(2020,6,1)),"2019-2020")</f>
        <v>2019-2020</v>
      </c>
      <c r="T20" s="3" t="str">
        <f>IFERROR(INDEX(tbl_prof[Cohort of Interest],MATCH(tbl_daily[[#This Row],[CodeName]],tbl_prof[CodeName],0)),"")</f>
        <v>Special</v>
      </c>
      <c r="U20" s="3">
        <f>IFERROR(AVERAGEIFS(tbl_perf[Grade],tbl_perf[CodeName],tbl_daily[[#This Row],[CodeName]],tbl_perf[Date],tbl_daily[[#This Row],[Date]]),"")</f>
        <v>90</v>
      </c>
      <c r="V20" s="3">
        <f>IFERROR(IF(AND(tbl_daily[[#This Row],[Attendance (1 = Here, 0 = Not here)]]=1,tbl_daily[[#This Row],[Attended, but did not complete data]]&lt;&gt;1),1,IF(AND(tbl_daily[[#This Row],[Attendance (1 = Here, 0 = Not here)]]=1,tbl_daily[[#This Row],[Attended, but did not complete data]]=1),2,3)),"")</f>
        <v>1</v>
      </c>
      <c r="W20" s="3">
        <f>IF(AND(tbl_daily[[#This Row],[Attendance Refined]]=1,tbl_daily[[#This Row],[InjuryStatus]]="Full"),1,IF(AND(tbl_daily[[#This Row],[Attendance Refined]]=1,tbl_daily[[#This Row],[InjuryStatus]]="Limited"),2,IF(AND(tbl_daily[[#This Row],[Attendance Refined]]=1,tbl_daily[[#This Row],[InjuryStatus]]="Out"),3,"")))</f>
        <v>1</v>
      </c>
    </row>
    <row r="21" spans="1:23" ht="15" customHeight="1" x14ac:dyDescent="0.25">
      <c r="A21" s="1">
        <v>43895</v>
      </c>
      <c r="B21" t="s">
        <v>429</v>
      </c>
      <c r="C21">
        <v>1</v>
      </c>
      <c r="E21">
        <v>10</v>
      </c>
      <c r="F21">
        <v>7</v>
      </c>
      <c r="G21">
        <v>8</v>
      </c>
      <c r="H21" t="s">
        <v>15</v>
      </c>
      <c r="I21">
        <v>1</v>
      </c>
      <c r="J21">
        <v>5</v>
      </c>
      <c r="K21">
        <v>60</v>
      </c>
      <c r="L21">
        <v>13</v>
      </c>
      <c r="N21" t="s">
        <v>329</v>
      </c>
      <c r="P21" s="3">
        <f>IFERROR(IF(AND(tbl_daily[[#This Row],[Attendance (1 = Here, 0 = Not here)]]=1,tbl_daily[[#This Row],[Attended, but did not complete data]]&lt;&gt;1),tbl_daily[[#This Row],[Stress]]+tbl_daily[[#This Row],[SleepQuality]]+tbl_daily[[#This Row],[Energy]],""),"")</f>
        <v>25</v>
      </c>
      <c r="Q21" s="3">
        <f>IFERROR(IF(AND(tbl_daily[[#This Row],[Attendance (1 = Here, 0 = Not here)]]=1,tbl_daily[[#This Row],[Attended, but did not complete data]]&lt;&gt;1),tbl_daily[[#This Row],[LatestRPE]]*tbl_daily[[#This Row],[LatestDuration]],""),"")</f>
        <v>300</v>
      </c>
      <c r="R21" s="3">
        <f>IF(tbl_daily[[#This Row],[CodeName]]&lt;&gt;"",1,"")</f>
        <v>1</v>
      </c>
      <c r="S21" s="3" t="str">
        <f>IF(AND(tbl_daily[[#This Row],[Date]]&gt;=DATE(2019,8,1),tbl_daily[[#This Row],[Date]]&lt;=DATE(2020,6,1)),"2019-2020")</f>
        <v>2019-2020</v>
      </c>
      <c r="T21" s="3" t="str">
        <f>IFERROR(INDEX(tbl_prof[Cohort of Interest],MATCH(tbl_daily[[#This Row],[CodeName]],tbl_prof[CodeName],0)),"")</f>
        <v>Gen Pop</v>
      </c>
      <c r="U21" s="3">
        <f>IFERROR(AVERAGEIFS(tbl_perf[Grade],tbl_perf[CodeName],tbl_daily[[#This Row],[CodeName]],tbl_perf[Date],tbl_daily[[#This Row],[Date]]),"")</f>
        <v>75</v>
      </c>
      <c r="V21" s="3">
        <f>IFERROR(IF(AND(tbl_daily[[#This Row],[Attendance (1 = Here, 0 = Not here)]]=1,tbl_daily[[#This Row],[Attended, but did not complete data]]&lt;&gt;1),1,IF(AND(tbl_daily[[#This Row],[Attendance (1 = Here, 0 = Not here)]]=1,tbl_daily[[#This Row],[Attended, but did not complete data]]=1),2,3)),"")</f>
        <v>1</v>
      </c>
      <c r="W21" s="3">
        <f>IF(AND(tbl_daily[[#This Row],[Attendance Refined]]=1,tbl_daily[[#This Row],[InjuryStatus]]="Full"),1,IF(AND(tbl_daily[[#This Row],[Attendance Refined]]=1,tbl_daily[[#This Row],[InjuryStatus]]="Limited"),2,IF(AND(tbl_daily[[#This Row],[Attendance Refined]]=1,tbl_daily[[#This Row],[InjuryStatus]]="Out"),3,"")))</f>
        <v>1</v>
      </c>
    </row>
    <row r="22" spans="1:23" ht="15" customHeight="1" x14ac:dyDescent="0.25">
      <c r="A22" s="1">
        <v>43895</v>
      </c>
      <c r="B22" t="s">
        <v>441</v>
      </c>
      <c r="C22">
        <v>1</v>
      </c>
      <c r="E22">
        <v>5</v>
      </c>
      <c r="F22">
        <v>5</v>
      </c>
      <c r="G22">
        <v>2</v>
      </c>
      <c r="H22" t="s">
        <v>32</v>
      </c>
      <c r="I22">
        <v>1</v>
      </c>
      <c r="J22">
        <v>4</v>
      </c>
      <c r="K22">
        <v>75</v>
      </c>
      <c r="N22" t="s">
        <v>337</v>
      </c>
      <c r="P22" s="3">
        <f>IFERROR(IF(AND(tbl_daily[[#This Row],[Attendance (1 = Here, 0 = Not here)]]=1,tbl_daily[[#This Row],[Attended, but did not complete data]]&lt;&gt;1),tbl_daily[[#This Row],[Stress]]+tbl_daily[[#This Row],[SleepQuality]]+tbl_daily[[#This Row],[Energy]],""),"")</f>
        <v>12</v>
      </c>
      <c r="Q22" s="3">
        <f>IFERROR(IF(AND(tbl_daily[[#This Row],[Attendance (1 = Here, 0 = Not here)]]=1,tbl_daily[[#This Row],[Attended, but did not complete data]]&lt;&gt;1),tbl_daily[[#This Row],[LatestRPE]]*tbl_daily[[#This Row],[LatestDuration]],""),"")</f>
        <v>300</v>
      </c>
      <c r="R22" s="3">
        <f>IF(tbl_daily[[#This Row],[CodeName]]&lt;&gt;"",1,"")</f>
        <v>1</v>
      </c>
      <c r="S22" s="3" t="str">
        <f>IF(AND(tbl_daily[[#This Row],[Date]]&gt;=DATE(2019,8,1),tbl_daily[[#This Row],[Date]]&lt;=DATE(2020,6,1)),"2019-2020")</f>
        <v>2019-2020</v>
      </c>
      <c r="T22" s="3" t="str">
        <f>IFERROR(INDEX(tbl_prof[Cohort of Interest],MATCH(tbl_daily[[#This Row],[CodeName]],tbl_prof[CodeName],0)),"")</f>
        <v>Athletes</v>
      </c>
      <c r="U22" s="3">
        <f>IFERROR(AVERAGEIFS(tbl_perf[Grade],tbl_perf[CodeName],tbl_daily[[#This Row],[CodeName]],tbl_perf[Date],tbl_daily[[#This Row],[Date]]),"")</f>
        <v>99</v>
      </c>
      <c r="V22" s="3">
        <f>IFERROR(IF(AND(tbl_daily[[#This Row],[Attendance (1 = Here, 0 = Not here)]]=1,tbl_daily[[#This Row],[Attended, but did not complete data]]&lt;&gt;1),1,IF(AND(tbl_daily[[#This Row],[Attendance (1 = Here, 0 = Not here)]]=1,tbl_daily[[#This Row],[Attended, but did not complete data]]=1),2,3)),"")</f>
        <v>1</v>
      </c>
      <c r="W22" s="3">
        <f>IF(AND(tbl_daily[[#This Row],[Attendance Refined]]=1,tbl_daily[[#This Row],[InjuryStatus]]="Full"),1,IF(AND(tbl_daily[[#This Row],[Attendance Refined]]=1,tbl_daily[[#This Row],[InjuryStatus]]="Limited"),2,IF(AND(tbl_daily[[#This Row],[Attendance Refined]]=1,tbl_daily[[#This Row],[InjuryStatus]]="Out"),3,"")))</f>
        <v>2</v>
      </c>
    </row>
    <row r="23" spans="1:23" ht="15" customHeight="1" x14ac:dyDescent="0.25">
      <c r="A23" s="1">
        <v>43895</v>
      </c>
      <c r="B23" t="s">
        <v>424</v>
      </c>
      <c r="C23">
        <v>1</v>
      </c>
      <c r="E23">
        <v>7</v>
      </c>
      <c r="F23">
        <v>8</v>
      </c>
      <c r="G23">
        <v>6</v>
      </c>
      <c r="H23" t="s">
        <v>15</v>
      </c>
      <c r="I23">
        <v>1</v>
      </c>
      <c r="J23">
        <v>8</v>
      </c>
      <c r="K23">
        <v>45</v>
      </c>
      <c r="L23">
        <v>14</v>
      </c>
      <c r="N23" t="s">
        <v>323</v>
      </c>
      <c r="P23" s="3">
        <f>IFERROR(IF(AND(tbl_daily[[#This Row],[Attendance (1 = Here, 0 = Not here)]]=1,tbl_daily[[#This Row],[Attended, but did not complete data]]&lt;&gt;1),tbl_daily[[#This Row],[Stress]]+tbl_daily[[#This Row],[SleepQuality]]+tbl_daily[[#This Row],[Energy]],""),"")</f>
        <v>21</v>
      </c>
      <c r="Q23" s="3">
        <f>IFERROR(IF(AND(tbl_daily[[#This Row],[Attendance (1 = Here, 0 = Not here)]]=1,tbl_daily[[#This Row],[Attended, but did not complete data]]&lt;&gt;1),tbl_daily[[#This Row],[LatestRPE]]*tbl_daily[[#This Row],[LatestDuration]],""),"")</f>
        <v>360</v>
      </c>
      <c r="R23" s="3">
        <f>IF(tbl_daily[[#This Row],[CodeName]]&lt;&gt;"",1,"")</f>
        <v>1</v>
      </c>
      <c r="S23" s="3" t="str">
        <f>IF(AND(tbl_daily[[#This Row],[Date]]&gt;=DATE(2019,8,1),tbl_daily[[#This Row],[Date]]&lt;=DATE(2020,6,1)),"2019-2020")</f>
        <v>2019-2020</v>
      </c>
      <c r="T23" s="3" t="str">
        <f>IFERROR(INDEX(tbl_prof[Cohort of Interest],MATCH(tbl_daily[[#This Row],[CodeName]],tbl_prof[CodeName],0)),"")</f>
        <v>Special</v>
      </c>
      <c r="U23" s="3">
        <f>IFERROR(AVERAGEIFS(tbl_perf[Grade],tbl_perf[CodeName],tbl_daily[[#This Row],[CodeName]],tbl_perf[Date],tbl_daily[[#This Row],[Date]]),"")</f>
        <v>94</v>
      </c>
      <c r="V23" s="3">
        <f>IFERROR(IF(AND(tbl_daily[[#This Row],[Attendance (1 = Here, 0 = Not here)]]=1,tbl_daily[[#This Row],[Attended, but did not complete data]]&lt;&gt;1),1,IF(AND(tbl_daily[[#This Row],[Attendance (1 = Here, 0 = Not here)]]=1,tbl_daily[[#This Row],[Attended, but did not complete data]]=1),2,3)),"")</f>
        <v>1</v>
      </c>
      <c r="W23" s="3">
        <f>IF(AND(tbl_daily[[#This Row],[Attendance Refined]]=1,tbl_daily[[#This Row],[InjuryStatus]]="Full"),1,IF(AND(tbl_daily[[#This Row],[Attendance Refined]]=1,tbl_daily[[#This Row],[InjuryStatus]]="Limited"),2,IF(AND(tbl_daily[[#This Row],[Attendance Refined]]=1,tbl_daily[[#This Row],[InjuryStatus]]="Out"),3,"")))</f>
        <v>1</v>
      </c>
    </row>
    <row r="24" spans="1:23" ht="15" customHeight="1" x14ac:dyDescent="0.25">
      <c r="A24" s="1">
        <v>43895</v>
      </c>
      <c r="B24" t="s">
        <v>420</v>
      </c>
      <c r="C24">
        <v>1</v>
      </c>
      <c r="E24">
        <v>3</v>
      </c>
      <c r="F24">
        <v>1</v>
      </c>
      <c r="G24">
        <v>2</v>
      </c>
      <c r="H24" t="s">
        <v>15</v>
      </c>
      <c r="I24">
        <v>1</v>
      </c>
      <c r="J24">
        <v>4</v>
      </c>
      <c r="K24">
        <v>120</v>
      </c>
      <c r="L24">
        <v>7</v>
      </c>
      <c r="N24" t="s">
        <v>320</v>
      </c>
      <c r="P24" s="3">
        <f>IFERROR(IF(AND(tbl_daily[[#This Row],[Attendance (1 = Here, 0 = Not here)]]=1,tbl_daily[[#This Row],[Attended, but did not complete data]]&lt;&gt;1),tbl_daily[[#This Row],[Stress]]+tbl_daily[[#This Row],[SleepQuality]]+tbl_daily[[#This Row],[Energy]],""),"")</f>
        <v>6</v>
      </c>
      <c r="Q24" s="3">
        <f>IFERROR(IF(AND(tbl_daily[[#This Row],[Attendance (1 = Here, 0 = Not here)]]=1,tbl_daily[[#This Row],[Attended, but did not complete data]]&lt;&gt;1),tbl_daily[[#This Row],[LatestRPE]]*tbl_daily[[#This Row],[LatestDuration]],""),"")</f>
        <v>480</v>
      </c>
      <c r="R24" s="3">
        <f>IF(tbl_daily[[#This Row],[CodeName]]&lt;&gt;"",1,"")</f>
        <v>1</v>
      </c>
      <c r="S24" s="3" t="str">
        <f>IF(AND(tbl_daily[[#This Row],[Date]]&gt;=DATE(2019,8,1),tbl_daily[[#This Row],[Date]]&lt;=DATE(2020,6,1)),"2019-2020")</f>
        <v>2019-2020</v>
      </c>
      <c r="T24" s="3" t="str">
        <f>IFERROR(INDEX(tbl_prof[Cohort of Interest],MATCH(tbl_daily[[#This Row],[CodeName]],tbl_prof[CodeName],0)),"")</f>
        <v>Athletes</v>
      </c>
      <c r="U24" s="3">
        <f>IFERROR(AVERAGEIFS(tbl_perf[Grade],tbl_perf[CodeName],tbl_daily[[#This Row],[CodeName]],tbl_perf[Date],tbl_daily[[#This Row],[Date]]),"")</f>
        <v>76</v>
      </c>
      <c r="V24" s="3">
        <f>IFERROR(IF(AND(tbl_daily[[#This Row],[Attendance (1 = Here, 0 = Not here)]]=1,tbl_daily[[#This Row],[Attended, but did not complete data]]&lt;&gt;1),1,IF(AND(tbl_daily[[#This Row],[Attendance (1 = Here, 0 = Not here)]]=1,tbl_daily[[#This Row],[Attended, but did not complete data]]=1),2,3)),"")</f>
        <v>1</v>
      </c>
      <c r="W24" s="3">
        <f>IF(AND(tbl_daily[[#This Row],[Attendance Refined]]=1,tbl_daily[[#This Row],[InjuryStatus]]="Full"),1,IF(AND(tbl_daily[[#This Row],[Attendance Refined]]=1,tbl_daily[[#This Row],[InjuryStatus]]="Limited"),2,IF(AND(tbl_daily[[#This Row],[Attendance Refined]]=1,tbl_daily[[#This Row],[InjuryStatus]]="Out"),3,"")))</f>
        <v>1</v>
      </c>
    </row>
    <row r="25" spans="1:23" ht="15" customHeight="1" x14ac:dyDescent="0.25">
      <c r="A25" s="1">
        <v>43895</v>
      </c>
      <c r="B25" t="s">
        <v>433</v>
      </c>
      <c r="C25">
        <v>1</v>
      </c>
      <c r="E25">
        <v>8</v>
      </c>
      <c r="F25">
        <v>8</v>
      </c>
      <c r="G25">
        <v>8</v>
      </c>
      <c r="H25" t="s">
        <v>32</v>
      </c>
      <c r="I25">
        <v>1</v>
      </c>
      <c r="J25">
        <v>6</v>
      </c>
      <c r="K25">
        <v>90</v>
      </c>
      <c r="L25">
        <v>9</v>
      </c>
      <c r="N25" t="s">
        <v>336</v>
      </c>
      <c r="P25" s="3">
        <f>IFERROR(IF(AND(tbl_daily[[#This Row],[Attendance (1 = Here, 0 = Not here)]]=1,tbl_daily[[#This Row],[Attended, but did not complete data]]&lt;&gt;1),tbl_daily[[#This Row],[Stress]]+tbl_daily[[#This Row],[SleepQuality]]+tbl_daily[[#This Row],[Energy]],""),"")</f>
        <v>24</v>
      </c>
      <c r="Q25" s="3">
        <f>IFERROR(IF(AND(tbl_daily[[#This Row],[Attendance (1 = Here, 0 = Not here)]]=1,tbl_daily[[#This Row],[Attended, but did not complete data]]&lt;&gt;1),tbl_daily[[#This Row],[LatestRPE]]*tbl_daily[[#This Row],[LatestDuration]],""),"")</f>
        <v>540</v>
      </c>
      <c r="R25" s="3">
        <f>IF(tbl_daily[[#This Row],[CodeName]]&lt;&gt;"",1,"")</f>
        <v>1</v>
      </c>
      <c r="S25" s="3" t="str">
        <f>IF(AND(tbl_daily[[#This Row],[Date]]&gt;=DATE(2019,8,1),tbl_daily[[#This Row],[Date]]&lt;=DATE(2020,6,1)),"2019-2020")</f>
        <v>2019-2020</v>
      </c>
      <c r="T25" s="3" t="str">
        <f>IFERROR(INDEX(tbl_prof[Cohort of Interest],MATCH(tbl_daily[[#This Row],[CodeName]],tbl_prof[CodeName],0)),"")</f>
        <v>Athletes</v>
      </c>
      <c r="U25" s="3">
        <f>IFERROR(AVERAGEIFS(tbl_perf[Grade],tbl_perf[CodeName],tbl_daily[[#This Row],[CodeName]],tbl_perf[Date],tbl_daily[[#This Row],[Date]]),"")</f>
        <v>93</v>
      </c>
      <c r="V25" s="3">
        <f>IFERROR(IF(AND(tbl_daily[[#This Row],[Attendance (1 = Here, 0 = Not here)]]=1,tbl_daily[[#This Row],[Attended, but did not complete data]]&lt;&gt;1),1,IF(AND(tbl_daily[[#This Row],[Attendance (1 = Here, 0 = Not here)]]=1,tbl_daily[[#This Row],[Attended, but did not complete data]]=1),2,3)),"")</f>
        <v>1</v>
      </c>
      <c r="W25" s="3">
        <f>IF(AND(tbl_daily[[#This Row],[Attendance Refined]]=1,tbl_daily[[#This Row],[InjuryStatus]]="Full"),1,IF(AND(tbl_daily[[#This Row],[Attendance Refined]]=1,tbl_daily[[#This Row],[InjuryStatus]]="Limited"),2,IF(AND(tbl_daily[[#This Row],[Attendance Refined]]=1,tbl_daily[[#This Row],[InjuryStatus]]="Out"),3,"")))</f>
        <v>2</v>
      </c>
    </row>
    <row r="26" spans="1:23" ht="15" customHeight="1" x14ac:dyDescent="0.25">
      <c r="A26" s="1">
        <v>43895</v>
      </c>
      <c r="B26" t="s">
        <v>432</v>
      </c>
      <c r="C26">
        <v>1</v>
      </c>
      <c r="E26">
        <v>9</v>
      </c>
      <c r="F26">
        <v>6</v>
      </c>
      <c r="G26">
        <v>7</v>
      </c>
      <c r="H26" t="s">
        <v>32</v>
      </c>
      <c r="I26">
        <v>1</v>
      </c>
      <c r="J26">
        <v>6</v>
      </c>
      <c r="K26">
        <v>100</v>
      </c>
      <c r="L26">
        <v>11</v>
      </c>
      <c r="N26" t="s">
        <v>334</v>
      </c>
      <c r="P26" s="3">
        <f>IFERROR(IF(AND(tbl_daily[[#This Row],[Attendance (1 = Here, 0 = Not here)]]=1,tbl_daily[[#This Row],[Attended, but did not complete data]]&lt;&gt;1),tbl_daily[[#This Row],[Stress]]+tbl_daily[[#This Row],[SleepQuality]]+tbl_daily[[#This Row],[Energy]],""),"")</f>
        <v>22</v>
      </c>
      <c r="Q26" s="3">
        <f>IFERROR(IF(AND(tbl_daily[[#This Row],[Attendance (1 = Here, 0 = Not here)]]=1,tbl_daily[[#This Row],[Attended, but did not complete data]]&lt;&gt;1),tbl_daily[[#This Row],[LatestRPE]]*tbl_daily[[#This Row],[LatestDuration]],""),"")</f>
        <v>600</v>
      </c>
      <c r="R26" s="3">
        <f>IF(tbl_daily[[#This Row],[CodeName]]&lt;&gt;"",1,"")</f>
        <v>1</v>
      </c>
      <c r="S26" s="3" t="str">
        <f>IF(AND(tbl_daily[[#This Row],[Date]]&gt;=DATE(2019,8,1),tbl_daily[[#This Row],[Date]]&lt;=DATE(2020,6,1)),"2019-2020")</f>
        <v>2019-2020</v>
      </c>
      <c r="T26" s="3" t="str">
        <f>IFERROR(INDEX(tbl_prof[Cohort of Interest],MATCH(tbl_daily[[#This Row],[CodeName]],tbl_prof[CodeName],0)),"")</f>
        <v>Athletes</v>
      </c>
      <c r="U26" s="3">
        <f>IFERROR(AVERAGEIFS(tbl_perf[Grade],tbl_perf[CodeName],tbl_daily[[#This Row],[CodeName]],tbl_perf[Date],tbl_daily[[#This Row],[Date]]),"")</f>
        <v>83</v>
      </c>
      <c r="V26" s="3">
        <f>IFERROR(IF(AND(tbl_daily[[#This Row],[Attendance (1 = Here, 0 = Not here)]]=1,tbl_daily[[#This Row],[Attended, but did not complete data]]&lt;&gt;1),1,IF(AND(tbl_daily[[#This Row],[Attendance (1 = Here, 0 = Not here)]]=1,tbl_daily[[#This Row],[Attended, but did not complete data]]=1),2,3)),"")</f>
        <v>1</v>
      </c>
      <c r="W26" s="3">
        <f>IF(AND(tbl_daily[[#This Row],[Attendance Refined]]=1,tbl_daily[[#This Row],[InjuryStatus]]="Full"),1,IF(AND(tbl_daily[[#This Row],[Attendance Refined]]=1,tbl_daily[[#This Row],[InjuryStatus]]="Limited"),2,IF(AND(tbl_daily[[#This Row],[Attendance Refined]]=1,tbl_daily[[#This Row],[InjuryStatus]]="Out"),3,"")))</f>
        <v>2</v>
      </c>
    </row>
    <row r="27" spans="1:23" ht="15" customHeight="1" x14ac:dyDescent="0.25">
      <c r="A27" s="1">
        <v>43895</v>
      </c>
      <c r="B27" t="s">
        <v>427</v>
      </c>
      <c r="C27">
        <v>1</v>
      </c>
      <c r="E27">
        <v>7</v>
      </c>
      <c r="F27">
        <v>8</v>
      </c>
      <c r="G27">
        <v>8</v>
      </c>
      <c r="H27" t="s">
        <v>15</v>
      </c>
      <c r="I27">
        <v>1</v>
      </c>
      <c r="J27">
        <v>7</v>
      </c>
      <c r="K27">
        <v>90</v>
      </c>
      <c r="L27">
        <v>11</v>
      </c>
      <c r="N27" t="s">
        <v>326</v>
      </c>
      <c r="P27" s="3">
        <f>IFERROR(IF(AND(tbl_daily[[#This Row],[Attendance (1 = Here, 0 = Not here)]]=1,tbl_daily[[#This Row],[Attended, but did not complete data]]&lt;&gt;1),tbl_daily[[#This Row],[Stress]]+tbl_daily[[#This Row],[SleepQuality]]+tbl_daily[[#This Row],[Energy]],""),"")</f>
        <v>23</v>
      </c>
      <c r="Q27" s="3">
        <f>IFERROR(IF(AND(tbl_daily[[#This Row],[Attendance (1 = Here, 0 = Not here)]]=1,tbl_daily[[#This Row],[Attended, but did not complete data]]&lt;&gt;1),tbl_daily[[#This Row],[LatestRPE]]*tbl_daily[[#This Row],[LatestDuration]],""),"")</f>
        <v>630</v>
      </c>
      <c r="R27" s="3">
        <f>IF(tbl_daily[[#This Row],[CodeName]]&lt;&gt;"",1,"")</f>
        <v>1</v>
      </c>
      <c r="S27" s="3" t="str">
        <f>IF(AND(tbl_daily[[#This Row],[Date]]&gt;=DATE(2019,8,1),tbl_daily[[#This Row],[Date]]&lt;=DATE(2020,6,1)),"2019-2020")</f>
        <v>2019-2020</v>
      </c>
      <c r="T27" s="3" t="str">
        <f>IFERROR(INDEX(tbl_prof[Cohort of Interest],MATCH(tbl_daily[[#This Row],[CodeName]],tbl_prof[CodeName],0)),"")</f>
        <v>Special</v>
      </c>
      <c r="U27" s="3">
        <f>IFERROR(AVERAGEIFS(tbl_perf[Grade],tbl_perf[CodeName],tbl_daily[[#This Row],[CodeName]],tbl_perf[Date],tbl_daily[[#This Row],[Date]]),"")</f>
        <v>79</v>
      </c>
      <c r="V27" s="3">
        <f>IFERROR(IF(AND(tbl_daily[[#This Row],[Attendance (1 = Here, 0 = Not here)]]=1,tbl_daily[[#This Row],[Attended, but did not complete data]]&lt;&gt;1),1,IF(AND(tbl_daily[[#This Row],[Attendance (1 = Here, 0 = Not here)]]=1,tbl_daily[[#This Row],[Attended, but did not complete data]]=1),2,3)),"")</f>
        <v>1</v>
      </c>
      <c r="W27" s="3">
        <f>IF(AND(tbl_daily[[#This Row],[Attendance Refined]]=1,tbl_daily[[#This Row],[InjuryStatus]]="Full"),1,IF(AND(tbl_daily[[#This Row],[Attendance Refined]]=1,tbl_daily[[#This Row],[InjuryStatus]]="Limited"),2,IF(AND(tbl_daily[[#This Row],[Attendance Refined]]=1,tbl_daily[[#This Row],[InjuryStatus]]="Out"),3,"")))</f>
        <v>1</v>
      </c>
    </row>
    <row r="28" spans="1:23" ht="15" customHeight="1" x14ac:dyDescent="0.25">
      <c r="A28" s="1">
        <v>43895</v>
      </c>
      <c r="B28" t="s">
        <v>410</v>
      </c>
      <c r="C28">
        <v>1</v>
      </c>
      <c r="E28">
        <v>7</v>
      </c>
      <c r="F28">
        <v>6</v>
      </c>
      <c r="G28">
        <v>7</v>
      </c>
      <c r="H28" t="s">
        <v>15</v>
      </c>
      <c r="I28">
        <v>1</v>
      </c>
      <c r="J28">
        <v>8</v>
      </c>
      <c r="K28">
        <v>85</v>
      </c>
      <c r="L28">
        <v>16</v>
      </c>
      <c r="N28" t="s">
        <v>328</v>
      </c>
      <c r="P28" s="3">
        <f>IFERROR(IF(AND(tbl_daily[[#This Row],[Attendance (1 = Here, 0 = Not here)]]=1,tbl_daily[[#This Row],[Attended, but did not complete data]]&lt;&gt;1),tbl_daily[[#This Row],[Stress]]+tbl_daily[[#This Row],[SleepQuality]]+tbl_daily[[#This Row],[Energy]],""),"")</f>
        <v>20</v>
      </c>
      <c r="Q28" s="3">
        <f>IFERROR(IF(AND(tbl_daily[[#This Row],[Attendance (1 = Here, 0 = Not here)]]=1,tbl_daily[[#This Row],[Attended, but did not complete data]]&lt;&gt;1),tbl_daily[[#This Row],[LatestRPE]]*tbl_daily[[#This Row],[LatestDuration]],""),"")</f>
        <v>680</v>
      </c>
      <c r="R28" s="3">
        <f>IF(tbl_daily[[#This Row],[CodeName]]&lt;&gt;"",1,"")</f>
        <v>1</v>
      </c>
      <c r="S28" s="3" t="str">
        <f>IF(AND(tbl_daily[[#This Row],[Date]]&gt;=DATE(2019,8,1),tbl_daily[[#This Row],[Date]]&lt;=DATE(2020,6,1)),"2019-2020")</f>
        <v>2019-2020</v>
      </c>
      <c r="T28" s="3" t="str">
        <f>IFERROR(INDEX(tbl_prof[Cohort of Interest],MATCH(tbl_daily[[#This Row],[CodeName]],tbl_prof[CodeName],0)),"")</f>
        <v>Gen Pop</v>
      </c>
      <c r="U28" s="3">
        <f>IFERROR(AVERAGEIFS(tbl_perf[Grade],tbl_perf[CodeName],tbl_daily[[#This Row],[CodeName]],tbl_perf[Date],tbl_daily[[#This Row],[Date]]),"")</f>
        <v>95</v>
      </c>
      <c r="V28" s="3">
        <f>IFERROR(IF(AND(tbl_daily[[#This Row],[Attendance (1 = Here, 0 = Not here)]]=1,tbl_daily[[#This Row],[Attended, but did not complete data]]&lt;&gt;1),1,IF(AND(tbl_daily[[#This Row],[Attendance (1 = Here, 0 = Not here)]]=1,tbl_daily[[#This Row],[Attended, but did not complete data]]=1),2,3)),"")</f>
        <v>1</v>
      </c>
      <c r="W28" s="3">
        <f>IF(AND(tbl_daily[[#This Row],[Attendance Refined]]=1,tbl_daily[[#This Row],[InjuryStatus]]="Full"),1,IF(AND(tbl_daily[[#This Row],[Attendance Refined]]=1,tbl_daily[[#This Row],[InjuryStatus]]="Limited"),2,IF(AND(tbl_daily[[#This Row],[Attendance Refined]]=1,tbl_daily[[#This Row],[InjuryStatus]]="Out"),3,"")))</f>
        <v>1</v>
      </c>
    </row>
    <row r="29" spans="1:23" ht="15" customHeight="1" x14ac:dyDescent="0.25">
      <c r="A29" s="1">
        <v>43895</v>
      </c>
      <c r="B29" t="s">
        <v>416</v>
      </c>
      <c r="C29">
        <v>1</v>
      </c>
      <c r="E29">
        <v>7</v>
      </c>
      <c r="F29">
        <v>4</v>
      </c>
      <c r="G29">
        <v>6</v>
      </c>
      <c r="H29" t="s">
        <v>15</v>
      </c>
      <c r="I29">
        <v>1</v>
      </c>
      <c r="J29">
        <v>8</v>
      </c>
      <c r="K29">
        <v>120</v>
      </c>
      <c r="L29">
        <v>12</v>
      </c>
      <c r="N29" t="s">
        <v>317</v>
      </c>
      <c r="P29" s="3">
        <f>IFERROR(IF(AND(tbl_daily[[#This Row],[Attendance (1 = Here, 0 = Not here)]]=1,tbl_daily[[#This Row],[Attended, but did not complete data]]&lt;&gt;1),tbl_daily[[#This Row],[Stress]]+tbl_daily[[#This Row],[SleepQuality]]+tbl_daily[[#This Row],[Energy]],""),"")</f>
        <v>17</v>
      </c>
      <c r="Q29" s="3">
        <f>IFERROR(IF(AND(tbl_daily[[#This Row],[Attendance (1 = Here, 0 = Not here)]]=1,tbl_daily[[#This Row],[Attended, but did not complete data]]&lt;&gt;1),tbl_daily[[#This Row],[LatestRPE]]*tbl_daily[[#This Row],[LatestDuration]],""),"")</f>
        <v>960</v>
      </c>
      <c r="R29" s="3">
        <f>IF(tbl_daily[[#This Row],[CodeName]]&lt;&gt;"",1,"")</f>
        <v>1</v>
      </c>
      <c r="S29" s="3" t="str">
        <f>IF(AND(tbl_daily[[#This Row],[Date]]&gt;=DATE(2019,8,1),tbl_daily[[#This Row],[Date]]&lt;=DATE(2020,6,1)),"2019-2020")</f>
        <v>2019-2020</v>
      </c>
      <c r="T29" s="3" t="str">
        <f>IFERROR(INDEX(tbl_prof[Cohort of Interest],MATCH(tbl_daily[[#This Row],[CodeName]],tbl_prof[CodeName],0)),"")</f>
        <v>Special</v>
      </c>
      <c r="U29" s="3">
        <f>IFERROR(AVERAGEIFS(tbl_perf[Grade],tbl_perf[CodeName],tbl_daily[[#This Row],[CodeName]],tbl_perf[Date],tbl_daily[[#This Row],[Date]]),"")</f>
        <v>98</v>
      </c>
      <c r="V29" s="3">
        <f>IFERROR(IF(AND(tbl_daily[[#This Row],[Attendance (1 = Here, 0 = Not here)]]=1,tbl_daily[[#This Row],[Attended, but did not complete data]]&lt;&gt;1),1,IF(AND(tbl_daily[[#This Row],[Attendance (1 = Here, 0 = Not here)]]=1,tbl_daily[[#This Row],[Attended, but did not complete data]]=1),2,3)),"")</f>
        <v>1</v>
      </c>
      <c r="W29" s="3">
        <f>IF(AND(tbl_daily[[#This Row],[Attendance Refined]]=1,tbl_daily[[#This Row],[InjuryStatus]]="Full"),1,IF(AND(tbl_daily[[#This Row],[Attendance Refined]]=1,tbl_daily[[#This Row],[InjuryStatus]]="Limited"),2,IF(AND(tbl_daily[[#This Row],[Attendance Refined]]=1,tbl_daily[[#This Row],[InjuryStatus]]="Out"),3,"")))</f>
        <v>1</v>
      </c>
    </row>
    <row r="30" spans="1:23" ht="15" customHeight="1" x14ac:dyDescent="0.25">
      <c r="A30" s="1">
        <v>43895</v>
      </c>
      <c r="B30" t="s">
        <v>434</v>
      </c>
      <c r="C30">
        <v>1</v>
      </c>
      <c r="E30">
        <v>5</v>
      </c>
      <c r="F30">
        <v>4</v>
      </c>
      <c r="G30">
        <v>5</v>
      </c>
      <c r="H30" t="s">
        <v>15</v>
      </c>
      <c r="I30">
        <v>1</v>
      </c>
      <c r="J30">
        <v>10</v>
      </c>
      <c r="K30">
        <v>120</v>
      </c>
      <c r="L30">
        <v>9</v>
      </c>
      <c r="N30" t="s">
        <v>330</v>
      </c>
      <c r="P30" s="3">
        <f>IFERROR(IF(AND(tbl_daily[[#This Row],[Attendance (1 = Here, 0 = Not here)]]=1,tbl_daily[[#This Row],[Attended, but did not complete data]]&lt;&gt;1),tbl_daily[[#This Row],[Stress]]+tbl_daily[[#This Row],[SleepQuality]]+tbl_daily[[#This Row],[Energy]],""),"")</f>
        <v>14</v>
      </c>
      <c r="Q30" s="3">
        <f>IFERROR(IF(AND(tbl_daily[[#This Row],[Attendance (1 = Here, 0 = Not here)]]=1,tbl_daily[[#This Row],[Attended, but did not complete data]]&lt;&gt;1),tbl_daily[[#This Row],[LatestRPE]]*tbl_daily[[#This Row],[LatestDuration]],""),"")</f>
        <v>1200</v>
      </c>
      <c r="R30" s="3">
        <f>IF(tbl_daily[[#This Row],[CodeName]]&lt;&gt;"",1,"")</f>
        <v>1</v>
      </c>
      <c r="S30" s="3" t="str">
        <f>IF(AND(tbl_daily[[#This Row],[Date]]&gt;=DATE(2019,8,1),tbl_daily[[#This Row],[Date]]&lt;=DATE(2020,6,1)),"2019-2020")</f>
        <v>2019-2020</v>
      </c>
      <c r="T30" s="3" t="str">
        <f>IFERROR(INDEX(tbl_prof[Cohort of Interest],MATCH(tbl_daily[[#This Row],[CodeName]],tbl_prof[CodeName],0)),"")</f>
        <v>Athletes</v>
      </c>
      <c r="U30" s="3">
        <f>IFERROR(AVERAGEIFS(tbl_perf[Grade],tbl_perf[CodeName],tbl_daily[[#This Row],[CodeName]],tbl_perf[Date],tbl_daily[[#This Row],[Date]]),"")</f>
        <v>90</v>
      </c>
      <c r="V30" s="3">
        <f>IFERROR(IF(AND(tbl_daily[[#This Row],[Attendance (1 = Here, 0 = Not here)]]=1,tbl_daily[[#This Row],[Attended, but did not complete data]]&lt;&gt;1),1,IF(AND(tbl_daily[[#This Row],[Attendance (1 = Here, 0 = Not here)]]=1,tbl_daily[[#This Row],[Attended, but did not complete data]]=1),2,3)),"")</f>
        <v>1</v>
      </c>
      <c r="W30" s="3">
        <f>IF(AND(tbl_daily[[#This Row],[Attendance Refined]]=1,tbl_daily[[#This Row],[InjuryStatus]]="Full"),1,IF(AND(tbl_daily[[#This Row],[Attendance Refined]]=1,tbl_daily[[#This Row],[InjuryStatus]]="Limited"),2,IF(AND(tbl_daily[[#This Row],[Attendance Refined]]=1,tbl_daily[[#This Row],[InjuryStatus]]="Out"),3,"")))</f>
        <v>1</v>
      </c>
    </row>
    <row r="31" spans="1:23" ht="15" customHeight="1" x14ac:dyDescent="0.25">
      <c r="A31" s="1">
        <v>43895</v>
      </c>
      <c r="B31" t="s">
        <v>435</v>
      </c>
      <c r="C31">
        <v>1</v>
      </c>
      <c r="E31">
        <v>7</v>
      </c>
      <c r="F31">
        <v>7</v>
      </c>
      <c r="G31">
        <v>7</v>
      </c>
      <c r="H31" t="s">
        <v>15</v>
      </c>
      <c r="I31">
        <v>1</v>
      </c>
      <c r="J31">
        <v>10</v>
      </c>
      <c r="K31">
        <v>120</v>
      </c>
      <c r="L31">
        <v>16</v>
      </c>
      <c r="N31" t="s">
        <v>331</v>
      </c>
      <c r="P31" s="3">
        <f>IFERROR(IF(AND(tbl_daily[[#This Row],[Attendance (1 = Here, 0 = Not here)]]=1,tbl_daily[[#This Row],[Attended, but did not complete data]]&lt;&gt;1),tbl_daily[[#This Row],[Stress]]+tbl_daily[[#This Row],[SleepQuality]]+tbl_daily[[#This Row],[Energy]],""),"")</f>
        <v>21</v>
      </c>
      <c r="Q31" s="3">
        <f>IFERROR(IF(AND(tbl_daily[[#This Row],[Attendance (1 = Here, 0 = Not here)]]=1,tbl_daily[[#This Row],[Attended, but did not complete data]]&lt;&gt;1),tbl_daily[[#This Row],[LatestRPE]]*tbl_daily[[#This Row],[LatestDuration]],""),"")</f>
        <v>1200</v>
      </c>
      <c r="R31" s="3">
        <f>IF(tbl_daily[[#This Row],[CodeName]]&lt;&gt;"",1,"")</f>
        <v>1</v>
      </c>
      <c r="S31" s="3" t="str">
        <f>IF(AND(tbl_daily[[#This Row],[Date]]&gt;=DATE(2019,8,1),tbl_daily[[#This Row],[Date]]&lt;=DATE(2020,6,1)),"2019-2020")</f>
        <v>2019-2020</v>
      </c>
      <c r="T31" s="3" t="str">
        <f>IFERROR(INDEX(tbl_prof[Cohort of Interest],MATCH(tbl_daily[[#This Row],[CodeName]],tbl_prof[CodeName],0)),"")</f>
        <v>Athletes</v>
      </c>
      <c r="U31" s="3">
        <f>IFERROR(AVERAGEIFS(tbl_perf[Grade],tbl_perf[CodeName],tbl_daily[[#This Row],[CodeName]],tbl_perf[Date],tbl_daily[[#This Row],[Date]]),"")</f>
        <v>95</v>
      </c>
      <c r="V31" s="3">
        <f>IFERROR(IF(AND(tbl_daily[[#This Row],[Attendance (1 = Here, 0 = Not here)]]=1,tbl_daily[[#This Row],[Attended, but did not complete data]]&lt;&gt;1),1,IF(AND(tbl_daily[[#This Row],[Attendance (1 = Here, 0 = Not here)]]=1,tbl_daily[[#This Row],[Attended, but did not complete data]]=1),2,3)),"")</f>
        <v>1</v>
      </c>
      <c r="W31" s="3">
        <f>IF(AND(tbl_daily[[#This Row],[Attendance Refined]]=1,tbl_daily[[#This Row],[InjuryStatus]]="Full"),1,IF(AND(tbl_daily[[#This Row],[Attendance Refined]]=1,tbl_daily[[#This Row],[InjuryStatus]]="Limited"),2,IF(AND(tbl_daily[[#This Row],[Attendance Refined]]=1,tbl_daily[[#This Row],[InjuryStatus]]="Out"),3,"")))</f>
        <v>1</v>
      </c>
    </row>
    <row r="32" spans="1:23" ht="15" customHeight="1" x14ac:dyDescent="0.25">
      <c r="A32" s="1">
        <v>43895</v>
      </c>
      <c r="B32" t="s">
        <v>414</v>
      </c>
      <c r="C32">
        <v>0</v>
      </c>
      <c r="D32">
        <v>1</v>
      </c>
      <c r="P32" s="3" t="str">
        <f>IFERROR(IF(AND(tbl_daily[[#This Row],[Attendance (1 = Here, 0 = Not here)]]=1,tbl_daily[[#This Row],[Attended, but did not complete data]]&lt;&gt;1),tbl_daily[[#This Row],[Stress]]+tbl_daily[[#This Row],[SleepQuality]]+tbl_daily[[#This Row],[Energy]],""),"")</f>
        <v/>
      </c>
      <c r="Q32" s="3" t="str">
        <f>IFERROR(IF(AND(tbl_daily[[#This Row],[Attendance (1 = Here, 0 = Not here)]]=1,tbl_daily[[#This Row],[Attended, but did not complete data]]&lt;&gt;1),tbl_daily[[#This Row],[LatestRPE]]*tbl_daily[[#This Row],[LatestDuration]],""),"")</f>
        <v/>
      </c>
      <c r="R32" s="3">
        <f>IF(tbl_daily[[#This Row],[CodeName]]&lt;&gt;"",1,"")</f>
        <v>1</v>
      </c>
      <c r="S32" s="3" t="str">
        <f>IF(AND(tbl_daily[[#This Row],[Date]]&gt;=DATE(2019,8,1),tbl_daily[[#This Row],[Date]]&lt;=DATE(2020,6,1)),"2019-2020")</f>
        <v>2019-2020</v>
      </c>
      <c r="T32" s="3" t="str">
        <f>IFERROR(INDEX(tbl_prof[Cohort of Interest],MATCH(tbl_daily[[#This Row],[CodeName]],tbl_prof[CodeName],0)),"")</f>
        <v>Gen Pop</v>
      </c>
      <c r="U32" s="3">
        <f>IFERROR(AVERAGEIFS(tbl_perf[Grade],tbl_perf[CodeName],tbl_daily[[#This Row],[CodeName]],tbl_perf[Date],tbl_daily[[#This Row],[Date]]),"")</f>
        <v>90</v>
      </c>
      <c r="V32" s="3">
        <f>IFERROR(IF(AND(tbl_daily[[#This Row],[Attendance (1 = Here, 0 = Not here)]]=1,tbl_daily[[#This Row],[Attended, but did not complete data]]&lt;&gt;1),1,IF(AND(tbl_daily[[#This Row],[Attendance (1 = Here, 0 = Not here)]]=1,tbl_daily[[#This Row],[Attended, but did not complete data]]=1),2,3)),"")</f>
        <v>3</v>
      </c>
      <c r="W32" s="3" t="str">
        <f>IF(AND(tbl_daily[[#This Row],[Attendance Refined]]=1,tbl_daily[[#This Row],[InjuryStatus]]="Full"),1,IF(AND(tbl_daily[[#This Row],[Attendance Refined]]=1,tbl_daily[[#This Row],[InjuryStatus]]="Limited"),2,IF(AND(tbl_daily[[#This Row],[Attendance Refined]]=1,tbl_daily[[#This Row],[InjuryStatus]]="Out"),3,"")))</f>
        <v/>
      </c>
    </row>
    <row r="33" spans="1:23" ht="15" customHeight="1" x14ac:dyDescent="0.25">
      <c r="A33" s="1">
        <v>43895</v>
      </c>
      <c r="B33" t="s">
        <v>419</v>
      </c>
      <c r="C33">
        <v>0</v>
      </c>
      <c r="D33">
        <v>1</v>
      </c>
      <c r="P33" s="3" t="str">
        <f>IFERROR(IF(AND(tbl_daily[[#This Row],[Attendance (1 = Here, 0 = Not here)]]=1,tbl_daily[[#This Row],[Attended, but did not complete data]]&lt;&gt;1),tbl_daily[[#This Row],[Stress]]+tbl_daily[[#This Row],[SleepQuality]]+tbl_daily[[#This Row],[Energy]],""),"")</f>
        <v/>
      </c>
      <c r="Q33" s="3" t="str">
        <f>IFERROR(IF(AND(tbl_daily[[#This Row],[Attendance (1 = Here, 0 = Not here)]]=1,tbl_daily[[#This Row],[Attended, but did not complete data]]&lt;&gt;1),tbl_daily[[#This Row],[LatestRPE]]*tbl_daily[[#This Row],[LatestDuration]],""),"")</f>
        <v/>
      </c>
      <c r="R33" s="3">
        <f>IF(tbl_daily[[#This Row],[CodeName]]&lt;&gt;"",1,"")</f>
        <v>1</v>
      </c>
      <c r="S33" s="3" t="str">
        <f>IF(AND(tbl_daily[[#This Row],[Date]]&gt;=DATE(2019,8,1),tbl_daily[[#This Row],[Date]]&lt;=DATE(2020,6,1)),"2019-2020")</f>
        <v>2019-2020</v>
      </c>
      <c r="T33" s="3" t="str">
        <f>IFERROR(INDEX(tbl_prof[Cohort of Interest],MATCH(tbl_daily[[#This Row],[CodeName]],tbl_prof[CodeName],0)),"")</f>
        <v>Youth</v>
      </c>
      <c r="U33" s="3">
        <f>IFERROR(AVERAGEIFS(tbl_perf[Grade],tbl_perf[CodeName],tbl_daily[[#This Row],[CodeName]],tbl_perf[Date],tbl_daily[[#This Row],[Date]]),"")</f>
        <v>81</v>
      </c>
      <c r="V33" s="3">
        <f>IFERROR(IF(AND(tbl_daily[[#This Row],[Attendance (1 = Here, 0 = Not here)]]=1,tbl_daily[[#This Row],[Attended, but did not complete data]]&lt;&gt;1),1,IF(AND(tbl_daily[[#This Row],[Attendance (1 = Here, 0 = Not here)]]=1,tbl_daily[[#This Row],[Attended, but did not complete data]]=1),2,3)),"")</f>
        <v>3</v>
      </c>
      <c r="W33" s="3" t="str">
        <f>IF(AND(tbl_daily[[#This Row],[Attendance Refined]]=1,tbl_daily[[#This Row],[InjuryStatus]]="Full"),1,IF(AND(tbl_daily[[#This Row],[Attendance Refined]]=1,tbl_daily[[#This Row],[InjuryStatus]]="Limited"),2,IF(AND(tbl_daily[[#This Row],[Attendance Refined]]=1,tbl_daily[[#This Row],[InjuryStatus]]="Out"),3,"")))</f>
        <v/>
      </c>
    </row>
    <row r="34" spans="1:23" ht="15" customHeight="1" x14ac:dyDescent="0.25">
      <c r="A34" s="1">
        <v>43895</v>
      </c>
      <c r="B34" t="s">
        <v>430</v>
      </c>
      <c r="C34">
        <v>0</v>
      </c>
      <c r="D34">
        <v>1</v>
      </c>
      <c r="P34" s="3" t="str">
        <f>IFERROR(IF(AND(tbl_daily[[#This Row],[Attendance (1 = Here, 0 = Not here)]]=1,tbl_daily[[#This Row],[Attended, but did not complete data]]&lt;&gt;1),tbl_daily[[#This Row],[Stress]]+tbl_daily[[#This Row],[SleepQuality]]+tbl_daily[[#This Row],[Energy]],""),"")</f>
        <v/>
      </c>
      <c r="Q34" s="3" t="str">
        <f>IFERROR(IF(AND(tbl_daily[[#This Row],[Attendance (1 = Here, 0 = Not here)]]=1,tbl_daily[[#This Row],[Attended, but did not complete data]]&lt;&gt;1),tbl_daily[[#This Row],[LatestRPE]]*tbl_daily[[#This Row],[LatestDuration]],""),"")</f>
        <v/>
      </c>
      <c r="R34" s="3">
        <f>IF(tbl_daily[[#This Row],[CodeName]]&lt;&gt;"",1,"")</f>
        <v>1</v>
      </c>
      <c r="S34" s="3" t="str">
        <f>IF(AND(tbl_daily[[#This Row],[Date]]&gt;=DATE(2019,8,1),tbl_daily[[#This Row],[Date]]&lt;=DATE(2020,6,1)),"2019-2020")</f>
        <v>2019-2020</v>
      </c>
      <c r="T34" s="3" t="str">
        <f>IFERROR(INDEX(tbl_prof[Cohort of Interest],MATCH(tbl_daily[[#This Row],[CodeName]],tbl_prof[CodeName],0)),"")</f>
        <v>Gen Pop</v>
      </c>
      <c r="U34" s="3">
        <f>IFERROR(AVERAGEIFS(tbl_perf[Grade],tbl_perf[CodeName],tbl_daily[[#This Row],[CodeName]],tbl_perf[Date],tbl_daily[[#This Row],[Date]]),"")</f>
        <v>81</v>
      </c>
      <c r="V34" s="3">
        <f>IFERROR(IF(AND(tbl_daily[[#This Row],[Attendance (1 = Here, 0 = Not here)]]=1,tbl_daily[[#This Row],[Attended, but did not complete data]]&lt;&gt;1),1,IF(AND(tbl_daily[[#This Row],[Attendance (1 = Here, 0 = Not here)]]=1,tbl_daily[[#This Row],[Attended, but did not complete data]]=1),2,3)),"")</f>
        <v>3</v>
      </c>
      <c r="W34" s="3" t="str">
        <f>IF(AND(tbl_daily[[#This Row],[Attendance Refined]]=1,tbl_daily[[#This Row],[InjuryStatus]]="Full"),1,IF(AND(tbl_daily[[#This Row],[Attendance Refined]]=1,tbl_daily[[#This Row],[InjuryStatus]]="Limited"),2,IF(AND(tbl_daily[[#This Row],[Attendance Refined]]=1,tbl_daily[[#This Row],[InjuryStatus]]="Out"),3,"")))</f>
        <v/>
      </c>
    </row>
    <row r="35" spans="1:23" ht="15" customHeight="1" x14ac:dyDescent="0.25">
      <c r="A35" s="1">
        <v>43895</v>
      </c>
      <c r="B35" t="s">
        <v>436</v>
      </c>
      <c r="C35">
        <v>1</v>
      </c>
      <c r="O35">
        <v>1</v>
      </c>
      <c r="P35" s="3" t="str">
        <f>IFERROR(IF(AND(tbl_daily[[#This Row],[Attendance (1 = Here, 0 = Not here)]]=1,tbl_daily[[#This Row],[Attended, but did not complete data]]&lt;&gt;1),tbl_daily[[#This Row],[Stress]]+tbl_daily[[#This Row],[SleepQuality]]+tbl_daily[[#This Row],[Energy]],""),"")</f>
        <v/>
      </c>
      <c r="Q35" s="3" t="str">
        <f>IFERROR(IF(AND(tbl_daily[[#This Row],[Attendance (1 = Here, 0 = Not here)]]=1,tbl_daily[[#This Row],[Attended, but did not complete data]]&lt;&gt;1),tbl_daily[[#This Row],[LatestRPE]]*tbl_daily[[#This Row],[LatestDuration]],""),"")</f>
        <v/>
      </c>
      <c r="R35" s="3">
        <f>IF(tbl_daily[[#This Row],[CodeName]]&lt;&gt;"",1,"")</f>
        <v>1</v>
      </c>
      <c r="S35" s="3" t="str">
        <f>IF(AND(tbl_daily[[#This Row],[Date]]&gt;=DATE(2019,8,1),tbl_daily[[#This Row],[Date]]&lt;=DATE(2020,6,1)),"2019-2020")</f>
        <v>2019-2020</v>
      </c>
      <c r="T35" s="3" t="str">
        <f>IFERROR(INDEX(tbl_prof[Cohort of Interest],MATCH(tbl_daily[[#This Row],[CodeName]],tbl_prof[CodeName],0)),"")</f>
        <v>Athletes</v>
      </c>
      <c r="U35" s="3">
        <f>IFERROR(AVERAGEIFS(tbl_perf[Grade],tbl_perf[CodeName],tbl_daily[[#This Row],[CodeName]],tbl_perf[Date],tbl_daily[[#This Row],[Date]]),"")</f>
        <v>78</v>
      </c>
      <c r="V35" s="3">
        <f>IFERROR(IF(AND(tbl_daily[[#This Row],[Attendance (1 = Here, 0 = Not here)]]=1,tbl_daily[[#This Row],[Attended, but did not complete data]]&lt;&gt;1),1,IF(AND(tbl_daily[[#This Row],[Attendance (1 = Here, 0 = Not here)]]=1,tbl_daily[[#This Row],[Attended, but did not complete data]]=1),2,3)),"")</f>
        <v>2</v>
      </c>
      <c r="W35" s="3" t="str">
        <f>IF(AND(tbl_daily[[#This Row],[Attendance Refined]]=1,tbl_daily[[#This Row],[InjuryStatus]]="Full"),1,IF(AND(tbl_daily[[#This Row],[Attendance Refined]]=1,tbl_daily[[#This Row],[InjuryStatus]]="Limited"),2,IF(AND(tbl_daily[[#This Row],[Attendance Refined]]=1,tbl_daily[[#This Row],[InjuryStatus]]="Out"),3,"")))</f>
        <v/>
      </c>
    </row>
    <row r="36" spans="1:23" ht="15" customHeight="1" x14ac:dyDescent="0.25">
      <c r="A36" s="1">
        <v>43888</v>
      </c>
      <c r="B36" t="s">
        <v>412</v>
      </c>
      <c r="C36">
        <v>1</v>
      </c>
      <c r="E36">
        <v>6</v>
      </c>
      <c r="F36">
        <v>3</v>
      </c>
      <c r="G36">
        <v>4</v>
      </c>
      <c r="H36" t="s">
        <v>15</v>
      </c>
      <c r="I36">
        <v>0</v>
      </c>
      <c r="J36">
        <v>0</v>
      </c>
      <c r="K36">
        <v>0</v>
      </c>
      <c r="L36">
        <v>8</v>
      </c>
      <c r="M36" t="s">
        <v>306</v>
      </c>
      <c r="N36" t="s">
        <v>308</v>
      </c>
      <c r="P36" s="3">
        <f>IFERROR(IF(AND(tbl_daily[[#This Row],[Attendance (1 = Here, 0 = Not here)]]=1,tbl_daily[[#This Row],[Attended, but did not complete data]]&lt;&gt;1),tbl_daily[[#This Row],[Stress]]+tbl_daily[[#This Row],[SleepQuality]]+tbl_daily[[#This Row],[Energy]],""),"")</f>
        <v>13</v>
      </c>
      <c r="Q36" s="3">
        <f>IFERROR(IF(AND(tbl_daily[[#This Row],[Attendance (1 = Here, 0 = Not here)]]=1,tbl_daily[[#This Row],[Attended, but did not complete data]]&lt;&gt;1),tbl_daily[[#This Row],[LatestRPE]]*tbl_daily[[#This Row],[LatestDuration]],""),"")</f>
        <v>0</v>
      </c>
      <c r="R36" s="3">
        <f>IF(tbl_daily[[#This Row],[CodeName]]&lt;&gt;"",1,"")</f>
        <v>1</v>
      </c>
      <c r="S36" s="3" t="str">
        <f>IF(AND(tbl_daily[[#This Row],[Date]]&gt;=DATE(2019,8,1),tbl_daily[[#This Row],[Date]]&lt;=DATE(2020,6,1)),"2019-2020")</f>
        <v>2019-2020</v>
      </c>
      <c r="T36" s="3" t="str">
        <f>IFERROR(INDEX(tbl_prof[Cohort of Interest],MATCH(tbl_daily[[#This Row],[CodeName]],tbl_prof[CodeName],0)),"")</f>
        <v>Gen Pop</v>
      </c>
      <c r="U36" s="3" t="str">
        <f>IFERROR(AVERAGEIFS(tbl_perf[Grade],tbl_perf[CodeName],tbl_daily[[#This Row],[CodeName]],tbl_perf[Date],tbl_daily[[#This Row],[Date]]),"")</f>
        <v/>
      </c>
      <c r="V36" s="3">
        <f>IFERROR(IF(AND(tbl_daily[[#This Row],[Attendance (1 = Here, 0 = Not here)]]=1,tbl_daily[[#This Row],[Attended, but did not complete data]]&lt;&gt;1),1,IF(AND(tbl_daily[[#This Row],[Attendance (1 = Here, 0 = Not here)]]=1,tbl_daily[[#This Row],[Attended, but did not complete data]]=1),2,3)),"")</f>
        <v>1</v>
      </c>
      <c r="W36" s="3">
        <f>IF(AND(tbl_daily[[#This Row],[Attendance Refined]]=1,tbl_daily[[#This Row],[InjuryStatus]]="Full"),1,IF(AND(tbl_daily[[#This Row],[Attendance Refined]]=1,tbl_daily[[#This Row],[InjuryStatus]]="Limited"),2,IF(AND(tbl_daily[[#This Row],[Attendance Refined]]=1,tbl_daily[[#This Row],[InjuryStatus]]="Out"),3,"")))</f>
        <v>1</v>
      </c>
    </row>
    <row r="37" spans="1:23" ht="15" customHeight="1" x14ac:dyDescent="0.25">
      <c r="A37" s="1">
        <v>43888</v>
      </c>
      <c r="B37" t="s">
        <v>418</v>
      </c>
      <c r="C37">
        <v>1</v>
      </c>
      <c r="E37">
        <v>10</v>
      </c>
      <c r="F37">
        <v>10</v>
      </c>
      <c r="G37">
        <v>10</v>
      </c>
      <c r="H37" t="s">
        <v>15</v>
      </c>
      <c r="I37">
        <v>0</v>
      </c>
      <c r="J37">
        <v>0</v>
      </c>
      <c r="K37">
        <v>0</v>
      </c>
      <c r="L37">
        <v>25</v>
      </c>
      <c r="M37" t="s">
        <v>306</v>
      </c>
      <c r="N37" t="s">
        <v>308</v>
      </c>
      <c r="P37" s="3">
        <f>IFERROR(IF(AND(tbl_daily[[#This Row],[Attendance (1 = Here, 0 = Not here)]]=1,tbl_daily[[#This Row],[Attended, but did not complete data]]&lt;&gt;1),tbl_daily[[#This Row],[Stress]]+tbl_daily[[#This Row],[SleepQuality]]+tbl_daily[[#This Row],[Energy]],""),"")</f>
        <v>30</v>
      </c>
      <c r="Q37" s="3">
        <f>IFERROR(IF(AND(tbl_daily[[#This Row],[Attendance (1 = Here, 0 = Not here)]]=1,tbl_daily[[#This Row],[Attended, but did not complete data]]&lt;&gt;1),tbl_daily[[#This Row],[LatestRPE]]*tbl_daily[[#This Row],[LatestDuration]],""),"")</f>
        <v>0</v>
      </c>
      <c r="R37" s="3">
        <f>IF(tbl_daily[[#This Row],[CodeName]]&lt;&gt;"",1,"")</f>
        <v>1</v>
      </c>
      <c r="S37" s="3" t="str">
        <f>IF(AND(tbl_daily[[#This Row],[Date]]&gt;=DATE(2019,8,1),tbl_daily[[#This Row],[Date]]&lt;=DATE(2020,6,1)),"2019-2020")</f>
        <v>2019-2020</v>
      </c>
      <c r="T37" s="3" t="str">
        <f>IFERROR(INDEX(tbl_prof[Cohort of Interest],MATCH(tbl_daily[[#This Row],[CodeName]],tbl_prof[CodeName],0)),"")</f>
        <v>Special</v>
      </c>
      <c r="U37" s="3" t="str">
        <f>IFERROR(AVERAGEIFS(tbl_perf[Grade],tbl_perf[CodeName],tbl_daily[[#This Row],[CodeName]],tbl_perf[Date],tbl_daily[[#This Row],[Date]]),"")</f>
        <v/>
      </c>
      <c r="V37" s="3">
        <f>IFERROR(IF(AND(tbl_daily[[#This Row],[Attendance (1 = Here, 0 = Not here)]]=1,tbl_daily[[#This Row],[Attended, but did not complete data]]&lt;&gt;1),1,IF(AND(tbl_daily[[#This Row],[Attendance (1 = Here, 0 = Not here)]]=1,tbl_daily[[#This Row],[Attended, but did not complete data]]=1),2,3)),"")</f>
        <v>1</v>
      </c>
      <c r="W37" s="3">
        <f>IF(AND(tbl_daily[[#This Row],[Attendance Refined]]=1,tbl_daily[[#This Row],[InjuryStatus]]="Full"),1,IF(AND(tbl_daily[[#This Row],[Attendance Refined]]=1,tbl_daily[[#This Row],[InjuryStatus]]="Limited"),2,IF(AND(tbl_daily[[#This Row],[Attendance Refined]]=1,tbl_daily[[#This Row],[InjuryStatus]]="Out"),3,"")))</f>
        <v>1</v>
      </c>
    </row>
    <row r="38" spans="1:23" ht="15" customHeight="1" x14ac:dyDescent="0.25">
      <c r="A38" s="1">
        <v>43888</v>
      </c>
      <c r="B38" t="s">
        <v>419</v>
      </c>
      <c r="C38">
        <v>1</v>
      </c>
      <c r="E38">
        <v>6</v>
      </c>
      <c r="F38">
        <v>6</v>
      </c>
      <c r="G38">
        <v>3</v>
      </c>
      <c r="H38" t="s">
        <v>15</v>
      </c>
      <c r="I38">
        <v>0</v>
      </c>
      <c r="J38">
        <v>2</v>
      </c>
      <c r="K38">
        <v>0</v>
      </c>
      <c r="L38">
        <v>6</v>
      </c>
      <c r="M38" t="s">
        <v>306</v>
      </c>
      <c r="N38" t="s">
        <v>308</v>
      </c>
      <c r="P38" s="3">
        <f>IFERROR(IF(AND(tbl_daily[[#This Row],[Attendance (1 = Here, 0 = Not here)]]=1,tbl_daily[[#This Row],[Attended, but did not complete data]]&lt;&gt;1),tbl_daily[[#This Row],[Stress]]+tbl_daily[[#This Row],[SleepQuality]]+tbl_daily[[#This Row],[Energy]],""),"")</f>
        <v>15</v>
      </c>
      <c r="Q38" s="3">
        <f>IFERROR(IF(AND(tbl_daily[[#This Row],[Attendance (1 = Here, 0 = Not here)]]=1,tbl_daily[[#This Row],[Attended, but did not complete data]]&lt;&gt;1),tbl_daily[[#This Row],[LatestRPE]]*tbl_daily[[#This Row],[LatestDuration]],""),"")</f>
        <v>0</v>
      </c>
      <c r="R38" s="3">
        <f>IF(tbl_daily[[#This Row],[CodeName]]&lt;&gt;"",1,"")</f>
        <v>1</v>
      </c>
      <c r="S38" s="3" t="str">
        <f>IF(AND(tbl_daily[[#This Row],[Date]]&gt;=DATE(2019,8,1),tbl_daily[[#This Row],[Date]]&lt;=DATE(2020,6,1)),"2019-2020")</f>
        <v>2019-2020</v>
      </c>
      <c r="T38" s="3" t="str">
        <f>IFERROR(INDEX(tbl_prof[Cohort of Interest],MATCH(tbl_daily[[#This Row],[CodeName]],tbl_prof[CodeName],0)),"")</f>
        <v>Youth</v>
      </c>
      <c r="U38" s="3" t="str">
        <f>IFERROR(AVERAGEIFS(tbl_perf[Grade],tbl_perf[CodeName],tbl_daily[[#This Row],[CodeName]],tbl_perf[Date],tbl_daily[[#This Row],[Date]]),"")</f>
        <v/>
      </c>
      <c r="V38" s="3">
        <f>IFERROR(IF(AND(tbl_daily[[#This Row],[Attendance (1 = Here, 0 = Not here)]]=1,tbl_daily[[#This Row],[Attended, but did not complete data]]&lt;&gt;1),1,IF(AND(tbl_daily[[#This Row],[Attendance (1 = Here, 0 = Not here)]]=1,tbl_daily[[#This Row],[Attended, but did not complete data]]=1),2,3)),"")</f>
        <v>1</v>
      </c>
      <c r="W38" s="3">
        <f>IF(AND(tbl_daily[[#This Row],[Attendance Refined]]=1,tbl_daily[[#This Row],[InjuryStatus]]="Full"),1,IF(AND(tbl_daily[[#This Row],[Attendance Refined]]=1,tbl_daily[[#This Row],[InjuryStatus]]="Limited"),2,IF(AND(tbl_daily[[#This Row],[Attendance Refined]]=1,tbl_daily[[#This Row],[InjuryStatus]]="Out"),3,"")))</f>
        <v>1</v>
      </c>
    </row>
    <row r="39" spans="1:23" ht="15" customHeight="1" x14ac:dyDescent="0.25">
      <c r="A39" s="1">
        <v>43888</v>
      </c>
      <c r="B39" t="s">
        <v>421</v>
      </c>
      <c r="C39">
        <v>1</v>
      </c>
      <c r="E39">
        <v>6</v>
      </c>
      <c r="F39">
        <v>7</v>
      </c>
      <c r="G39">
        <v>8</v>
      </c>
      <c r="H39" t="s">
        <v>15</v>
      </c>
      <c r="I39">
        <v>0</v>
      </c>
      <c r="J39">
        <v>0</v>
      </c>
      <c r="K39">
        <v>0</v>
      </c>
      <c r="L39">
        <v>2</v>
      </c>
      <c r="M39" t="s">
        <v>306</v>
      </c>
      <c r="N39" t="s">
        <v>309</v>
      </c>
      <c r="P39" s="3">
        <f>IFERROR(IF(AND(tbl_daily[[#This Row],[Attendance (1 = Here, 0 = Not here)]]=1,tbl_daily[[#This Row],[Attended, but did not complete data]]&lt;&gt;1),tbl_daily[[#This Row],[Stress]]+tbl_daily[[#This Row],[SleepQuality]]+tbl_daily[[#This Row],[Energy]],""),"")</f>
        <v>21</v>
      </c>
      <c r="Q39" s="3">
        <f>IFERROR(IF(AND(tbl_daily[[#This Row],[Attendance (1 = Here, 0 = Not here)]]=1,tbl_daily[[#This Row],[Attended, but did not complete data]]&lt;&gt;1),tbl_daily[[#This Row],[LatestRPE]]*tbl_daily[[#This Row],[LatestDuration]],""),"")</f>
        <v>0</v>
      </c>
      <c r="R39" s="3">
        <f>IF(tbl_daily[[#This Row],[CodeName]]&lt;&gt;"",1,"")</f>
        <v>1</v>
      </c>
      <c r="S39" s="3" t="str">
        <f>IF(AND(tbl_daily[[#This Row],[Date]]&gt;=DATE(2019,8,1),tbl_daily[[#This Row],[Date]]&lt;=DATE(2020,6,1)),"2019-2020")</f>
        <v>2019-2020</v>
      </c>
      <c r="T39" s="3" t="str">
        <f>IFERROR(INDEX(tbl_prof[Cohort of Interest],MATCH(tbl_daily[[#This Row],[CodeName]],tbl_prof[CodeName],0)),"")</f>
        <v>Athletes</v>
      </c>
      <c r="U39" s="3" t="str">
        <f>IFERROR(AVERAGEIFS(tbl_perf[Grade],tbl_perf[CodeName],tbl_daily[[#This Row],[CodeName]],tbl_perf[Date],tbl_daily[[#This Row],[Date]]),"")</f>
        <v/>
      </c>
      <c r="V39" s="3">
        <f>IFERROR(IF(AND(tbl_daily[[#This Row],[Attendance (1 = Here, 0 = Not here)]]=1,tbl_daily[[#This Row],[Attended, but did not complete data]]&lt;&gt;1),1,IF(AND(tbl_daily[[#This Row],[Attendance (1 = Here, 0 = Not here)]]=1,tbl_daily[[#This Row],[Attended, but did not complete data]]=1),2,3)),"")</f>
        <v>1</v>
      </c>
      <c r="W39" s="3">
        <f>IF(AND(tbl_daily[[#This Row],[Attendance Refined]]=1,tbl_daily[[#This Row],[InjuryStatus]]="Full"),1,IF(AND(tbl_daily[[#This Row],[Attendance Refined]]=1,tbl_daily[[#This Row],[InjuryStatus]]="Limited"),2,IF(AND(tbl_daily[[#This Row],[Attendance Refined]]=1,tbl_daily[[#This Row],[InjuryStatus]]="Out"),3,"")))</f>
        <v>1</v>
      </c>
    </row>
    <row r="40" spans="1:23" ht="15" customHeight="1" x14ac:dyDescent="0.25">
      <c r="A40" s="1">
        <v>43888</v>
      </c>
      <c r="B40" t="s">
        <v>425</v>
      </c>
      <c r="C40">
        <v>1</v>
      </c>
      <c r="E40">
        <v>5</v>
      </c>
      <c r="F40">
        <v>7</v>
      </c>
      <c r="G40">
        <v>7</v>
      </c>
      <c r="H40" t="s">
        <v>15</v>
      </c>
      <c r="I40">
        <v>0</v>
      </c>
      <c r="J40">
        <v>0</v>
      </c>
      <c r="K40">
        <v>0</v>
      </c>
      <c r="L40">
        <v>6</v>
      </c>
      <c r="M40" t="s">
        <v>306</v>
      </c>
      <c r="N40" t="s">
        <v>308</v>
      </c>
      <c r="P40" s="3">
        <f>IFERROR(IF(AND(tbl_daily[[#This Row],[Attendance (1 = Here, 0 = Not here)]]=1,tbl_daily[[#This Row],[Attended, but did not complete data]]&lt;&gt;1),tbl_daily[[#This Row],[Stress]]+tbl_daily[[#This Row],[SleepQuality]]+tbl_daily[[#This Row],[Energy]],""),"")</f>
        <v>19</v>
      </c>
      <c r="Q40" s="3">
        <f>IFERROR(IF(AND(tbl_daily[[#This Row],[Attendance (1 = Here, 0 = Not here)]]=1,tbl_daily[[#This Row],[Attended, but did not complete data]]&lt;&gt;1),tbl_daily[[#This Row],[LatestRPE]]*tbl_daily[[#This Row],[LatestDuration]],""),"")</f>
        <v>0</v>
      </c>
      <c r="R40" s="3">
        <f>IF(tbl_daily[[#This Row],[CodeName]]&lt;&gt;"",1,"")</f>
        <v>1</v>
      </c>
      <c r="S40" s="3" t="str">
        <f>IF(AND(tbl_daily[[#This Row],[Date]]&gt;=DATE(2019,8,1),tbl_daily[[#This Row],[Date]]&lt;=DATE(2020,6,1)),"2019-2020")</f>
        <v>2019-2020</v>
      </c>
      <c r="T40" s="3" t="str">
        <f>IFERROR(INDEX(tbl_prof[Cohort of Interest],MATCH(tbl_daily[[#This Row],[CodeName]],tbl_prof[CodeName],0)),"")</f>
        <v>Athletes</v>
      </c>
      <c r="U40" s="3" t="str">
        <f>IFERROR(AVERAGEIFS(tbl_perf[Grade],tbl_perf[CodeName],tbl_daily[[#This Row],[CodeName]],tbl_perf[Date],tbl_daily[[#This Row],[Date]]),"")</f>
        <v/>
      </c>
      <c r="V40" s="3">
        <f>IFERROR(IF(AND(tbl_daily[[#This Row],[Attendance (1 = Here, 0 = Not here)]]=1,tbl_daily[[#This Row],[Attended, but did not complete data]]&lt;&gt;1),1,IF(AND(tbl_daily[[#This Row],[Attendance (1 = Here, 0 = Not here)]]=1,tbl_daily[[#This Row],[Attended, but did not complete data]]=1),2,3)),"")</f>
        <v>1</v>
      </c>
      <c r="W40" s="3">
        <f>IF(AND(tbl_daily[[#This Row],[Attendance Refined]]=1,tbl_daily[[#This Row],[InjuryStatus]]="Full"),1,IF(AND(tbl_daily[[#This Row],[Attendance Refined]]=1,tbl_daily[[#This Row],[InjuryStatus]]="Limited"),2,IF(AND(tbl_daily[[#This Row],[Attendance Refined]]=1,tbl_daily[[#This Row],[InjuryStatus]]="Out"),3,"")))</f>
        <v>1</v>
      </c>
    </row>
    <row r="41" spans="1:23" ht="15" customHeight="1" x14ac:dyDescent="0.25">
      <c r="A41" s="1">
        <v>43888</v>
      </c>
      <c r="B41" t="s">
        <v>428</v>
      </c>
      <c r="C41">
        <v>1</v>
      </c>
      <c r="E41">
        <v>8</v>
      </c>
      <c r="F41">
        <v>7</v>
      </c>
      <c r="G41">
        <v>7</v>
      </c>
      <c r="H41" t="s">
        <v>15</v>
      </c>
      <c r="I41">
        <v>0</v>
      </c>
      <c r="J41">
        <v>0</v>
      </c>
      <c r="K41">
        <v>0</v>
      </c>
      <c r="L41">
        <v>6</v>
      </c>
      <c r="M41" t="s">
        <v>306</v>
      </c>
      <c r="N41" t="s">
        <v>308</v>
      </c>
      <c r="P41" s="3">
        <f>IFERROR(IF(AND(tbl_daily[[#This Row],[Attendance (1 = Here, 0 = Not here)]]=1,tbl_daily[[#This Row],[Attended, but did not complete data]]&lt;&gt;1),tbl_daily[[#This Row],[Stress]]+tbl_daily[[#This Row],[SleepQuality]]+tbl_daily[[#This Row],[Energy]],""),"")</f>
        <v>22</v>
      </c>
      <c r="Q41" s="3">
        <f>IFERROR(IF(AND(tbl_daily[[#This Row],[Attendance (1 = Here, 0 = Not here)]]=1,tbl_daily[[#This Row],[Attended, but did not complete data]]&lt;&gt;1),tbl_daily[[#This Row],[LatestRPE]]*tbl_daily[[#This Row],[LatestDuration]],""),"")</f>
        <v>0</v>
      </c>
      <c r="R41" s="3">
        <f>IF(tbl_daily[[#This Row],[CodeName]]&lt;&gt;"",1,"")</f>
        <v>1</v>
      </c>
      <c r="S41" s="3" t="str">
        <f>IF(AND(tbl_daily[[#This Row],[Date]]&gt;=DATE(2019,8,1),tbl_daily[[#This Row],[Date]]&lt;=DATE(2020,6,1)),"2019-2020")</f>
        <v>2019-2020</v>
      </c>
      <c r="T41" s="3" t="str">
        <f>IFERROR(INDEX(tbl_prof[Cohort of Interest],MATCH(tbl_daily[[#This Row],[CodeName]],tbl_prof[CodeName],0)),"")</f>
        <v>Special</v>
      </c>
      <c r="U41" s="3" t="str">
        <f>IFERROR(AVERAGEIFS(tbl_perf[Grade],tbl_perf[CodeName],tbl_daily[[#This Row],[CodeName]],tbl_perf[Date],tbl_daily[[#This Row],[Date]]),"")</f>
        <v/>
      </c>
      <c r="V41" s="3">
        <f>IFERROR(IF(AND(tbl_daily[[#This Row],[Attendance (1 = Here, 0 = Not here)]]=1,tbl_daily[[#This Row],[Attended, but did not complete data]]&lt;&gt;1),1,IF(AND(tbl_daily[[#This Row],[Attendance (1 = Here, 0 = Not here)]]=1,tbl_daily[[#This Row],[Attended, but did not complete data]]=1),2,3)),"")</f>
        <v>1</v>
      </c>
      <c r="W41" s="3">
        <f>IF(AND(tbl_daily[[#This Row],[Attendance Refined]]=1,tbl_daily[[#This Row],[InjuryStatus]]="Full"),1,IF(AND(tbl_daily[[#This Row],[Attendance Refined]]=1,tbl_daily[[#This Row],[InjuryStatus]]="Limited"),2,IF(AND(tbl_daily[[#This Row],[Attendance Refined]]=1,tbl_daily[[#This Row],[InjuryStatus]]="Out"),3,"")))</f>
        <v>1</v>
      </c>
    </row>
    <row r="42" spans="1:23" ht="15" customHeight="1" x14ac:dyDescent="0.25">
      <c r="A42" s="1">
        <v>43888</v>
      </c>
      <c r="B42" t="s">
        <v>410</v>
      </c>
      <c r="C42">
        <v>1</v>
      </c>
      <c r="E42">
        <v>5</v>
      </c>
      <c r="F42">
        <v>3</v>
      </c>
      <c r="G42">
        <v>5</v>
      </c>
      <c r="H42" t="s">
        <v>15</v>
      </c>
      <c r="I42">
        <v>0</v>
      </c>
      <c r="J42">
        <v>0</v>
      </c>
      <c r="K42">
        <v>0</v>
      </c>
      <c r="L42">
        <v>8</v>
      </c>
      <c r="M42" t="s">
        <v>306</v>
      </c>
      <c r="N42" t="s">
        <v>308</v>
      </c>
      <c r="P42" s="3">
        <f>IFERROR(IF(AND(tbl_daily[[#This Row],[Attendance (1 = Here, 0 = Not here)]]=1,tbl_daily[[#This Row],[Attended, but did not complete data]]&lt;&gt;1),tbl_daily[[#This Row],[Stress]]+tbl_daily[[#This Row],[SleepQuality]]+tbl_daily[[#This Row],[Energy]],""),"")</f>
        <v>13</v>
      </c>
      <c r="Q42" s="3">
        <f>IFERROR(IF(AND(tbl_daily[[#This Row],[Attendance (1 = Here, 0 = Not here)]]=1,tbl_daily[[#This Row],[Attended, but did not complete data]]&lt;&gt;1),tbl_daily[[#This Row],[LatestRPE]]*tbl_daily[[#This Row],[LatestDuration]],""),"")</f>
        <v>0</v>
      </c>
      <c r="R42" s="3">
        <f>IF(tbl_daily[[#This Row],[CodeName]]&lt;&gt;"",1,"")</f>
        <v>1</v>
      </c>
      <c r="S42" s="3" t="str">
        <f>IF(AND(tbl_daily[[#This Row],[Date]]&gt;=DATE(2019,8,1),tbl_daily[[#This Row],[Date]]&lt;=DATE(2020,6,1)),"2019-2020")</f>
        <v>2019-2020</v>
      </c>
      <c r="T42" s="3" t="str">
        <f>IFERROR(INDEX(tbl_prof[Cohort of Interest],MATCH(tbl_daily[[#This Row],[CodeName]],tbl_prof[CodeName],0)),"")</f>
        <v>Gen Pop</v>
      </c>
      <c r="U42" s="3" t="str">
        <f>IFERROR(AVERAGEIFS(tbl_perf[Grade],tbl_perf[CodeName],tbl_daily[[#This Row],[CodeName]],tbl_perf[Date],tbl_daily[[#This Row],[Date]]),"")</f>
        <v/>
      </c>
      <c r="V42" s="3">
        <f>IFERROR(IF(AND(tbl_daily[[#This Row],[Attendance (1 = Here, 0 = Not here)]]=1,tbl_daily[[#This Row],[Attended, but did not complete data]]&lt;&gt;1),1,IF(AND(tbl_daily[[#This Row],[Attendance (1 = Here, 0 = Not here)]]=1,tbl_daily[[#This Row],[Attended, but did not complete data]]=1),2,3)),"")</f>
        <v>1</v>
      </c>
      <c r="W42" s="3">
        <f>IF(AND(tbl_daily[[#This Row],[Attendance Refined]]=1,tbl_daily[[#This Row],[InjuryStatus]]="Full"),1,IF(AND(tbl_daily[[#This Row],[Attendance Refined]]=1,tbl_daily[[#This Row],[InjuryStatus]]="Limited"),2,IF(AND(tbl_daily[[#This Row],[Attendance Refined]]=1,tbl_daily[[#This Row],[InjuryStatus]]="Out"),3,"")))</f>
        <v>1</v>
      </c>
    </row>
    <row r="43" spans="1:23" ht="15" customHeight="1" x14ac:dyDescent="0.25">
      <c r="A43" s="1">
        <v>43888</v>
      </c>
      <c r="B43" t="s">
        <v>429</v>
      </c>
      <c r="C43">
        <v>1</v>
      </c>
      <c r="E43">
        <v>4</v>
      </c>
      <c r="F43">
        <v>8</v>
      </c>
      <c r="G43">
        <v>7</v>
      </c>
      <c r="H43" t="s">
        <v>15</v>
      </c>
      <c r="I43">
        <v>0</v>
      </c>
      <c r="J43">
        <v>0</v>
      </c>
      <c r="K43">
        <v>0</v>
      </c>
      <c r="L43">
        <v>5</v>
      </c>
      <c r="M43" t="s">
        <v>306</v>
      </c>
      <c r="N43" t="s">
        <v>307</v>
      </c>
      <c r="P43" s="3">
        <f>IFERROR(IF(AND(tbl_daily[[#This Row],[Attendance (1 = Here, 0 = Not here)]]=1,tbl_daily[[#This Row],[Attended, but did not complete data]]&lt;&gt;1),tbl_daily[[#This Row],[Stress]]+tbl_daily[[#This Row],[SleepQuality]]+tbl_daily[[#This Row],[Energy]],""),"")</f>
        <v>19</v>
      </c>
      <c r="Q43" s="3">
        <f>IFERROR(IF(AND(tbl_daily[[#This Row],[Attendance (1 = Here, 0 = Not here)]]=1,tbl_daily[[#This Row],[Attended, but did not complete data]]&lt;&gt;1),tbl_daily[[#This Row],[LatestRPE]]*tbl_daily[[#This Row],[LatestDuration]],""),"")</f>
        <v>0</v>
      </c>
      <c r="R43" s="3">
        <f>IF(tbl_daily[[#This Row],[CodeName]]&lt;&gt;"",1,"")</f>
        <v>1</v>
      </c>
      <c r="S43" s="3" t="str">
        <f>IF(AND(tbl_daily[[#This Row],[Date]]&gt;=DATE(2019,8,1),tbl_daily[[#This Row],[Date]]&lt;=DATE(2020,6,1)),"2019-2020")</f>
        <v>2019-2020</v>
      </c>
      <c r="T43" s="3" t="str">
        <f>IFERROR(INDEX(tbl_prof[Cohort of Interest],MATCH(tbl_daily[[#This Row],[CodeName]],tbl_prof[CodeName],0)),"")</f>
        <v>Gen Pop</v>
      </c>
      <c r="U43" s="3" t="str">
        <f>IFERROR(AVERAGEIFS(tbl_perf[Grade],tbl_perf[CodeName],tbl_daily[[#This Row],[CodeName]],tbl_perf[Date],tbl_daily[[#This Row],[Date]]),"")</f>
        <v/>
      </c>
      <c r="V43" s="3">
        <f>IFERROR(IF(AND(tbl_daily[[#This Row],[Attendance (1 = Here, 0 = Not here)]]=1,tbl_daily[[#This Row],[Attended, but did not complete data]]&lt;&gt;1),1,IF(AND(tbl_daily[[#This Row],[Attendance (1 = Here, 0 = Not here)]]=1,tbl_daily[[#This Row],[Attended, but did not complete data]]=1),2,3)),"")</f>
        <v>1</v>
      </c>
      <c r="W43" s="3">
        <f>IF(AND(tbl_daily[[#This Row],[Attendance Refined]]=1,tbl_daily[[#This Row],[InjuryStatus]]="Full"),1,IF(AND(tbl_daily[[#This Row],[Attendance Refined]]=1,tbl_daily[[#This Row],[InjuryStatus]]="Limited"),2,IF(AND(tbl_daily[[#This Row],[Attendance Refined]]=1,tbl_daily[[#This Row],[InjuryStatus]]="Out"),3,"")))</f>
        <v>1</v>
      </c>
    </row>
    <row r="44" spans="1:23" ht="15" customHeight="1" x14ac:dyDescent="0.25">
      <c r="A44" s="1">
        <v>43888</v>
      </c>
      <c r="B44" t="s">
        <v>440</v>
      </c>
      <c r="C44">
        <v>1</v>
      </c>
      <c r="E44">
        <v>8</v>
      </c>
      <c r="F44">
        <v>5</v>
      </c>
      <c r="G44">
        <v>5</v>
      </c>
      <c r="H44" t="s">
        <v>32</v>
      </c>
      <c r="I44">
        <v>0</v>
      </c>
      <c r="J44">
        <v>0</v>
      </c>
      <c r="K44">
        <v>0</v>
      </c>
      <c r="L44">
        <v>9</v>
      </c>
      <c r="M44" t="s">
        <v>306</v>
      </c>
      <c r="N44" t="s">
        <v>309</v>
      </c>
      <c r="P44" s="3">
        <f>IFERROR(IF(AND(tbl_daily[[#This Row],[Attendance (1 = Here, 0 = Not here)]]=1,tbl_daily[[#This Row],[Attended, but did not complete data]]&lt;&gt;1),tbl_daily[[#This Row],[Stress]]+tbl_daily[[#This Row],[SleepQuality]]+tbl_daily[[#This Row],[Energy]],""),"")</f>
        <v>18</v>
      </c>
      <c r="Q44" s="3">
        <f>IFERROR(IF(AND(tbl_daily[[#This Row],[Attendance (1 = Here, 0 = Not here)]]=1,tbl_daily[[#This Row],[Attended, but did not complete data]]&lt;&gt;1),tbl_daily[[#This Row],[LatestRPE]]*tbl_daily[[#This Row],[LatestDuration]],""),"")</f>
        <v>0</v>
      </c>
      <c r="R44" s="3">
        <f>IF(tbl_daily[[#This Row],[CodeName]]&lt;&gt;"",1,"")</f>
        <v>1</v>
      </c>
      <c r="S44" s="3" t="str">
        <f>IF(AND(tbl_daily[[#This Row],[Date]]&gt;=DATE(2019,8,1),tbl_daily[[#This Row],[Date]]&lt;=DATE(2020,6,1)),"2019-2020")</f>
        <v>2019-2020</v>
      </c>
      <c r="T44" s="3" t="str">
        <f>IFERROR(INDEX(tbl_prof[Cohort of Interest],MATCH(tbl_daily[[#This Row],[CodeName]],tbl_prof[CodeName],0)),"")</f>
        <v>Youth</v>
      </c>
      <c r="U44" s="3" t="str">
        <f>IFERROR(AVERAGEIFS(tbl_perf[Grade],tbl_perf[CodeName],tbl_daily[[#This Row],[CodeName]],tbl_perf[Date],tbl_daily[[#This Row],[Date]]),"")</f>
        <v/>
      </c>
      <c r="V44" s="3">
        <f>IFERROR(IF(AND(tbl_daily[[#This Row],[Attendance (1 = Here, 0 = Not here)]]=1,tbl_daily[[#This Row],[Attended, but did not complete data]]&lt;&gt;1),1,IF(AND(tbl_daily[[#This Row],[Attendance (1 = Here, 0 = Not here)]]=1,tbl_daily[[#This Row],[Attended, but did not complete data]]=1),2,3)),"")</f>
        <v>1</v>
      </c>
      <c r="W44" s="3">
        <f>IF(AND(tbl_daily[[#This Row],[Attendance Refined]]=1,tbl_daily[[#This Row],[InjuryStatus]]="Full"),1,IF(AND(tbl_daily[[#This Row],[Attendance Refined]]=1,tbl_daily[[#This Row],[InjuryStatus]]="Limited"),2,IF(AND(tbl_daily[[#This Row],[Attendance Refined]]=1,tbl_daily[[#This Row],[InjuryStatus]]="Out"),3,"")))</f>
        <v>2</v>
      </c>
    </row>
    <row r="45" spans="1:23" ht="15" customHeight="1" x14ac:dyDescent="0.25">
      <c r="A45" s="1">
        <v>43888</v>
      </c>
      <c r="B45" t="s">
        <v>414</v>
      </c>
      <c r="C45">
        <v>1</v>
      </c>
      <c r="E45">
        <v>5</v>
      </c>
      <c r="F45">
        <v>6</v>
      </c>
      <c r="G45">
        <v>6</v>
      </c>
      <c r="H45" t="s">
        <v>15</v>
      </c>
      <c r="I45">
        <v>1</v>
      </c>
      <c r="J45">
        <v>4</v>
      </c>
      <c r="K45">
        <v>15</v>
      </c>
      <c r="L45">
        <v>14</v>
      </c>
      <c r="M45" t="s">
        <v>306</v>
      </c>
      <c r="N45" t="s">
        <v>308</v>
      </c>
      <c r="P45" s="3">
        <f>IFERROR(IF(AND(tbl_daily[[#This Row],[Attendance (1 = Here, 0 = Not here)]]=1,tbl_daily[[#This Row],[Attended, but did not complete data]]&lt;&gt;1),tbl_daily[[#This Row],[Stress]]+tbl_daily[[#This Row],[SleepQuality]]+tbl_daily[[#This Row],[Energy]],""),"")</f>
        <v>17</v>
      </c>
      <c r="Q45" s="3">
        <f>IFERROR(IF(AND(tbl_daily[[#This Row],[Attendance (1 = Here, 0 = Not here)]]=1,tbl_daily[[#This Row],[Attended, but did not complete data]]&lt;&gt;1),tbl_daily[[#This Row],[LatestRPE]]*tbl_daily[[#This Row],[LatestDuration]],""),"")</f>
        <v>60</v>
      </c>
      <c r="R45" s="3">
        <f>IF(tbl_daily[[#This Row],[CodeName]]&lt;&gt;"",1,"")</f>
        <v>1</v>
      </c>
      <c r="S45" s="3" t="str">
        <f>IF(AND(tbl_daily[[#This Row],[Date]]&gt;=DATE(2019,8,1),tbl_daily[[#This Row],[Date]]&lt;=DATE(2020,6,1)),"2019-2020")</f>
        <v>2019-2020</v>
      </c>
      <c r="T45" s="3" t="str">
        <f>IFERROR(INDEX(tbl_prof[Cohort of Interest],MATCH(tbl_daily[[#This Row],[CodeName]],tbl_prof[CodeName],0)),"")</f>
        <v>Gen Pop</v>
      </c>
      <c r="U45" s="3" t="str">
        <f>IFERROR(AVERAGEIFS(tbl_perf[Grade],tbl_perf[CodeName],tbl_daily[[#This Row],[CodeName]],tbl_perf[Date],tbl_daily[[#This Row],[Date]]),"")</f>
        <v/>
      </c>
      <c r="V45" s="3">
        <f>IFERROR(IF(AND(tbl_daily[[#This Row],[Attendance (1 = Here, 0 = Not here)]]=1,tbl_daily[[#This Row],[Attended, but did not complete data]]&lt;&gt;1),1,IF(AND(tbl_daily[[#This Row],[Attendance (1 = Here, 0 = Not here)]]=1,tbl_daily[[#This Row],[Attended, but did not complete data]]=1),2,3)),"")</f>
        <v>1</v>
      </c>
      <c r="W45" s="3">
        <f>IF(AND(tbl_daily[[#This Row],[Attendance Refined]]=1,tbl_daily[[#This Row],[InjuryStatus]]="Full"),1,IF(AND(tbl_daily[[#This Row],[Attendance Refined]]=1,tbl_daily[[#This Row],[InjuryStatus]]="Limited"),2,IF(AND(tbl_daily[[#This Row],[Attendance Refined]]=1,tbl_daily[[#This Row],[InjuryStatus]]="Out"),3,"")))</f>
        <v>1</v>
      </c>
    </row>
    <row r="46" spans="1:23" ht="15" customHeight="1" x14ac:dyDescent="0.25">
      <c r="A46" s="1">
        <v>43888</v>
      </c>
      <c r="B46" t="s">
        <v>437</v>
      </c>
      <c r="C46">
        <v>1</v>
      </c>
      <c r="E46">
        <v>7</v>
      </c>
      <c r="F46">
        <v>9</v>
      </c>
      <c r="G46">
        <v>8</v>
      </c>
      <c r="H46" t="s">
        <v>15</v>
      </c>
      <c r="I46">
        <v>1</v>
      </c>
      <c r="J46">
        <v>6</v>
      </c>
      <c r="K46">
        <v>15</v>
      </c>
      <c r="L46">
        <v>7</v>
      </c>
      <c r="M46" t="s">
        <v>306</v>
      </c>
      <c r="P46" s="3">
        <f>IFERROR(IF(AND(tbl_daily[[#This Row],[Attendance (1 = Here, 0 = Not here)]]=1,tbl_daily[[#This Row],[Attended, but did not complete data]]&lt;&gt;1),tbl_daily[[#This Row],[Stress]]+tbl_daily[[#This Row],[SleepQuality]]+tbl_daily[[#This Row],[Energy]],""),"")</f>
        <v>24</v>
      </c>
      <c r="Q46" s="3">
        <f>IFERROR(IF(AND(tbl_daily[[#This Row],[Attendance (1 = Here, 0 = Not here)]]=1,tbl_daily[[#This Row],[Attended, but did not complete data]]&lt;&gt;1),tbl_daily[[#This Row],[LatestRPE]]*tbl_daily[[#This Row],[LatestDuration]],""),"")</f>
        <v>90</v>
      </c>
      <c r="R46" s="3">
        <f>IF(tbl_daily[[#This Row],[CodeName]]&lt;&gt;"",1,"")</f>
        <v>1</v>
      </c>
      <c r="S46" s="3" t="str">
        <f>IF(AND(tbl_daily[[#This Row],[Date]]&gt;=DATE(2019,8,1),tbl_daily[[#This Row],[Date]]&lt;=DATE(2020,6,1)),"2019-2020")</f>
        <v>2019-2020</v>
      </c>
      <c r="T46" s="3" t="str">
        <f>IFERROR(INDEX(tbl_prof[Cohort of Interest],MATCH(tbl_daily[[#This Row],[CodeName]],tbl_prof[CodeName],0)),"")</f>
        <v>Athletes</v>
      </c>
      <c r="U46" s="3" t="str">
        <f>IFERROR(AVERAGEIFS(tbl_perf[Grade],tbl_perf[CodeName],tbl_daily[[#This Row],[CodeName]],tbl_perf[Date],tbl_daily[[#This Row],[Date]]),"")</f>
        <v/>
      </c>
      <c r="V46" s="3">
        <f>IFERROR(IF(AND(tbl_daily[[#This Row],[Attendance (1 = Here, 0 = Not here)]]=1,tbl_daily[[#This Row],[Attended, but did not complete data]]&lt;&gt;1),1,IF(AND(tbl_daily[[#This Row],[Attendance (1 = Here, 0 = Not here)]]=1,tbl_daily[[#This Row],[Attended, but did not complete data]]=1),2,3)),"")</f>
        <v>1</v>
      </c>
      <c r="W46" s="3">
        <f>IF(AND(tbl_daily[[#This Row],[Attendance Refined]]=1,tbl_daily[[#This Row],[InjuryStatus]]="Full"),1,IF(AND(tbl_daily[[#This Row],[Attendance Refined]]=1,tbl_daily[[#This Row],[InjuryStatus]]="Limited"),2,IF(AND(tbl_daily[[#This Row],[Attendance Refined]]=1,tbl_daily[[#This Row],[InjuryStatus]]="Out"),3,"")))</f>
        <v>1</v>
      </c>
    </row>
    <row r="47" spans="1:23" ht="15" customHeight="1" x14ac:dyDescent="0.25">
      <c r="A47" s="1">
        <v>43888</v>
      </c>
      <c r="B47" t="s">
        <v>423</v>
      </c>
      <c r="C47">
        <v>1</v>
      </c>
      <c r="E47">
        <v>7</v>
      </c>
      <c r="F47">
        <v>7</v>
      </c>
      <c r="G47">
        <v>6</v>
      </c>
      <c r="H47" t="s">
        <v>15</v>
      </c>
      <c r="I47">
        <v>1</v>
      </c>
      <c r="J47">
        <v>5</v>
      </c>
      <c r="K47">
        <v>45</v>
      </c>
      <c r="L47">
        <v>8</v>
      </c>
      <c r="M47" t="s">
        <v>306</v>
      </c>
      <c r="N47" t="s">
        <v>307</v>
      </c>
      <c r="P47" s="3">
        <f>IFERROR(IF(AND(tbl_daily[[#This Row],[Attendance (1 = Here, 0 = Not here)]]=1,tbl_daily[[#This Row],[Attended, but did not complete data]]&lt;&gt;1),tbl_daily[[#This Row],[Stress]]+tbl_daily[[#This Row],[SleepQuality]]+tbl_daily[[#This Row],[Energy]],""),"")</f>
        <v>20</v>
      </c>
      <c r="Q47" s="3">
        <f>IFERROR(IF(AND(tbl_daily[[#This Row],[Attendance (1 = Here, 0 = Not here)]]=1,tbl_daily[[#This Row],[Attended, but did not complete data]]&lt;&gt;1),tbl_daily[[#This Row],[LatestRPE]]*tbl_daily[[#This Row],[LatestDuration]],""),"")</f>
        <v>225</v>
      </c>
      <c r="R47" s="3">
        <f>IF(tbl_daily[[#This Row],[CodeName]]&lt;&gt;"",1,"")</f>
        <v>1</v>
      </c>
      <c r="S47" s="3" t="str">
        <f>IF(AND(tbl_daily[[#This Row],[Date]]&gt;=DATE(2019,8,1),tbl_daily[[#This Row],[Date]]&lt;=DATE(2020,6,1)),"2019-2020")</f>
        <v>2019-2020</v>
      </c>
      <c r="T47" s="3" t="str">
        <f>IFERROR(INDEX(tbl_prof[Cohort of Interest],MATCH(tbl_daily[[#This Row],[CodeName]],tbl_prof[CodeName],0)),"")</f>
        <v>Youth</v>
      </c>
      <c r="U47" s="3" t="str">
        <f>IFERROR(AVERAGEIFS(tbl_perf[Grade],tbl_perf[CodeName],tbl_daily[[#This Row],[CodeName]],tbl_perf[Date],tbl_daily[[#This Row],[Date]]),"")</f>
        <v/>
      </c>
      <c r="V47" s="3">
        <f>IFERROR(IF(AND(tbl_daily[[#This Row],[Attendance (1 = Here, 0 = Not here)]]=1,tbl_daily[[#This Row],[Attended, but did not complete data]]&lt;&gt;1),1,IF(AND(tbl_daily[[#This Row],[Attendance (1 = Here, 0 = Not here)]]=1,tbl_daily[[#This Row],[Attended, but did not complete data]]=1),2,3)),"")</f>
        <v>1</v>
      </c>
      <c r="W47" s="3">
        <f>IF(AND(tbl_daily[[#This Row],[Attendance Refined]]=1,tbl_daily[[#This Row],[InjuryStatus]]="Full"),1,IF(AND(tbl_daily[[#This Row],[Attendance Refined]]=1,tbl_daily[[#This Row],[InjuryStatus]]="Limited"),2,IF(AND(tbl_daily[[#This Row],[Attendance Refined]]=1,tbl_daily[[#This Row],[InjuryStatus]]="Out"),3,"")))</f>
        <v>1</v>
      </c>
    </row>
    <row r="48" spans="1:23" ht="15" customHeight="1" x14ac:dyDescent="0.25">
      <c r="A48" s="1">
        <v>43888</v>
      </c>
      <c r="B48" t="s">
        <v>415</v>
      </c>
      <c r="C48">
        <v>1</v>
      </c>
      <c r="E48">
        <v>5</v>
      </c>
      <c r="F48">
        <v>2</v>
      </c>
      <c r="G48">
        <v>3</v>
      </c>
      <c r="H48" t="s">
        <v>15</v>
      </c>
      <c r="I48">
        <v>1</v>
      </c>
      <c r="J48">
        <v>6</v>
      </c>
      <c r="K48">
        <v>45</v>
      </c>
      <c r="L48">
        <v>10</v>
      </c>
      <c r="M48" t="s">
        <v>306</v>
      </c>
      <c r="N48" t="s">
        <v>308</v>
      </c>
      <c r="P48" s="3">
        <f>IFERROR(IF(AND(tbl_daily[[#This Row],[Attendance (1 = Here, 0 = Not here)]]=1,tbl_daily[[#This Row],[Attended, but did not complete data]]&lt;&gt;1),tbl_daily[[#This Row],[Stress]]+tbl_daily[[#This Row],[SleepQuality]]+tbl_daily[[#This Row],[Energy]],""),"")</f>
        <v>10</v>
      </c>
      <c r="Q48" s="3">
        <f>IFERROR(IF(AND(tbl_daily[[#This Row],[Attendance (1 = Here, 0 = Not here)]]=1,tbl_daily[[#This Row],[Attended, but did not complete data]]&lt;&gt;1),tbl_daily[[#This Row],[LatestRPE]]*tbl_daily[[#This Row],[LatestDuration]],""),"")</f>
        <v>270</v>
      </c>
      <c r="R48" s="3">
        <f>IF(tbl_daily[[#This Row],[CodeName]]&lt;&gt;"",1,"")</f>
        <v>1</v>
      </c>
      <c r="S48" s="3" t="str">
        <f>IF(AND(tbl_daily[[#This Row],[Date]]&gt;=DATE(2019,8,1),tbl_daily[[#This Row],[Date]]&lt;=DATE(2020,6,1)),"2019-2020")</f>
        <v>2019-2020</v>
      </c>
      <c r="T48" s="3" t="str">
        <f>IFERROR(INDEX(tbl_prof[Cohort of Interest],MATCH(tbl_daily[[#This Row],[CodeName]],tbl_prof[CodeName],0)),"")</f>
        <v>Youth</v>
      </c>
      <c r="U48" s="3" t="str">
        <f>IFERROR(AVERAGEIFS(tbl_perf[Grade],tbl_perf[CodeName],tbl_daily[[#This Row],[CodeName]],tbl_perf[Date],tbl_daily[[#This Row],[Date]]),"")</f>
        <v/>
      </c>
      <c r="V48" s="3">
        <f>IFERROR(IF(AND(tbl_daily[[#This Row],[Attendance (1 = Here, 0 = Not here)]]=1,tbl_daily[[#This Row],[Attended, but did not complete data]]&lt;&gt;1),1,IF(AND(tbl_daily[[#This Row],[Attendance (1 = Here, 0 = Not here)]]=1,tbl_daily[[#This Row],[Attended, but did not complete data]]=1),2,3)),"")</f>
        <v>1</v>
      </c>
      <c r="W48" s="3">
        <f>IF(AND(tbl_daily[[#This Row],[Attendance Refined]]=1,tbl_daily[[#This Row],[InjuryStatus]]="Full"),1,IF(AND(tbl_daily[[#This Row],[Attendance Refined]]=1,tbl_daily[[#This Row],[InjuryStatus]]="Limited"),2,IF(AND(tbl_daily[[#This Row],[Attendance Refined]]=1,tbl_daily[[#This Row],[InjuryStatus]]="Out"),3,"")))</f>
        <v>1</v>
      </c>
    </row>
    <row r="49" spans="1:23" ht="15" customHeight="1" x14ac:dyDescent="0.25">
      <c r="A49" s="1">
        <v>43888</v>
      </c>
      <c r="B49" t="s">
        <v>422</v>
      </c>
      <c r="C49">
        <v>1</v>
      </c>
      <c r="E49">
        <v>7</v>
      </c>
      <c r="F49">
        <v>8</v>
      </c>
      <c r="G49">
        <v>7</v>
      </c>
      <c r="H49" t="s">
        <v>32</v>
      </c>
      <c r="I49">
        <v>1</v>
      </c>
      <c r="J49">
        <v>6</v>
      </c>
      <c r="K49">
        <v>45</v>
      </c>
      <c r="L49">
        <v>3</v>
      </c>
      <c r="M49" t="s">
        <v>306</v>
      </c>
      <c r="N49" t="s">
        <v>307</v>
      </c>
      <c r="P49" s="3">
        <f>IFERROR(IF(AND(tbl_daily[[#This Row],[Attendance (1 = Here, 0 = Not here)]]=1,tbl_daily[[#This Row],[Attended, but did not complete data]]&lt;&gt;1),tbl_daily[[#This Row],[Stress]]+tbl_daily[[#This Row],[SleepQuality]]+tbl_daily[[#This Row],[Energy]],""),"")</f>
        <v>22</v>
      </c>
      <c r="Q49" s="3">
        <f>IFERROR(IF(AND(tbl_daily[[#This Row],[Attendance (1 = Here, 0 = Not here)]]=1,tbl_daily[[#This Row],[Attended, but did not complete data]]&lt;&gt;1),tbl_daily[[#This Row],[LatestRPE]]*tbl_daily[[#This Row],[LatestDuration]],""),"")</f>
        <v>270</v>
      </c>
      <c r="R49" s="3">
        <f>IF(tbl_daily[[#This Row],[CodeName]]&lt;&gt;"",1,"")</f>
        <v>1</v>
      </c>
      <c r="S49" s="3" t="str">
        <f>IF(AND(tbl_daily[[#This Row],[Date]]&gt;=DATE(2019,8,1),tbl_daily[[#This Row],[Date]]&lt;=DATE(2020,6,1)),"2019-2020")</f>
        <v>2019-2020</v>
      </c>
      <c r="T49" s="3" t="str">
        <f>IFERROR(INDEX(tbl_prof[Cohort of Interest],MATCH(tbl_daily[[#This Row],[CodeName]],tbl_prof[CodeName],0)),"")</f>
        <v>Athletes</v>
      </c>
      <c r="U49" s="3" t="str">
        <f>IFERROR(AVERAGEIFS(tbl_perf[Grade],tbl_perf[CodeName],tbl_daily[[#This Row],[CodeName]],tbl_perf[Date],tbl_daily[[#This Row],[Date]]),"")</f>
        <v/>
      </c>
      <c r="V49" s="3">
        <f>IFERROR(IF(AND(tbl_daily[[#This Row],[Attendance (1 = Here, 0 = Not here)]]=1,tbl_daily[[#This Row],[Attended, but did not complete data]]&lt;&gt;1),1,IF(AND(tbl_daily[[#This Row],[Attendance (1 = Here, 0 = Not here)]]=1,tbl_daily[[#This Row],[Attended, but did not complete data]]=1),2,3)),"")</f>
        <v>1</v>
      </c>
      <c r="W49" s="3">
        <f>IF(AND(tbl_daily[[#This Row],[Attendance Refined]]=1,tbl_daily[[#This Row],[InjuryStatus]]="Full"),1,IF(AND(tbl_daily[[#This Row],[Attendance Refined]]=1,tbl_daily[[#This Row],[InjuryStatus]]="Limited"),2,IF(AND(tbl_daily[[#This Row],[Attendance Refined]]=1,tbl_daily[[#This Row],[InjuryStatus]]="Out"),3,"")))</f>
        <v>2</v>
      </c>
    </row>
    <row r="50" spans="1:23" ht="15" customHeight="1" x14ac:dyDescent="0.25">
      <c r="A50" s="1">
        <v>43888</v>
      </c>
      <c r="B50" t="s">
        <v>432</v>
      </c>
      <c r="C50">
        <v>1</v>
      </c>
      <c r="E50">
        <v>9</v>
      </c>
      <c r="F50">
        <v>5</v>
      </c>
      <c r="G50">
        <v>5</v>
      </c>
      <c r="H50" t="s">
        <v>32</v>
      </c>
      <c r="I50">
        <v>1</v>
      </c>
      <c r="J50">
        <v>4</v>
      </c>
      <c r="K50">
        <v>70</v>
      </c>
      <c r="L50">
        <v>7</v>
      </c>
      <c r="M50" t="s">
        <v>306</v>
      </c>
      <c r="N50" t="s">
        <v>309</v>
      </c>
      <c r="P50" s="3">
        <f>IFERROR(IF(AND(tbl_daily[[#This Row],[Attendance (1 = Here, 0 = Not here)]]=1,tbl_daily[[#This Row],[Attended, but did not complete data]]&lt;&gt;1),tbl_daily[[#This Row],[Stress]]+tbl_daily[[#This Row],[SleepQuality]]+tbl_daily[[#This Row],[Energy]],""),"")</f>
        <v>19</v>
      </c>
      <c r="Q50" s="3">
        <f>IFERROR(IF(AND(tbl_daily[[#This Row],[Attendance (1 = Here, 0 = Not here)]]=1,tbl_daily[[#This Row],[Attended, but did not complete data]]&lt;&gt;1),tbl_daily[[#This Row],[LatestRPE]]*tbl_daily[[#This Row],[LatestDuration]],""),"")</f>
        <v>280</v>
      </c>
      <c r="R50" s="3">
        <f>IF(tbl_daily[[#This Row],[CodeName]]&lt;&gt;"",1,"")</f>
        <v>1</v>
      </c>
      <c r="S50" s="3" t="str">
        <f>IF(AND(tbl_daily[[#This Row],[Date]]&gt;=DATE(2019,8,1),tbl_daily[[#This Row],[Date]]&lt;=DATE(2020,6,1)),"2019-2020")</f>
        <v>2019-2020</v>
      </c>
      <c r="T50" s="3" t="str">
        <f>IFERROR(INDEX(tbl_prof[Cohort of Interest],MATCH(tbl_daily[[#This Row],[CodeName]],tbl_prof[CodeName],0)),"")</f>
        <v>Athletes</v>
      </c>
      <c r="U50" s="3" t="str">
        <f>IFERROR(AVERAGEIFS(tbl_perf[Grade],tbl_perf[CodeName],tbl_daily[[#This Row],[CodeName]],tbl_perf[Date],tbl_daily[[#This Row],[Date]]),"")</f>
        <v/>
      </c>
      <c r="V50" s="3">
        <f>IFERROR(IF(AND(tbl_daily[[#This Row],[Attendance (1 = Here, 0 = Not here)]]=1,tbl_daily[[#This Row],[Attended, but did not complete data]]&lt;&gt;1),1,IF(AND(tbl_daily[[#This Row],[Attendance (1 = Here, 0 = Not here)]]=1,tbl_daily[[#This Row],[Attended, but did not complete data]]=1),2,3)),"")</f>
        <v>1</v>
      </c>
      <c r="W50" s="3">
        <f>IF(AND(tbl_daily[[#This Row],[Attendance Refined]]=1,tbl_daily[[#This Row],[InjuryStatus]]="Full"),1,IF(AND(tbl_daily[[#This Row],[Attendance Refined]]=1,tbl_daily[[#This Row],[InjuryStatus]]="Limited"),2,IF(AND(tbl_daily[[#This Row],[Attendance Refined]]=1,tbl_daily[[#This Row],[InjuryStatus]]="Out"),3,"")))</f>
        <v>2</v>
      </c>
    </row>
    <row r="51" spans="1:23" ht="15" customHeight="1" x14ac:dyDescent="0.25">
      <c r="A51" s="1">
        <v>43888</v>
      </c>
      <c r="B51" t="s">
        <v>426</v>
      </c>
      <c r="C51">
        <v>1</v>
      </c>
      <c r="E51">
        <v>7</v>
      </c>
      <c r="F51">
        <v>7</v>
      </c>
      <c r="G51">
        <v>7</v>
      </c>
      <c r="H51" t="s">
        <v>15</v>
      </c>
      <c r="I51">
        <v>1</v>
      </c>
      <c r="J51">
        <v>5</v>
      </c>
      <c r="K51">
        <v>60</v>
      </c>
      <c r="L51">
        <v>6</v>
      </c>
      <c r="M51" t="s">
        <v>306</v>
      </c>
      <c r="N51" t="s">
        <v>308</v>
      </c>
      <c r="P51" s="3">
        <f>IFERROR(IF(AND(tbl_daily[[#This Row],[Attendance (1 = Here, 0 = Not here)]]=1,tbl_daily[[#This Row],[Attended, but did not complete data]]&lt;&gt;1),tbl_daily[[#This Row],[Stress]]+tbl_daily[[#This Row],[SleepQuality]]+tbl_daily[[#This Row],[Energy]],""),"")</f>
        <v>21</v>
      </c>
      <c r="Q51" s="3">
        <f>IFERROR(IF(AND(tbl_daily[[#This Row],[Attendance (1 = Here, 0 = Not here)]]=1,tbl_daily[[#This Row],[Attended, but did not complete data]]&lt;&gt;1),tbl_daily[[#This Row],[LatestRPE]]*tbl_daily[[#This Row],[LatestDuration]],""),"")</f>
        <v>300</v>
      </c>
      <c r="R51" s="3">
        <f>IF(tbl_daily[[#This Row],[CodeName]]&lt;&gt;"",1,"")</f>
        <v>1</v>
      </c>
      <c r="S51" s="3" t="str">
        <f>IF(AND(tbl_daily[[#This Row],[Date]]&gt;=DATE(2019,8,1),tbl_daily[[#This Row],[Date]]&lt;=DATE(2020,6,1)),"2019-2020")</f>
        <v>2019-2020</v>
      </c>
      <c r="T51" s="3" t="str">
        <f>IFERROR(INDEX(tbl_prof[Cohort of Interest],MATCH(tbl_daily[[#This Row],[CodeName]],tbl_prof[CodeName],0)),"")</f>
        <v>Special</v>
      </c>
      <c r="U51" s="3" t="str">
        <f>IFERROR(AVERAGEIFS(tbl_perf[Grade],tbl_perf[CodeName],tbl_daily[[#This Row],[CodeName]],tbl_perf[Date],tbl_daily[[#This Row],[Date]]),"")</f>
        <v/>
      </c>
      <c r="V51" s="3">
        <f>IFERROR(IF(AND(tbl_daily[[#This Row],[Attendance (1 = Here, 0 = Not here)]]=1,tbl_daily[[#This Row],[Attended, but did not complete data]]&lt;&gt;1),1,IF(AND(tbl_daily[[#This Row],[Attendance (1 = Here, 0 = Not here)]]=1,tbl_daily[[#This Row],[Attended, but did not complete data]]=1),2,3)),"")</f>
        <v>1</v>
      </c>
      <c r="W51" s="3">
        <f>IF(AND(tbl_daily[[#This Row],[Attendance Refined]]=1,tbl_daily[[#This Row],[InjuryStatus]]="Full"),1,IF(AND(tbl_daily[[#This Row],[Attendance Refined]]=1,tbl_daily[[#This Row],[InjuryStatus]]="Limited"),2,IF(AND(tbl_daily[[#This Row],[Attendance Refined]]=1,tbl_daily[[#This Row],[InjuryStatus]]="Out"),3,"")))</f>
        <v>1</v>
      </c>
    </row>
    <row r="52" spans="1:23" ht="15" customHeight="1" x14ac:dyDescent="0.25">
      <c r="A52" s="1">
        <v>43888</v>
      </c>
      <c r="B52" t="s">
        <v>439</v>
      </c>
      <c r="C52">
        <v>1</v>
      </c>
      <c r="E52">
        <v>7</v>
      </c>
      <c r="F52">
        <v>8</v>
      </c>
      <c r="G52">
        <v>7</v>
      </c>
      <c r="H52" t="s">
        <v>32</v>
      </c>
      <c r="I52">
        <v>1</v>
      </c>
      <c r="J52">
        <v>5</v>
      </c>
      <c r="K52">
        <v>60</v>
      </c>
      <c r="L52">
        <v>10</v>
      </c>
      <c r="M52" t="s">
        <v>306</v>
      </c>
      <c r="N52" t="s">
        <v>309</v>
      </c>
      <c r="P52" s="3">
        <f>IFERROR(IF(AND(tbl_daily[[#This Row],[Attendance (1 = Here, 0 = Not here)]]=1,tbl_daily[[#This Row],[Attended, but did not complete data]]&lt;&gt;1),tbl_daily[[#This Row],[Stress]]+tbl_daily[[#This Row],[SleepQuality]]+tbl_daily[[#This Row],[Energy]],""),"")</f>
        <v>22</v>
      </c>
      <c r="Q52" s="3">
        <f>IFERROR(IF(AND(tbl_daily[[#This Row],[Attendance (1 = Here, 0 = Not here)]]=1,tbl_daily[[#This Row],[Attended, but did not complete data]]&lt;&gt;1),tbl_daily[[#This Row],[LatestRPE]]*tbl_daily[[#This Row],[LatestDuration]],""),"")</f>
        <v>300</v>
      </c>
      <c r="R52" s="3">
        <f>IF(tbl_daily[[#This Row],[CodeName]]&lt;&gt;"",1,"")</f>
        <v>1</v>
      </c>
      <c r="S52" s="3" t="str">
        <f>IF(AND(tbl_daily[[#This Row],[Date]]&gt;=DATE(2019,8,1),tbl_daily[[#This Row],[Date]]&lt;=DATE(2020,6,1)),"2019-2020")</f>
        <v>2019-2020</v>
      </c>
      <c r="T52" s="3" t="str">
        <f>IFERROR(INDEX(tbl_prof[Cohort of Interest],MATCH(tbl_daily[[#This Row],[CodeName]],tbl_prof[CodeName],0)),"")</f>
        <v>Special</v>
      </c>
      <c r="U52" s="3" t="str">
        <f>IFERROR(AVERAGEIFS(tbl_perf[Grade],tbl_perf[CodeName],tbl_daily[[#This Row],[CodeName]],tbl_perf[Date],tbl_daily[[#This Row],[Date]]),"")</f>
        <v/>
      </c>
      <c r="V52" s="3">
        <f>IFERROR(IF(AND(tbl_daily[[#This Row],[Attendance (1 = Here, 0 = Not here)]]=1,tbl_daily[[#This Row],[Attended, but did not complete data]]&lt;&gt;1),1,IF(AND(tbl_daily[[#This Row],[Attendance (1 = Here, 0 = Not here)]]=1,tbl_daily[[#This Row],[Attended, but did not complete data]]=1),2,3)),"")</f>
        <v>1</v>
      </c>
      <c r="W52" s="3">
        <f>IF(AND(tbl_daily[[#This Row],[Attendance Refined]]=1,tbl_daily[[#This Row],[InjuryStatus]]="Full"),1,IF(AND(tbl_daily[[#This Row],[Attendance Refined]]=1,tbl_daily[[#This Row],[InjuryStatus]]="Limited"),2,IF(AND(tbl_daily[[#This Row],[Attendance Refined]]=1,tbl_daily[[#This Row],[InjuryStatus]]="Out"),3,"")))</f>
        <v>2</v>
      </c>
    </row>
    <row r="53" spans="1:23" ht="15" customHeight="1" x14ac:dyDescent="0.25">
      <c r="A53" s="1">
        <v>43888</v>
      </c>
      <c r="B53" t="s">
        <v>413</v>
      </c>
      <c r="C53">
        <v>1</v>
      </c>
      <c r="E53">
        <v>5</v>
      </c>
      <c r="F53">
        <v>4</v>
      </c>
      <c r="G53">
        <v>4</v>
      </c>
      <c r="H53" t="s">
        <v>15</v>
      </c>
      <c r="I53">
        <v>1</v>
      </c>
      <c r="J53">
        <v>8</v>
      </c>
      <c r="K53">
        <v>40</v>
      </c>
      <c r="L53">
        <v>5</v>
      </c>
      <c r="M53" t="s">
        <v>306</v>
      </c>
      <c r="N53" t="s">
        <v>308</v>
      </c>
      <c r="P53" s="3">
        <f>IFERROR(IF(AND(tbl_daily[[#This Row],[Attendance (1 = Here, 0 = Not here)]]=1,tbl_daily[[#This Row],[Attended, but did not complete data]]&lt;&gt;1),tbl_daily[[#This Row],[Stress]]+tbl_daily[[#This Row],[SleepQuality]]+tbl_daily[[#This Row],[Energy]],""),"")</f>
        <v>13</v>
      </c>
      <c r="Q53" s="3">
        <f>IFERROR(IF(AND(tbl_daily[[#This Row],[Attendance (1 = Here, 0 = Not here)]]=1,tbl_daily[[#This Row],[Attended, but did not complete data]]&lt;&gt;1),tbl_daily[[#This Row],[LatestRPE]]*tbl_daily[[#This Row],[LatestDuration]],""),"")</f>
        <v>320</v>
      </c>
      <c r="R53" s="3">
        <f>IF(tbl_daily[[#This Row],[CodeName]]&lt;&gt;"",1,"")</f>
        <v>1</v>
      </c>
      <c r="S53" s="3" t="str">
        <f>IF(AND(tbl_daily[[#This Row],[Date]]&gt;=DATE(2019,8,1),tbl_daily[[#This Row],[Date]]&lt;=DATE(2020,6,1)),"2019-2020")</f>
        <v>2019-2020</v>
      </c>
      <c r="T53" s="3" t="str">
        <f>IFERROR(INDEX(tbl_prof[Cohort of Interest],MATCH(tbl_daily[[#This Row],[CodeName]],tbl_prof[CodeName],0)),"")</f>
        <v>Youth</v>
      </c>
      <c r="U53" s="3" t="str">
        <f>IFERROR(AVERAGEIFS(tbl_perf[Grade],tbl_perf[CodeName],tbl_daily[[#This Row],[CodeName]],tbl_perf[Date],tbl_daily[[#This Row],[Date]]),"")</f>
        <v/>
      </c>
      <c r="V53" s="3">
        <f>IFERROR(IF(AND(tbl_daily[[#This Row],[Attendance (1 = Here, 0 = Not here)]]=1,tbl_daily[[#This Row],[Attended, but did not complete data]]&lt;&gt;1),1,IF(AND(tbl_daily[[#This Row],[Attendance (1 = Here, 0 = Not here)]]=1,tbl_daily[[#This Row],[Attended, but did not complete data]]=1),2,3)),"")</f>
        <v>1</v>
      </c>
      <c r="W53" s="3">
        <f>IF(AND(tbl_daily[[#This Row],[Attendance Refined]]=1,tbl_daily[[#This Row],[InjuryStatus]]="Full"),1,IF(AND(tbl_daily[[#This Row],[Attendance Refined]]=1,tbl_daily[[#This Row],[InjuryStatus]]="Limited"),2,IF(AND(tbl_daily[[#This Row],[Attendance Refined]]=1,tbl_daily[[#This Row],[InjuryStatus]]="Out"),3,"")))</f>
        <v>1</v>
      </c>
    </row>
    <row r="54" spans="1:23" ht="15" customHeight="1" x14ac:dyDescent="0.25">
      <c r="A54" s="1">
        <v>43888</v>
      </c>
      <c r="B54" t="s">
        <v>424</v>
      </c>
      <c r="C54">
        <v>1</v>
      </c>
      <c r="E54">
        <v>5</v>
      </c>
      <c r="F54">
        <v>8</v>
      </c>
      <c r="G54">
        <v>7</v>
      </c>
      <c r="H54" t="s">
        <v>15</v>
      </c>
      <c r="I54">
        <v>1</v>
      </c>
      <c r="J54">
        <v>8</v>
      </c>
      <c r="K54">
        <v>45</v>
      </c>
      <c r="L54">
        <v>7</v>
      </c>
      <c r="M54" t="s">
        <v>306</v>
      </c>
      <c r="N54" t="s">
        <v>308</v>
      </c>
      <c r="P54" s="3">
        <f>IFERROR(IF(AND(tbl_daily[[#This Row],[Attendance (1 = Here, 0 = Not here)]]=1,tbl_daily[[#This Row],[Attended, but did not complete data]]&lt;&gt;1),tbl_daily[[#This Row],[Stress]]+tbl_daily[[#This Row],[SleepQuality]]+tbl_daily[[#This Row],[Energy]],""),"")</f>
        <v>20</v>
      </c>
      <c r="Q54" s="3">
        <f>IFERROR(IF(AND(tbl_daily[[#This Row],[Attendance (1 = Here, 0 = Not here)]]=1,tbl_daily[[#This Row],[Attended, but did not complete data]]&lt;&gt;1),tbl_daily[[#This Row],[LatestRPE]]*tbl_daily[[#This Row],[LatestDuration]],""),"")</f>
        <v>360</v>
      </c>
      <c r="R54" s="3">
        <f>IF(tbl_daily[[#This Row],[CodeName]]&lt;&gt;"",1,"")</f>
        <v>1</v>
      </c>
      <c r="S54" s="3" t="str">
        <f>IF(AND(tbl_daily[[#This Row],[Date]]&gt;=DATE(2019,8,1),tbl_daily[[#This Row],[Date]]&lt;=DATE(2020,6,1)),"2019-2020")</f>
        <v>2019-2020</v>
      </c>
      <c r="T54" s="3" t="str">
        <f>IFERROR(INDEX(tbl_prof[Cohort of Interest],MATCH(tbl_daily[[#This Row],[CodeName]],tbl_prof[CodeName],0)),"")</f>
        <v>Special</v>
      </c>
      <c r="U54" s="3" t="str">
        <f>IFERROR(AVERAGEIFS(tbl_perf[Grade],tbl_perf[CodeName],tbl_daily[[#This Row],[CodeName]],tbl_perf[Date],tbl_daily[[#This Row],[Date]]),"")</f>
        <v/>
      </c>
      <c r="V54" s="3">
        <f>IFERROR(IF(AND(tbl_daily[[#This Row],[Attendance (1 = Here, 0 = Not here)]]=1,tbl_daily[[#This Row],[Attended, but did not complete data]]&lt;&gt;1),1,IF(AND(tbl_daily[[#This Row],[Attendance (1 = Here, 0 = Not here)]]=1,tbl_daily[[#This Row],[Attended, but did not complete data]]=1),2,3)),"")</f>
        <v>1</v>
      </c>
      <c r="W54" s="3">
        <f>IF(AND(tbl_daily[[#This Row],[Attendance Refined]]=1,tbl_daily[[#This Row],[InjuryStatus]]="Full"),1,IF(AND(tbl_daily[[#This Row],[Attendance Refined]]=1,tbl_daily[[#This Row],[InjuryStatus]]="Limited"),2,IF(AND(tbl_daily[[#This Row],[Attendance Refined]]=1,tbl_daily[[#This Row],[InjuryStatus]]="Out"),3,"")))</f>
        <v>1</v>
      </c>
    </row>
    <row r="55" spans="1:23" ht="15" customHeight="1" x14ac:dyDescent="0.25">
      <c r="A55" s="1">
        <v>43888</v>
      </c>
      <c r="B55" t="s">
        <v>431</v>
      </c>
      <c r="C55">
        <v>1</v>
      </c>
      <c r="E55">
        <v>8</v>
      </c>
      <c r="F55">
        <v>5</v>
      </c>
      <c r="G55">
        <v>7</v>
      </c>
      <c r="H55" t="s">
        <v>15</v>
      </c>
      <c r="I55">
        <v>1</v>
      </c>
      <c r="J55">
        <v>6</v>
      </c>
      <c r="K55">
        <v>60</v>
      </c>
      <c r="L55">
        <v>5</v>
      </c>
      <c r="M55" t="s">
        <v>306</v>
      </c>
      <c r="N55" t="s">
        <v>309</v>
      </c>
      <c r="P55" s="3">
        <f>IFERROR(IF(AND(tbl_daily[[#This Row],[Attendance (1 = Here, 0 = Not here)]]=1,tbl_daily[[#This Row],[Attended, but did not complete data]]&lt;&gt;1),tbl_daily[[#This Row],[Stress]]+tbl_daily[[#This Row],[SleepQuality]]+tbl_daily[[#This Row],[Energy]],""),"")</f>
        <v>20</v>
      </c>
      <c r="Q55" s="3">
        <f>IFERROR(IF(AND(tbl_daily[[#This Row],[Attendance (1 = Here, 0 = Not here)]]=1,tbl_daily[[#This Row],[Attended, but did not complete data]]&lt;&gt;1),tbl_daily[[#This Row],[LatestRPE]]*tbl_daily[[#This Row],[LatestDuration]],""),"")</f>
        <v>360</v>
      </c>
      <c r="R55" s="3">
        <f>IF(tbl_daily[[#This Row],[CodeName]]&lt;&gt;"",1,"")</f>
        <v>1</v>
      </c>
      <c r="S55" s="3" t="str">
        <f>IF(AND(tbl_daily[[#This Row],[Date]]&gt;=DATE(2019,8,1),tbl_daily[[#This Row],[Date]]&lt;=DATE(2020,6,1)),"2019-2020")</f>
        <v>2019-2020</v>
      </c>
      <c r="T55" s="3" t="str">
        <f>IFERROR(INDEX(tbl_prof[Cohort of Interest],MATCH(tbl_daily[[#This Row],[CodeName]],tbl_prof[CodeName],0)),"")</f>
        <v>Special</v>
      </c>
      <c r="U55" s="3" t="str">
        <f>IFERROR(AVERAGEIFS(tbl_perf[Grade],tbl_perf[CodeName],tbl_daily[[#This Row],[CodeName]],tbl_perf[Date],tbl_daily[[#This Row],[Date]]),"")</f>
        <v/>
      </c>
      <c r="V55" s="3">
        <f>IFERROR(IF(AND(tbl_daily[[#This Row],[Attendance (1 = Here, 0 = Not here)]]=1,tbl_daily[[#This Row],[Attended, but did not complete data]]&lt;&gt;1),1,IF(AND(tbl_daily[[#This Row],[Attendance (1 = Here, 0 = Not here)]]=1,tbl_daily[[#This Row],[Attended, but did not complete data]]=1),2,3)),"")</f>
        <v>1</v>
      </c>
      <c r="W55" s="3">
        <f>IF(AND(tbl_daily[[#This Row],[Attendance Refined]]=1,tbl_daily[[#This Row],[InjuryStatus]]="Full"),1,IF(AND(tbl_daily[[#This Row],[Attendance Refined]]=1,tbl_daily[[#This Row],[InjuryStatus]]="Limited"),2,IF(AND(tbl_daily[[#This Row],[Attendance Refined]]=1,tbl_daily[[#This Row],[InjuryStatus]]="Out"),3,"")))</f>
        <v>1</v>
      </c>
    </row>
    <row r="56" spans="1:23" ht="15" customHeight="1" x14ac:dyDescent="0.25">
      <c r="A56" s="1">
        <v>43888</v>
      </c>
      <c r="B56" t="s">
        <v>417</v>
      </c>
      <c r="C56">
        <v>1</v>
      </c>
      <c r="E56">
        <v>9</v>
      </c>
      <c r="F56">
        <v>7</v>
      </c>
      <c r="G56">
        <v>7</v>
      </c>
      <c r="H56" t="s">
        <v>15</v>
      </c>
      <c r="I56">
        <v>1</v>
      </c>
      <c r="J56">
        <v>7</v>
      </c>
      <c r="K56">
        <v>60</v>
      </c>
      <c r="L56">
        <v>9</v>
      </c>
      <c r="M56" t="s">
        <v>306</v>
      </c>
      <c r="N56" t="s">
        <v>308</v>
      </c>
      <c r="P56" s="3">
        <f>IFERROR(IF(AND(tbl_daily[[#This Row],[Attendance (1 = Here, 0 = Not here)]]=1,tbl_daily[[#This Row],[Attended, but did not complete data]]&lt;&gt;1),tbl_daily[[#This Row],[Stress]]+tbl_daily[[#This Row],[SleepQuality]]+tbl_daily[[#This Row],[Energy]],""),"")</f>
        <v>23</v>
      </c>
      <c r="Q56" s="3">
        <f>IFERROR(IF(AND(tbl_daily[[#This Row],[Attendance (1 = Here, 0 = Not here)]]=1,tbl_daily[[#This Row],[Attended, but did not complete data]]&lt;&gt;1),tbl_daily[[#This Row],[LatestRPE]]*tbl_daily[[#This Row],[LatestDuration]],""),"")</f>
        <v>420</v>
      </c>
      <c r="R56" s="3">
        <f>IF(tbl_daily[[#This Row],[CodeName]]&lt;&gt;"",1,"")</f>
        <v>1</v>
      </c>
      <c r="S56" s="3" t="str">
        <f>IF(AND(tbl_daily[[#This Row],[Date]]&gt;=DATE(2019,8,1),tbl_daily[[#This Row],[Date]]&lt;=DATE(2020,6,1)),"2019-2020")</f>
        <v>2019-2020</v>
      </c>
      <c r="T56" s="3" t="str">
        <f>IFERROR(INDEX(tbl_prof[Cohort of Interest],MATCH(tbl_daily[[#This Row],[CodeName]],tbl_prof[CodeName],0)),"")</f>
        <v>Gen Pop</v>
      </c>
      <c r="U56" s="3" t="str">
        <f>IFERROR(AVERAGEIFS(tbl_perf[Grade],tbl_perf[CodeName],tbl_daily[[#This Row],[CodeName]],tbl_perf[Date],tbl_daily[[#This Row],[Date]]),"")</f>
        <v/>
      </c>
      <c r="V56" s="3">
        <f>IFERROR(IF(AND(tbl_daily[[#This Row],[Attendance (1 = Here, 0 = Not here)]]=1,tbl_daily[[#This Row],[Attended, but did not complete data]]&lt;&gt;1),1,IF(AND(tbl_daily[[#This Row],[Attendance (1 = Here, 0 = Not here)]]=1,tbl_daily[[#This Row],[Attended, but did not complete data]]=1),2,3)),"")</f>
        <v>1</v>
      </c>
      <c r="W56" s="3">
        <f>IF(AND(tbl_daily[[#This Row],[Attendance Refined]]=1,tbl_daily[[#This Row],[InjuryStatus]]="Full"),1,IF(AND(tbl_daily[[#This Row],[Attendance Refined]]=1,tbl_daily[[#This Row],[InjuryStatus]]="Limited"),2,IF(AND(tbl_daily[[#This Row],[Attendance Refined]]=1,tbl_daily[[#This Row],[InjuryStatus]]="Out"),3,"")))</f>
        <v>1</v>
      </c>
    </row>
    <row r="57" spans="1:23" ht="15" customHeight="1" x14ac:dyDescent="0.25">
      <c r="A57" s="1">
        <v>43888</v>
      </c>
      <c r="B57" t="s">
        <v>427</v>
      </c>
      <c r="C57">
        <v>1</v>
      </c>
      <c r="E57">
        <v>7</v>
      </c>
      <c r="F57">
        <v>6</v>
      </c>
      <c r="G57">
        <v>6</v>
      </c>
      <c r="H57" t="s">
        <v>15</v>
      </c>
      <c r="I57">
        <v>1</v>
      </c>
      <c r="J57">
        <v>7</v>
      </c>
      <c r="K57">
        <v>60</v>
      </c>
      <c r="L57">
        <v>6</v>
      </c>
      <c r="M57" t="s">
        <v>306</v>
      </c>
      <c r="N57" t="s">
        <v>308</v>
      </c>
      <c r="P57" s="3">
        <f>IFERROR(IF(AND(tbl_daily[[#This Row],[Attendance (1 = Here, 0 = Not here)]]=1,tbl_daily[[#This Row],[Attended, but did not complete data]]&lt;&gt;1),tbl_daily[[#This Row],[Stress]]+tbl_daily[[#This Row],[SleepQuality]]+tbl_daily[[#This Row],[Energy]],""),"")</f>
        <v>19</v>
      </c>
      <c r="Q57" s="3">
        <f>IFERROR(IF(AND(tbl_daily[[#This Row],[Attendance (1 = Here, 0 = Not here)]]=1,tbl_daily[[#This Row],[Attended, but did not complete data]]&lt;&gt;1),tbl_daily[[#This Row],[LatestRPE]]*tbl_daily[[#This Row],[LatestDuration]],""),"")</f>
        <v>420</v>
      </c>
      <c r="R57" s="3">
        <f>IF(tbl_daily[[#This Row],[CodeName]]&lt;&gt;"",1,"")</f>
        <v>1</v>
      </c>
      <c r="S57" s="3" t="str">
        <f>IF(AND(tbl_daily[[#This Row],[Date]]&gt;=DATE(2019,8,1),tbl_daily[[#This Row],[Date]]&lt;=DATE(2020,6,1)),"2019-2020")</f>
        <v>2019-2020</v>
      </c>
      <c r="T57" s="3" t="str">
        <f>IFERROR(INDEX(tbl_prof[Cohort of Interest],MATCH(tbl_daily[[#This Row],[CodeName]],tbl_prof[CodeName],0)),"")</f>
        <v>Special</v>
      </c>
      <c r="U57" s="3" t="str">
        <f>IFERROR(AVERAGEIFS(tbl_perf[Grade],tbl_perf[CodeName],tbl_daily[[#This Row],[CodeName]],tbl_perf[Date],tbl_daily[[#This Row],[Date]]),"")</f>
        <v/>
      </c>
      <c r="V57" s="3">
        <f>IFERROR(IF(AND(tbl_daily[[#This Row],[Attendance (1 = Here, 0 = Not here)]]=1,tbl_daily[[#This Row],[Attended, but did not complete data]]&lt;&gt;1),1,IF(AND(tbl_daily[[#This Row],[Attendance (1 = Here, 0 = Not here)]]=1,tbl_daily[[#This Row],[Attended, but did not complete data]]=1),2,3)),"")</f>
        <v>1</v>
      </c>
      <c r="W57" s="3">
        <f>IF(AND(tbl_daily[[#This Row],[Attendance Refined]]=1,tbl_daily[[#This Row],[InjuryStatus]]="Full"),1,IF(AND(tbl_daily[[#This Row],[Attendance Refined]]=1,tbl_daily[[#This Row],[InjuryStatus]]="Limited"),2,IF(AND(tbl_daily[[#This Row],[Attendance Refined]]=1,tbl_daily[[#This Row],[InjuryStatus]]="Out"),3,"")))</f>
        <v>1</v>
      </c>
    </row>
    <row r="58" spans="1:23" ht="15" customHeight="1" x14ac:dyDescent="0.25">
      <c r="A58" s="1">
        <v>43888</v>
      </c>
      <c r="B58" t="s">
        <v>435</v>
      </c>
      <c r="C58">
        <v>1</v>
      </c>
      <c r="E58">
        <v>7</v>
      </c>
      <c r="F58">
        <v>8</v>
      </c>
      <c r="G58">
        <v>6</v>
      </c>
      <c r="H58" t="s">
        <v>15</v>
      </c>
      <c r="I58">
        <v>1</v>
      </c>
      <c r="J58">
        <v>7</v>
      </c>
      <c r="K58">
        <v>60</v>
      </c>
      <c r="L58">
        <v>10</v>
      </c>
      <c r="M58" t="s">
        <v>306</v>
      </c>
      <c r="N58" t="s">
        <v>308</v>
      </c>
      <c r="P58" s="3">
        <f>IFERROR(IF(AND(tbl_daily[[#This Row],[Attendance (1 = Here, 0 = Not here)]]=1,tbl_daily[[#This Row],[Attended, but did not complete data]]&lt;&gt;1),tbl_daily[[#This Row],[Stress]]+tbl_daily[[#This Row],[SleepQuality]]+tbl_daily[[#This Row],[Energy]],""),"")</f>
        <v>21</v>
      </c>
      <c r="Q58" s="3">
        <f>IFERROR(IF(AND(tbl_daily[[#This Row],[Attendance (1 = Here, 0 = Not here)]]=1,tbl_daily[[#This Row],[Attended, but did not complete data]]&lt;&gt;1),tbl_daily[[#This Row],[LatestRPE]]*tbl_daily[[#This Row],[LatestDuration]],""),"")</f>
        <v>420</v>
      </c>
      <c r="R58" s="3">
        <f>IF(tbl_daily[[#This Row],[CodeName]]&lt;&gt;"",1,"")</f>
        <v>1</v>
      </c>
      <c r="S58" s="3" t="str">
        <f>IF(AND(tbl_daily[[#This Row],[Date]]&gt;=DATE(2019,8,1),tbl_daily[[#This Row],[Date]]&lt;=DATE(2020,6,1)),"2019-2020")</f>
        <v>2019-2020</v>
      </c>
      <c r="T58" s="3" t="str">
        <f>IFERROR(INDEX(tbl_prof[Cohort of Interest],MATCH(tbl_daily[[#This Row],[CodeName]],tbl_prof[CodeName],0)),"")</f>
        <v>Athletes</v>
      </c>
      <c r="U58" s="3" t="str">
        <f>IFERROR(AVERAGEIFS(tbl_perf[Grade],tbl_perf[CodeName],tbl_daily[[#This Row],[CodeName]],tbl_perf[Date],tbl_daily[[#This Row],[Date]]),"")</f>
        <v/>
      </c>
      <c r="V58" s="3">
        <f>IFERROR(IF(AND(tbl_daily[[#This Row],[Attendance (1 = Here, 0 = Not here)]]=1,tbl_daily[[#This Row],[Attended, but did not complete data]]&lt;&gt;1),1,IF(AND(tbl_daily[[#This Row],[Attendance (1 = Here, 0 = Not here)]]=1,tbl_daily[[#This Row],[Attended, but did not complete data]]=1),2,3)),"")</f>
        <v>1</v>
      </c>
      <c r="W58" s="3">
        <f>IF(AND(tbl_daily[[#This Row],[Attendance Refined]]=1,tbl_daily[[#This Row],[InjuryStatus]]="Full"),1,IF(AND(tbl_daily[[#This Row],[Attendance Refined]]=1,tbl_daily[[#This Row],[InjuryStatus]]="Limited"),2,IF(AND(tbl_daily[[#This Row],[Attendance Refined]]=1,tbl_daily[[#This Row],[InjuryStatus]]="Out"),3,"")))</f>
        <v>1</v>
      </c>
    </row>
    <row r="59" spans="1:23" ht="15" customHeight="1" x14ac:dyDescent="0.25">
      <c r="A59" s="1">
        <v>43888</v>
      </c>
      <c r="B59" t="s">
        <v>434</v>
      </c>
      <c r="C59">
        <v>1</v>
      </c>
      <c r="E59">
        <v>5</v>
      </c>
      <c r="F59">
        <v>8</v>
      </c>
      <c r="G59">
        <v>7</v>
      </c>
      <c r="H59" t="s">
        <v>15</v>
      </c>
      <c r="I59">
        <v>1</v>
      </c>
      <c r="J59">
        <v>8</v>
      </c>
      <c r="K59">
        <v>60</v>
      </c>
      <c r="L59">
        <v>7</v>
      </c>
      <c r="M59" t="s">
        <v>306</v>
      </c>
      <c r="N59" t="s">
        <v>308</v>
      </c>
      <c r="P59" s="3">
        <f>IFERROR(IF(AND(tbl_daily[[#This Row],[Attendance (1 = Here, 0 = Not here)]]=1,tbl_daily[[#This Row],[Attended, but did not complete data]]&lt;&gt;1),tbl_daily[[#This Row],[Stress]]+tbl_daily[[#This Row],[SleepQuality]]+tbl_daily[[#This Row],[Energy]],""),"")</f>
        <v>20</v>
      </c>
      <c r="Q59" s="3">
        <f>IFERROR(IF(AND(tbl_daily[[#This Row],[Attendance (1 = Here, 0 = Not here)]]=1,tbl_daily[[#This Row],[Attended, but did not complete data]]&lt;&gt;1),tbl_daily[[#This Row],[LatestRPE]]*tbl_daily[[#This Row],[LatestDuration]],""),"")</f>
        <v>480</v>
      </c>
      <c r="R59" s="3">
        <f>IF(tbl_daily[[#This Row],[CodeName]]&lt;&gt;"",1,"")</f>
        <v>1</v>
      </c>
      <c r="S59" s="3" t="str">
        <f>IF(AND(tbl_daily[[#This Row],[Date]]&gt;=DATE(2019,8,1),tbl_daily[[#This Row],[Date]]&lt;=DATE(2020,6,1)),"2019-2020")</f>
        <v>2019-2020</v>
      </c>
      <c r="T59" s="3" t="str">
        <f>IFERROR(INDEX(tbl_prof[Cohort of Interest],MATCH(tbl_daily[[#This Row],[CodeName]],tbl_prof[CodeName],0)),"")</f>
        <v>Athletes</v>
      </c>
      <c r="U59" s="3" t="str">
        <f>IFERROR(AVERAGEIFS(tbl_perf[Grade],tbl_perf[CodeName],tbl_daily[[#This Row],[CodeName]],tbl_perf[Date],tbl_daily[[#This Row],[Date]]),"")</f>
        <v/>
      </c>
      <c r="V59" s="3">
        <f>IFERROR(IF(AND(tbl_daily[[#This Row],[Attendance (1 = Here, 0 = Not here)]]=1,tbl_daily[[#This Row],[Attended, but did not complete data]]&lt;&gt;1),1,IF(AND(tbl_daily[[#This Row],[Attendance (1 = Here, 0 = Not here)]]=1,tbl_daily[[#This Row],[Attended, but did not complete data]]=1),2,3)),"")</f>
        <v>1</v>
      </c>
      <c r="W59" s="3">
        <f>IF(AND(tbl_daily[[#This Row],[Attendance Refined]]=1,tbl_daily[[#This Row],[InjuryStatus]]="Full"),1,IF(AND(tbl_daily[[#This Row],[Attendance Refined]]=1,tbl_daily[[#This Row],[InjuryStatus]]="Limited"),2,IF(AND(tbl_daily[[#This Row],[Attendance Refined]]=1,tbl_daily[[#This Row],[InjuryStatus]]="Out"),3,"")))</f>
        <v>1</v>
      </c>
    </row>
    <row r="60" spans="1:23" ht="15" customHeight="1" x14ac:dyDescent="0.25">
      <c r="A60" s="1">
        <v>43888</v>
      </c>
      <c r="B60" t="s">
        <v>433</v>
      </c>
      <c r="C60">
        <v>1</v>
      </c>
      <c r="E60">
        <v>7</v>
      </c>
      <c r="F60">
        <v>7</v>
      </c>
      <c r="G60">
        <v>7</v>
      </c>
      <c r="H60" t="s">
        <v>32</v>
      </c>
      <c r="I60">
        <v>1</v>
      </c>
      <c r="J60">
        <v>7</v>
      </c>
      <c r="K60">
        <v>75</v>
      </c>
      <c r="L60">
        <v>8</v>
      </c>
      <c r="M60" t="s">
        <v>306</v>
      </c>
      <c r="N60" t="s">
        <v>310</v>
      </c>
      <c r="P60" s="3">
        <f>IFERROR(IF(AND(tbl_daily[[#This Row],[Attendance (1 = Here, 0 = Not here)]]=1,tbl_daily[[#This Row],[Attended, but did not complete data]]&lt;&gt;1),tbl_daily[[#This Row],[Stress]]+tbl_daily[[#This Row],[SleepQuality]]+tbl_daily[[#This Row],[Energy]],""),"")</f>
        <v>21</v>
      </c>
      <c r="Q60" s="3">
        <f>IFERROR(IF(AND(tbl_daily[[#This Row],[Attendance (1 = Here, 0 = Not here)]]=1,tbl_daily[[#This Row],[Attended, but did not complete data]]&lt;&gt;1),tbl_daily[[#This Row],[LatestRPE]]*tbl_daily[[#This Row],[LatestDuration]],""),"")</f>
        <v>525</v>
      </c>
      <c r="R60" s="3">
        <f>IF(tbl_daily[[#This Row],[CodeName]]&lt;&gt;"",1,"")</f>
        <v>1</v>
      </c>
      <c r="S60" s="3" t="str">
        <f>IF(AND(tbl_daily[[#This Row],[Date]]&gt;=DATE(2019,8,1),tbl_daily[[#This Row],[Date]]&lt;=DATE(2020,6,1)),"2019-2020")</f>
        <v>2019-2020</v>
      </c>
      <c r="T60" s="3" t="str">
        <f>IFERROR(INDEX(tbl_prof[Cohort of Interest],MATCH(tbl_daily[[#This Row],[CodeName]],tbl_prof[CodeName],0)),"")</f>
        <v>Athletes</v>
      </c>
      <c r="U60" s="3" t="str">
        <f>IFERROR(AVERAGEIFS(tbl_perf[Grade],tbl_perf[CodeName],tbl_daily[[#This Row],[CodeName]],tbl_perf[Date],tbl_daily[[#This Row],[Date]]),"")</f>
        <v/>
      </c>
      <c r="V60" s="3">
        <f>IFERROR(IF(AND(tbl_daily[[#This Row],[Attendance (1 = Here, 0 = Not here)]]=1,tbl_daily[[#This Row],[Attended, but did not complete data]]&lt;&gt;1),1,IF(AND(tbl_daily[[#This Row],[Attendance (1 = Here, 0 = Not here)]]=1,tbl_daily[[#This Row],[Attended, but did not complete data]]=1),2,3)),"")</f>
        <v>1</v>
      </c>
      <c r="W60" s="3">
        <f>IF(AND(tbl_daily[[#This Row],[Attendance Refined]]=1,tbl_daily[[#This Row],[InjuryStatus]]="Full"),1,IF(AND(tbl_daily[[#This Row],[Attendance Refined]]=1,tbl_daily[[#This Row],[InjuryStatus]]="Limited"),2,IF(AND(tbl_daily[[#This Row],[Attendance Refined]]=1,tbl_daily[[#This Row],[InjuryStatus]]="Out"),3,"")))</f>
        <v>2</v>
      </c>
    </row>
    <row r="61" spans="1:23" ht="15" customHeight="1" x14ac:dyDescent="0.25">
      <c r="A61" s="1">
        <v>43888</v>
      </c>
      <c r="B61" t="s">
        <v>411</v>
      </c>
      <c r="C61">
        <v>1</v>
      </c>
      <c r="E61">
        <v>4</v>
      </c>
      <c r="F61">
        <v>7</v>
      </c>
      <c r="G61">
        <v>7</v>
      </c>
      <c r="H61" t="s">
        <v>32</v>
      </c>
      <c r="I61">
        <v>1</v>
      </c>
      <c r="J61">
        <v>7</v>
      </c>
      <c r="K61">
        <v>80</v>
      </c>
      <c r="L61">
        <v>5</v>
      </c>
      <c r="M61" t="s">
        <v>306</v>
      </c>
      <c r="N61" t="s">
        <v>307</v>
      </c>
      <c r="P61" s="3">
        <f>IFERROR(IF(AND(tbl_daily[[#This Row],[Attendance (1 = Here, 0 = Not here)]]=1,tbl_daily[[#This Row],[Attended, but did not complete data]]&lt;&gt;1),tbl_daily[[#This Row],[Stress]]+tbl_daily[[#This Row],[SleepQuality]]+tbl_daily[[#This Row],[Energy]],""),"")</f>
        <v>18</v>
      </c>
      <c r="Q61" s="3">
        <f>IFERROR(IF(AND(tbl_daily[[#This Row],[Attendance (1 = Here, 0 = Not here)]]=1,tbl_daily[[#This Row],[Attended, but did not complete data]]&lt;&gt;1),tbl_daily[[#This Row],[LatestRPE]]*tbl_daily[[#This Row],[LatestDuration]],""),"")</f>
        <v>560</v>
      </c>
      <c r="R61" s="3">
        <f>IF(tbl_daily[[#This Row],[CodeName]]&lt;&gt;"",1,"")</f>
        <v>1</v>
      </c>
      <c r="S61" s="3" t="str">
        <f>IF(AND(tbl_daily[[#This Row],[Date]]&gt;=DATE(2019,8,1),tbl_daily[[#This Row],[Date]]&lt;=DATE(2020,6,1)),"2019-2020")</f>
        <v>2019-2020</v>
      </c>
      <c r="T61" s="3" t="str">
        <f>IFERROR(INDEX(tbl_prof[Cohort of Interest],MATCH(tbl_daily[[#This Row],[CodeName]],tbl_prof[CodeName],0)),"")</f>
        <v>Athletes</v>
      </c>
      <c r="U61" s="3" t="str">
        <f>IFERROR(AVERAGEIFS(tbl_perf[Grade],tbl_perf[CodeName],tbl_daily[[#This Row],[CodeName]],tbl_perf[Date],tbl_daily[[#This Row],[Date]]),"")</f>
        <v/>
      </c>
      <c r="V61" s="3">
        <f>IFERROR(IF(AND(tbl_daily[[#This Row],[Attendance (1 = Here, 0 = Not here)]]=1,tbl_daily[[#This Row],[Attended, but did not complete data]]&lt;&gt;1),1,IF(AND(tbl_daily[[#This Row],[Attendance (1 = Here, 0 = Not here)]]=1,tbl_daily[[#This Row],[Attended, but did not complete data]]=1),2,3)),"")</f>
        <v>1</v>
      </c>
      <c r="W61" s="3">
        <f>IF(AND(tbl_daily[[#This Row],[Attendance Refined]]=1,tbl_daily[[#This Row],[InjuryStatus]]="Full"),1,IF(AND(tbl_daily[[#This Row],[Attendance Refined]]=1,tbl_daily[[#This Row],[InjuryStatus]]="Limited"),2,IF(AND(tbl_daily[[#This Row],[Attendance Refined]]=1,tbl_daily[[#This Row],[InjuryStatus]]="Out"),3,"")))</f>
        <v>2</v>
      </c>
    </row>
    <row r="62" spans="1:23" ht="15" customHeight="1" x14ac:dyDescent="0.25">
      <c r="A62" s="1">
        <v>43888</v>
      </c>
      <c r="B62" t="s">
        <v>441</v>
      </c>
      <c r="C62">
        <v>1</v>
      </c>
      <c r="E62">
        <v>2</v>
      </c>
      <c r="F62">
        <v>7</v>
      </c>
      <c r="G62">
        <v>2</v>
      </c>
      <c r="H62" t="s">
        <v>15</v>
      </c>
      <c r="I62">
        <v>1</v>
      </c>
      <c r="J62">
        <v>7</v>
      </c>
      <c r="K62">
        <v>90</v>
      </c>
      <c r="L62">
        <v>5</v>
      </c>
      <c r="M62" t="s">
        <v>306</v>
      </c>
      <c r="N62" t="s">
        <v>309</v>
      </c>
      <c r="P62" s="3">
        <f>IFERROR(IF(AND(tbl_daily[[#This Row],[Attendance (1 = Here, 0 = Not here)]]=1,tbl_daily[[#This Row],[Attended, but did not complete data]]&lt;&gt;1),tbl_daily[[#This Row],[Stress]]+tbl_daily[[#This Row],[SleepQuality]]+tbl_daily[[#This Row],[Energy]],""),"")</f>
        <v>11</v>
      </c>
      <c r="Q62" s="3">
        <f>IFERROR(IF(AND(tbl_daily[[#This Row],[Attendance (1 = Here, 0 = Not here)]]=1,tbl_daily[[#This Row],[Attended, but did not complete data]]&lt;&gt;1),tbl_daily[[#This Row],[LatestRPE]]*tbl_daily[[#This Row],[LatestDuration]],""),"")</f>
        <v>630</v>
      </c>
      <c r="R62" s="3">
        <f>IF(tbl_daily[[#This Row],[CodeName]]&lt;&gt;"",1,"")</f>
        <v>1</v>
      </c>
      <c r="S62" s="3" t="str">
        <f>IF(AND(tbl_daily[[#This Row],[Date]]&gt;=DATE(2019,8,1),tbl_daily[[#This Row],[Date]]&lt;=DATE(2020,6,1)),"2019-2020")</f>
        <v>2019-2020</v>
      </c>
      <c r="T62" s="3" t="str">
        <f>IFERROR(INDEX(tbl_prof[Cohort of Interest],MATCH(tbl_daily[[#This Row],[CodeName]],tbl_prof[CodeName],0)),"")</f>
        <v>Athletes</v>
      </c>
      <c r="U62" s="3" t="str">
        <f>IFERROR(AVERAGEIFS(tbl_perf[Grade],tbl_perf[CodeName],tbl_daily[[#This Row],[CodeName]],tbl_perf[Date],tbl_daily[[#This Row],[Date]]),"")</f>
        <v/>
      </c>
      <c r="V62" s="3">
        <f>IFERROR(IF(AND(tbl_daily[[#This Row],[Attendance (1 = Here, 0 = Not here)]]=1,tbl_daily[[#This Row],[Attended, but did not complete data]]&lt;&gt;1),1,IF(AND(tbl_daily[[#This Row],[Attendance (1 = Here, 0 = Not here)]]=1,tbl_daily[[#This Row],[Attended, but did not complete data]]=1),2,3)),"")</f>
        <v>1</v>
      </c>
      <c r="W62" s="3">
        <f>IF(AND(tbl_daily[[#This Row],[Attendance Refined]]=1,tbl_daily[[#This Row],[InjuryStatus]]="Full"),1,IF(AND(tbl_daily[[#This Row],[Attendance Refined]]=1,tbl_daily[[#This Row],[InjuryStatus]]="Limited"),2,IF(AND(tbl_daily[[#This Row],[Attendance Refined]]=1,tbl_daily[[#This Row],[InjuryStatus]]="Out"),3,"")))</f>
        <v>1</v>
      </c>
    </row>
    <row r="63" spans="1:23" ht="15" customHeight="1" x14ac:dyDescent="0.25">
      <c r="A63" s="1">
        <v>43888</v>
      </c>
      <c r="B63" t="s">
        <v>430</v>
      </c>
      <c r="C63">
        <v>1</v>
      </c>
      <c r="E63">
        <v>8</v>
      </c>
      <c r="F63">
        <v>7</v>
      </c>
      <c r="G63">
        <v>6</v>
      </c>
      <c r="H63" t="s">
        <v>15</v>
      </c>
      <c r="I63">
        <v>1</v>
      </c>
      <c r="J63">
        <v>6</v>
      </c>
      <c r="K63">
        <v>120</v>
      </c>
      <c r="L63">
        <v>5</v>
      </c>
      <c r="M63" t="s">
        <v>306</v>
      </c>
      <c r="N63" t="s">
        <v>308</v>
      </c>
      <c r="P63" s="3">
        <f>IFERROR(IF(AND(tbl_daily[[#This Row],[Attendance (1 = Here, 0 = Not here)]]=1,tbl_daily[[#This Row],[Attended, but did not complete data]]&lt;&gt;1),tbl_daily[[#This Row],[Stress]]+tbl_daily[[#This Row],[SleepQuality]]+tbl_daily[[#This Row],[Energy]],""),"")</f>
        <v>21</v>
      </c>
      <c r="Q63" s="3">
        <f>IFERROR(IF(AND(tbl_daily[[#This Row],[Attendance (1 = Here, 0 = Not here)]]=1,tbl_daily[[#This Row],[Attended, but did not complete data]]&lt;&gt;1),tbl_daily[[#This Row],[LatestRPE]]*tbl_daily[[#This Row],[LatestDuration]],""),"")</f>
        <v>720</v>
      </c>
      <c r="R63" s="3">
        <f>IF(tbl_daily[[#This Row],[CodeName]]&lt;&gt;"",1,"")</f>
        <v>1</v>
      </c>
      <c r="S63" s="3" t="str">
        <f>IF(AND(tbl_daily[[#This Row],[Date]]&gt;=DATE(2019,8,1),tbl_daily[[#This Row],[Date]]&lt;=DATE(2020,6,1)),"2019-2020")</f>
        <v>2019-2020</v>
      </c>
      <c r="T63" s="3" t="str">
        <f>IFERROR(INDEX(tbl_prof[Cohort of Interest],MATCH(tbl_daily[[#This Row],[CodeName]],tbl_prof[CodeName],0)),"")</f>
        <v>Gen Pop</v>
      </c>
      <c r="U63" s="3" t="str">
        <f>IFERROR(AVERAGEIFS(tbl_perf[Grade],tbl_perf[CodeName],tbl_daily[[#This Row],[CodeName]],tbl_perf[Date],tbl_daily[[#This Row],[Date]]),"")</f>
        <v/>
      </c>
      <c r="V63" s="3">
        <f>IFERROR(IF(AND(tbl_daily[[#This Row],[Attendance (1 = Here, 0 = Not here)]]=1,tbl_daily[[#This Row],[Attended, but did not complete data]]&lt;&gt;1),1,IF(AND(tbl_daily[[#This Row],[Attendance (1 = Here, 0 = Not here)]]=1,tbl_daily[[#This Row],[Attended, but did not complete data]]=1),2,3)),"")</f>
        <v>1</v>
      </c>
      <c r="W63" s="3">
        <f>IF(AND(tbl_daily[[#This Row],[Attendance Refined]]=1,tbl_daily[[#This Row],[InjuryStatus]]="Full"),1,IF(AND(tbl_daily[[#This Row],[Attendance Refined]]=1,tbl_daily[[#This Row],[InjuryStatus]]="Limited"),2,IF(AND(tbl_daily[[#This Row],[Attendance Refined]]=1,tbl_daily[[#This Row],[InjuryStatus]]="Out"),3,"")))</f>
        <v>1</v>
      </c>
    </row>
    <row r="64" spans="1:23" ht="15" customHeight="1" x14ac:dyDescent="0.25">
      <c r="A64" s="1">
        <v>43888</v>
      </c>
      <c r="B64" t="s">
        <v>416</v>
      </c>
      <c r="C64">
        <v>1</v>
      </c>
      <c r="E64">
        <v>7</v>
      </c>
      <c r="F64">
        <v>3</v>
      </c>
      <c r="G64">
        <v>6</v>
      </c>
      <c r="H64" t="s">
        <v>32</v>
      </c>
      <c r="I64">
        <v>1</v>
      </c>
      <c r="J64">
        <v>9</v>
      </c>
      <c r="K64">
        <v>90</v>
      </c>
      <c r="L64">
        <v>6</v>
      </c>
      <c r="M64" t="s">
        <v>306</v>
      </c>
      <c r="N64" t="s">
        <v>308</v>
      </c>
      <c r="P64" s="3">
        <f>IFERROR(IF(AND(tbl_daily[[#This Row],[Attendance (1 = Here, 0 = Not here)]]=1,tbl_daily[[#This Row],[Attended, but did not complete data]]&lt;&gt;1),tbl_daily[[#This Row],[Stress]]+tbl_daily[[#This Row],[SleepQuality]]+tbl_daily[[#This Row],[Energy]],""),"")</f>
        <v>16</v>
      </c>
      <c r="Q64" s="3">
        <f>IFERROR(IF(AND(tbl_daily[[#This Row],[Attendance (1 = Here, 0 = Not here)]]=1,tbl_daily[[#This Row],[Attended, but did not complete data]]&lt;&gt;1),tbl_daily[[#This Row],[LatestRPE]]*tbl_daily[[#This Row],[LatestDuration]],""),"")</f>
        <v>810</v>
      </c>
      <c r="R64" s="3">
        <f>IF(tbl_daily[[#This Row],[CodeName]]&lt;&gt;"",1,"")</f>
        <v>1</v>
      </c>
      <c r="S64" s="3" t="str">
        <f>IF(AND(tbl_daily[[#This Row],[Date]]&gt;=DATE(2019,8,1),tbl_daily[[#This Row],[Date]]&lt;=DATE(2020,6,1)),"2019-2020")</f>
        <v>2019-2020</v>
      </c>
      <c r="T64" s="3" t="str">
        <f>IFERROR(INDEX(tbl_prof[Cohort of Interest],MATCH(tbl_daily[[#This Row],[CodeName]],tbl_prof[CodeName],0)),"")</f>
        <v>Special</v>
      </c>
      <c r="U64" s="3" t="str">
        <f>IFERROR(AVERAGEIFS(tbl_perf[Grade],tbl_perf[CodeName],tbl_daily[[#This Row],[CodeName]],tbl_perf[Date],tbl_daily[[#This Row],[Date]]),"")</f>
        <v/>
      </c>
      <c r="V64" s="3">
        <f>IFERROR(IF(AND(tbl_daily[[#This Row],[Attendance (1 = Here, 0 = Not here)]]=1,tbl_daily[[#This Row],[Attended, but did not complete data]]&lt;&gt;1),1,IF(AND(tbl_daily[[#This Row],[Attendance (1 = Here, 0 = Not here)]]=1,tbl_daily[[#This Row],[Attended, but did not complete data]]=1),2,3)),"")</f>
        <v>1</v>
      </c>
      <c r="W64" s="3">
        <f>IF(AND(tbl_daily[[#This Row],[Attendance Refined]]=1,tbl_daily[[#This Row],[InjuryStatus]]="Full"),1,IF(AND(tbl_daily[[#This Row],[Attendance Refined]]=1,tbl_daily[[#This Row],[InjuryStatus]]="Limited"),2,IF(AND(tbl_daily[[#This Row],[Attendance Refined]]=1,tbl_daily[[#This Row],[InjuryStatus]]="Out"),3,"")))</f>
        <v>2</v>
      </c>
    </row>
    <row r="65" spans="1:23" ht="15" customHeight="1" x14ac:dyDescent="0.25">
      <c r="A65" s="1">
        <v>43888</v>
      </c>
      <c r="B65" t="s">
        <v>420</v>
      </c>
      <c r="C65">
        <v>0</v>
      </c>
      <c r="D65">
        <v>1</v>
      </c>
      <c r="M65" t="s">
        <v>306</v>
      </c>
      <c r="P65" s="3" t="str">
        <f>IFERROR(IF(AND(tbl_daily[[#This Row],[Attendance (1 = Here, 0 = Not here)]]=1,tbl_daily[[#This Row],[Attended, but did not complete data]]&lt;&gt;1),tbl_daily[[#This Row],[Stress]]+tbl_daily[[#This Row],[SleepQuality]]+tbl_daily[[#This Row],[Energy]],""),"")</f>
        <v/>
      </c>
      <c r="Q65" s="3" t="str">
        <f>IFERROR(IF(AND(tbl_daily[[#This Row],[Attendance (1 = Here, 0 = Not here)]]=1,tbl_daily[[#This Row],[Attended, but did not complete data]]&lt;&gt;1),tbl_daily[[#This Row],[LatestRPE]]*tbl_daily[[#This Row],[LatestDuration]],""),"")</f>
        <v/>
      </c>
      <c r="R65" s="3">
        <f>IF(tbl_daily[[#This Row],[CodeName]]&lt;&gt;"",1,"")</f>
        <v>1</v>
      </c>
      <c r="S65" s="3" t="str">
        <f>IF(AND(tbl_daily[[#This Row],[Date]]&gt;=DATE(2019,8,1),tbl_daily[[#This Row],[Date]]&lt;=DATE(2020,6,1)),"2019-2020")</f>
        <v>2019-2020</v>
      </c>
      <c r="T65" s="3" t="str">
        <f>IFERROR(INDEX(tbl_prof[Cohort of Interest],MATCH(tbl_daily[[#This Row],[CodeName]],tbl_prof[CodeName],0)),"")</f>
        <v>Athletes</v>
      </c>
      <c r="U65" s="3" t="str">
        <f>IFERROR(AVERAGEIFS(tbl_perf[Grade],tbl_perf[CodeName],tbl_daily[[#This Row],[CodeName]],tbl_perf[Date],tbl_daily[[#This Row],[Date]]),"")</f>
        <v/>
      </c>
      <c r="V65" s="3">
        <f>IFERROR(IF(AND(tbl_daily[[#This Row],[Attendance (1 = Here, 0 = Not here)]]=1,tbl_daily[[#This Row],[Attended, but did not complete data]]&lt;&gt;1),1,IF(AND(tbl_daily[[#This Row],[Attendance (1 = Here, 0 = Not here)]]=1,tbl_daily[[#This Row],[Attended, but did not complete data]]=1),2,3)),"")</f>
        <v>3</v>
      </c>
      <c r="W65" s="3" t="str">
        <f>IF(AND(tbl_daily[[#This Row],[Attendance Refined]]=1,tbl_daily[[#This Row],[InjuryStatus]]="Full"),1,IF(AND(tbl_daily[[#This Row],[Attendance Refined]]=1,tbl_daily[[#This Row],[InjuryStatus]]="Limited"),2,IF(AND(tbl_daily[[#This Row],[Attendance Refined]]=1,tbl_daily[[#This Row],[InjuryStatus]]="Out"),3,"")))</f>
        <v/>
      </c>
    </row>
    <row r="66" spans="1:23" ht="15" customHeight="1" x14ac:dyDescent="0.25">
      <c r="A66" s="1">
        <v>43888</v>
      </c>
      <c r="B66" t="s">
        <v>436</v>
      </c>
      <c r="C66">
        <v>0</v>
      </c>
      <c r="D66">
        <v>0</v>
      </c>
      <c r="M66" t="s">
        <v>306</v>
      </c>
      <c r="P66" s="3" t="str">
        <f>IFERROR(IF(AND(tbl_daily[[#This Row],[Attendance (1 = Here, 0 = Not here)]]=1,tbl_daily[[#This Row],[Attended, but did not complete data]]&lt;&gt;1),tbl_daily[[#This Row],[Stress]]+tbl_daily[[#This Row],[SleepQuality]]+tbl_daily[[#This Row],[Energy]],""),"")</f>
        <v/>
      </c>
      <c r="Q66" s="3" t="str">
        <f>IFERROR(IF(AND(tbl_daily[[#This Row],[Attendance (1 = Here, 0 = Not here)]]=1,tbl_daily[[#This Row],[Attended, but did not complete data]]&lt;&gt;1),tbl_daily[[#This Row],[LatestRPE]]*tbl_daily[[#This Row],[LatestDuration]],""),"")</f>
        <v/>
      </c>
      <c r="R66" s="3">
        <f>IF(tbl_daily[[#This Row],[CodeName]]&lt;&gt;"",1,"")</f>
        <v>1</v>
      </c>
      <c r="S66" s="3" t="str">
        <f>IF(AND(tbl_daily[[#This Row],[Date]]&gt;=DATE(2019,8,1),tbl_daily[[#This Row],[Date]]&lt;=DATE(2020,6,1)),"2019-2020")</f>
        <v>2019-2020</v>
      </c>
      <c r="T66" s="3" t="str">
        <f>IFERROR(INDEX(tbl_prof[Cohort of Interest],MATCH(tbl_daily[[#This Row],[CodeName]],tbl_prof[CodeName],0)),"")</f>
        <v>Athletes</v>
      </c>
      <c r="U66" s="3" t="str">
        <f>IFERROR(AVERAGEIFS(tbl_perf[Grade],tbl_perf[CodeName],tbl_daily[[#This Row],[CodeName]],tbl_perf[Date],tbl_daily[[#This Row],[Date]]),"")</f>
        <v/>
      </c>
      <c r="V66" s="3">
        <f>IFERROR(IF(AND(tbl_daily[[#This Row],[Attendance (1 = Here, 0 = Not here)]]=1,tbl_daily[[#This Row],[Attended, but did not complete data]]&lt;&gt;1),1,IF(AND(tbl_daily[[#This Row],[Attendance (1 = Here, 0 = Not here)]]=1,tbl_daily[[#This Row],[Attended, but did not complete data]]=1),2,3)),"")</f>
        <v>3</v>
      </c>
      <c r="W66" s="3" t="str">
        <f>IF(AND(tbl_daily[[#This Row],[Attendance Refined]]=1,tbl_daily[[#This Row],[InjuryStatus]]="Full"),1,IF(AND(tbl_daily[[#This Row],[Attendance Refined]]=1,tbl_daily[[#This Row],[InjuryStatus]]="Limited"),2,IF(AND(tbl_daily[[#This Row],[Attendance Refined]]=1,tbl_daily[[#This Row],[InjuryStatus]]="Out"),3,"")))</f>
        <v/>
      </c>
    </row>
    <row r="67" spans="1:23" ht="15" customHeight="1" x14ac:dyDescent="0.25">
      <c r="A67" s="1">
        <v>43888</v>
      </c>
      <c r="B67" t="s">
        <v>438</v>
      </c>
      <c r="C67">
        <v>0</v>
      </c>
      <c r="D67">
        <v>1</v>
      </c>
      <c r="M67" t="s">
        <v>306</v>
      </c>
      <c r="P67" s="3" t="str">
        <f>IFERROR(IF(AND(tbl_daily[[#This Row],[Attendance (1 = Here, 0 = Not here)]]=1,tbl_daily[[#This Row],[Attended, but did not complete data]]&lt;&gt;1),tbl_daily[[#This Row],[Stress]]+tbl_daily[[#This Row],[SleepQuality]]+tbl_daily[[#This Row],[Energy]],""),"")</f>
        <v/>
      </c>
      <c r="Q67" s="3" t="str">
        <f>IFERROR(IF(AND(tbl_daily[[#This Row],[Attendance (1 = Here, 0 = Not here)]]=1,tbl_daily[[#This Row],[Attended, but did not complete data]]&lt;&gt;1),tbl_daily[[#This Row],[LatestRPE]]*tbl_daily[[#This Row],[LatestDuration]],""),"")</f>
        <v/>
      </c>
      <c r="R67" s="3">
        <f>IF(tbl_daily[[#This Row],[CodeName]]&lt;&gt;"",1,"")</f>
        <v>1</v>
      </c>
      <c r="S67" s="3" t="str">
        <f>IF(AND(tbl_daily[[#This Row],[Date]]&gt;=DATE(2019,8,1),tbl_daily[[#This Row],[Date]]&lt;=DATE(2020,6,1)),"2019-2020")</f>
        <v>2019-2020</v>
      </c>
      <c r="T67" s="3" t="str">
        <f>IFERROR(INDEX(tbl_prof[Cohort of Interest],MATCH(tbl_daily[[#This Row],[CodeName]],tbl_prof[CodeName],0)),"")</f>
        <v>Youth</v>
      </c>
      <c r="U67" s="3" t="str">
        <f>IFERROR(AVERAGEIFS(tbl_perf[Grade],tbl_perf[CodeName],tbl_daily[[#This Row],[CodeName]],tbl_perf[Date],tbl_daily[[#This Row],[Date]]),"")</f>
        <v/>
      </c>
      <c r="V67" s="3">
        <f>IFERROR(IF(AND(tbl_daily[[#This Row],[Attendance (1 = Here, 0 = Not here)]]=1,tbl_daily[[#This Row],[Attended, but did not complete data]]&lt;&gt;1),1,IF(AND(tbl_daily[[#This Row],[Attendance (1 = Here, 0 = Not here)]]=1,tbl_daily[[#This Row],[Attended, but did not complete data]]=1),2,3)),"")</f>
        <v>3</v>
      </c>
      <c r="W67" s="3" t="str">
        <f>IF(AND(tbl_daily[[#This Row],[Attendance Refined]]=1,tbl_daily[[#This Row],[InjuryStatus]]="Full"),1,IF(AND(tbl_daily[[#This Row],[Attendance Refined]]=1,tbl_daily[[#This Row],[InjuryStatus]]="Limited"),2,IF(AND(tbl_daily[[#This Row],[Attendance Refined]]=1,tbl_daily[[#This Row],[InjuryStatus]]="Out"),3,"")))</f>
        <v/>
      </c>
    </row>
    <row r="68" spans="1:23" ht="15" customHeight="1" x14ac:dyDescent="0.25">
      <c r="A68" s="1">
        <v>43886</v>
      </c>
      <c r="B68" t="s">
        <v>412</v>
      </c>
      <c r="C68">
        <v>1</v>
      </c>
      <c r="E68">
        <v>4</v>
      </c>
      <c r="F68">
        <v>3</v>
      </c>
      <c r="G68">
        <v>3</v>
      </c>
      <c r="H68" t="s">
        <v>15</v>
      </c>
      <c r="I68">
        <v>0</v>
      </c>
      <c r="J68">
        <v>0</v>
      </c>
      <c r="K68">
        <v>0</v>
      </c>
      <c r="M68" t="s">
        <v>279</v>
      </c>
      <c r="N68" t="s">
        <v>281</v>
      </c>
      <c r="P68" s="3">
        <f>IFERROR(IF(AND(tbl_daily[[#This Row],[Attendance (1 = Here, 0 = Not here)]]=1,tbl_daily[[#This Row],[Attended, but did not complete data]]&lt;&gt;1),tbl_daily[[#This Row],[Stress]]+tbl_daily[[#This Row],[SleepQuality]]+tbl_daily[[#This Row],[Energy]],""),"")</f>
        <v>10</v>
      </c>
      <c r="Q68" s="3">
        <f>IFERROR(IF(AND(tbl_daily[[#This Row],[Attendance (1 = Here, 0 = Not here)]]=1,tbl_daily[[#This Row],[Attended, but did not complete data]]&lt;&gt;1),tbl_daily[[#This Row],[LatestRPE]]*tbl_daily[[#This Row],[LatestDuration]],""),"")</f>
        <v>0</v>
      </c>
      <c r="R68" s="3">
        <f>IF(tbl_daily[[#This Row],[CodeName]]&lt;&gt;"",1,"")</f>
        <v>1</v>
      </c>
      <c r="S68" s="3" t="str">
        <f>IF(AND(tbl_daily[[#This Row],[Date]]&gt;=DATE(2019,8,1),tbl_daily[[#This Row],[Date]]&lt;=DATE(2020,6,1)),"2019-2020")</f>
        <v>2019-2020</v>
      </c>
      <c r="T68" s="3" t="str">
        <f>IFERROR(INDEX(tbl_prof[Cohort of Interest],MATCH(tbl_daily[[#This Row],[CodeName]],tbl_prof[CodeName],0)),"")</f>
        <v>Gen Pop</v>
      </c>
      <c r="U68" s="3" t="str">
        <f>IFERROR(AVERAGEIFS(tbl_perf[Grade],tbl_perf[CodeName],tbl_daily[[#This Row],[CodeName]],tbl_perf[Date],tbl_daily[[#This Row],[Date]]),"")</f>
        <v/>
      </c>
      <c r="V68" s="3">
        <f>IFERROR(IF(AND(tbl_daily[[#This Row],[Attendance (1 = Here, 0 = Not here)]]=1,tbl_daily[[#This Row],[Attended, but did not complete data]]&lt;&gt;1),1,IF(AND(tbl_daily[[#This Row],[Attendance (1 = Here, 0 = Not here)]]=1,tbl_daily[[#This Row],[Attended, but did not complete data]]=1),2,3)),"")</f>
        <v>1</v>
      </c>
      <c r="W68" s="3">
        <f>IF(AND(tbl_daily[[#This Row],[Attendance Refined]]=1,tbl_daily[[#This Row],[InjuryStatus]]="Full"),1,IF(AND(tbl_daily[[#This Row],[Attendance Refined]]=1,tbl_daily[[#This Row],[InjuryStatus]]="Limited"),2,IF(AND(tbl_daily[[#This Row],[Attendance Refined]]=1,tbl_daily[[#This Row],[InjuryStatus]]="Out"),3,"")))</f>
        <v>1</v>
      </c>
    </row>
    <row r="69" spans="1:23" ht="15" customHeight="1" x14ac:dyDescent="0.25">
      <c r="A69" s="1">
        <v>43886</v>
      </c>
      <c r="B69" t="s">
        <v>414</v>
      </c>
      <c r="C69">
        <v>1</v>
      </c>
      <c r="E69">
        <v>8</v>
      </c>
      <c r="F69">
        <v>7</v>
      </c>
      <c r="G69">
        <v>7</v>
      </c>
      <c r="H69" t="s">
        <v>15</v>
      </c>
      <c r="I69">
        <v>0</v>
      </c>
      <c r="J69">
        <v>0</v>
      </c>
      <c r="K69">
        <v>0</v>
      </c>
      <c r="M69" t="s">
        <v>279</v>
      </c>
      <c r="N69" t="s">
        <v>283</v>
      </c>
      <c r="P69" s="3">
        <f>IFERROR(IF(AND(tbl_daily[[#This Row],[Attendance (1 = Here, 0 = Not here)]]=1,tbl_daily[[#This Row],[Attended, but did not complete data]]&lt;&gt;1),tbl_daily[[#This Row],[Stress]]+tbl_daily[[#This Row],[SleepQuality]]+tbl_daily[[#This Row],[Energy]],""),"")</f>
        <v>22</v>
      </c>
      <c r="Q69" s="3">
        <f>IFERROR(IF(AND(tbl_daily[[#This Row],[Attendance (1 = Here, 0 = Not here)]]=1,tbl_daily[[#This Row],[Attended, but did not complete data]]&lt;&gt;1),tbl_daily[[#This Row],[LatestRPE]]*tbl_daily[[#This Row],[LatestDuration]],""),"")</f>
        <v>0</v>
      </c>
      <c r="R69" s="3">
        <f>IF(tbl_daily[[#This Row],[CodeName]]&lt;&gt;"",1,"")</f>
        <v>1</v>
      </c>
      <c r="S69" s="3" t="str">
        <f>IF(AND(tbl_daily[[#This Row],[Date]]&gt;=DATE(2019,8,1),tbl_daily[[#This Row],[Date]]&lt;=DATE(2020,6,1)),"2019-2020")</f>
        <v>2019-2020</v>
      </c>
      <c r="T69" s="3" t="str">
        <f>IFERROR(INDEX(tbl_prof[Cohort of Interest],MATCH(tbl_daily[[#This Row],[CodeName]],tbl_prof[CodeName],0)),"")</f>
        <v>Gen Pop</v>
      </c>
      <c r="U69" s="3" t="str">
        <f>IFERROR(AVERAGEIFS(tbl_perf[Grade],tbl_perf[CodeName],tbl_daily[[#This Row],[CodeName]],tbl_perf[Date],tbl_daily[[#This Row],[Date]]),"")</f>
        <v/>
      </c>
      <c r="V69" s="3">
        <f>IFERROR(IF(AND(tbl_daily[[#This Row],[Attendance (1 = Here, 0 = Not here)]]=1,tbl_daily[[#This Row],[Attended, but did not complete data]]&lt;&gt;1),1,IF(AND(tbl_daily[[#This Row],[Attendance (1 = Here, 0 = Not here)]]=1,tbl_daily[[#This Row],[Attended, but did not complete data]]=1),2,3)),"")</f>
        <v>1</v>
      </c>
      <c r="W69" s="3">
        <f>IF(AND(tbl_daily[[#This Row],[Attendance Refined]]=1,tbl_daily[[#This Row],[InjuryStatus]]="Full"),1,IF(AND(tbl_daily[[#This Row],[Attendance Refined]]=1,tbl_daily[[#This Row],[InjuryStatus]]="Limited"),2,IF(AND(tbl_daily[[#This Row],[Attendance Refined]]=1,tbl_daily[[#This Row],[InjuryStatus]]="Out"),3,"")))</f>
        <v>1</v>
      </c>
    </row>
    <row r="70" spans="1:23" ht="15" customHeight="1" x14ac:dyDescent="0.25">
      <c r="A70" s="1">
        <v>43886</v>
      </c>
      <c r="B70" t="s">
        <v>417</v>
      </c>
      <c r="C70">
        <v>1</v>
      </c>
      <c r="E70">
        <v>9</v>
      </c>
      <c r="F70">
        <v>7</v>
      </c>
      <c r="G70">
        <v>3</v>
      </c>
      <c r="H70" t="s">
        <v>15</v>
      </c>
      <c r="I70">
        <v>0</v>
      </c>
      <c r="J70">
        <v>0</v>
      </c>
      <c r="K70">
        <v>0</v>
      </c>
      <c r="M70" t="s">
        <v>279</v>
      </c>
      <c r="N70" t="s">
        <v>285</v>
      </c>
      <c r="P70" s="3">
        <f>IFERROR(IF(AND(tbl_daily[[#This Row],[Attendance (1 = Here, 0 = Not here)]]=1,tbl_daily[[#This Row],[Attended, but did not complete data]]&lt;&gt;1),tbl_daily[[#This Row],[Stress]]+tbl_daily[[#This Row],[SleepQuality]]+tbl_daily[[#This Row],[Energy]],""),"")</f>
        <v>19</v>
      </c>
      <c r="Q70" s="3">
        <f>IFERROR(IF(AND(tbl_daily[[#This Row],[Attendance (1 = Here, 0 = Not here)]]=1,tbl_daily[[#This Row],[Attended, but did not complete data]]&lt;&gt;1),tbl_daily[[#This Row],[LatestRPE]]*tbl_daily[[#This Row],[LatestDuration]],""),"")</f>
        <v>0</v>
      </c>
      <c r="R70" s="3">
        <f>IF(tbl_daily[[#This Row],[CodeName]]&lt;&gt;"",1,"")</f>
        <v>1</v>
      </c>
      <c r="S70" s="3" t="str">
        <f>IF(AND(tbl_daily[[#This Row],[Date]]&gt;=DATE(2019,8,1),tbl_daily[[#This Row],[Date]]&lt;=DATE(2020,6,1)),"2019-2020")</f>
        <v>2019-2020</v>
      </c>
      <c r="T70" s="3" t="str">
        <f>IFERROR(INDEX(tbl_prof[Cohort of Interest],MATCH(tbl_daily[[#This Row],[CodeName]],tbl_prof[CodeName],0)),"")</f>
        <v>Gen Pop</v>
      </c>
      <c r="U70" s="3" t="str">
        <f>IFERROR(AVERAGEIFS(tbl_perf[Grade],tbl_perf[CodeName],tbl_daily[[#This Row],[CodeName]],tbl_perf[Date],tbl_daily[[#This Row],[Date]]),"")</f>
        <v/>
      </c>
      <c r="V70" s="3">
        <f>IFERROR(IF(AND(tbl_daily[[#This Row],[Attendance (1 = Here, 0 = Not here)]]=1,tbl_daily[[#This Row],[Attended, but did not complete data]]&lt;&gt;1),1,IF(AND(tbl_daily[[#This Row],[Attendance (1 = Here, 0 = Not here)]]=1,tbl_daily[[#This Row],[Attended, but did not complete data]]=1),2,3)),"")</f>
        <v>1</v>
      </c>
      <c r="W70" s="3">
        <f>IF(AND(tbl_daily[[#This Row],[Attendance Refined]]=1,tbl_daily[[#This Row],[InjuryStatus]]="Full"),1,IF(AND(tbl_daily[[#This Row],[Attendance Refined]]=1,tbl_daily[[#This Row],[InjuryStatus]]="Limited"),2,IF(AND(tbl_daily[[#This Row],[Attendance Refined]]=1,tbl_daily[[#This Row],[InjuryStatus]]="Out"),3,"")))</f>
        <v>1</v>
      </c>
    </row>
    <row r="71" spans="1:23" ht="15" customHeight="1" x14ac:dyDescent="0.25">
      <c r="A71" s="1">
        <v>43886</v>
      </c>
      <c r="B71" t="s">
        <v>418</v>
      </c>
      <c r="C71">
        <v>1</v>
      </c>
      <c r="E71">
        <v>1</v>
      </c>
      <c r="F71">
        <v>8</v>
      </c>
      <c r="G71">
        <v>9</v>
      </c>
      <c r="H71" t="s">
        <v>15</v>
      </c>
      <c r="I71">
        <v>0</v>
      </c>
      <c r="J71">
        <v>0</v>
      </c>
      <c r="K71">
        <v>0</v>
      </c>
      <c r="M71" t="s">
        <v>279</v>
      </c>
      <c r="N71" t="s">
        <v>286</v>
      </c>
      <c r="P71" s="3">
        <f>IFERROR(IF(AND(tbl_daily[[#This Row],[Attendance (1 = Here, 0 = Not here)]]=1,tbl_daily[[#This Row],[Attended, but did not complete data]]&lt;&gt;1),tbl_daily[[#This Row],[Stress]]+tbl_daily[[#This Row],[SleepQuality]]+tbl_daily[[#This Row],[Energy]],""),"")</f>
        <v>18</v>
      </c>
      <c r="Q71" s="3">
        <f>IFERROR(IF(AND(tbl_daily[[#This Row],[Attendance (1 = Here, 0 = Not here)]]=1,tbl_daily[[#This Row],[Attended, but did not complete data]]&lt;&gt;1),tbl_daily[[#This Row],[LatestRPE]]*tbl_daily[[#This Row],[LatestDuration]],""),"")</f>
        <v>0</v>
      </c>
      <c r="R71" s="3">
        <f>IF(tbl_daily[[#This Row],[CodeName]]&lt;&gt;"",1,"")</f>
        <v>1</v>
      </c>
      <c r="S71" s="3" t="str">
        <f>IF(AND(tbl_daily[[#This Row],[Date]]&gt;=DATE(2019,8,1),tbl_daily[[#This Row],[Date]]&lt;=DATE(2020,6,1)),"2019-2020")</f>
        <v>2019-2020</v>
      </c>
      <c r="T71" s="3" t="str">
        <f>IFERROR(INDEX(tbl_prof[Cohort of Interest],MATCH(tbl_daily[[#This Row],[CodeName]],tbl_prof[CodeName],0)),"")</f>
        <v>Special</v>
      </c>
      <c r="U71" s="3" t="str">
        <f>IFERROR(AVERAGEIFS(tbl_perf[Grade],tbl_perf[CodeName],tbl_daily[[#This Row],[CodeName]],tbl_perf[Date],tbl_daily[[#This Row],[Date]]),"")</f>
        <v/>
      </c>
      <c r="V71" s="3">
        <f>IFERROR(IF(AND(tbl_daily[[#This Row],[Attendance (1 = Here, 0 = Not here)]]=1,tbl_daily[[#This Row],[Attended, but did not complete data]]&lt;&gt;1),1,IF(AND(tbl_daily[[#This Row],[Attendance (1 = Here, 0 = Not here)]]=1,tbl_daily[[#This Row],[Attended, but did not complete data]]=1),2,3)),"")</f>
        <v>1</v>
      </c>
      <c r="W71" s="3">
        <f>IF(AND(tbl_daily[[#This Row],[Attendance Refined]]=1,tbl_daily[[#This Row],[InjuryStatus]]="Full"),1,IF(AND(tbl_daily[[#This Row],[Attendance Refined]]=1,tbl_daily[[#This Row],[InjuryStatus]]="Limited"),2,IF(AND(tbl_daily[[#This Row],[Attendance Refined]]=1,tbl_daily[[#This Row],[InjuryStatus]]="Out"),3,"")))</f>
        <v>1</v>
      </c>
    </row>
    <row r="72" spans="1:23" ht="15" customHeight="1" x14ac:dyDescent="0.25">
      <c r="A72" s="1">
        <v>43886</v>
      </c>
      <c r="B72" t="s">
        <v>419</v>
      </c>
      <c r="C72">
        <v>1</v>
      </c>
      <c r="E72">
        <v>7</v>
      </c>
      <c r="F72">
        <v>5</v>
      </c>
      <c r="G72">
        <v>3</v>
      </c>
      <c r="H72" t="s">
        <v>15</v>
      </c>
      <c r="I72">
        <v>0</v>
      </c>
      <c r="J72">
        <v>0</v>
      </c>
      <c r="K72">
        <v>0</v>
      </c>
      <c r="M72" t="s">
        <v>279</v>
      </c>
      <c r="N72" t="s">
        <v>287</v>
      </c>
      <c r="P72" s="3">
        <f>IFERROR(IF(AND(tbl_daily[[#This Row],[Attendance (1 = Here, 0 = Not here)]]=1,tbl_daily[[#This Row],[Attended, but did not complete data]]&lt;&gt;1),tbl_daily[[#This Row],[Stress]]+tbl_daily[[#This Row],[SleepQuality]]+tbl_daily[[#This Row],[Energy]],""),"")</f>
        <v>15</v>
      </c>
      <c r="Q72" s="3">
        <f>IFERROR(IF(AND(tbl_daily[[#This Row],[Attendance (1 = Here, 0 = Not here)]]=1,tbl_daily[[#This Row],[Attended, but did not complete data]]&lt;&gt;1),tbl_daily[[#This Row],[LatestRPE]]*tbl_daily[[#This Row],[LatestDuration]],""),"")</f>
        <v>0</v>
      </c>
      <c r="R72" s="3">
        <f>IF(tbl_daily[[#This Row],[CodeName]]&lt;&gt;"",1,"")</f>
        <v>1</v>
      </c>
      <c r="S72" s="3" t="str">
        <f>IF(AND(tbl_daily[[#This Row],[Date]]&gt;=DATE(2019,8,1),tbl_daily[[#This Row],[Date]]&lt;=DATE(2020,6,1)),"2019-2020")</f>
        <v>2019-2020</v>
      </c>
      <c r="T72" s="3" t="str">
        <f>IFERROR(INDEX(tbl_prof[Cohort of Interest],MATCH(tbl_daily[[#This Row],[CodeName]],tbl_prof[CodeName],0)),"")</f>
        <v>Youth</v>
      </c>
      <c r="U72" s="3" t="str">
        <f>IFERROR(AVERAGEIFS(tbl_perf[Grade],tbl_perf[CodeName],tbl_daily[[#This Row],[CodeName]],tbl_perf[Date],tbl_daily[[#This Row],[Date]]),"")</f>
        <v/>
      </c>
      <c r="V72" s="3">
        <f>IFERROR(IF(AND(tbl_daily[[#This Row],[Attendance (1 = Here, 0 = Not here)]]=1,tbl_daily[[#This Row],[Attended, but did not complete data]]&lt;&gt;1),1,IF(AND(tbl_daily[[#This Row],[Attendance (1 = Here, 0 = Not here)]]=1,tbl_daily[[#This Row],[Attended, but did not complete data]]=1),2,3)),"")</f>
        <v>1</v>
      </c>
      <c r="W72" s="3">
        <f>IF(AND(tbl_daily[[#This Row],[Attendance Refined]]=1,tbl_daily[[#This Row],[InjuryStatus]]="Full"),1,IF(AND(tbl_daily[[#This Row],[Attendance Refined]]=1,tbl_daily[[#This Row],[InjuryStatus]]="Limited"),2,IF(AND(tbl_daily[[#This Row],[Attendance Refined]]=1,tbl_daily[[#This Row],[InjuryStatus]]="Out"),3,"")))</f>
        <v>1</v>
      </c>
    </row>
    <row r="73" spans="1:23" ht="15" customHeight="1" x14ac:dyDescent="0.25">
      <c r="A73" s="1">
        <v>43886</v>
      </c>
      <c r="B73" t="s">
        <v>420</v>
      </c>
      <c r="C73">
        <v>1</v>
      </c>
      <c r="E73">
        <v>10</v>
      </c>
      <c r="F73">
        <v>2</v>
      </c>
      <c r="G73">
        <v>3</v>
      </c>
      <c r="H73" t="s">
        <v>15</v>
      </c>
      <c r="I73">
        <v>0</v>
      </c>
      <c r="J73">
        <v>0</v>
      </c>
      <c r="K73">
        <v>0</v>
      </c>
      <c r="M73" t="s">
        <v>279</v>
      </c>
      <c r="N73" t="s">
        <v>288</v>
      </c>
      <c r="P73" s="3">
        <f>IFERROR(IF(AND(tbl_daily[[#This Row],[Attendance (1 = Here, 0 = Not here)]]=1,tbl_daily[[#This Row],[Attended, but did not complete data]]&lt;&gt;1),tbl_daily[[#This Row],[Stress]]+tbl_daily[[#This Row],[SleepQuality]]+tbl_daily[[#This Row],[Energy]],""),"")</f>
        <v>15</v>
      </c>
      <c r="Q73" s="3">
        <f>IFERROR(IF(AND(tbl_daily[[#This Row],[Attendance (1 = Here, 0 = Not here)]]=1,tbl_daily[[#This Row],[Attended, but did not complete data]]&lt;&gt;1),tbl_daily[[#This Row],[LatestRPE]]*tbl_daily[[#This Row],[LatestDuration]],""),"")</f>
        <v>0</v>
      </c>
      <c r="R73" s="3">
        <f>IF(tbl_daily[[#This Row],[CodeName]]&lt;&gt;"",1,"")</f>
        <v>1</v>
      </c>
      <c r="S73" s="3" t="str">
        <f>IF(AND(tbl_daily[[#This Row],[Date]]&gt;=DATE(2019,8,1),tbl_daily[[#This Row],[Date]]&lt;=DATE(2020,6,1)),"2019-2020")</f>
        <v>2019-2020</v>
      </c>
      <c r="T73" s="3" t="str">
        <f>IFERROR(INDEX(tbl_prof[Cohort of Interest],MATCH(tbl_daily[[#This Row],[CodeName]],tbl_prof[CodeName],0)),"")</f>
        <v>Athletes</v>
      </c>
      <c r="U73" s="3" t="str">
        <f>IFERROR(AVERAGEIFS(tbl_perf[Grade],tbl_perf[CodeName],tbl_daily[[#This Row],[CodeName]],tbl_perf[Date],tbl_daily[[#This Row],[Date]]),"")</f>
        <v/>
      </c>
      <c r="V73" s="3">
        <f>IFERROR(IF(AND(tbl_daily[[#This Row],[Attendance (1 = Here, 0 = Not here)]]=1,tbl_daily[[#This Row],[Attended, but did not complete data]]&lt;&gt;1),1,IF(AND(tbl_daily[[#This Row],[Attendance (1 = Here, 0 = Not here)]]=1,tbl_daily[[#This Row],[Attended, but did not complete data]]=1),2,3)),"")</f>
        <v>1</v>
      </c>
      <c r="W73" s="3">
        <f>IF(AND(tbl_daily[[#This Row],[Attendance Refined]]=1,tbl_daily[[#This Row],[InjuryStatus]]="Full"),1,IF(AND(tbl_daily[[#This Row],[Attendance Refined]]=1,tbl_daily[[#This Row],[InjuryStatus]]="Limited"),2,IF(AND(tbl_daily[[#This Row],[Attendance Refined]]=1,tbl_daily[[#This Row],[InjuryStatus]]="Out"),3,"")))</f>
        <v>1</v>
      </c>
    </row>
    <row r="74" spans="1:23" ht="15" customHeight="1" x14ac:dyDescent="0.25">
      <c r="A74" s="1">
        <v>43886</v>
      </c>
      <c r="B74" t="s">
        <v>421</v>
      </c>
      <c r="C74">
        <v>1</v>
      </c>
      <c r="E74">
        <v>8</v>
      </c>
      <c r="F74">
        <v>7</v>
      </c>
      <c r="G74">
        <v>7</v>
      </c>
      <c r="H74" t="s">
        <v>15</v>
      </c>
      <c r="I74">
        <v>0</v>
      </c>
      <c r="J74">
        <v>0</v>
      </c>
      <c r="K74">
        <v>0</v>
      </c>
      <c r="M74" t="s">
        <v>279</v>
      </c>
      <c r="N74" t="s">
        <v>289</v>
      </c>
      <c r="P74" s="3">
        <f>IFERROR(IF(AND(tbl_daily[[#This Row],[Attendance (1 = Here, 0 = Not here)]]=1,tbl_daily[[#This Row],[Attended, but did not complete data]]&lt;&gt;1),tbl_daily[[#This Row],[Stress]]+tbl_daily[[#This Row],[SleepQuality]]+tbl_daily[[#This Row],[Energy]],""),"")</f>
        <v>22</v>
      </c>
      <c r="Q74" s="3">
        <f>IFERROR(IF(AND(tbl_daily[[#This Row],[Attendance (1 = Here, 0 = Not here)]]=1,tbl_daily[[#This Row],[Attended, but did not complete data]]&lt;&gt;1),tbl_daily[[#This Row],[LatestRPE]]*tbl_daily[[#This Row],[LatestDuration]],""),"")</f>
        <v>0</v>
      </c>
      <c r="R74" s="3">
        <f>IF(tbl_daily[[#This Row],[CodeName]]&lt;&gt;"",1,"")</f>
        <v>1</v>
      </c>
      <c r="S74" s="3" t="str">
        <f>IF(AND(tbl_daily[[#This Row],[Date]]&gt;=DATE(2019,8,1),tbl_daily[[#This Row],[Date]]&lt;=DATE(2020,6,1)),"2019-2020")</f>
        <v>2019-2020</v>
      </c>
      <c r="T74" s="3" t="str">
        <f>IFERROR(INDEX(tbl_prof[Cohort of Interest],MATCH(tbl_daily[[#This Row],[CodeName]],tbl_prof[CodeName],0)),"")</f>
        <v>Athletes</v>
      </c>
      <c r="U74" s="3" t="str">
        <f>IFERROR(AVERAGEIFS(tbl_perf[Grade],tbl_perf[CodeName],tbl_daily[[#This Row],[CodeName]],tbl_perf[Date],tbl_daily[[#This Row],[Date]]),"")</f>
        <v/>
      </c>
      <c r="V74" s="3">
        <f>IFERROR(IF(AND(tbl_daily[[#This Row],[Attendance (1 = Here, 0 = Not here)]]=1,tbl_daily[[#This Row],[Attended, but did not complete data]]&lt;&gt;1),1,IF(AND(tbl_daily[[#This Row],[Attendance (1 = Here, 0 = Not here)]]=1,tbl_daily[[#This Row],[Attended, but did not complete data]]=1),2,3)),"")</f>
        <v>1</v>
      </c>
      <c r="W74" s="3">
        <f>IF(AND(tbl_daily[[#This Row],[Attendance Refined]]=1,tbl_daily[[#This Row],[InjuryStatus]]="Full"),1,IF(AND(tbl_daily[[#This Row],[Attendance Refined]]=1,tbl_daily[[#This Row],[InjuryStatus]]="Limited"),2,IF(AND(tbl_daily[[#This Row],[Attendance Refined]]=1,tbl_daily[[#This Row],[InjuryStatus]]="Out"),3,"")))</f>
        <v>1</v>
      </c>
    </row>
    <row r="75" spans="1:23" ht="15" customHeight="1" x14ac:dyDescent="0.25">
      <c r="A75" s="1">
        <v>43886</v>
      </c>
      <c r="B75" t="s">
        <v>422</v>
      </c>
      <c r="C75">
        <v>1</v>
      </c>
      <c r="E75">
        <v>5</v>
      </c>
      <c r="F75">
        <v>6</v>
      </c>
      <c r="G75">
        <v>6</v>
      </c>
      <c r="H75" t="s">
        <v>32</v>
      </c>
      <c r="I75">
        <v>0</v>
      </c>
      <c r="J75">
        <v>0</v>
      </c>
      <c r="K75">
        <v>0</v>
      </c>
      <c r="M75" t="s">
        <v>279</v>
      </c>
      <c r="N75" t="s">
        <v>97</v>
      </c>
      <c r="P75" s="3">
        <f>IFERROR(IF(AND(tbl_daily[[#This Row],[Attendance (1 = Here, 0 = Not here)]]=1,tbl_daily[[#This Row],[Attended, but did not complete data]]&lt;&gt;1),tbl_daily[[#This Row],[Stress]]+tbl_daily[[#This Row],[SleepQuality]]+tbl_daily[[#This Row],[Energy]],""),"")</f>
        <v>17</v>
      </c>
      <c r="Q75" s="3">
        <f>IFERROR(IF(AND(tbl_daily[[#This Row],[Attendance (1 = Here, 0 = Not here)]]=1,tbl_daily[[#This Row],[Attended, but did not complete data]]&lt;&gt;1),tbl_daily[[#This Row],[LatestRPE]]*tbl_daily[[#This Row],[LatestDuration]],""),"")</f>
        <v>0</v>
      </c>
      <c r="R75" s="3">
        <f>IF(tbl_daily[[#This Row],[CodeName]]&lt;&gt;"",1,"")</f>
        <v>1</v>
      </c>
      <c r="S75" s="3" t="str">
        <f>IF(AND(tbl_daily[[#This Row],[Date]]&gt;=DATE(2019,8,1),tbl_daily[[#This Row],[Date]]&lt;=DATE(2020,6,1)),"2019-2020")</f>
        <v>2019-2020</v>
      </c>
      <c r="T75" s="3" t="str">
        <f>IFERROR(INDEX(tbl_prof[Cohort of Interest],MATCH(tbl_daily[[#This Row],[CodeName]],tbl_prof[CodeName],0)),"")</f>
        <v>Athletes</v>
      </c>
      <c r="U75" s="3" t="str">
        <f>IFERROR(AVERAGEIFS(tbl_perf[Grade],tbl_perf[CodeName],tbl_daily[[#This Row],[CodeName]],tbl_perf[Date],tbl_daily[[#This Row],[Date]]),"")</f>
        <v/>
      </c>
      <c r="V75" s="3">
        <f>IFERROR(IF(AND(tbl_daily[[#This Row],[Attendance (1 = Here, 0 = Not here)]]=1,tbl_daily[[#This Row],[Attended, but did not complete data]]&lt;&gt;1),1,IF(AND(tbl_daily[[#This Row],[Attendance (1 = Here, 0 = Not here)]]=1,tbl_daily[[#This Row],[Attended, but did not complete data]]=1),2,3)),"")</f>
        <v>1</v>
      </c>
      <c r="W75" s="3">
        <f>IF(AND(tbl_daily[[#This Row],[Attendance Refined]]=1,tbl_daily[[#This Row],[InjuryStatus]]="Full"),1,IF(AND(tbl_daily[[#This Row],[Attendance Refined]]=1,tbl_daily[[#This Row],[InjuryStatus]]="Limited"),2,IF(AND(tbl_daily[[#This Row],[Attendance Refined]]=1,tbl_daily[[#This Row],[InjuryStatus]]="Out"),3,"")))</f>
        <v>2</v>
      </c>
    </row>
    <row r="76" spans="1:23" ht="15" customHeight="1" x14ac:dyDescent="0.25">
      <c r="A76" s="1">
        <v>43886</v>
      </c>
      <c r="B76" t="s">
        <v>424</v>
      </c>
      <c r="C76">
        <v>1</v>
      </c>
      <c r="E76">
        <v>7</v>
      </c>
      <c r="F76">
        <v>8</v>
      </c>
      <c r="G76">
        <v>7</v>
      </c>
      <c r="H76" t="s">
        <v>15</v>
      </c>
      <c r="I76">
        <v>0</v>
      </c>
      <c r="J76">
        <v>0</v>
      </c>
      <c r="K76">
        <v>0</v>
      </c>
      <c r="M76" t="s">
        <v>279</v>
      </c>
      <c r="N76" t="s">
        <v>291</v>
      </c>
      <c r="P76" s="3">
        <f>IFERROR(IF(AND(tbl_daily[[#This Row],[Attendance (1 = Here, 0 = Not here)]]=1,tbl_daily[[#This Row],[Attended, but did not complete data]]&lt;&gt;1),tbl_daily[[#This Row],[Stress]]+tbl_daily[[#This Row],[SleepQuality]]+tbl_daily[[#This Row],[Energy]],""),"")</f>
        <v>22</v>
      </c>
      <c r="Q76" s="3">
        <f>IFERROR(IF(AND(tbl_daily[[#This Row],[Attendance (1 = Here, 0 = Not here)]]=1,tbl_daily[[#This Row],[Attended, but did not complete data]]&lt;&gt;1),tbl_daily[[#This Row],[LatestRPE]]*tbl_daily[[#This Row],[LatestDuration]],""),"")</f>
        <v>0</v>
      </c>
      <c r="R76" s="3">
        <f>IF(tbl_daily[[#This Row],[CodeName]]&lt;&gt;"",1,"")</f>
        <v>1</v>
      </c>
      <c r="S76" s="3" t="str">
        <f>IF(AND(tbl_daily[[#This Row],[Date]]&gt;=DATE(2019,8,1),tbl_daily[[#This Row],[Date]]&lt;=DATE(2020,6,1)),"2019-2020")</f>
        <v>2019-2020</v>
      </c>
      <c r="T76" s="3" t="str">
        <f>IFERROR(INDEX(tbl_prof[Cohort of Interest],MATCH(tbl_daily[[#This Row],[CodeName]],tbl_prof[CodeName],0)),"")</f>
        <v>Special</v>
      </c>
      <c r="U76" s="3" t="str">
        <f>IFERROR(AVERAGEIFS(tbl_perf[Grade],tbl_perf[CodeName],tbl_daily[[#This Row],[CodeName]],tbl_perf[Date],tbl_daily[[#This Row],[Date]]),"")</f>
        <v/>
      </c>
      <c r="V76" s="3">
        <f>IFERROR(IF(AND(tbl_daily[[#This Row],[Attendance (1 = Here, 0 = Not here)]]=1,tbl_daily[[#This Row],[Attended, but did not complete data]]&lt;&gt;1),1,IF(AND(tbl_daily[[#This Row],[Attendance (1 = Here, 0 = Not here)]]=1,tbl_daily[[#This Row],[Attended, but did not complete data]]=1),2,3)),"")</f>
        <v>1</v>
      </c>
      <c r="W76" s="3">
        <f>IF(AND(tbl_daily[[#This Row],[Attendance Refined]]=1,tbl_daily[[#This Row],[InjuryStatus]]="Full"),1,IF(AND(tbl_daily[[#This Row],[Attendance Refined]]=1,tbl_daily[[#This Row],[InjuryStatus]]="Limited"),2,IF(AND(tbl_daily[[#This Row],[Attendance Refined]]=1,tbl_daily[[#This Row],[InjuryStatus]]="Out"),3,"")))</f>
        <v>1</v>
      </c>
    </row>
    <row r="77" spans="1:23" ht="15" customHeight="1" x14ac:dyDescent="0.25">
      <c r="A77" s="1">
        <v>43886</v>
      </c>
      <c r="B77" t="s">
        <v>428</v>
      </c>
      <c r="C77">
        <v>1</v>
      </c>
      <c r="E77">
        <v>8</v>
      </c>
      <c r="F77">
        <v>7</v>
      </c>
      <c r="G77">
        <v>7</v>
      </c>
      <c r="H77" t="s">
        <v>15</v>
      </c>
      <c r="I77">
        <v>0</v>
      </c>
      <c r="J77">
        <v>0</v>
      </c>
      <c r="K77">
        <v>0</v>
      </c>
      <c r="M77" t="s">
        <v>279</v>
      </c>
      <c r="N77" t="s">
        <v>294</v>
      </c>
      <c r="P77" s="3">
        <f>IFERROR(IF(AND(tbl_daily[[#This Row],[Attendance (1 = Here, 0 = Not here)]]=1,tbl_daily[[#This Row],[Attended, but did not complete data]]&lt;&gt;1),tbl_daily[[#This Row],[Stress]]+tbl_daily[[#This Row],[SleepQuality]]+tbl_daily[[#This Row],[Energy]],""),"")</f>
        <v>22</v>
      </c>
      <c r="Q77" s="3">
        <f>IFERROR(IF(AND(tbl_daily[[#This Row],[Attendance (1 = Here, 0 = Not here)]]=1,tbl_daily[[#This Row],[Attended, but did not complete data]]&lt;&gt;1),tbl_daily[[#This Row],[LatestRPE]]*tbl_daily[[#This Row],[LatestDuration]],""),"")</f>
        <v>0</v>
      </c>
      <c r="R77" s="3">
        <f>IF(tbl_daily[[#This Row],[CodeName]]&lt;&gt;"",1,"")</f>
        <v>1</v>
      </c>
      <c r="S77" s="3" t="str">
        <f>IF(AND(tbl_daily[[#This Row],[Date]]&gt;=DATE(2019,8,1),tbl_daily[[#This Row],[Date]]&lt;=DATE(2020,6,1)),"2019-2020")</f>
        <v>2019-2020</v>
      </c>
      <c r="T77" s="3" t="str">
        <f>IFERROR(INDEX(tbl_prof[Cohort of Interest],MATCH(tbl_daily[[#This Row],[CodeName]],tbl_prof[CodeName],0)),"")</f>
        <v>Special</v>
      </c>
      <c r="U77" s="3" t="str">
        <f>IFERROR(AVERAGEIFS(tbl_perf[Grade],tbl_perf[CodeName],tbl_daily[[#This Row],[CodeName]],tbl_perf[Date],tbl_daily[[#This Row],[Date]]),"")</f>
        <v/>
      </c>
      <c r="V77" s="3">
        <f>IFERROR(IF(AND(tbl_daily[[#This Row],[Attendance (1 = Here, 0 = Not here)]]=1,tbl_daily[[#This Row],[Attended, but did not complete data]]&lt;&gt;1),1,IF(AND(tbl_daily[[#This Row],[Attendance (1 = Here, 0 = Not here)]]=1,tbl_daily[[#This Row],[Attended, but did not complete data]]=1),2,3)),"")</f>
        <v>1</v>
      </c>
      <c r="W77" s="3">
        <f>IF(AND(tbl_daily[[#This Row],[Attendance Refined]]=1,tbl_daily[[#This Row],[InjuryStatus]]="Full"),1,IF(AND(tbl_daily[[#This Row],[Attendance Refined]]=1,tbl_daily[[#This Row],[InjuryStatus]]="Limited"),2,IF(AND(tbl_daily[[#This Row],[Attendance Refined]]=1,tbl_daily[[#This Row],[InjuryStatus]]="Out"),3,"")))</f>
        <v>1</v>
      </c>
    </row>
    <row r="78" spans="1:23" ht="15" customHeight="1" x14ac:dyDescent="0.25">
      <c r="A78" s="1">
        <v>43886</v>
      </c>
      <c r="B78" t="s">
        <v>410</v>
      </c>
      <c r="C78">
        <v>1</v>
      </c>
      <c r="E78">
        <v>7</v>
      </c>
      <c r="F78">
        <v>7</v>
      </c>
      <c r="G78">
        <v>8</v>
      </c>
      <c r="H78" t="s">
        <v>15</v>
      </c>
      <c r="I78">
        <v>0</v>
      </c>
      <c r="J78">
        <v>0</v>
      </c>
      <c r="K78">
        <v>0</v>
      </c>
      <c r="M78" t="s">
        <v>279</v>
      </c>
      <c r="N78" t="s">
        <v>295</v>
      </c>
      <c r="P78" s="3">
        <f>IFERROR(IF(AND(tbl_daily[[#This Row],[Attendance (1 = Here, 0 = Not here)]]=1,tbl_daily[[#This Row],[Attended, but did not complete data]]&lt;&gt;1),tbl_daily[[#This Row],[Stress]]+tbl_daily[[#This Row],[SleepQuality]]+tbl_daily[[#This Row],[Energy]],""),"")</f>
        <v>22</v>
      </c>
      <c r="Q78" s="3">
        <f>IFERROR(IF(AND(tbl_daily[[#This Row],[Attendance (1 = Here, 0 = Not here)]]=1,tbl_daily[[#This Row],[Attended, but did not complete data]]&lt;&gt;1),tbl_daily[[#This Row],[LatestRPE]]*tbl_daily[[#This Row],[LatestDuration]],""),"")</f>
        <v>0</v>
      </c>
      <c r="R78" s="3">
        <f>IF(tbl_daily[[#This Row],[CodeName]]&lt;&gt;"",1,"")</f>
        <v>1</v>
      </c>
      <c r="S78" s="3" t="str">
        <f>IF(AND(tbl_daily[[#This Row],[Date]]&gt;=DATE(2019,8,1),tbl_daily[[#This Row],[Date]]&lt;=DATE(2020,6,1)),"2019-2020")</f>
        <v>2019-2020</v>
      </c>
      <c r="T78" s="3" t="str">
        <f>IFERROR(INDEX(tbl_prof[Cohort of Interest],MATCH(tbl_daily[[#This Row],[CodeName]],tbl_prof[CodeName],0)),"")</f>
        <v>Gen Pop</v>
      </c>
      <c r="U78" s="3" t="str">
        <f>IFERROR(AVERAGEIFS(tbl_perf[Grade],tbl_perf[CodeName],tbl_daily[[#This Row],[CodeName]],tbl_perf[Date],tbl_daily[[#This Row],[Date]]),"")</f>
        <v/>
      </c>
      <c r="V78" s="3">
        <f>IFERROR(IF(AND(tbl_daily[[#This Row],[Attendance (1 = Here, 0 = Not here)]]=1,tbl_daily[[#This Row],[Attended, but did not complete data]]&lt;&gt;1),1,IF(AND(tbl_daily[[#This Row],[Attendance (1 = Here, 0 = Not here)]]=1,tbl_daily[[#This Row],[Attended, but did not complete data]]=1),2,3)),"")</f>
        <v>1</v>
      </c>
      <c r="W78" s="3">
        <f>IF(AND(tbl_daily[[#This Row],[Attendance Refined]]=1,tbl_daily[[#This Row],[InjuryStatus]]="Full"),1,IF(AND(tbl_daily[[#This Row],[Attendance Refined]]=1,tbl_daily[[#This Row],[InjuryStatus]]="Limited"),2,IF(AND(tbl_daily[[#This Row],[Attendance Refined]]=1,tbl_daily[[#This Row],[InjuryStatus]]="Out"),3,"")))</f>
        <v>1</v>
      </c>
    </row>
    <row r="79" spans="1:23" ht="15" customHeight="1" x14ac:dyDescent="0.25">
      <c r="A79" s="1">
        <v>43886</v>
      </c>
      <c r="B79" t="s">
        <v>429</v>
      </c>
      <c r="C79">
        <v>1</v>
      </c>
      <c r="E79">
        <v>7</v>
      </c>
      <c r="F79">
        <v>8</v>
      </c>
      <c r="G79">
        <v>6</v>
      </c>
      <c r="H79" t="s">
        <v>15</v>
      </c>
      <c r="I79">
        <v>0</v>
      </c>
      <c r="J79">
        <v>0</v>
      </c>
      <c r="K79">
        <v>0</v>
      </c>
      <c r="M79" t="s">
        <v>279</v>
      </c>
      <c r="N79" t="s">
        <v>296</v>
      </c>
      <c r="P79" s="3">
        <f>IFERROR(IF(AND(tbl_daily[[#This Row],[Attendance (1 = Here, 0 = Not here)]]=1,tbl_daily[[#This Row],[Attended, but did not complete data]]&lt;&gt;1),tbl_daily[[#This Row],[Stress]]+tbl_daily[[#This Row],[SleepQuality]]+tbl_daily[[#This Row],[Energy]],""),"")</f>
        <v>21</v>
      </c>
      <c r="Q79" s="3">
        <f>IFERROR(IF(AND(tbl_daily[[#This Row],[Attendance (1 = Here, 0 = Not here)]]=1,tbl_daily[[#This Row],[Attended, but did not complete data]]&lt;&gt;1),tbl_daily[[#This Row],[LatestRPE]]*tbl_daily[[#This Row],[LatestDuration]],""),"")</f>
        <v>0</v>
      </c>
      <c r="R79" s="3">
        <f>IF(tbl_daily[[#This Row],[CodeName]]&lt;&gt;"",1,"")</f>
        <v>1</v>
      </c>
      <c r="S79" s="3" t="str">
        <f>IF(AND(tbl_daily[[#This Row],[Date]]&gt;=DATE(2019,8,1),tbl_daily[[#This Row],[Date]]&lt;=DATE(2020,6,1)),"2019-2020")</f>
        <v>2019-2020</v>
      </c>
      <c r="T79" s="3" t="str">
        <f>IFERROR(INDEX(tbl_prof[Cohort of Interest],MATCH(tbl_daily[[#This Row],[CodeName]],tbl_prof[CodeName],0)),"")</f>
        <v>Gen Pop</v>
      </c>
      <c r="U79" s="3" t="str">
        <f>IFERROR(AVERAGEIFS(tbl_perf[Grade],tbl_perf[CodeName],tbl_daily[[#This Row],[CodeName]],tbl_perf[Date],tbl_daily[[#This Row],[Date]]),"")</f>
        <v/>
      </c>
      <c r="V79" s="3">
        <f>IFERROR(IF(AND(tbl_daily[[#This Row],[Attendance (1 = Here, 0 = Not here)]]=1,tbl_daily[[#This Row],[Attended, but did not complete data]]&lt;&gt;1),1,IF(AND(tbl_daily[[#This Row],[Attendance (1 = Here, 0 = Not here)]]=1,tbl_daily[[#This Row],[Attended, but did not complete data]]=1),2,3)),"")</f>
        <v>1</v>
      </c>
      <c r="W79" s="3">
        <f>IF(AND(tbl_daily[[#This Row],[Attendance Refined]]=1,tbl_daily[[#This Row],[InjuryStatus]]="Full"),1,IF(AND(tbl_daily[[#This Row],[Attendance Refined]]=1,tbl_daily[[#This Row],[InjuryStatus]]="Limited"),2,IF(AND(tbl_daily[[#This Row],[Attendance Refined]]=1,tbl_daily[[#This Row],[InjuryStatus]]="Out"),3,"")))</f>
        <v>1</v>
      </c>
    </row>
    <row r="80" spans="1:23" ht="15" customHeight="1" x14ac:dyDescent="0.25">
      <c r="A80" s="1">
        <v>43886</v>
      </c>
      <c r="B80" t="s">
        <v>434</v>
      </c>
      <c r="C80">
        <v>1</v>
      </c>
      <c r="E80">
        <v>6</v>
      </c>
      <c r="F80">
        <v>7</v>
      </c>
      <c r="G80">
        <v>7</v>
      </c>
      <c r="H80" t="s">
        <v>15</v>
      </c>
      <c r="I80">
        <v>0</v>
      </c>
      <c r="J80">
        <v>0</v>
      </c>
      <c r="K80">
        <v>0</v>
      </c>
      <c r="M80" t="s">
        <v>279</v>
      </c>
      <c r="N80" t="s">
        <v>288</v>
      </c>
      <c r="P80" s="3">
        <f>IFERROR(IF(AND(tbl_daily[[#This Row],[Attendance (1 = Here, 0 = Not here)]]=1,tbl_daily[[#This Row],[Attended, but did not complete data]]&lt;&gt;1),tbl_daily[[#This Row],[Stress]]+tbl_daily[[#This Row],[SleepQuality]]+tbl_daily[[#This Row],[Energy]],""),"")</f>
        <v>20</v>
      </c>
      <c r="Q80" s="3">
        <f>IFERROR(IF(AND(tbl_daily[[#This Row],[Attendance (1 = Here, 0 = Not here)]]=1,tbl_daily[[#This Row],[Attended, but did not complete data]]&lt;&gt;1),tbl_daily[[#This Row],[LatestRPE]]*tbl_daily[[#This Row],[LatestDuration]],""),"")</f>
        <v>0</v>
      </c>
      <c r="R80" s="3">
        <f>IF(tbl_daily[[#This Row],[CodeName]]&lt;&gt;"",1,"")</f>
        <v>1</v>
      </c>
      <c r="S80" s="3" t="str">
        <f>IF(AND(tbl_daily[[#This Row],[Date]]&gt;=DATE(2019,8,1),tbl_daily[[#This Row],[Date]]&lt;=DATE(2020,6,1)),"2019-2020")</f>
        <v>2019-2020</v>
      </c>
      <c r="T80" s="3" t="str">
        <f>IFERROR(INDEX(tbl_prof[Cohort of Interest],MATCH(tbl_daily[[#This Row],[CodeName]],tbl_prof[CodeName],0)),"")</f>
        <v>Athletes</v>
      </c>
      <c r="U80" s="3" t="str">
        <f>IFERROR(AVERAGEIFS(tbl_perf[Grade],tbl_perf[CodeName],tbl_daily[[#This Row],[CodeName]],tbl_perf[Date],tbl_daily[[#This Row],[Date]]),"")</f>
        <v/>
      </c>
      <c r="V80" s="3">
        <f>IFERROR(IF(AND(tbl_daily[[#This Row],[Attendance (1 = Here, 0 = Not here)]]=1,tbl_daily[[#This Row],[Attended, but did not complete data]]&lt;&gt;1),1,IF(AND(tbl_daily[[#This Row],[Attendance (1 = Here, 0 = Not here)]]=1,tbl_daily[[#This Row],[Attended, but did not complete data]]=1),2,3)),"")</f>
        <v>1</v>
      </c>
      <c r="W80" s="3">
        <f>IF(AND(tbl_daily[[#This Row],[Attendance Refined]]=1,tbl_daily[[#This Row],[InjuryStatus]]="Full"),1,IF(AND(tbl_daily[[#This Row],[Attendance Refined]]=1,tbl_daily[[#This Row],[InjuryStatus]]="Limited"),2,IF(AND(tbl_daily[[#This Row],[Attendance Refined]]=1,tbl_daily[[#This Row],[InjuryStatus]]="Out"),3,"")))</f>
        <v>1</v>
      </c>
    </row>
    <row r="81" spans="1:23" ht="15" customHeight="1" x14ac:dyDescent="0.25">
      <c r="A81" s="1">
        <v>43886</v>
      </c>
      <c r="B81" t="s">
        <v>430</v>
      </c>
      <c r="C81">
        <v>1</v>
      </c>
      <c r="E81">
        <v>6</v>
      </c>
      <c r="F81">
        <v>7</v>
      </c>
      <c r="G81">
        <v>7</v>
      </c>
      <c r="H81" t="s">
        <v>15</v>
      </c>
      <c r="I81">
        <v>0</v>
      </c>
      <c r="J81">
        <v>0</v>
      </c>
      <c r="K81">
        <v>0</v>
      </c>
      <c r="M81" t="s">
        <v>279</v>
      </c>
      <c r="N81" t="s">
        <v>297</v>
      </c>
      <c r="P81" s="3">
        <f>IFERROR(IF(AND(tbl_daily[[#This Row],[Attendance (1 = Here, 0 = Not here)]]=1,tbl_daily[[#This Row],[Attended, but did not complete data]]&lt;&gt;1),tbl_daily[[#This Row],[Stress]]+tbl_daily[[#This Row],[SleepQuality]]+tbl_daily[[#This Row],[Energy]],""),"")</f>
        <v>20</v>
      </c>
      <c r="Q81" s="3">
        <f>IFERROR(IF(AND(tbl_daily[[#This Row],[Attendance (1 = Here, 0 = Not here)]]=1,tbl_daily[[#This Row],[Attended, but did not complete data]]&lt;&gt;1),tbl_daily[[#This Row],[LatestRPE]]*tbl_daily[[#This Row],[LatestDuration]],""),"")</f>
        <v>0</v>
      </c>
      <c r="R81" s="3">
        <f>IF(tbl_daily[[#This Row],[CodeName]]&lt;&gt;"",1,"")</f>
        <v>1</v>
      </c>
      <c r="S81" s="3" t="str">
        <f>IF(AND(tbl_daily[[#This Row],[Date]]&gt;=DATE(2019,8,1),tbl_daily[[#This Row],[Date]]&lt;=DATE(2020,6,1)),"2019-2020")</f>
        <v>2019-2020</v>
      </c>
      <c r="T81" s="3" t="str">
        <f>IFERROR(INDEX(tbl_prof[Cohort of Interest],MATCH(tbl_daily[[#This Row],[CodeName]],tbl_prof[CodeName],0)),"")</f>
        <v>Gen Pop</v>
      </c>
      <c r="U81" s="3" t="str">
        <f>IFERROR(AVERAGEIFS(tbl_perf[Grade],tbl_perf[CodeName],tbl_daily[[#This Row],[CodeName]],tbl_perf[Date],tbl_daily[[#This Row],[Date]]),"")</f>
        <v/>
      </c>
      <c r="V81" s="3">
        <f>IFERROR(IF(AND(tbl_daily[[#This Row],[Attendance (1 = Here, 0 = Not here)]]=1,tbl_daily[[#This Row],[Attended, but did not complete data]]&lt;&gt;1),1,IF(AND(tbl_daily[[#This Row],[Attendance (1 = Here, 0 = Not here)]]=1,tbl_daily[[#This Row],[Attended, but did not complete data]]=1),2,3)),"")</f>
        <v>1</v>
      </c>
      <c r="W81" s="3">
        <f>IF(AND(tbl_daily[[#This Row],[Attendance Refined]]=1,tbl_daily[[#This Row],[InjuryStatus]]="Full"),1,IF(AND(tbl_daily[[#This Row],[Attendance Refined]]=1,tbl_daily[[#This Row],[InjuryStatus]]="Limited"),2,IF(AND(tbl_daily[[#This Row],[Attendance Refined]]=1,tbl_daily[[#This Row],[InjuryStatus]]="Out"),3,"")))</f>
        <v>1</v>
      </c>
    </row>
    <row r="82" spans="1:23" ht="15" customHeight="1" x14ac:dyDescent="0.25">
      <c r="A82" s="1">
        <v>43886</v>
      </c>
      <c r="B82" t="s">
        <v>435</v>
      </c>
      <c r="C82">
        <v>1</v>
      </c>
      <c r="E82">
        <v>8</v>
      </c>
      <c r="F82">
        <v>8</v>
      </c>
      <c r="G82">
        <v>6</v>
      </c>
      <c r="H82" t="s">
        <v>15</v>
      </c>
      <c r="I82">
        <v>0</v>
      </c>
      <c r="J82">
        <v>0</v>
      </c>
      <c r="K82">
        <v>0</v>
      </c>
      <c r="M82" t="s">
        <v>279</v>
      </c>
      <c r="N82" t="s">
        <v>298</v>
      </c>
      <c r="P82" s="3">
        <f>IFERROR(IF(AND(tbl_daily[[#This Row],[Attendance (1 = Here, 0 = Not here)]]=1,tbl_daily[[#This Row],[Attended, but did not complete data]]&lt;&gt;1),tbl_daily[[#This Row],[Stress]]+tbl_daily[[#This Row],[SleepQuality]]+tbl_daily[[#This Row],[Energy]],""),"")</f>
        <v>22</v>
      </c>
      <c r="Q82" s="3">
        <f>IFERROR(IF(AND(tbl_daily[[#This Row],[Attendance (1 = Here, 0 = Not here)]]=1,tbl_daily[[#This Row],[Attended, but did not complete data]]&lt;&gt;1),tbl_daily[[#This Row],[LatestRPE]]*tbl_daily[[#This Row],[LatestDuration]],""),"")</f>
        <v>0</v>
      </c>
      <c r="R82" s="3">
        <f>IF(tbl_daily[[#This Row],[CodeName]]&lt;&gt;"",1,"")</f>
        <v>1</v>
      </c>
      <c r="S82" s="3" t="str">
        <f>IF(AND(tbl_daily[[#This Row],[Date]]&gt;=DATE(2019,8,1),tbl_daily[[#This Row],[Date]]&lt;=DATE(2020,6,1)),"2019-2020")</f>
        <v>2019-2020</v>
      </c>
      <c r="T82" s="3" t="str">
        <f>IFERROR(INDEX(tbl_prof[Cohort of Interest],MATCH(tbl_daily[[#This Row],[CodeName]],tbl_prof[CodeName],0)),"")</f>
        <v>Athletes</v>
      </c>
      <c r="U82" s="3" t="str">
        <f>IFERROR(AVERAGEIFS(tbl_perf[Grade],tbl_perf[CodeName],tbl_daily[[#This Row],[CodeName]],tbl_perf[Date],tbl_daily[[#This Row],[Date]]),"")</f>
        <v/>
      </c>
      <c r="V82" s="3">
        <f>IFERROR(IF(AND(tbl_daily[[#This Row],[Attendance (1 = Here, 0 = Not here)]]=1,tbl_daily[[#This Row],[Attended, but did not complete data]]&lt;&gt;1),1,IF(AND(tbl_daily[[#This Row],[Attendance (1 = Here, 0 = Not here)]]=1,tbl_daily[[#This Row],[Attended, but did not complete data]]=1),2,3)),"")</f>
        <v>1</v>
      </c>
      <c r="W82" s="3">
        <f>IF(AND(tbl_daily[[#This Row],[Attendance Refined]]=1,tbl_daily[[#This Row],[InjuryStatus]]="Full"),1,IF(AND(tbl_daily[[#This Row],[Attendance Refined]]=1,tbl_daily[[#This Row],[InjuryStatus]]="Limited"),2,IF(AND(tbl_daily[[#This Row],[Attendance Refined]]=1,tbl_daily[[#This Row],[InjuryStatus]]="Out"),3,"")))</f>
        <v>1</v>
      </c>
    </row>
    <row r="83" spans="1:23" ht="15" customHeight="1" x14ac:dyDescent="0.25">
      <c r="A83" s="1">
        <v>43886</v>
      </c>
      <c r="B83" t="s">
        <v>431</v>
      </c>
      <c r="C83">
        <v>1</v>
      </c>
      <c r="E83">
        <v>7</v>
      </c>
      <c r="F83">
        <v>8</v>
      </c>
      <c r="G83">
        <v>6</v>
      </c>
      <c r="H83" t="s">
        <v>15</v>
      </c>
      <c r="I83">
        <v>0</v>
      </c>
      <c r="J83">
        <v>0</v>
      </c>
      <c r="K83">
        <v>0</v>
      </c>
      <c r="M83" t="s">
        <v>279</v>
      </c>
      <c r="N83" t="s">
        <v>300</v>
      </c>
      <c r="P83" s="3">
        <f>IFERROR(IF(AND(tbl_daily[[#This Row],[Attendance (1 = Here, 0 = Not here)]]=1,tbl_daily[[#This Row],[Attended, but did not complete data]]&lt;&gt;1),tbl_daily[[#This Row],[Stress]]+tbl_daily[[#This Row],[SleepQuality]]+tbl_daily[[#This Row],[Energy]],""),"")</f>
        <v>21</v>
      </c>
      <c r="Q83" s="3">
        <f>IFERROR(IF(AND(tbl_daily[[#This Row],[Attendance (1 = Here, 0 = Not here)]]=1,tbl_daily[[#This Row],[Attended, but did not complete data]]&lt;&gt;1),tbl_daily[[#This Row],[LatestRPE]]*tbl_daily[[#This Row],[LatestDuration]],""),"")</f>
        <v>0</v>
      </c>
      <c r="R83" s="3">
        <f>IF(tbl_daily[[#This Row],[CodeName]]&lt;&gt;"",1,"")</f>
        <v>1</v>
      </c>
      <c r="S83" s="3" t="str">
        <f>IF(AND(tbl_daily[[#This Row],[Date]]&gt;=DATE(2019,8,1),tbl_daily[[#This Row],[Date]]&lt;=DATE(2020,6,1)),"2019-2020")</f>
        <v>2019-2020</v>
      </c>
      <c r="T83" s="3" t="str">
        <f>IFERROR(INDEX(tbl_prof[Cohort of Interest],MATCH(tbl_daily[[#This Row],[CodeName]],tbl_prof[CodeName],0)),"")</f>
        <v>Special</v>
      </c>
      <c r="U83" s="3" t="str">
        <f>IFERROR(AVERAGEIFS(tbl_perf[Grade],tbl_perf[CodeName],tbl_daily[[#This Row],[CodeName]],tbl_perf[Date],tbl_daily[[#This Row],[Date]]),"")</f>
        <v/>
      </c>
      <c r="V83" s="3">
        <f>IFERROR(IF(AND(tbl_daily[[#This Row],[Attendance (1 = Here, 0 = Not here)]]=1,tbl_daily[[#This Row],[Attended, but did not complete data]]&lt;&gt;1),1,IF(AND(tbl_daily[[#This Row],[Attendance (1 = Here, 0 = Not here)]]=1,tbl_daily[[#This Row],[Attended, but did not complete data]]=1),2,3)),"")</f>
        <v>1</v>
      </c>
      <c r="W83" s="3">
        <f>IF(AND(tbl_daily[[#This Row],[Attendance Refined]]=1,tbl_daily[[#This Row],[InjuryStatus]]="Full"),1,IF(AND(tbl_daily[[#This Row],[Attendance Refined]]=1,tbl_daily[[#This Row],[InjuryStatus]]="Limited"),2,IF(AND(tbl_daily[[#This Row],[Attendance Refined]]=1,tbl_daily[[#This Row],[InjuryStatus]]="Out"),3,"")))</f>
        <v>1</v>
      </c>
    </row>
    <row r="84" spans="1:23" ht="15" customHeight="1" x14ac:dyDescent="0.25">
      <c r="A84" s="1">
        <v>43886</v>
      </c>
      <c r="B84" t="s">
        <v>432</v>
      </c>
      <c r="C84">
        <v>1</v>
      </c>
      <c r="E84">
        <v>6</v>
      </c>
      <c r="F84">
        <v>8</v>
      </c>
      <c r="G84">
        <v>7</v>
      </c>
      <c r="H84" t="s">
        <v>32</v>
      </c>
      <c r="I84">
        <v>0</v>
      </c>
      <c r="J84">
        <v>0</v>
      </c>
      <c r="K84">
        <v>0</v>
      </c>
      <c r="M84" t="s">
        <v>279</v>
      </c>
      <c r="N84" t="s">
        <v>301</v>
      </c>
      <c r="P84" s="3">
        <f>IFERROR(IF(AND(tbl_daily[[#This Row],[Attendance (1 = Here, 0 = Not here)]]=1,tbl_daily[[#This Row],[Attended, but did not complete data]]&lt;&gt;1),tbl_daily[[#This Row],[Stress]]+tbl_daily[[#This Row],[SleepQuality]]+tbl_daily[[#This Row],[Energy]],""),"")</f>
        <v>21</v>
      </c>
      <c r="Q84" s="3">
        <f>IFERROR(IF(AND(tbl_daily[[#This Row],[Attendance (1 = Here, 0 = Not here)]]=1,tbl_daily[[#This Row],[Attended, but did not complete data]]&lt;&gt;1),tbl_daily[[#This Row],[LatestRPE]]*tbl_daily[[#This Row],[LatestDuration]],""),"")</f>
        <v>0</v>
      </c>
      <c r="R84" s="3">
        <f>IF(tbl_daily[[#This Row],[CodeName]]&lt;&gt;"",1,"")</f>
        <v>1</v>
      </c>
      <c r="S84" s="3" t="str">
        <f>IF(AND(tbl_daily[[#This Row],[Date]]&gt;=DATE(2019,8,1),tbl_daily[[#This Row],[Date]]&lt;=DATE(2020,6,1)),"2019-2020")</f>
        <v>2019-2020</v>
      </c>
      <c r="T84" s="3" t="str">
        <f>IFERROR(INDEX(tbl_prof[Cohort of Interest],MATCH(tbl_daily[[#This Row],[CodeName]],tbl_prof[CodeName],0)),"")</f>
        <v>Athletes</v>
      </c>
      <c r="U84" s="3" t="str">
        <f>IFERROR(AVERAGEIFS(tbl_perf[Grade],tbl_perf[CodeName],tbl_daily[[#This Row],[CodeName]],tbl_perf[Date],tbl_daily[[#This Row],[Date]]),"")</f>
        <v/>
      </c>
      <c r="V84" s="3">
        <f>IFERROR(IF(AND(tbl_daily[[#This Row],[Attendance (1 = Here, 0 = Not here)]]=1,tbl_daily[[#This Row],[Attended, but did not complete data]]&lt;&gt;1),1,IF(AND(tbl_daily[[#This Row],[Attendance (1 = Here, 0 = Not here)]]=1,tbl_daily[[#This Row],[Attended, but did not complete data]]=1),2,3)),"")</f>
        <v>1</v>
      </c>
      <c r="W84" s="3">
        <f>IF(AND(tbl_daily[[#This Row],[Attendance Refined]]=1,tbl_daily[[#This Row],[InjuryStatus]]="Full"),1,IF(AND(tbl_daily[[#This Row],[Attendance Refined]]=1,tbl_daily[[#This Row],[InjuryStatus]]="Limited"),2,IF(AND(tbl_daily[[#This Row],[Attendance Refined]]=1,tbl_daily[[#This Row],[InjuryStatus]]="Out"),3,"")))</f>
        <v>2</v>
      </c>
    </row>
    <row r="85" spans="1:23" ht="15" customHeight="1" x14ac:dyDescent="0.25">
      <c r="A85" s="1">
        <v>43886</v>
      </c>
      <c r="B85" t="s">
        <v>440</v>
      </c>
      <c r="C85">
        <v>1</v>
      </c>
      <c r="E85">
        <v>3</v>
      </c>
      <c r="F85">
        <v>5</v>
      </c>
      <c r="G85">
        <v>5</v>
      </c>
      <c r="H85" t="s">
        <v>32</v>
      </c>
      <c r="I85">
        <v>0</v>
      </c>
      <c r="J85">
        <v>0</v>
      </c>
      <c r="K85">
        <v>0</v>
      </c>
      <c r="M85" t="s">
        <v>279</v>
      </c>
      <c r="N85" t="s">
        <v>304</v>
      </c>
      <c r="P85" s="3">
        <f>IFERROR(IF(AND(tbl_daily[[#This Row],[Attendance (1 = Here, 0 = Not here)]]=1,tbl_daily[[#This Row],[Attended, but did not complete data]]&lt;&gt;1),tbl_daily[[#This Row],[Stress]]+tbl_daily[[#This Row],[SleepQuality]]+tbl_daily[[#This Row],[Energy]],""),"")</f>
        <v>13</v>
      </c>
      <c r="Q85" s="3">
        <f>IFERROR(IF(AND(tbl_daily[[#This Row],[Attendance (1 = Here, 0 = Not here)]]=1,tbl_daily[[#This Row],[Attended, but did not complete data]]&lt;&gt;1),tbl_daily[[#This Row],[LatestRPE]]*tbl_daily[[#This Row],[LatestDuration]],""),"")</f>
        <v>0</v>
      </c>
      <c r="R85" s="3">
        <f>IF(tbl_daily[[#This Row],[CodeName]]&lt;&gt;"",1,"")</f>
        <v>1</v>
      </c>
      <c r="S85" s="3" t="str">
        <f>IF(AND(tbl_daily[[#This Row],[Date]]&gt;=DATE(2019,8,1),tbl_daily[[#This Row],[Date]]&lt;=DATE(2020,6,1)),"2019-2020")</f>
        <v>2019-2020</v>
      </c>
      <c r="T85" s="3" t="str">
        <f>IFERROR(INDEX(tbl_prof[Cohort of Interest],MATCH(tbl_daily[[#This Row],[CodeName]],tbl_prof[CodeName],0)),"")</f>
        <v>Youth</v>
      </c>
      <c r="U85" s="3" t="str">
        <f>IFERROR(AVERAGEIFS(tbl_perf[Grade],tbl_perf[CodeName],tbl_daily[[#This Row],[CodeName]],tbl_perf[Date],tbl_daily[[#This Row],[Date]]),"")</f>
        <v/>
      </c>
      <c r="V85" s="3">
        <f>IFERROR(IF(AND(tbl_daily[[#This Row],[Attendance (1 = Here, 0 = Not here)]]=1,tbl_daily[[#This Row],[Attended, but did not complete data]]&lt;&gt;1),1,IF(AND(tbl_daily[[#This Row],[Attendance (1 = Here, 0 = Not here)]]=1,tbl_daily[[#This Row],[Attended, but did not complete data]]=1),2,3)),"")</f>
        <v>1</v>
      </c>
      <c r="W85" s="3">
        <f>IF(AND(tbl_daily[[#This Row],[Attendance Refined]]=1,tbl_daily[[#This Row],[InjuryStatus]]="Full"),1,IF(AND(tbl_daily[[#This Row],[Attendance Refined]]=1,tbl_daily[[#This Row],[InjuryStatus]]="Limited"),2,IF(AND(tbl_daily[[#This Row],[Attendance Refined]]=1,tbl_daily[[#This Row],[InjuryStatus]]="Out"),3,"")))</f>
        <v>2</v>
      </c>
    </row>
    <row r="86" spans="1:23" ht="15" customHeight="1" x14ac:dyDescent="0.25">
      <c r="A86" s="1">
        <v>43886</v>
      </c>
      <c r="B86" t="s">
        <v>415</v>
      </c>
      <c r="C86">
        <v>1</v>
      </c>
      <c r="E86">
        <v>3</v>
      </c>
      <c r="F86">
        <v>3</v>
      </c>
      <c r="G86">
        <v>3</v>
      </c>
      <c r="H86" t="s">
        <v>15</v>
      </c>
      <c r="I86">
        <v>0</v>
      </c>
      <c r="J86">
        <v>5</v>
      </c>
      <c r="K86">
        <v>20</v>
      </c>
      <c r="M86" t="s">
        <v>279</v>
      </c>
      <c r="N86" t="s">
        <v>284</v>
      </c>
      <c r="P86" s="3">
        <f>IFERROR(IF(AND(tbl_daily[[#This Row],[Attendance (1 = Here, 0 = Not here)]]=1,tbl_daily[[#This Row],[Attended, but did not complete data]]&lt;&gt;1),tbl_daily[[#This Row],[Stress]]+tbl_daily[[#This Row],[SleepQuality]]+tbl_daily[[#This Row],[Energy]],""),"")</f>
        <v>9</v>
      </c>
      <c r="Q86" s="3">
        <f>IFERROR(IF(AND(tbl_daily[[#This Row],[Attendance (1 = Here, 0 = Not here)]]=1,tbl_daily[[#This Row],[Attended, but did not complete data]]&lt;&gt;1),tbl_daily[[#This Row],[LatestRPE]]*tbl_daily[[#This Row],[LatestDuration]],""),"")</f>
        <v>100</v>
      </c>
      <c r="R86" s="3">
        <f>IF(tbl_daily[[#This Row],[CodeName]]&lt;&gt;"",1,"")</f>
        <v>1</v>
      </c>
      <c r="S86" s="3" t="str">
        <f>IF(AND(tbl_daily[[#This Row],[Date]]&gt;=DATE(2019,8,1),tbl_daily[[#This Row],[Date]]&lt;=DATE(2020,6,1)),"2019-2020")</f>
        <v>2019-2020</v>
      </c>
      <c r="T86" s="3" t="str">
        <f>IFERROR(INDEX(tbl_prof[Cohort of Interest],MATCH(tbl_daily[[#This Row],[CodeName]],tbl_prof[CodeName],0)),"")</f>
        <v>Youth</v>
      </c>
      <c r="U86" s="3" t="str">
        <f>IFERROR(AVERAGEIFS(tbl_perf[Grade],tbl_perf[CodeName],tbl_daily[[#This Row],[CodeName]],tbl_perf[Date],tbl_daily[[#This Row],[Date]]),"")</f>
        <v/>
      </c>
      <c r="V86" s="3">
        <f>IFERROR(IF(AND(tbl_daily[[#This Row],[Attendance (1 = Here, 0 = Not here)]]=1,tbl_daily[[#This Row],[Attended, but did not complete data]]&lt;&gt;1),1,IF(AND(tbl_daily[[#This Row],[Attendance (1 = Here, 0 = Not here)]]=1,tbl_daily[[#This Row],[Attended, but did not complete data]]=1),2,3)),"")</f>
        <v>1</v>
      </c>
      <c r="W86" s="3">
        <f>IF(AND(tbl_daily[[#This Row],[Attendance Refined]]=1,tbl_daily[[#This Row],[InjuryStatus]]="Full"),1,IF(AND(tbl_daily[[#This Row],[Attendance Refined]]=1,tbl_daily[[#This Row],[InjuryStatus]]="Limited"),2,IF(AND(tbl_daily[[#This Row],[Attendance Refined]]=1,tbl_daily[[#This Row],[InjuryStatus]]="Out"),3,"")))</f>
        <v>1</v>
      </c>
    </row>
    <row r="87" spans="1:23" ht="15" customHeight="1" x14ac:dyDescent="0.25">
      <c r="A87" s="1">
        <v>43886</v>
      </c>
      <c r="B87" t="s">
        <v>433</v>
      </c>
      <c r="C87">
        <v>1</v>
      </c>
      <c r="E87">
        <v>8</v>
      </c>
      <c r="F87">
        <v>8</v>
      </c>
      <c r="G87">
        <v>7</v>
      </c>
      <c r="H87" t="s">
        <v>32</v>
      </c>
      <c r="I87">
        <v>1</v>
      </c>
      <c r="J87">
        <v>3</v>
      </c>
      <c r="K87">
        <v>40</v>
      </c>
      <c r="M87" t="s">
        <v>279</v>
      </c>
      <c r="N87" t="s">
        <v>303</v>
      </c>
      <c r="P87" s="3">
        <f>IFERROR(IF(AND(tbl_daily[[#This Row],[Attendance (1 = Here, 0 = Not here)]]=1,tbl_daily[[#This Row],[Attended, but did not complete data]]&lt;&gt;1),tbl_daily[[#This Row],[Stress]]+tbl_daily[[#This Row],[SleepQuality]]+tbl_daily[[#This Row],[Energy]],""),"")</f>
        <v>23</v>
      </c>
      <c r="Q87" s="3">
        <f>IFERROR(IF(AND(tbl_daily[[#This Row],[Attendance (1 = Here, 0 = Not here)]]=1,tbl_daily[[#This Row],[Attended, but did not complete data]]&lt;&gt;1),tbl_daily[[#This Row],[LatestRPE]]*tbl_daily[[#This Row],[LatestDuration]],""),"")</f>
        <v>120</v>
      </c>
      <c r="R87" s="3">
        <f>IF(tbl_daily[[#This Row],[CodeName]]&lt;&gt;"",1,"")</f>
        <v>1</v>
      </c>
      <c r="S87" s="3" t="str">
        <f>IF(AND(tbl_daily[[#This Row],[Date]]&gt;=DATE(2019,8,1),tbl_daily[[#This Row],[Date]]&lt;=DATE(2020,6,1)),"2019-2020")</f>
        <v>2019-2020</v>
      </c>
      <c r="T87" s="3" t="str">
        <f>IFERROR(INDEX(tbl_prof[Cohort of Interest],MATCH(tbl_daily[[#This Row],[CodeName]],tbl_prof[CodeName],0)),"")</f>
        <v>Athletes</v>
      </c>
      <c r="U87" s="3" t="str">
        <f>IFERROR(AVERAGEIFS(tbl_perf[Grade],tbl_perf[CodeName],tbl_daily[[#This Row],[CodeName]],tbl_perf[Date],tbl_daily[[#This Row],[Date]]),"")</f>
        <v/>
      </c>
      <c r="V87" s="3">
        <f>IFERROR(IF(AND(tbl_daily[[#This Row],[Attendance (1 = Here, 0 = Not here)]]=1,tbl_daily[[#This Row],[Attended, but did not complete data]]&lt;&gt;1),1,IF(AND(tbl_daily[[#This Row],[Attendance (1 = Here, 0 = Not here)]]=1,tbl_daily[[#This Row],[Attended, but did not complete data]]=1),2,3)),"")</f>
        <v>1</v>
      </c>
      <c r="W87" s="3">
        <f>IF(AND(tbl_daily[[#This Row],[Attendance Refined]]=1,tbl_daily[[#This Row],[InjuryStatus]]="Full"),1,IF(AND(tbl_daily[[#This Row],[Attendance Refined]]=1,tbl_daily[[#This Row],[InjuryStatus]]="Limited"),2,IF(AND(tbl_daily[[#This Row],[Attendance Refined]]=1,tbl_daily[[#This Row],[InjuryStatus]]="Out"),3,"")))</f>
        <v>2</v>
      </c>
    </row>
    <row r="88" spans="1:23" ht="15" customHeight="1" x14ac:dyDescent="0.25">
      <c r="A88" s="1">
        <v>43886</v>
      </c>
      <c r="B88" t="s">
        <v>411</v>
      </c>
      <c r="C88">
        <v>1</v>
      </c>
      <c r="E88">
        <v>4</v>
      </c>
      <c r="F88">
        <v>8</v>
      </c>
      <c r="G88">
        <v>7</v>
      </c>
      <c r="H88" t="s">
        <v>32</v>
      </c>
      <c r="I88">
        <v>1</v>
      </c>
      <c r="J88">
        <v>6</v>
      </c>
      <c r="K88">
        <v>30</v>
      </c>
      <c r="M88" t="s">
        <v>279</v>
      </c>
      <c r="N88" t="s">
        <v>280</v>
      </c>
      <c r="P88" s="3">
        <f>IFERROR(IF(AND(tbl_daily[[#This Row],[Attendance (1 = Here, 0 = Not here)]]=1,tbl_daily[[#This Row],[Attended, but did not complete data]]&lt;&gt;1),tbl_daily[[#This Row],[Stress]]+tbl_daily[[#This Row],[SleepQuality]]+tbl_daily[[#This Row],[Energy]],""),"")</f>
        <v>19</v>
      </c>
      <c r="Q88" s="3">
        <f>IFERROR(IF(AND(tbl_daily[[#This Row],[Attendance (1 = Here, 0 = Not here)]]=1,tbl_daily[[#This Row],[Attended, but did not complete data]]&lt;&gt;1),tbl_daily[[#This Row],[LatestRPE]]*tbl_daily[[#This Row],[LatestDuration]],""),"")</f>
        <v>180</v>
      </c>
      <c r="R88" s="3">
        <f>IF(tbl_daily[[#This Row],[CodeName]]&lt;&gt;"",1,"")</f>
        <v>1</v>
      </c>
      <c r="S88" s="3" t="str">
        <f>IF(AND(tbl_daily[[#This Row],[Date]]&gt;=DATE(2019,8,1),tbl_daily[[#This Row],[Date]]&lt;=DATE(2020,6,1)),"2019-2020")</f>
        <v>2019-2020</v>
      </c>
      <c r="T88" s="3" t="str">
        <f>IFERROR(INDEX(tbl_prof[Cohort of Interest],MATCH(tbl_daily[[#This Row],[CodeName]],tbl_prof[CodeName],0)),"")</f>
        <v>Athletes</v>
      </c>
      <c r="U88" s="3" t="str">
        <f>IFERROR(AVERAGEIFS(tbl_perf[Grade],tbl_perf[CodeName],tbl_daily[[#This Row],[CodeName]],tbl_perf[Date],tbl_daily[[#This Row],[Date]]),"")</f>
        <v/>
      </c>
      <c r="V88" s="3">
        <f>IFERROR(IF(AND(tbl_daily[[#This Row],[Attendance (1 = Here, 0 = Not here)]]=1,tbl_daily[[#This Row],[Attended, but did not complete data]]&lt;&gt;1),1,IF(AND(tbl_daily[[#This Row],[Attendance (1 = Here, 0 = Not here)]]=1,tbl_daily[[#This Row],[Attended, but did not complete data]]=1),2,3)),"")</f>
        <v>1</v>
      </c>
      <c r="W88" s="3">
        <f>IF(AND(tbl_daily[[#This Row],[Attendance Refined]]=1,tbl_daily[[#This Row],[InjuryStatus]]="Full"),1,IF(AND(tbl_daily[[#This Row],[Attendance Refined]]=1,tbl_daily[[#This Row],[InjuryStatus]]="Limited"),2,IF(AND(tbl_daily[[#This Row],[Attendance Refined]]=1,tbl_daily[[#This Row],[InjuryStatus]]="Out"),3,"")))</f>
        <v>2</v>
      </c>
    </row>
    <row r="89" spans="1:23" ht="15" customHeight="1" x14ac:dyDescent="0.25">
      <c r="A89" s="1">
        <v>43886</v>
      </c>
      <c r="B89" t="s">
        <v>413</v>
      </c>
      <c r="C89">
        <v>1</v>
      </c>
      <c r="E89">
        <v>5</v>
      </c>
      <c r="F89">
        <v>8</v>
      </c>
      <c r="G89">
        <v>8</v>
      </c>
      <c r="H89" t="s">
        <v>15</v>
      </c>
      <c r="I89">
        <v>1</v>
      </c>
      <c r="J89">
        <v>5</v>
      </c>
      <c r="K89">
        <v>60</v>
      </c>
      <c r="M89" t="s">
        <v>279</v>
      </c>
      <c r="N89" t="s">
        <v>282</v>
      </c>
      <c r="P89" s="3">
        <f>IFERROR(IF(AND(tbl_daily[[#This Row],[Attendance (1 = Here, 0 = Not here)]]=1,tbl_daily[[#This Row],[Attended, but did not complete data]]&lt;&gt;1),tbl_daily[[#This Row],[Stress]]+tbl_daily[[#This Row],[SleepQuality]]+tbl_daily[[#This Row],[Energy]],""),"")</f>
        <v>21</v>
      </c>
      <c r="Q89" s="3">
        <f>IFERROR(IF(AND(tbl_daily[[#This Row],[Attendance (1 = Here, 0 = Not here)]]=1,tbl_daily[[#This Row],[Attended, but did not complete data]]&lt;&gt;1),tbl_daily[[#This Row],[LatestRPE]]*tbl_daily[[#This Row],[LatestDuration]],""),"")</f>
        <v>300</v>
      </c>
      <c r="R89" s="3">
        <f>IF(tbl_daily[[#This Row],[CodeName]]&lt;&gt;"",1,"")</f>
        <v>1</v>
      </c>
      <c r="S89" s="3" t="str">
        <f>IF(AND(tbl_daily[[#This Row],[Date]]&gt;=DATE(2019,8,1),tbl_daily[[#This Row],[Date]]&lt;=DATE(2020,6,1)),"2019-2020")</f>
        <v>2019-2020</v>
      </c>
      <c r="T89" s="3" t="str">
        <f>IFERROR(INDEX(tbl_prof[Cohort of Interest],MATCH(tbl_daily[[#This Row],[CodeName]],tbl_prof[CodeName],0)),"")</f>
        <v>Youth</v>
      </c>
      <c r="U89" s="3" t="str">
        <f>IFERROR(AVERAGEIFS(tbl_perf[Grade],tbl_perf[CodeName],tbl_daily[[#This Row],[CodeName]],tbl_perf[Date],tbl_daily[[#This Row],[Date]]),"")</f>
        <v/>
      </c>
      <c r="V89" s="3">
        <f>IFERROR(IF(AND(tbl_daily[[#This Row],[Attendance (1 = Here, 0 = Not here)]]=1,tbl_daily[[#This Row],[Attended, but did not complete data]]&lt;&gt;1),1,IF(AND(tbl_daily[[#This Row],[Attendance (1 = Here, 0 = Not here)]]=1,tbl_daily[[#This Row],[Attended, but did not complete data]]=1),2,3)),"")</f>
        <v>1</v>
      </c>
      <c r="W89" s="3">
        <f>IF(AND(tbl_daily[[#This Row],[Attendance Refined]]=1,tbl_daily[[#This Row],[InjuryStatus]]="Full"),1,IF(AND(tbl_daily[[#This Row],[Attendance Refined]]=1,tbl_daily[[#This Row],[InjuryStatus]]="Limited"),2,IF(AND(tbl_daily[[#This Row],[Attendance Refined]]=1,tbl_daily[[#This Row],[InjuryStatus]]="Out"),3,"")))</f>
        <v>1</v>
      </c>
    </row>
    <row r="90" spans="1:23" ht="15" customHeight="1" x14ac:dyDescent="0.25">
      <c r="A90" s="1">
        <v>43886</v>
      </c>
      <c r="B90" t="s">
        <v>439</v>
      </c>
      <c r="C90">
        <v>1</v>
      </c>
      <c r="E90">
        <v>6</v>
      </c>
      <c r="F90">
        <v>4</v>
      </c>
      <c r="G90">
        <v>6</v>
      </c>
      <c r="H90" t="s">
        <v>32</v>
      </c>
      <c r="I90">
        <v>1</v>
      </c>
      <c r="J90">
        <v>5</v>
      </c>
      <c r="K90">
        <v>60</v>
      </c>
      <c r="M90" t="s">
        <v>279</v>
      </c>
      <c r="N90" t="s">
        <v>302</v>
      </c>
      <c r="P90" s="3">
        <f>IFERROR(IF(AND(tbl_daily[[#This Row],[Attendance (1 = Here, 0 = Not here)]]=1,tbl_daily[[#This Row],[Attended, but did not complete data]]&lt;&gt;1),tbl_daily[[#This Row],[Stress]]+tbl_daily[[#This Row],[SleepQuality]]+tbl_daily[[#This Row],[Energy]],""),"")</f>
        <v>16</v>
      </c>
      <c r="Q90" s="3">
        <f>IFERROR(IF(AND(tbl_daily[[#This Row],[Attendance (1 = Here, 0 = Not here)]]=1,tbl_daily[[#This Row],[Attended, but did not complete data]]&lt;&gt;1),tbl_daily[[#This Row],[LatestRPE]]*tbl_daily[[#This Row],[LatestDuration]],""),"")</f>
        <v>300</v>
      </c>
      <c r="R90" s="3">
        <f>IF(tbl_daily[[#This Row],[CodeName]]&lt;&gt;"",1,"")</f>
        <v>1</v>
      </c>
      <c r="S90" s="3" t="str">
        <f>IF(AND(tbl_daily[[#This Row],[Date]]&gt;=DATE(2019,8,1),tbl_daily[[#This Row],[Date]]&lt;=DATE(2020,6,1)),"2019-2020")</f>
        <v>2019-2020</v>
      </c>
      <c r="T90" s="3" t="str">
        <f>IFERROR(INDEX(tbl_prof[Cohort of Interest],MATCH(tbl_daily[[#This Row],[CodeName]],tbl_prof[CodeName],0)),"")</f>
        <v>Special</v>
      </c>
      <c r="U90" s="3" t="str">
        <f>IFERROR(AVERAGEIFS(tbl_perf[Grade],tbl_perf[CodeName],tbl_daily[[#This Row],[CodeName]],tbl_perf[Date],tbl_daily[[#This Row],[Date]]),"")</f>
        <v/>
      </c>
      <c r="V90" s="3">
        <f>IFERROR(IF(AND(tbl_daily[[#This Row],[Attendance (1 = Here, 0 = Not here)]]=1,tbl_daily[[#This Row],[Attended, but did not complete data]]&lt;&gt;1),1,IF(AND(tbl_daily[[#This Row],[Attendance (1 = Here, 0 = Not here)]]=1,tbl_daily[[#This Row],[Attended, but did not complete data]]=1),2,3)),"")</f>
        <v>1</v>
      </c>
      <c r="W90" s="3">
        <f>IF(AND(tbl_daily[[#This Row],[Attendance Refined]]=1,tbl_daily[[#This Row],[InjuryStatus]]="Full"),1,IF(AND(tbl_daily[[#This Row],[Attendance Refined]]=1,tbl_daily[[#This Row],[InjuryStatus]]="Limited"),2,IF(AND(tbl_daily[[#This Row],[Attendance Refined]]=1,tbl_daily[[#This Row],[InjuryStatus]]="Out"),3,"")))</f>
        <v>2</v>
      </c>
    </row>
    <row r="91" spans="1:23" ht="15" customHeight="1" x14ac:dyDescent="0.25">
      <c r="A91" s="1">
        <v>43886</v>
      </c>
      <c r="B91" t="s">
        <v>425</v>
      </c>
      <c r="C91">
        <v>1</v>
      </c>
      <c r="E91">
        <v>6</v>
      </c>
      <c r="F91">
        <v>8</v>
      </c>
      <c r="G91">
        <v>8</v>
      </c>
      <c r="H91" t="s">
        <v>15</v>
      </c>
      <c r="I91">
        <v>1</v>
      </c>
      <c r="J91">
        <v>6</v>
      </c>
      <c r="K91">
        <v>60</v>
      </c>
      <c r="M91" t="s">
        <v>279</v>
      </c>
      <c r="N91" t="s">
        <v>285</v>
      </c>
      <c r="P91" s="3">
        <f>IFERROR(IF(AND(tbl_daily[[#This Row],[Attendance (1 = Here, 0 = Not here)]]=1,tbl_daily[[#This Row],[Attended, but did not complete data]]&lt;&gt;1),tbl_daily[[#This Row],[Stress]]+tbl_daily[[#This Row],[SleepQuality]]+tbl_daily[[#This Row],[Energy]],""),"")</f>
        <v>22</v>
      </c>
      <c r="Q91" s="3">
        <f>IFERROR(IF(AND(tbl_daily[[#This Row],[Attendance (1 = Here, 0 = Not here)]]=1,tbl_daily[[#This Row],[Attended, but did not complete data]]&lt;&gt;1),tbl_daily[[#This Row],[LatestRPE]]*tbl_daily[[#This Row],[LatestDuration]],""),"")</f>
        <v>360</v>
      </c>
      <c r="R91" s="3">
        <f>IF(tbl_daily[[#This Row],[CodeName]]&lt;&gt;"",1,"")</f>
        <v>1</v>
      </c>
      <c r="S91" s="3" t="str">
        <f>IF(AND(tbl_daily[[#This Row],[Date]]&gt;=DATE(2019,8,1),tbl_daily[[#This Row],[Date]]&lt;=DATE(2020,6,1)),"2019-2020")</f>
        <v>2019-2020</v>
      </c>
      <c r="T91" s="3" t="str">
        <f>IFERROR(INDEX(tbl_prof[Cohort of Interest],MATCH(tbl_daily[[#This Row],[CodeName]],tbl_prof[CodeName],0)),"")</f>
        <v>Athletes</v>
      </c>
      <c r="U91" s="3" t="str">
        <f>IFERROR(AVERAGEIFS(tbl_perf[Grade],tbl_perf[CodeName],tbl_daily[[#This Row],[CodeName]],tbl_perf[Date],tbl_daily[[#This Row],[Date]]),"")</f>
        <v/>
      </c>
      <c r="V91" s="3">
        <f>IFERROR(IF(AND(tbl_daily[[#This Row],[Attendance (1 = Here, 0 = Not here)]]=1,tbl_daily[[#This Row],[Attended, but did not complete data]]&lt;&gt;1),1,IF(AND(tbl_daily[[#This Row],[Attendance (1 = Here, 0 = Not here)]]=1,tbl_daily[[#This Row],[Attended, but did not complete data]]=1),2,3)),"")</f>
        <v>1</v>
      </c>
      <c r="W91" s="3">
        <f>IF(AND(tbl_daily[[#This Row],[Attendance Refined]]=1,tbl_daily[[#This Row],[InjuryStatus]]="Full"),1,IF(AND(tbl_daily[[#This Row],[Attendance Refined]]=1,tbl_daily[[#This Row],[InjuryStatus]]="Limited"),2,IF(AND(tbl_daily[[#This Row],[Attendance Refined]]=1,tbl_daily[[#This Row],[InjuryStatus]]="Out"),3,"")))</f>
        <v>1</v>
      </c>
    </row>
    <row r="92" spans="1:23" ht="15" customHeight="1" x14ac:dyDescent="0.25">
      <c r="A92" s="1">
        <v>43886</v>
      </c>
      <c r="B92" t="s">
        <v>427</v>
      </c>
      <c r="C92">
        <v>1</v>
      </c>
      <c r="E92">
        <v>8</v>
      </c>
      <c r="F92">
        <v>6</v>
      </c>
      <c r="G92">
        <v>7</v>
      </c>
      <c r="H92" t="s">
        <v>15</v>
      </c>
      <c r="I92">
        <v>1</v>
      </c>
      <c r="J92">
        <v>7</v>
      </c>
      <c r="K92">
        <v>65</v>
      </c>
      <c r="M92" t="s">
        <v>279</v>
      </c>
      <c r="N92" t="s">
        <v>293</v>
      </c>
      <c r="P92" s="3">
        <f>IFERROR(IF(AND(tbl_daily[[#This Row],[Attendance (1 = Here, 0 = Not here)]]=1,tbl_daily[[#This Row],[Attended, but did not complete data]]&lt;&gt;1),tbl_daily[[#This Row],[Stress]]+tbl_daily[[#This Row],[SleepQuality]]+tbl_daily[[#This Row],[Energy]],""),"")</f>
        <v>21</v>
      </c>
      <c r="Q92" s="3">
        <f>IFERROR(IF(AND(tbl_daily[[#This Row],[Attendance (1 = Here, 0 = Not here)]]=1,tbl_daily[[#This Row],[Attended, but did not complete data]]&lt;&gt;1),tbl_daily[[#This Row],[LatestRPE]]*tbl_daily[[#This Row],[LatestDuration]],""),"")</f>
        <v>455</v>
      </c>
      <c r="R92" s="3">
        <f>IF(tbl_daily[[#This Row],[CodeName]]&lt;&gt;"",1,"")</f>
        <v>1</v>
      </c>
      <c r="S92" s="3" t="str">
        <f>IF(AND(tbl_daily[[#This Row],[Date]]&gt;=DATE(2019,8,1),tbl_daily[[#This Row],[Date]]&lt;=DATE(2020,6,1)),"2019-2020")</f>
        <v>2019-2020</v>
      </c>
      <c r="T92" s="3" t="str">
        <f>IFERROR(INDEX(tbl_prof[Cohort of Interest],MATCH(tbl_daily[[#This Row],[CodeName]],tbl_prof[CodeName],0)),"")</f>
        <v>Special</v>
      </c>
      <c r="U92" s="3" t="str">
        <f>IFERROR(AVERAGEIFS(tbl_perf[Grade],tbl_perf[CodeName],tbl_daily[[#This Row],[CodeName]],tbl_perf[Date],tbl_daily[[#This Row],[Date]]),"")</f>
        <v/>
      </c>
      <c r="V92" s="3">
        <f>IFERROR(IF(AND(tbl_daily[[#This Row],[Attendance (1 = Here, 0 = Not here)]]=1,tbl_daily[[#This Row],[Attended, but did not complete data]]&lt;&gt;1),1,IF(AND(tbl_daily[[#This Row],[Attendance (1 = Here, 0 = Not here)]]=1,tbl_daily[[#This Row],[Attended, but did not complete data]]=1),2,3)),"")</f>
        <v>1</v>
      </c>
      <c r="W92" s="3">
        <f>IF(AND(tbl_daily[[#This Row],[Attendance Refined]]=1,tbl_daily[[#This Row],[InjuryStatus]]="Full"),1,IF(AND(tbl_daily[[#This Row],[Attendance Refined]]=1,tbl_daily[[#This Row],[InjuryStatus]]="Limited"),2,IF(AND(tbl_daily[[#This Row],[Attendance Refined]]=1,tbl_daily[[#This Row],[InjuryStatus]]="Out"),3,"")))</f>
        <v>1</v>
      </c>
    </row>
    <row r="93" spans="1:23" ht="15" customHeight="1" x14ac:dyDescent="0.25">
      <c r="A93" s="1">
        <v>43886</v>
      </c>
      <c r="B93" t="s">
        <v>437</v>
      </c>
      <c r="C93">
        <v>1</v>
      </c>
      <c r="E93">
        <v>7</v>
      </c>
      <c r="F93">
        <v>9</v>
      </c>
      <c r="G93">
        <v>8</v>
      </c>
      <c r="H93" t="s">
        <v>15</v>
      </c>
      <c r="I93">
        <v>1</v>
      </c>
      <c r="J93">
        <v>4</v>
      </c>
      <c r="K93">
        <v>120</v>
      </c>
      <c r="M93" t="s">
        <v>279</v>
      </c>
      <c r="N93" t="s">
        <v>299</v>
      </c>
      <c r="P93" s="3">
        <f>IFERROR(IF(AND(tbl_daily[[#This Row],[Attendance (1 = Here, 0 = Not here)]]=1,tbl_daily[[#This Row],[Attended, but did not complete data]]&lt;&gt;1),tbl_daily[[#This Row],[Stress]]+tbl_daily[[#This Row],[SleepQuality]]+tbl_daily[[#This Row],[Energy]],""),"")</f>
        <v>24</v>
      </c>
      <c r="Q93" s="3">
        <f>IFERROR(IF(AND(tbl_daily[[#This Row],[Attendance (1 = Here, 0 = Not here)]]=1,tbl_daily[[#This Row],[Attended, but did not complete data]]&lt;&gt;1),tbl_daily[[#This Row],[LatestRPE]]*tbl_daily[[#This Row],[LatestDuration]],""),"")</f>
        <v>480</v>
      </c>
      <c r="R93" s="3">
        <f>IF(tbl_daily[[#This Row],[CodeName]]&lt;&gt;"",1,"")</f>
        <v>1</v>
      </c>
      <c r="S93" s="3" t="str">
        <f>IF(AND(tbl_daily[[#This Row],[Date]]&gt;=DATE(2019,8,1),tbl_daily[[#This Row],[Date]]&lt;=DATE(2020,6,1)),"2019-2020")</f>
        <v>2019-2020</v>
      </c>
      <c r="T93" s="3" t="str">
        <f>IFERROR(INDEX(tbl_prof[Cohort of Interest],MATCH(tbl_daily[[#This Row],[CodeName]],tbl_prof[CodeName],0)),"")</f>
        <v>Athletes</v>
      </c>
      <c r="U93" s="3" t="str">
        <f>IFERROR(AVERAGEIFS(tbl_perf[Grade],tbl_perf[CodeName],tbl_daily[[#This Row],[CodeName]],tbl_perf[Date],tbl_daily[[#This Row],[Date]]),"")</f>
        <v/>
      </c>
      <c r="V93" s="3">
        <f>IFERROR(IF(AND(tbl_daily[[#This Row],[Attendance (1 = Here, 0 = Not here)]]=1,tbl_daily[[#This Row],[Attended, but did not complete data]]&lt;&gt;1),1,IF(AND(tbl_daily[[#This Row],[Attendance (1 = Here, 0 = Not here)]]=1,tbl_daily[[#This Row],[Attended, but did not complete data]]=1),2,3)),"")</f>
        <v>1</v>
      </c>
      <c r="W93" s="3">
        <f>IF(AND(tbl_daily[[#This Row],[Attendance Refined]]=1,tbl_daily[[#This Row],[InjuryStatus]]="Full"),1,IF(AND(tbl_daily[[#This Row],[Attendance Refined]]=1,tbl_daily[[#This Row],[InjuryStatus]]="Limited"),2,IF(AND(tbl_daily[[#This Row],[Attendance Refined]]=1,tbl_daily[[#This Row],[InjuryStatus]]="Out"),3,"")))</f>
        <v>1</v>
      </c>
    </row>
    <row r="94" spans="1:23" ht="15" customHeight="1" x14ac:dyDescent="0.25">
      <c r="A94" s="1">
        <v>43886</v>
      </c>
      <c r="B94" t="s">
        <v>441</v>
      </c>
      <c r="C94">
        <v>1</v>
      </c>
      <c r="E94">
        <v>5</v>
      </c>
      <c r="F94">
        <v>8</v>
      </c>
      <c r="G94">
        <v>6</v>
      </c>
      <c r="H94" t="s">
        <v>15</v>
      </c>
      <c r="I94">
        <v>1</v>
      </c>
      <c r="J94">
        <v>9</v>
      </c>
      <c r="K94">
        <v>75</v>
      </c>
      <c r="M94" t="s">
        <v>279</v>
      </c>
      <c r="N94" t="s">
        <v>305</v>
      </c>
      <c r="P94" s="3">
        <f>IFERROR(IF(AND(tbl_daily[[#This Row],[Attendance (1 = Here, 0 = Not here)]]=1,tbl_daily[[#This Row],[Attended, but did not complete data]]&lt;&gt;1),tbl_daily[[#This Row],[Stress]]+tbl_daily[[#This Row],[SleepQuality]]+tbl_daily[[#This Row],[Energy]],""),"")</f>
        <v>19</v>
      </c>
      <c r="Q94" s="3">
        <f>IFERROR(IF(AND(tbl_daily[[#This Row],[Attendance (1 = Here, 0 = Not here)]]=1,tbl_daily[[#This Row],[Attended, but did not complete data]]&lt;&gt;1),tbl_daily[[#This Row],[LatestRPE]]*tbl_daily[[#This Row],[LatestDuration]],""),"")</f>
        <v>675</v>
      </c>
      <c r="R94" s="3">
        <f>IF(tbl_daily[[#This Row],[CodeName]]&lt;&gt;"",1,"")</f>
        <v>1</v>
      </c>
      <c r="S94" s="3" t="str">
        <f>IF(AND(tbl_daily[[#This Row],[Date]]&gt;=DATE(2019,8,1),tbl_daily[[#This Row],[Date]]&lt;=DATE(2020,6,1)),"2019-2020")</f>
        <v>2019-2020</v>
      </c>
      <c r="T94" s="3" t="str">
        <f>IFERROR(INDEX(tbl_prof[Cohort of Interest],MATCH(tbl_daily[[#This Row],[CodeName]],tbl_prof[CodeName],0)),"")</f>
        <v>Athletes</v>
      </c>
      <c r="U94" s="3" t="str">
        <f>IFERROR(AVERAGEIFS(tbl_perf[Grade],tbl_perf[CodeName],tbl_daily[[#This Row],[CodeName]],tbl_perf[Date],tbl_daily[[#This Row],[Date]]),"")</f>
        <v/>
      </c>
      <c r="V94" s="3">
        <f>IFERROR(IF(AND(tbl_daily[[#This Row],[Attendance (1 = Here, 0 = Not here)]]=1,tbl_daily[[#This Row],[Attended, but did not complete data]]&lt;&gt;1),1,IF(AND(tbl_daily[[#This Row],[Attendance (1 = Here, 0 = Not here)]]=1,tbl_daily[[#This Row],[Attended, but did not complete data]]=1),2,3)),"")</f>
        <v>1</v>
      </c>
      <c r="W94" s="3">
        <f>IF(AND(tbl_daily[[#This Row],[Attendance Refined]]=1,tbl_daily[[#This Row],[InjuryStatus]]="Full"),1,IF(AND(tbl_daily[[#This Row],[Attendance Refined]]=1,tbl_daily[[#This Row],[InjuryStatus]]="Limited"),2,IF(AND(tbl_daily[[#This Row],[Attendance Refined]]=1,tbl_daily[[#This Row],[InjuryStatus]]="Out"),3,"")))</f>
        <v>1</v>
      </c>
    </row>
    <row r="95" spans="1:23" ht="15" customHeight="1" x14ac:dyDescent="0.25">
      <c r="A95" s="1">
        <v>43886</v>
      </c>
      <c r="B95" t="s">
        <v>426</v>
      </c>
      <c r="C95">
        <v>1</v>
      </c>
      <c r="E95">
        <v>6</v>
      </c>
      <c r="F95">
        <v>6</v>
      </c>
      <c r="G95">
        <v>6</v>
      </c>
      <c r="H95" t="s">
        <v>15</v>
      </c>
      <c r="I95">
        <v>1</v>
      </c>
      <c r="J95">
        <v>6</v>
      </c>
      <c r="K95">
        <v>120</v>
      </c>
      <c r="M95" t="s">
        <v>279</v>
      </c>
      <c r="N95" t="s">
        <v>292</v>
      </c>
      <c r="P95" s="3">
        <f>IFERROR(IF(AND(tbl_daily[[#This Row],[Attendance (1 = Here, 0 = Not here)]]=1,tbl_daily[[#This Row],[Attended, but did not complete data]]&lt;&gt;1),tbl_daily[[#This Row],[Stress]]+tbl_daily[[#This Row],[SleepQuality]]+tbl_daily[[#This Row],[Energy]],""),"")</f>
        <v>18</v>
      </c>
      <c r="Q95" s="3">
        <f>IFERROR(IF(AND(tbl_daily[[#This Row],[Attendance (1 = Here, 0 = Not here)]]=1,tbl_daily[[#This Row],[Attended, but did not complete data]]&lt;&gt;1),tbl_daily[[#This Row],[LatestRPE]]*tbl_daily[[#This Row],[LatestDuration]],""),"")</f>
        <v>720</v>
      </c>
      <c r="R95" s="3">
        <f>IF(tbl_daily[[#This Row],[CodeName]]&lt;&gt;"",1,"")</f>
        <v>1</v>
      </c>
      <c r="S95" s="3" t="str">
        <f>IF(AND(tbl_daily[[#This Row],[Date]]&gt;=DATE(2019,8,1),tbl_daily[[#This Row],[Date]]&lt;=DATE(2020,6,1)),"2019-2020")</f>
        <v>2019-2020</v>
      </c>
      <c r="T95" s="3" t="str">
        <f>IFERROR(INDEX(tbl_prof[Cohort of Interest],MATCH(tbl_daily[[#This Row],[CodeName]],tbl_prof[CodeName],0)),"")</f>
        <v>Special</v>
      </c>
      <c r="U95" s="3" t="str">
        <f>IFERROR(AVERAGEIFS(tbl_perf[Grade],tbl_perf[CodeName],tbl_daily[[#This Row],[CodeName]],tbl_perf[Date],tbl_daily[[#This Row],[Date]]),"")</f>
        <v/>
      </c>
      <c r="V95" s="3">
        <f>IFERROR(IF(AND(tbl_daily[[#This Row],[Attendance (1 = Here, 0 = Not here)]]=1,tbl_daily[[#This Row],[Attended, but did not complete data]]&lt;&gt;1),1,IF(AND(tbl_daily[[#This Row],[Attendance (1 = Here, 0 = Not here)]]=1,tbl_daily[[#This Row],[Attended, but did not complete data]]=1),2,3)),"")</f>
        <v>1</v>
      </c>
      <c r="W95" s="3">
        <f>IF(AND(tbl_daily[[#This Row],[Attendance Refined]]=1,tbl_daily[[#This Row],[InjuryStatus]]="Full"),1,IF(AND(tbl_daily[[#This Row],[Attendance Refined]]=1,tbl_daily[[#This Row],[InjuryStatus]]="Limited"),2,IF(AND(tbl_daily[[#This Row],[Attendance Refined]]=1,tbl_daily[[#This Row],[InjuryStatus]]="Out"),3,"")))</f>
        <v>1</v>
      </c>
    </row>
    <row r="96" spans="1:23" ht="15" customHeight="1" x14ac:dyDescent="0.25">
      <c r="A96" s="1">
        <v>43886</v>
      </c>
      <c r="B96" t="s">
        <v>423</v>
      </c>
      <c r="C96">
        <v>1</v>
      </c>
      <c r="E96">
        <v>9</v>
      </c>
      <c r="F96">
        <v>5</v>
      </c>
      <c r="G96">
        <v>6</v>
      </c>
      <c r="H96" t="s">
        <v>15</v>
      </c>
      <c r="I96">
        <v>1</v>
      </c>
      <c r="J96">
        <v>7</v>
      </c>
      <c r="K96">
        <v>120</v>
      </c>
      <c r="M96" t="s">
        <v>279</v>
      </c>
      <c r="N96" t="s">
        <v>290</v>
      </c>
      <c r="P96" s="3">
        <f>IFERROR(IF(AND(tbl_daily[[#This Row],[Attendance (1 = Here, 0 = Not here)]]=1,tbl_daily[[#This Row],[Attended, but did not complete data]]&lt;&gt;1),tbl_daily[[#This Row],[Stress]]+tbl_daily[[#This Row],[SleepQuality]]+tbl_daily[[#This Row],[Energy]],""),"")</f>
        <v>20</v>
      </c>
      <c r="Q96" s="3">
        <f>IFERROR(IF(AND(tbl_daily[[#This Row],[Attendance (1 = Here, 0 = Not here)]]=1,tbl_daily[[#This Row],[Attended, but did not complete data]]&lt;&gt;1),tbl_daily[[#This Row],[LatestRPE]]*tbl_daily[[#This Row],[LatestDuration]],""),"")</f>
        <v>840</v>
      </c>
      <c r="R96" s="3">
        <f>IF(tbl_daily[[#This Row],[CodeName]]&lt;&gt;"",1,"")</f>
        <v>1</v>
      </c>
      <c r="S96" s="3" t="str">
        <f>IF(AND(tbl_daily[[#This Row],[Date]]&gt;=DATE(2019,8,1),tbl_daily[[#This Row],[Date]]&lt;=DATE(2020,6,1)),"2019-2020")</f>
        <v>2019-2020</v>
      </c>
      <c r="T96" s="3" t="str">
        <f>IFERROR(INDEX(tbl_prof[Cohort of Interest],MATCH(tbl_daily[[#This Row],[CodeName]],tbl_prof[CodeName],0)),"")</f>
        <v>Youth</v>
      </c>
      <c r="U96" s="3" t="str">
        <f>IFERROR(AVERAGEIFS(tbl_perf[Grade],tbl_perf[CodeName],tbl_daily[[#This Row],[CodeName]],tbl_perf[Date],tbl_daily[[#This Row],[Date]]),"")</f>
        <v/>
      </c>
      <c r="V96" s="3">
        <f>IFERROR(IF(AND(tbl_daily[[#This Row],[Attendance (1 = Here, 0 = Not here)]]=1,tbl_daily[[#This Row],[Attended, but did not complete data]]&lt;&gt;1),1,IF(AND(tbl_daily[[#This Row],[Attendance (1 = Here, 0 = Not here)]]=1,tbl_daily[[#This Row],[Attended, but did not complete data]]=1),2,3)),"")</f>
        <v>1</v>
      </c>
      <c r="W96" s="3">
        <f>IF(AND(tbl_daily[[#This Row],[Attendance Refined]]=1,tbl_daily[[#This Row],[InjuryStatus]]="Full"),1,IF(AND(tbl_daily[[#This Row],[Attendance Refined]]=1,tbl_daily[[#This Row],[InjuryStatus]]="Limited"),2,IF(AND(tbl_daily[[#This Row],[Attendance Refined]]=1,tbl_daily[[#This Row],[InjuryStatus]]="Out"),3,"")))</f>
        <v>1</v>
      </c>
    </row>
    <row r="97" spans="1:23" ht="15" customHeight="1" x14ac:dyDescent="0.25">
      <c r="A97" s="1">
        <v>43886</v>
      </c>
      <c r="B97" t="s">
        <v>416</v>
      </c>
      <c r="C97">
        <v>0</v>
      </c>
      <c r="D97">
        <v>1</v>
      </c>
      <c r="M97" t="s">
        <v>279</v>
      </c>
      <c r="P97" s="3" t="str">
        <f>IFERROR(IF(AND(tbl_daily[[#This Row],[Attendance (1 = Here, 0 = Not here)]]=1,tbl_daily[[#This Row],[Attended, but did not complete data]]&lt;&gt;1),tbl_daily[[#This Row],[Stress]]+tbl_daily[[#This Row],[SleepQuality]]+tbl_daily[[#This Row],[Energy]],""),"")</f>
        <v/>
      </c>
      <c r="Q97" s="3" t="str">
        <f>IFERROR(IF(AND(tbl_daily[[#This Row],[Attendance (1 = Here, 0 = Not here)]]=1,tbl_daily[[#This Row],[Attended, but did not complete data]]&lt;&gt;1),tbl_daily[[#This Row],[LatestRPE]]*tbl_daily[[#This Row],[LatestDuration]],""),"")</f>
        <v/>
      </c>
      <c r="R97" s="3">
        <f>IF(tbl_daily[[#This Row],[CodeName]]&lt;&gt;"",1,"")</f>
        <v>1</v>
      </c>
      <c r="S97" s="3" t="str">
        <f>IF(AND(tbl_daily[[#This Row],[Date]]&gt;=DATE(2019,8,1),tbl_daily[[#This Row],[Date]]&lt;=DATE(2020,6,1)),"2019-2020")</f>
        <v>2019-2020</v>
      </c>
      <c r="T97" s="3" t="str">
        <f>IFERROR(INDEX(tbl_prof[Cohort of Interest],MATCH(tbl_daily[[#This Row],[CodeName]],tbl_prof[CodeName],0)),"")</f>
        <v>Special</v>
      </c>
      <c r="U97" s="3" t="str">
        <f>IFERROR(AVERAGEIFS(tbl_perf[Grade],tbl_perf[CodeName],tbl_daily[[#This Row],[CodeName]],tbl_perf[Date],tbl_daily[[#This Row],[Date]]),"")</f>
        <v/>
      </c>
      <c r="V97" s="3">
        <f>IFERROR(IF(AND(tbl_daily[[#This Row],[Attendance (1 = Here, 0 = Not here)]]=1,tbl_daily[[#This Row],[Attended, but did not complete data]]&lt;&gt;1),1,IF(AND(tbl_daily[[#This Row],[Attendance (1 = Here, 0 = Not here)]]=1,tbl_daily[[#This Row],[Attended, but did not complete data]]=1),2,3)),"")</f>
        <v>3</v>
      </c>
      <c r="W97" s="3" t="str">
        <f>IF(AND(tbl_daily[[#This Row],[Attendance Refined]]=1,tbl_daily[[#This Row],[InjuryStatus]]="Full"),1,IF(AND(tbl_daily[[#This Row],[Attendance Refined]]=1,tbl_daily[[#This Row],[InjuryStatus]]="Limited"),2,IF(AND(tbl_daily[[#This Row],[Attendance Refined]]=1,tbl_daily[[#This Row],[InjuryStatus]]="Out"),3,"")))</f>
        <v/>
      </c>
    </row>
    <row r="98" spans="1:23" ht="15" customHeight="1" x14ac:dyDescent="0.25">
      <c r="A98" s="1">
        <v>43886</v>
      </c>
      <c r="B98" t="s">
        <v>436</v>
      </c>
      <c r="C98">
        <v>1</v>
      </c>
      <c r="M98" t="s">
        <v>279</v>
      </c>
      <c r="O98">
        <v>1</v>
      </c>
      <c r="P98" s="3" t="str">
        <f>IFERROR(IF(AND(tbl_daily[[#This Row],[Attendance (1 = Here, 0 = Not here)]]=1,tbl_daily[[#This Row],[Attended, but did not complete data]]&lt;&gt;1),tbl_daily[[#This Row],[Stress]]+tbl_daily[[#This Row],[SleepQuality]]+tbl_daily[[#This Row],[Energy]],""),"")</f>
        <v/>
      </c>
      <c r="Q98" s="3" t="str">
        <f>IFERROR(IF(AND(tbl_daily[[#This Row],[Attendance (1 = Here, 0 = Not here)]]=1,tbl_daily[[#This Row],[Attended, but did not complete data]]&lt;&gt;1),tbl_daily[[#This Row],[LatestRPE]]*tbl_daily[[#This Row],[LatestDuration]],""),"")</f>
        <v/>
      </c>
      <c r="R98" s="3">
        <f>IF(tbl_daily[[#This Row],[CodeName]]&lt;&gt;"",1,"")</f>
        <v>1</v>
      </c>
      <c r="S98" s="3" t="str">
        <f>IF(AND(tbl_daily[[#This Row],[Date]]&gt;=DATE(2019,8,1),tbl_daily[[#This Row],[Date]]&lt;=DATE(2020,6,1)),"2019-2020")</f>
        <v>2019-2020</v>
      </c>
      <c r="T98" s="3" t="str">
        <f>IFERROR(INDEX(tbl_prof[Cohort of Interest],MATCH(tbl_daily[[#This Row],[CodeName]],tbl_prof[CodeName],0)),"")</f>
        <v>Athletes</v>
      </c>
      <c r="U98" s="3" t="str">
        <f>IFERROR(AVERAGEIFS(tbl_perf[Grade],tbl_perf[CodeName],tbl_daily[[#This Row],[CodeName]],tbl_perf[Date],tbl_daily[[#This Row],[Date]]),"")</f>
        <v/>
      </c>
      <c r="V98" s="3">
        <f>IFERROR(IF(AND(tbl_daily[[#This Row],[Attendance (1 = Here, 0 = Not here)]]=1,tbl_daily[[#This Row],[Attended, but did not complete data]]&lt;&gt;1),1,IF(AND(tbl_daily[[#This Row],[Attendance (1 = Here, 0 = Not here)]]=1,tbl_daily[[#This Row],[Attended, but did not complete data]]=1),2,3)),"")</f>
        <v>2</v>
      </c>
      <c r="W98" s="3" t="str">
        <f>IF(AND(tbl_daily[[#This Row],[Attendance Refined]]=1,tbl_daily[[#This Row],[InjuryStatus]]="Full"),1,IF(AND(tbl_daily[[#This Row],[Attendance Refined]]=1,tbl_daily[[#This Row],[InjuryStatus]]="Limited"),2,IF(AND(tbl_daily[[#This Row],[Attendance Refined]]=1,tbl_daily[[#This Row],[InjuryStatus]]="Out"),3,"")))</f>
        <v/>
      </c>
    </row>
    <row r="99" spans="1:23" ht="15" customHeight="1" x14ac:dyDescent="0.25">
      <c r="A99" s="1">
        <v>43886</v>
      </c>
      <c r="B99" t="s">
        <v>438</v>
      </c>
      <c r="C99">
        <v>0</v>
      </c>
      <c r="D99">
        <v>0</v>
      </c>
      <c r="M99" t="s">
        <v>279</v>
      </c>
      <c r="P99" s="3" t="str">
        <f>IFERROR(IF(AND(tbl_daily[[#This Row],[Attendance (1 = Here, 0 = Not here)]]=1,tbl_daily[[#This Row],[Attended, but did not complete data]]&lt;&gt;1),tbl_daily[[#This Row],[Stress]]+tbl_daily[[#This Row],[SleepQuality]]+tbl_daily[[#This Row],[Energy]],""),"")</f>
        <v/>
      </c>
      <c r="Q99" s="3" t="str">
        <f>IFERROR(IF(AND(tbl_daily[[#This Row],[Attendance (1 = Here, 0 = Not here)]]=1,tbl_daily[[#This Row],[Attended, but did not complete data]]&lt;&gt;1),tbl_daily[[#This Row],[LatestRPE]]*tbl_daily[[#This Row],[LatestDuration]],""),"")</f>
        <v/>
      </c>
      <c r="R99" s="3">
        <f>IF(tbl_daily[[#This Row],[CodeName]]&lt;&gt;"",1,"")</f>
        <v>1</v>
      </c>
      <c r="S99" s="3" t="str">
        <f>IF(AND(tbl_daily[[#This Row],[Date]]&gt;=DATE(2019,8,1),tbl_daily[[#This Row],[Date]]&lt;=DATE(2020,6,1)),"2019-2020")</f>
        <v>2019-2020</v>
      </c>
      <c r="T99" s="3" t="str">
        <f>IFERROR(INDEX(tbl_prof[Cohort of Interest],MATCH(tbl_daily[[#This Row],[CodeName]],tbl_prof[CodeName],0)),"")</f>
        <v>Youth</v>
      </c>
      <c r="U99" s="3" t="str">
        <f>IFERROR(AVERAGEIFS(tbl_perf[Grade],tbl_perf[CodeName],tbl_daily[[#This Row],[CodeName]],tbl_perf[Date],tbl_daily[[#This Row],[Date]]),"")</f>
        <v/>
      </c>
      <c r="V99" s="3">
        <f>IFERROR(IF(AND(tbl_daily[[#This Row],[Attendance (1 = Here, 0 = Not here)]]=1,tbl_daily[[#This Row],[Attended, but did not complete data]]&lt;&gt;1),1,IF(AND(tbl_daily[[#This Row],[Attendance (1 = Here, 0 = Not here)]]=1,tbl_daily[[#This Row],[Attended, but did not complete data]]=1),2,3)),"")</f>
        <v>3</v>
      </c>
      <c r="W99" s="3" t="str">
        <f>IF(AND(tbl_daily[[#This Row],[Attendance Refined]]=1,tbl_daily[[#This Row],[InjuryStatus]]="Full"),1,IF(AND(tbl_daily[[#This Row],[Attendance Refined]]=1,tbl_daily[[#This Row],[InjuryStatus]]="Limited"),2,IF(AND(tbl_daily[[#This Row],[Attendance Refined]]=1,tbl_daily[[#This Row],[InjuryStatus]]="Out"),3,"")))</f>
        <v/>
      </c>
    </row>
    <row r="100" spans="1:23" ht="15" customHeight="1" x14ac:dyDescent="0.25">
      <c r="A100" s="1">
        <v>43881</v>
      </c>
      <c r="B100" t="s">
        <v>419</v>
      </c>
      <c r="C100">
        <v>1</v>
      </c>
      <c r="E100">
        <v>7</v>
      </c>
      <c r="F100">
        <v>4</v>
      </c>
      <c r="G100">
        <v>3</v>
      </c>
      <c r="H100" t="s">
        <v>15</v>
      </c>
      <c r="I100">
        <v>0</v>
      </c>
      <c r="J100">
        <v>2</v>
      </c>
      <c r="K100">
        <v>0</v>
      </c>
      <c r="M100" t="s">
        <v>251</v>
      </c>
      <c r="N100" t="s">
        <v>259</v>
      </c>
      <c r="P100" s="3">
        <f>IFERROR(IF(AND(tbl_daily[[#This Row],[Attendance (1 = Here, 0 = Not here)]]=1,tbl_daily[[#This Row],[Attended, but did not complete data]]&lt;&gt;1),tbl_daily[[#This Row],[Stress]]+tbl_daily[[#This Row],[SleepQuality]]+tbl_daily[[#This Row],[Energy]],""),"")</f>
        <v>14</v>
      </c>
      <c r="Q100" s="3">
        <f>IFERROR(IF(AND(tbl_daily[[#This Row],[Attendance (1 = Here, 0 = Not here)]]=1,tbl_daily[[#This Row],[Attended, but did not complete data]]&lt;&gt;1),tbl_daily[[#This Row],[LatestRPE]]*tbl_daily[[#This Row],[LatestDuration]],""),"")</f>
        <v>0</v>
      </c>
      <c r="R100" s="3">
        <f>IF(tbl_daily[[#This Row],[CodeName]]&lt;&gt;"",1,"")</f>
        <v>1</v>
      </c>
      <c r="S100" s="3" t="str">
        <f>IF(AND(tbl_daily[[#This Row],[Date]]&gt;=DATE(2019,8,1),tbl_daily[[#This Row],[Date]]&lt;=DATE(2020,6,1)),"2019-2020")</f>
        <v>2019-2020</v>
      </c>
      <c r="T100" s="3" t="str">
        <f>IFERROR(INDEX(tbl_prof[Cohort of Interest],MATCH(tbl_daily[[#This Row],[CodeName]],tbl_prof[CodeName],0)),"")</f>
        <v>Youth</v>
      </c>
      <c r="U100" s="3">
        <f>IFERROR(AVERAGEIFS(tbl_perf[Grade],tbl_perf[CodeName],tbl_daily[[#This Row],[CodeName]],tbl_perf[Date],tbl_daily[[#This Row],[Date]]),"")</f>
        <v>90</v>
      </c>
      <c r="V100" s="3">
        <f>IFERROR(IF(AND(tbl_daily[[#This Row],[Attendance (1 = Here, 0 = Not here)]]=1,tbl_daily[[#This Row],[Attended, but did not complete data]]&lt;&gt;1),1,IF(AND(tbl_daily[[#This Row],[Attendance (1 = Here, 0 = Not here)]]=1,tbl_daily[[#This Row],[Attended, but did not complete data]]=1),2,3)),"")</f>
        <v>1</v>
      </c>
      <c r="W100" s="3">
        <f>IF(AND(tbl_daily[[#This Row],[Attendance Refined]]=1,tbl_daily[[#This Row],[InjuryStatus]]="Full"),1,IF(AND(tbl_daily[[#This Row],[Attendance Refined]]=1,tbl_daily[[#This Row],[InjuryStatus]]="Limited"),2,IF(AND(tbl_daily[[#This Row],[Attendance Refined]]=1,tbl_daily[[#This Row],[InjuryStatus]]="Out"),3,"")))</f>
        <v>1</v>
      </c>
    </row>
    <row r="101" spans="1:23" ht="15" customHeight="1" x14ac:dyDescent="0.25">
      <c r="A101" s="1">
        <v>43881</v>
      </c>
      <c r="B101" t="s">
        <v>420</v>
      </c>
      <c r="C101">
        <v>1</v>
      </c>
      <c r="E101">
        <v>7</v>
      </c>
      <c r="F101">
        <v>2</v>
      </c>
      <c r="G101">
        <v>4</v>
      </c>
      <c r="H101" t="s">
        <v>15</v>
      </c>
      <c r="I101">
        <v>0</v>
      </c>
      <c r="J101">
        <v>0</v>
      </c>
      <c r="K101">
        <v>0</v>
      </c>
      <c r="M101" t="s">
        <v>251</v>
      </c>
      <c r="N101" t="s">
        <v>260</v>
      </c>
      <c r="P101" s="3">
        <f>IFERROR(IF(AND(tbl_daily[[#This Row],[Attendance (1 = Here, 0 = Not here)]]=1,tbl_daily[[#This Row],[Attended, but did not complete data]]&lt;&gt;1),tbl_daily[[#This Row],[Stress]]+tbl_daily[[#This Row],[SleepQuality]]+tbl_daily[[#This Row],[Energy]],""),"")</f>
        <v>13</v>
      </c>
      <c r="Q101" s="3">
        <f>IFERROR(IF(AND(tbl_daily[[#This Row],[Attendance (1 = Here, 0 = Not here)]]=1,tbl_daily[[#This Row],[Attended, but did not complete data]]&lt;&gt;1),tbl_daily[[#This Row],[LatestRPE]]*tbl_daily[[#This Row],[LatestDuration]],""),"")</f>
        <v>0</v>
      </c>
      <c r="R101" s="3">
        <f>IF(tbl_daily[[#This Row],[CodeName]]&lt;&gt;"",1,"")</f>
        <v>1</v>
      </c>
      <c r="S101" s="3" t="str">
        <f>IF(AND(tbl_daily[[#This Row],[Date]]&gt;=DATE(2019,8,1),tbl_daily[[#This Row],[Date]]&lt;=DATE(2020,6,1)),"2019-2020")</f>
        <v>2019-2020</v>
      </c>
      <c r="T101" s="3" t="str">
        <f>IFERROR(INDEX(tbl_prof[Cohort of Interest],MATCH(tbl_daily[[#This Row],[CodeName]],tbl_prof[CodeName],0)),"")</f>
        <v>Athletes</v>
      </c>
      <c r="U101" s="3">
        <f>IFERROR(AVERAGEIFS(tbl_perf[Grade],tbl_perf[CodeName],tbl_daily[[#This Row],[CodeName]],tbl_perf[Date],tbl_daily[[#This Row],[Date]]),"")</f>
        <v>86</v>
      </c>
      <c r="V101" s="3">
        <f>IFERROR(IF(AND(tbl_daily[[#This Row],[Attendance (1 = Here, 0 = Not here)]]=1,tbl_daily[[#This Row],[Attended, but did not complete data]]&lt;&gt;1),1,IF(AND(tbl_daily[[#This Row],[Attendance (1 = Here, 0 = Not here)]]=1,tbl_daily[[#This Row],[Attended, but did not complete data]]=1),2,3)),"")</f>
        <v>1</v>
      </c>
      <c r="W101" s="3">
        <f>IF(AND(tbl_daily[[#This Row],[Attendance Refined]]=1,tbl_daily[[#This Row],[InjuryStatus]]="Full"),1,IF(AND(tbl_daily[[#This Row],[Attendance Refined]]=1,tbl_daily[[#This Row],[InjuryStatus]]="Limited"),2,IF(AND(tbl_daily[[#This Row],[Attendance Refined]]=1,tbl_daily[[#This Row],[InjuryStatus]]="Out"),3,"")))</f>
        <v>1</v>
      </c>
    </row>
    <row r="102" spans="1:23" ht="15" customHeight="1" x14ac:dyDescent="0.25">
      <c r="A102" s="1">
        <v>43881</v>
      </c>
      <c r="B102" t="s">
        <v>423</v>
      </c>
      <c r="C102">
        <v>1</v>
      </c>
      <c r="E102">
        <v>5</v>
      </c>
      <c r="F102">
        <v>5</v>
      </c>
      <c r="G102">
        <v>8</v>
      </c>
      <c r="H102" t="s">
        <v>15</v>
      </c>
      <c r="I102">
        <v>0</v>
      </c>
      <c r="J102">
        <v>0</v>
      </c>
      <c r="K102">
        <v>0</v>
      </c>
      <c r="M102" t="s">
        <v>251</v>
      </c>
      <c r="N102" t="s">
        <v>261</v>
      </c>
      <c r="P102" s="3">
        <f>IFERROR(IF(AND(tbl_daily[[#This Row],[Attendance (1 = Here, 0 = Not here)]]=1,tbl_daily[[#This Row],[Attended, but did not complete data]]&lt;&gt;1),tbl_daily[[#This Row],[Stress]]+tbl_daily[[#This Row],[SleepQuality]]+tbl_daily[[#This Row],[Energy]],""),"")</f>
        <v>18</v>
      </c>
      <c r="Q102" s="3">
        <f>IFERROR(IF(AND(tbl_daily[[#This Row],[Attendance (1 = Here, 0 = Not here)]]=1,tbl_daily[[#This Row],[Attended, but did not complete data]]&lt;&gt;1),tbl_daily[[#This Row],[LatestRPE]]*tbl_daily[[#This Row],[LatestDuration]],""),"")</f>
        <v>0</v>
      </c>
      <c r="R102" s="3">
        <f>IF(tbl_daily[[#This Row],[CodeName]]&lt;&gt;"",1,"")</f>
        <v>1</v>
      </c>
      <c r="S102" s="3" t="str">
        <f>IF(AND(tbl_daily[[#This Row],[Date]]&gt;=DATE(2019,8,1),tbl_daily[[#This Row],[Date]]&lt;=DATE(2020,6,1)),"2019-2020")</f>
        <v>2019-2020</v>
      </c>
      <c r="T102" s="3" t="str">
        <f>IFERROR(INDEX(tbl_prof[Cohort of Interest],MATCH(tbl_daily[[#This Row],[CodeName]],tbl_prof[CodeName],0)),"")</f>
        <v>Youth</v>
      </c>
      <c r="U102" s="3">
        <f>IFERROR(AVERAGEIFS(tbl_perf[Grade],tbl_perf[CodeName],tbl_daily[[#This Row],[CodeName]],tbl_perf[Date],tbl_daily[[#This Row],[Date]]),"")</f>
        <v>93</v>
      </c>
      <c r="V102" s="3">
        <f>IFERROR(IF(AND(tbl_daily[[#This Row],[Attendance (1 = Here, 0 = Not here)]]=1,tbl_daily[[#This Row],[Attended, but did not complete data]]&lt;&gt;1),1,IF(AND(tbl_daily[[#This Row],[Attendance (1 = Here, 0 = Not here)]]=1,tbl_daily[[#This Row],[Attended, but did not complete data]]=1),2,3)),"")</f>
        <v>1</v>
      </c>
      <c r="W102" s="3">
        <f>IF(AND(tbl_daily[[#This Row],[Attendance Refined]]=1,tbl_daily[[#This Row],[InjuryStatus]]="Full"),1,IF(AND(tbl_daily[[#This Row],[Attendance Refined]]=1,tbl_daily[[#This Row],[InjuryStatus]]="Limited"),2,IF(AND(tbl_daily[[#This Row],[Attendance Refined]]=1,tbl_daily[[#This Row],[InjuryStatus]]="Out"),3,"")))</f>
        <v>1</v>
      </c>
    </row>
    <row r="103" spans="1:23" ht="15" customHeight="1" x14ac:dyDescent="0.25">
      <c r="A103" s="1">
        <v>43881</v>
      </c>
      <c r="B103" t="s">
        <v>438</v>
      </c>
      <c r="C103">
        <v>1</v>
      </c>
      <c r="E103">
        <v>4</v>
      </c>
      <c r="F103">
        <v>3</v>
      </c>
      <c r="G103">
        <v>6</v>
      </c>
      <c r="H103" t="s">
        <v>15</v>
      </c>
      <c r="I103">
        <v>1</v>
      </c>
      <c r="J103">
        <v>3</v>
      </c>
      <c r="K103">
        <v>30</v>
      </c>
      <c r="L103" s="2"/>
      <c r="M103" t="s">
        <v>251</v>
      </c>
      <c r="N103" t="s">
        <v>274</v>
      </c>
      <c r="P103" s="3">
        <f>IFERROR(IF(AND(tbl_daily[[#This Row],[Attendance (1 = Here, 0 = Not here)]]=1,tbl_daily[[#This Row],[Attended, but did not complete data]]&lt;&gt;1),tbl_daily[[#This Row],[Stress]]+tbl_daily[[#This Row],[SleepQuality]]+tbl_daily[[#This Row],[Energy]],""),"")</f>
        <v>13</v>
      </c>
      <c r="Q103" s="3">
        <f>IFERROR(IF(AND(tbl_daily[[#This Row],[Attendance (1 = Here, 0 = Not here)]]=1,tbl_daily[[#This Row],[Attended, but did not complete data]]&lt;&gt;1),tbl_daily[[#This Row],[LatestRPE]]*tbl_daily[[#This Row],[LatestDuration]],""),"")</f>
        <v>90</v>
      </c>
      <c r="R103" s="3">
        <f>IF(tbl_daily[[#This Row],[CodeName]]&lt;&gt;"",1,"")</f>
        <v>1</v>
      </c>
      <c r="S103" s="3" t="str">
        <f>IF(AND(tbl_daily[[#This Row],[Date]]&gt;=DATE(2019,8,1),tbl_daily[[#This Row],[Date]]&lt;=DATE(2020,6,1)),"2019-2020")</f>
        <v>2019-2020</v>
      </c>
      <c r="T103" s="3" t="str">
        <f>IFERROR(INDEX(tbl_prof[Cohort of Interest],MATCH(tbl_daily[[#This Row],[CodeName]],tbl_prof[CodeName],0)),"")</f>
        <v>Youth</v>
      </c>
      <c r="U103" s="3">
        <f>IFERROR(AVERAGEIFS(tbl_perf[Grade],tbl_perf[CodeName],tbl_daily[[#This Row],[CodeName]],tbl_perf[Date],tbl_daily[[#This Row],[Date]]),"")</f>
        <v>86</v>
      </c>
      <c r="V103" s="3">
        <f>IFERROR(IF(AND(tbl_daily[[#This Row],[Attendance (1 = Here, 0 = Not here)]]=1,tbl_daily[[#This Row],[Attended, but did not complete data]]&lt;&gt;1),1,IF(AND(tbl_daily[[#This Row],[Attendance (1 = Here, 0 = Not here)]]=1,tbl_daily[[#This Row],[Attended, but did not complete data]]=1),2,3)),"")</f>
        <v>1</v>
      </c>
      <c r="W103" s="3">
        <f>IF(AND(tbl_daily[[#This Row],[Attendance Refined]]=1,tbl_daily[[#This Row],[InjuryStatus]]="Full"),1,IF(AND(tbl_daily[[#This Row],[Attendance Refined]]=1,tbl_daily[[#This Row],[InjuryStatus]]="Limited"),2,IF(AND(tbl_daily[[#This Row],[Attendance Refined]]=1,tbl_daily[[#This Row],[InjuryStatus]]="Out"),3,"")))</f>
        <v>1</v>
      </c>
    </row>
    <row r="104" spans="1:23" ht="15" customHeight="1" x14ac:dyDescent="0.25">
      <c r="A104" s="1">
        <v>43881</v>
      </c>
      <c r="B104" t="s">
        <v>412</v>
      </c>
      <c r="C104">
        <v>1</v>
      </c>
      <c r="E104">
        <v>5</v>
      </c>
      <c r="F104">
        <v>5</v>
      </c>
      <c r="G104">
        <v>4</v>
      </c>
      <c r="H104" t="s">
        <v>15</v>
      </c>
      <c r="I104">
        <v>1</v>
      </c>
      <c r="J104">
        <v>4</v>
      </c>
      <c r="K104">
        <v>30</v>
      </c>
      <c r="M104" t="s">
        <v>251</v>
      </c>
      <c r="N104" t="s">
        <v>253</v>
      </c>
      <c r="P104" s="3">
        <f>IFERROR(IF(AND(tbl_daily[[#This Row],[Attendance (1 = Here, 0 = Not here)]]=1,tbl_daily[[#This Row],[Attended, but did not complete data]]&lt;&gt;1),tbl_daily[[#This Row],[Stress]]+tbl_daily[[#This Row],[SleepQuality]]+tbl_daily[[#This Row],[Energy]],""),"")</f>
        <v>14</v>
      </c>
      <c r="Q104" s="3">
        <f>IFERROR(IF(AND(tbl_daily[[#This Row],[Attendance (1 = Here, 0 = Not here)]]=1,tbl_daily[[#This Row],[Attended, but did not complete data]]&lt;&gt;1),tbl_daily[[#This Row],[LatestRPE]]*tbl_daily[[#This Row],[LatestDuration]],""),"")</f>
        <v>120</v>
      </c>
      <c r="R104" s="3">
        <f>IF(tbl_daily[[#This Row],[CodeName]]&lt;&gt;"",1,"")</f>
        <v>1</v>
      </c>
      <c r="S104" s="3" t="str">
        <f>IF(AND(tbl_daily[[#This Row],[Date]]&gt;=DATE(2019,8,1),tbl_daily[[#This Row],[Date]]&lt;=DATE(2020,6,1)),"2019-2020")</f>
        <v>2019-2020</v>
      </c>
      <c r="T104" s="3" t="str">
        <f>IFERROR(INDEX(tbl_prof[Cohort of Interest],MATCH(tbl_daily[[#This Row],[CodeName]],tbl_prof[CodeName],0)),"")</f>
        <v>Gen Pop</v>
      </c>
      <c r="U104" s="3">
        <f>IFERROR(AVERAGEIFS(tbl_perf[Grade],tbl_perf[CodeName],tbl_daily[[#This Row],[CodeName]],tbl_perf[Date],tbl_daily[[#This Row],[Date]]),"")</f>
        <v>86</v>
      </c>
      <c r="V104" s="3">
        <f>IFERROR(IF(AND(tbl_daily[[#This Row],[Attendance (1 = Here, 0 = Not here)]]=1,tbl_daily[[#This Row],[Attended, but did not complete data]]&lt;&gt;1),1,IF(AND(tbl_daily[[#This Row],[Attendance (1 = Here, 0 = Not here)]]=1,tbl_daily[[#This Row],[Attended, but did not complete data]]=1),2,3)),"")</f>
        <v>1</v>
      </c>
      <c r="W104" s="3">
        <f>IF(AND(tbl_daily[[#This Row],[Attendance Refined]]=1,tbl_daily[[#This Row],[InjuryStatus]]="Full"),1,IF(AND(tbl_daily[[#This Row],[Attendance Refined]]=1,tbl_daily[[#This Row],[InjuryStatus]]="Limited"),2,IF(AND(tbl_daily[[#This Row],[Attendance Refined]]=1,tbl_daily[[#This Row],[InjuryStatus]]="Out"),3,"")))</f>
        <v>1</v>
      </c>
    </row>
    <row r="105" spans="1:23" ht="15" customHeight="1" x14ac:dyDescent="0.25">
      <c r="A105" s="1">
        <v>43881</v>
      </c>
      <c r="B105" t="s">
        <v>413</v>
      </c>
      <c r="C105">
        <v>1</v>
      </c>
      <c r="E105">
        <v>5</v>
      </c>
      <c r="F105">
        <v>6</v>
      </c>
      <c r="G105">
        <v>5</v>
      </c>
      <c r="H105" t="s">
        <v>15</v>
      </c>
      <c r="I105">
        <v>1</v>
      </c>
      <c r="J105">
        <v>5</v>
      </c>
      <c r="K105">
        <v>30</v>
      </c>
      <c r="M105" t="s">
        <v>251</v>
      </c>
      <c r="N105" t="s">
        <v>254</v>
      </c>
      <c r="P105" s="3">
        <f>IFERROR(IF(AND(tbl_daily[[#This Row],[Attendance (1 = Here, 0 = Not here)]]=1,tbl_daily[[#This Row],[Attended, but did not complete data]]&lt;&gt;1),tbl_daily[[#This Row],[Stress]]+tbl_daily[[#This Row],[SleepQuality]]+tbl_daily[[#This Row],[Energy]],""),"")</f>
        <v>16</v>
      </c>
      <c r="Q105" s="3">
        <f>IFERROR(IF(AND(tbl_daily[[#This Row],[Attendance (1 = Here, 0 = Not here)]]=1,tbl_daily[[#This Row],[Attended, but did not complete data]]&lt;&gt;1),tbl_daily[[#This Row],[LatestRPE]]*tbl_daily[[#This Row],[LatestDuration]],""),"")</f>
        <v>150</v>
      </c>
      <c r="R105" s="3">
        <f>IF(tbl_daily[[#This Row],[CodeName]]&lt;&gt;"",1,"")</f>
        <v>1</v>
      </c>
      <c r="S105" s="3" t="str">
        <f>IF(AND(tbl_daily[[#This Row],[Date]]&gt;=DATE(2019,8,1),tbl_daily[[#This Row],[Date]]&lt;=DATE(2020,6,1)),"2019-2020")</f>
        <v>2019-2020</v>
      </c>
      <c r="T105" s="3" t="str">
        <f>IFERROR(INDEX(tbl_prof[Cohort of Interest],MATCH(tbl_daily[[#This Row],[CodeName]],tbl_prof[CodeName],0)),"")</f>
        <v>Youth</v>
      </c>
      <c r="U105" s="3">
        <f>IFERROR(AVERAGEIFS(tbl_perf[Grade],tbl_perf[CodeName],tbl_daily[[#This Row],[CodeName]],tbl_perf[Date],tbl_daily[[#This Row],[Date]]),"")</f>
        <v>84</v>
      </c>
      <c r="V105" s="3">
        <f>IFERROR(IF(AND(tbl_daily[[#This Row],[Attendance (1 = Here, 0 = Not here)]]=1,tbl_daily[[#This Row],[Attended, but did not complete data]]&lt;&gt;1),1,IF(AND(tbl_daily[[#This Row],[Attendance (1 = Here, 0 = Not here)]]=1,tbl_daily[[#This Row],[Attended, but did not complete data]]=1),2,3)),"")</f>
        <v>1</v>
      </c>
      <c r="W105" s="3">
        <f>IF(AND(tbl_daily[[#This Row],[Attendance Refined]]=1,tbl_daily[[#This Row],[InjuryStatus]]="Full"),1,IF(AND(tbl_daily[[#This Row],[Attendance Refined]]=1,tbl_daily[[#This Row],[InjuryStatus]]="Limited"),2,IF(AND(tbl_daily[[#This Row],[Attendance Refined]]=1,tbl_daily[[#This Row],[InjuryStatus]]="Out"),3,"")))</f>
        <v>1</v>
      </c>
    </row>
    <row r="106" spans="1:23" ht="15" customHeight="1" x14ac:dyDescent="0.25">
      <c r="A106" s="1">
        <v>43881</v>
      </c>
      <c r="B106" t="s">
        <v>415</v>
      </c>
      <c r="C106">
        <v>1</v>
      </c>
      <c r="E106">
        <v>1</v>
      </c>
      <c r="F106">
        <v>3</v>
      </c>
      <c r="G106">
        <v>2</v>
      </c>
      <c r="H106" t="s">
        <v>15</v>
      </c>
      <c r="I106">
        <v>0</v>
      </c>
      <c r="J106">
        <v>5</v>
      </c>
      <c r="K106">
        <v>30</v>
      </c>
      <c r="M106" t="s">
        <v>251</v>
      </c>
      <c r="N106" t="s">
        <v>255</v>
      </c>
      <c r="P106" s="3">
        <f>IFERROR(IF(AND(tbl_daily[[#This Row],[Attendance (1 = Here, 0 = Not here)]]=1,tbl_daily[[#This Row],[Attended, but did not complete data]]&lt;&gt;1),tbl_daily[[#This Row],[Stress]]+tbl_daily[[#This Row],[SleepQuality]]+tbl_daily[[#This Row],[Energy]],""),"")</f>
        <v>6</v>
      </c>
      <c r="Q106" s="3">
        <f>IFERROR(IF(AND(tbl_daily[[#This Row],[Attendance (1 = Here, 0 = Not here)]]=1,tbl_daily[[#This Row],[Attended, but did not complete data]]&lt;&gt;1),tbl_daily[[#This Row],[LatestRPE]]*tbl_daily[[#This Row],[LatestDuration]],""),"")</f>
        <v>150</v>
      </c>
      <c r="R106" s="3">
        <f>IF(tbl_daily[[#This Row],[CodeName]]&lt;&gt;"",1,"")</f>
        <v>1</v>
      </c>
      <c r="S106" s="3" t="str">
        <f>IF(AND(tbl_daily[[#This Row],[Date]]&gt;=DATE(2019,8,1),tbl_daily[[#This Row],[Date]]&lt;=DATE(2020,6,1)),"2019-2020")</f>
        <v>2019-2020</v>
      </c>
      <c r="T106" s="3" t="str">
        <f>IFERROR(INDEX(tbl_prof[Cohort of Interest],MATCH(tbl_daily[[#This Row],[CodeName]],tbl_prof[CodeName],0)),"")</f>
        <v>Youth</v>
      </c>
      <c r="U106" s="3">
        <f>IFERROR(AVERAGEIFS(tbl_perf[Grade],tbl_perf[CodeName],tbl_daily[[#This Row],[CodeName]],tbl_perf[Date],tbl_daily[[#This Row],[Date]]),"")</f>
        <v>99</v>
      </c>
      <c r="V106" s="3">
        <f>IFERROR(IF(AND(tbl_daily[[#This Row],[Attendance (1 = Here, 0 = Not here)]]=1,tbl_daily[[#This Row],[Attended, but did not complete data]]&lt;&gt;1),1,IF(AND(tbl_daily[[#This Row],[Attendance (1 = Here, 0 = Not here)]]=1,tbl_daily[[#This Row],[Attended, but did not complete data]]=1),2,3)),"")</f>
        <v>1</v>
      </c>
      <c r="W106" s="3">
        <f>IF(AND(tbl_daily[[#This Row],[Attendance Refined]]=1,tbl_daily[[#This Row],[InjuryStatus]]="Full"),1,IF(AND(tbl_daily[[#This Row],[Attendance Refined]]=1,tbl_daily[[#This Row],[InjuryStatus]]="Limited"),2,IF(AND(tbl_daily[[#This Row],[Attendance Refined]]=1,tbl_daily[[#This Row],[InjuryStatus]]="Out"),3,"")))</f>
        <v>1</v>
      </c>
    </row>
    <row r="107" spans="1:23" ht="15" customHeight="1" x14ac:dyDescent="0.25">
      <c r="A107" s="1">
        <v>43881</v>
      </c>
      <c r="B107" t="s">
        <v>416</v>
      </c>
      <c r="C107">
        <v>1</v>
      </c>
      <c r="E107">
        <v>5</v>
      </c>
      <c r="F107">
        <v>7</v>
      </c>
      <c r="G107">
        <v>5</v>
      </c>
      <c r="H107" t="s">
        <v>32</v>
      </c>
      <c r="I107">
        <v>1</v>
      </c>
      <c r="J107">
        <v>6</v>
      </c>
      <c r="K107">
        <v>40</v>
      </c>
      <c r="M107" t="s">
        <v>251</v>
      </c>
      <c r="N107" t="s">
        <v>256</v>
      </c>
      <c r="P107" s="3">
        <f>IFERROR(IF(AND(tbl_daily[[#This Row],[Attendance (1 = Here, 0 = Not here)]]=1,tbl_daily[[#This Row],[Attended, but did not complete data]]&lt;&gt;1),tbl_daily[[#This Row],[Stress]]+tbl_daily[[#This Row],[SleepQuality]]+tbl_daily[[#This Row],[Energy]],""),"")</f>
        <v>17</v>
      </c>
      <c r="Q107" s="3">
        <f>IFERROR(IF(AND(tbl_daily[[#This Row],[Attendance (1 = Here, 0 = Not here)]]=1,tbl_daily[[#This Row],[Attended, but did not complete data]]&lt;&gt;1),tbl_daily[[#This Row],[LatestRPE]]*tbl_daily[[#This Row],[LatestDuration]],""),"")</f>
        <v>240</v>
      </c>
      <c r="R107" s="3">
        <f>IF(tbl_daily[[#This Row],[CodeName]]&lt;&gt;"",1,"")</f>
        <v>1</v>
      </c>
      <c r="S107" s="3" t="str">
        <f>IF(AND(tbl_daily[[#This Row],[Date]]&gt;=DATE(2019,8,1),tbl_daily[[#This Row],[Date]]&lt;=DATE(2020,6,1)),"2019-2020")</f>
        <v>2019-2020</v>
      </c>
      <c r="T107" s="3" t="str">
        <f>IFERROR(INDEX(tbl_prof[Cohort of Interest],MATCH(tbl_daily[[#This Row],[CodeName]],tbl_prof[CodeName],0)),"")</f>
        <v>Special</v>
      </c>
      <c r="U107" s="3">
        <f>IFERROR(AVERAGEIFS(tbl_perf[Grade],tbl_perf[CodeName],tbl_daily[[#This Row],[CodeName]],tbl_perf[Date],tbl_daily[[#This Row],[Date]]),"")</f>
        <v>91</v>
      </c>
      <c r="V107" s="3">
        <f>IFERROR(IF(AND(tbl_daily[[#This Row],[Attendance (1 = Here, 0 = Not here)]]=1,tbl_daily[[#This Row],[Attended, but did not complete data]]&lt;&gt;1),1,IF(AND(tbl_daily[[#This Row],[Attendance (1 = Here, 0 = Not here)]]=1,tbl_daily[[#This Row],[Attended, but did not complete data]]=1),2,3)),"")</f>
        <v>1</v>
      </c>
      <c r="W107" s="3">
        <f>IF(AND(tbl_daily[[#This Row],[Attendance Refined]]=1,tbl_daily[[#This Row],[InjuryStatus]]="Full"),1,IF(AND(tbl_daily[[#This Row],[Attendance Refined]]=1,tbl_daily[[#This Row],[InjuryStatus]]="Limited"),2,IF(AND(tbl_daily[[#This Row],[Attendance Refined]]=1,tbl_daily[[#This Row],[InjuryStatus]]="Out"),3,"")))</f>
        <v>2</v>
      </c>
    </row>
    <row r="108" spans="1:23" ht="15" customHeight="1" x14ac:dyDescent="0.25">
      <c r="A108" s="1">
        <v>43881</v>
      </c>
      <c r="B108" t="s">
        <v>411</v>
      </c>
      <c r="C108">
        <v>1</v>
      </c>
      <c r="E108">
        <v>4</v>
      </c>
      <c r="F108">
        <v>3</v>
      </c>
      <c r="G108">
        <v>5</v>
      </c>
      <c r="H108" t="s">
        <v>32</v>
      </c>
      <c r="I108">
        <v>1</v>
      </c>
      <c r="J108">
        <v>5</v>
      </c>
      <c r="K108">
        <v>60</v>
      </c>
      <c r="M108" t="s">
        <v>251</v>
      </c>
      <c r="N108" t="s">
        <v>252</v>
      </c>
      <c r="P108" s="3">
        <f>IFERROR(IF(AND(tbl_daily[[#This Row],[Attendance (1 = Here, 0 = Not here)]]=1,tbl_daily[[#This Row],[Attended, but did not complete data]]&lt;&gt;1),tbl_daily[[#This Row],[Stress]]+tbl_daily[[#This Row],[SleepQuality]]+tbl_daily[[#This Row],[Energy]],""),"")</f>
        <v>12</v>
      </c>
      <c r="Q108" s="3">
        <f>IFERROR(IF(AND(tbl_daily[[#This Row],[Attendance (1 = Here, 0 = Not here)]]=1,tbl_daily[[#This Row],[Attended, but did not complete data]]&lt;&gt;1),tbl_daily[[#This Row],[LatestRPE]]*tbl_daily[[#This Row],[LatestDuration]],""),"")</f>
        <v>300</v>
      </c>
      <c r="R108" s="3">
        <f>IF(tbl_daily[[#This Row],[CodeName]]&lt;&gt;"",1,"")</f>
        <v>1</v>
      </c>
      <c r="S108" s="3" t="str">
        <f>IF(AND(tbl_daily[[#This Row],[Date]]&gt;=DATE(2019,8,1),tbl_daily[[#This Row],[Date]]&lt;=DATE(2020,6,1)),"2019-2020")</f>
        <v>2019-2020</v>
      </c>
      <c r="T108" s="3" t="str">
        <f>IFERROR(INDEX(tbl_prof[Cohort of Interest],MATCH(tbl_daily[[#This Row],[CodeName]],tbl_prof[CodeName],0)),"")</f>
        <v>Athletes</v>
      </c>
      <c r="U108" s="3">
        <f>IFERROR(AVERAGEIFS(tbl_perf[Grade],tbl_perf[CodeName],tbl_daily[[#This Row],[CodeName]],tbl_perf[Date],tbl_daily[[#This Row],[Date]]),"")</f>
        <v>78</v>
      </c>
      <c r="V108" s="3">
        <f>IFERROR(IF(AND(tbl_daily[[#This Row],[Attendance (1 = Here, 0 = Not here)]]=1,tbl_daily[[#This Row],[Attended, but did not complete data]]&lt;&gt;1),1,IF(AND(tbl_daily[[#This Row],[Attendance (1 = Here, 0 = Not here)]]=1,tbl_daily[[#This Row],[Attended, but did not complete data]]=1),2,3)),"")</f>
        <v>1</v>
      </c>
      <c r="W108" s="3">
        <f>IF(AND(tbl_daily[[#This Row],[Attendance Refined]]=1,tbl_daily[[#This Row],[InjuryStatus]]="Full"),1,IF(AND(tbl_daily[[#This Row],[Attendance Refined]]=1,tbl_daily[[#This Row],[InjuryStatus]]="Limited"),2,IF(AND(tbl_daily[[#This Row],[Attendance Refined]]=1,tbl_daily[[#This Row],[InjuryStatus]]="Out"),3,"")))</f>
        <v>2</v>
      </c>
    </row>
    <row r="109" spans="1:23" ht="15" customHeight="1" x14ac:dyDescent="0.25">
      <c r="A109" s="1">
        <v>43881</v>
      </c>
      <c r="B109" t="s">
        <v>428</v>
      </c>
      <c r="C109">
        <v>1</v>
      </c>
      <c r="E109">
        <v>7</v>
      </c>
      <c r="F109">
        <v>8</v>
      </c>
      <c r="G109">
        <v>8</v>
      </c>
      <c r="H109" t="s">
        <v>15</v>
      </c>
      <c r="I109">
        <v>1</v>
      </c>
      <c r="J109">
        <v>5</v>
      </c>
      <c r="K109">
        <v>60</v>
      </c>
      <c r="M109" t="s">
        <v>251</v>
      </c>
      <c r="N109" t="s">
        <v>267</v>
      </c>
      <c r="P109" s="3">
        <f>IFERROR(IF(AND(tbl_daily[[#This Row],[Attendance (1 = Here, 0 = Not here)]]=1,tbl_daily[[#This Row],[Attended, but did not complete data]]&lt;&gt;1),tbl_daily[[#This Row],[Stress]]+tbl_daily[[#This Row],[SleepQuality]]+tbl_daily[[#This Row],[Energy]],""),"")</f>
        <v>23</v>
      </c>
      <c r="Q109" s="3">
        <f>IFERROR(IF(AND(tbl_daily[[#This Row],[Attendance (1 = Here, 0 = Not here)]]=1,tbl_daily[[#This Row],[Attended, but did not complete data]]&lt;&gt;1),tbl_daily[[#This Row],[LatestRPE]]*tbl_daily[[#This Row],[LatestDuration]],""),"")</f>
        <v>300</v>
      </c>
      <c r="R109" s="3">
        <f>IF(tbl_daily[[#This Row],[CodeName]]&lt;&gt;"",1,"")</f>
        <v>1</v>
      </c>
      <c r="S109" s="3" t="str">
        <f>IF(AND(tbl_daily[[#This Row],[Date]]&gt;=DATE(2019,8,1),tbl_daily[[#This Row],[Date]]&lt;=DATE(2020,6,1)),"2019-2020")</f>
        <v>2019-2020</v>
      </c>
      <c r="T109" s="3" t="str">
        <f>IFERROR(INDEX(tbl_prof[Cohort of Interest],MATCH(tbl_daily[[#This Row],[CodeName]],tbl_prof[CodeName],0)),"")</f>
        <v>Special</v>
      </c>
      <c r="U109" s="3">
        <f>IFERROR(AVERAGEIFS(tbl_perf[Grade],tbl_perf[CodeName],tbl_daily[[#This Row],[CodeName]],tbl_perf[Date],tbl_daily[[#This Row],[Date]]),"")</f>
        <v>99</v>
      </c>
      <c r="V109" s="3">
        <f>IFERROR(IF(AND(tbl_daily[[#This Row],[Attendance (1 = Here, 0 = Not here)]]=1,tbl_daily[[#This Row],[Attended, but did not complete data]]&lt;&gt;1),1,IF(AND(tbl_daily[[#This Row],[Attendance (1 = Here, 0 = Not here)]]=1,tbl_daily[[#This Row],[Attended, but did not complete data]]=1),2,3)),"")</f>
        <v>1</v>
      </c>
      <c r="W109" s="3">
        <f>IF(AND(tbl_daily[[#This Row],[Attendance Refined]]=1,tbl_daily[[#This Row],[InjuryStatus]]="Full"),1,IF(AND(tbl_daily[[#This Row],[Attendance Refined]]=1,tbl_daily[[#This Row],[InjuryStatus]]="Limited"),2,IF(AND(tbl_daily[[#This Row],[Attendance Refined]]=1,tbl_daily[[#This Row],[InjuryStatus]]="Out"),3,"")))</f>
        <v>1</v>
      </c>
    </row>
    <row r="110" spans="1:23" ht="15" customHeight="1" x14ac:dyDescent="0.25">
      <c r="A110" s="1">
        <v>43881</v>
      </c>
      <c r="B110" t="s">
        <v>430</v>
      </c>
      <c r="C110">
        <v>1</v>
      </c>
      <c r="E110">
        <v>4</v>
      </c>
      <c r="F110">
        <v>6</v>
      </c>
      <c r="G110">
        <v>6</v>
      </c>
      <c r="H110" t="s">
        <v>15</v>
      </c>
      <c r="I110">
        <v>1</v>
      </c>
      <c r="J110">
        <v>5</v>
      </c>
      <c r="K110">
        <v>60</v>
      </c>
      <c r="M110" t="s">
        <v>251</v>
      </c>
      <c r="N110" t="s">
        <v>271</v>
      </c>
      <c r="P110" s="3">
        <f>IFERROR(IF(AND(tbl_daily[[#This Row],[Attendance (1 = Here, 0 = Not here)]]=1,tbl_daily[[#This Row],[Attended, but did not complete data]]&lt;&gt;1),tbl_daily[[#This Row],[Stress]]+tbl_daily[[#This Row],[SleepQuality]]+tbl_daily[[#This Row],[Energy]],""),"")</f>
        <v>16</v>
      </c>
      <c r="Q110" s="3">
        <f>IFERROR(IF(AND(tbl_daily[[#This Row],[Attendance (1 = Here, 0 = Not here)]]=1,tbl_daily[[#This Row],[Attended, but did not complete data]]&lt;&gt;1),tbl_daily[[#This Row],[LatestRPE]]*tbl_daily[[#This Row],[LatestDuration]],""),"")</f>
        <v>300</v>
      </c>
      <c r="R110" s="3">
        <f>IF(tbl_daily[[#This Row],[CodeName]]&lt;&gt;"",1,"")</f>
        <v>1</v>
      </c>
      <c r="S110" s="3" t="str">
        <f>IF(AND(tbl_daily[[#This Row],[Date]]&gt;=DATE(2019,8,1),tbl_daily[[#This Row],[Date]]&lt;=DATE(2020,6,1)),"2019-2020")</f>
        <v>2019-2020</v>
      </c>
      <c r="T110" s="3" t="str">
        <f>IFERROR(INDEX(tbl_prof[Cohort of Interest],MATCH(tbl_daily[[#This Row],[CodeName]],tbl_prof[CodeName],0)),"")</f>
        <v>Gen Pop</v>
      </c>
      <c r="U110" s="3">
        <f>IFERROR(AVERAGEIFS(tbl_perf[Grade],tbl_perf[CodeName],tbl_daily[[#This Row],[CodeName]],tbl_perf[Date],tbl_daily[[#This Row],[Date]]),"")</f>
        <v>77</v>
      </c>
      <c r="V110" s="3">
        <f>IFERROR(IF(AND(tbl_daily[[#This Row],[Attendance (1 = Here, 0 = Not here)]]=1,tbl_daily[[#This Row],[Attended, but did not complete data]]&lt;&gt;1),1,IF(AND(tbl_daily[[#This Row],[Attendance (1 = Here, 0 = Not here)]]=1,tbl_daily[[#This Row],[Attended, but did not complete data]]=1),2,3)),"")</f>
        <v>1</v>
      </c>
      <c r="W110" s="3">
        <f>IF(AND(tbl_daily[[#This Row],[Attendance Refined]]=1,tbl_daily[[#This Row],[InjuryStatus]]="Full"),1,IF(AND(tbl_daily[[#This Row],[Attendance Refined]]=1,tbl_daily[[#This Row],[InjuryStatus]]="Limited"),2,IF(AND(tbl_daily[[#This Row],[Attendance Refined]]=1,tbl_daily[[#This Row],[InjuryStatus]]="Out"),3,"")))</f>
        <v>1</v>
      </c>
    </row>
    <row r="111" spans="1:23" ht="15" customHeight="1" x14ac:dyDescent="0.25">
      <c r="A111" s="1">
        <v>43881</v>
      </c>
      <c r="B111" t="s">
        <v>431</v>
      </c>
      <c r="C111">
        <v>1</v>
      </c>
      <c r="E111">
        <v>7</v>
      </c>
      <c r="F111">
        <v>10</v>
      </c>
      <c r="G111">
        <v>8</v>
      </c>
      <c r="H111" t="s">
        <v>15</v>
      </c>
      <c r="I111">
        <v>1</v>
      </c>
      <c r="J111">
        <v>5</v>
      </c>
      <c r="K111">
        <v>60</v>
      </c>
      <c r="M111" t="s">
        <v>251</v>
      </c>
      <c r="N111" t="s">
        <v>275</v>
      </c>
      <c r="P111" s="3">
        <f>IFERROR(IF(AND(tbl_daily[[#This Row],[Attendance (1 = Here, 0 = Not here)]]=1,tbl_daily[[#This Row],[Attended, but did not complete data]]&lt;&gt;1),tbl_daily[[#This Row],[Stress]]+tbl_daily[[#This Row],[SleepQuality]]+tbl_daily[[#This Row],[Energy]],""),"")</f>
        <v>25</v>
      </c>
      <c r="Q111" s="3">
        <f>IFERROR(IF(AND(tbl_daily[[#This Row],[Attendance (1 = Here, 0 = Not here)]]=1,tbl_daily[[#This Row],[Attended, but did not complete data]]&lt;&gt;1),tbl_daily[[#This Row],[LatestRPE]]*tbl_daily[[#This Row],[LatestDuration]],""),"")</f>
        <v>300</v>
      </c>
      <c r="R111" s="3">
        <f>IF(tbl_daily[[#This Row],[CodeName]]&lt;&gt;"",1,"")</f>
        <v>1</v>
      </c>
      <c r="S111" s="3" t="str">
        <f>IF(AND(tbl_daily[[#This Row],[Date]]&gt;=DATE(2019,8,1),tbl_daily[[#This Row],[Date]]&lt;=DATE(2020,6,1)),"2019-2020")</f>
        <v>2019-2020</v>
      </c>
      <c r="T111" s="3" t="str">
        <f>IFERROR(INDEX(tbl_prof[Cohort of Interest],MATCH(tbl_daily[[#This Row],[CodeName]],tbl_prof[CodeName],0)),"")</f>
        <v>Special</v>
      </c>
      <c r="U111" s="3">
        <f>IFERROR(AVERAGEIFS(tbl_perf[Grade],tbl_perf[CodeName],tbl_daily[[#This Row],[CodeName]],tbl_perf[Date],tbl_daily[[#This Row],[Date]]),"")</f>
        <v>92</v>
      </c>
      <c r="V111" s="3">
        <f>IFERROR(IF(AND(tbl_daily[[#This Row],[Attendance (1 = Here, 0 = Not here)]]=1,tbl_daily[[#This Row],[Attended, but did not complete data]]&lt;&gt;1),1,IF(AND(tbl_daily[[#This Row],[Attendance (1 = Here, 0 = Not here)]]=1,tbl_daily[[#This Row],[Attended, but did not complete data]]=1),2,3)),"")</f>
        <v>1</v>
      </c>
      <c r="W111" s="3">
        <f>IF(AND(tbl_daily[[#This Row],[Attendance Refined]]=1,tbl_daily[[#This Row],[InjuryStatus]]="Full"),1,IF(AND(tbl_daily[[#This Row],[Attendance Refined]]=1,tbl_daily[[#This Row],[InjuryStatus]]="Limited"),2,IF(AND(tbl_daily[[#This Row],[Attendance Refined]]=1,tbl_daily[[#This Row],[InjuryStatus]]="Out"),3,"")))</f>
        <v>1</v>
      </c>
    </row>
    <row r="112" spans="1:23" ht="15" customHeight="1" x14ac:dyDescent="0.25">
      <c r="A112" s="1">
        <v>43881</v>
      </c>
      <c r="B112" t="s">
        <v>414</v>
      </c>
      <c r="C112">
        <v>1</v>
      </c>
      <c r="E112">
        <v>6</v>
      </c>
      <c r="F112">
        <v>8</v>
      </c>
      <c r="G112">
        <v>8</v>
      </c>
      <c r="H112" t="s">
        <v>15</v>
      </c>
      <c r="I112">
        <v>1</v>
      </c>
      <c r="J112">
        <v>7</v>
      </c>
      <c r="K112">
        <v>45</v>
      </c>
      <c r="M112" t="s">
        <v>251</v>
      </c>
      <c r="P112" s="3">
        <f>IFERROR(IF(AND(tbl_daily[[#This Row],[Attendance (1 = Here, 0 = Not here)]]=1,tbl_daily[[#This Row],[Attended, but did not complete data]]&lt;&gt;1),tbl_daily[[#This Row],[Stress]]+tbl_daily[[#This Row],[SleepQuality]]+tbl_daily[[#This Row],[Energy]],""),"")</f>
        <v>22</v>
      </c>
      <c r="Q112" s="3">
        <f>IFERROR(IF(AND(tbl_daily[[#This Row],[Attendance (1 = Here, 0 = Not here)]]=1,tbl_daily[[#This Row],[Attended, but did not complete data]]&lt;&gt;1),tbl_daily[[#This Row],[LatestRPE]]*tbl_daily[[#This Row],[LatestDuration]],""),"")</f>
        <v>315</v>
      </c>
      <c r="R112" s="3">
        <f>IF(tbl_daily[[#This Row],[CodeName]]&lt;&gt;"",1,"")</f>
        <v>1</v>
      </c>
      <c r="S112" s="3" t="str">
        <f>IF(AND(tbl_daily[[#This Row],[Date]]&gt;=DATE(2019,8,1),tbl_daily[[#This Row],[Date]]&lt;=DATE(2020,6,1)),"2019-2020")</f>
        <v>2019-2020</v>
      </c>
      <c r="T112" s="3" t="str">
        <f>IFERROR(INDEX(tbl_prof[Cohort of Interest],MATCH(tbl_daily[[#This Row],[CodeName]],tbl_prof[CodeName],0)),"")</f>
        <v>Gen Pop</v>
      </c>
      <c r="U112" s="3">
        <f>IFERROR(AVERAGEIFS(tbl_perf[Grade],tbl_perf[CodeName],tbl_daily[[#This Row],[CodeName]],tbl_perf[Date],tbl_daily[[#This Row],[Date]]),"")</f>
        <v>100</v>
      </c>
      <c r="V112" s="3">
        <f>IFERROR(IF(AND(tbl_daily[[#This Row],[Attendance (1 = Here, 0 = Not here)]]=1,tbl_daily[[#This Row],[Attended, but did not complete data]]&lt;&gt;1),1,IF(AND(tbl_daily[[#This Row],[Attendance (1 = Here, 0 = Not here)]]=1,tbl_daily[[#This Row],[Attended, but did not complete data]]=1),2,3)),"")</f>
        <v>1</v>
      </c>
      <c r="W112" s="3">
        <f>IF(AND(tbl_daily[[#This Row],[Attendance Refined]]=1,tbl_daily[[#This Row],[InjuryStatus]]="Full"),1,IF(AND(tbl_daily[[#This Row],[Attendance Refined]]=1,tbl_daily[[#This Row],[InjuryStatus]]="Limited"),2,IF(AND(tbl_daily[[#This Row],[Attendance Refined]]=1,tbl_daily[[#This Row],[InjuryStatus]]="Out"),3,"")))</f>
        <v>1</v>
      </c>
    </row>
    <row r="113" spans="1:23" ht="15" customHeight="1" x14ac:dyDescent="0.25">
      <c r="A113" s="1">
        <v>43881</v>
      </c>
      <c r="B113" t="s">
        <v>410</v>
      </c>
      <c r="C113">
        <v>1</v>
      </c>
      <c r="E113">
        <v>7</v>
      </c>
      <c r="F113">
        <v>8</v>
      </c>
      <c r="G113">
        <v>5</v>
      </c>
      <c r="H113" t="s">
        <v>15</v>
      </c>
      <c r="I113">
        <v>1</v>
      </c>
      <c r="J113">
        <v>7</v>
      </c>
      <c r="K113">
        <v>45</v>
      </c>
      <c r="M113" t="s">
        <v>251</v>
      </c>
      <c r="N113" t="s">
        <v>268</v>
      </c>
      <c r="P113" s="3">
        <f>IFERROR(IF(AND(tbl_daily[[#This Row],[Attendance (1 = Here, 0 = Not here)]]=1,tbl_daily[[#This Row],[Attended, but did not complete data]]&lt;&gt;1),tbl_daily[[#This Row],[Stress]]+tbl_daily[[#This Row],[SleepQuality]]+tbl_daily[[#This Row],[Energy]],""),"")</f>
        <v>20</v>
      </c>
      <c r="Q113" s="3">
        <f>IFERROR(IF(AND(tbl_daily[[#This Row],[Attendance (1 = Here, 0 = Not here)]]=1,tbl_daily[[#This Row],[Attended, but did not complete data]]&lt;&gt;1),tbl_daily[[#This Row],[LatestRPE]]*tbl_daily[[#This Row],[LatestDuration]],""),"")</f>
        <v>315</v>
      </c>
      <c r="R113" s="3">
        <f>IF(tbl_daily[[#This Row],[CodeName]]&lt;&gt;"",1,"")</f>
        <v>1</v>
      </c>
      <c r="S113" s="3" t="str">
        <f>IF(AND(tbl_daily[[#This Row],[Date]]&gt;=DATE(2019,8,1),tbl_daily[[#This Row],[Date]]&lt;=DATE(2020,6,1)),"2019-2020")</f>
        <v>2019-2020</v>
      </c>
      <c r="T113" s="3" t="str">
        <f>IFERROR(INDEX(tbl_prof[Cohort of Interest],MATCH(tbl_daily[[#This Row],[CodeName]],tbl_prof[CodeName],0)),"")</f>
        <v>Gen Pop</v>
      </c>
      <c r="U113" s="3">
        <f>IFERROR(AVERAGEIFS(tbl_perf[Grade],tbl_perf[CodeName],tbl_daily[[#This Row],[CodeName]],tbl_perf[Date],tbl_daily[[#This Row],[Date]]),"")</f>
        <v>79</v>
      </c>
      <c r="V113" s="3">
        <f>IFERROR(IF(AND(tbl_daily[[#This Row],[Attendance (1 = Here, 0 = Not here)]]=1,tbl_daily[[#This Row],[Attended, but did not complete data]]&lt;&gt;1),1,IF(AND(tbl_daily[[#This Row],[Attendance (1 = Here, 0 = Not here)]]=1,tbl_daily[[#This Row],[Attended, but did not complete data]]=1),2,3)),"")</f>
        <v>1</v>
      </c>
      <c r="W113" s="3">
        <f>IF(AND(tbl_daily[[#This Row],[Attendance Refined]]=1,tbl_daily[[#This Row],[InjuryStatus]]="Full"),1,IF(AND(tbl_daily[[#This Row],[Attendance Refined]]=1,tbl_daily[[#This Row],[InjuryStatus]]="Limited"),2,IF(AND(tbl_daily[[#This Row],[Attendance Refined]]=1,tbl_daily[[#This Row],[InjuryStatus]]="Out"),3,"")))</f>
        <v>1</v>
      </c>
    </row>
    <row r="114" spans="1:23" ht="15" customHeight="1" x14ac:dyDescent="0.25">
      <c r="A114" s="1">
        <v>43881</v>
      </c>
      <c r="B114" t="s">
        <v>437</v>
      </c>
      <c r="C114">
        <v>1</v>
      </c>
      <c r="E114">
        <v>7</v>
      </c>
      <c r="F114">
        <v>8</v>
      </c>
      <c r="G114">
        <v>8</v>
      </c>
      <c r="H114" t="s">
        <v>15</v>
      </c>
      <c r="I114">
        <v>1</v>
      </c>
      <c r="J114">
        <v>7</v>
      </c>
      <c r="K114">
        <v>45</v>
      </c>
      <c r="M114" t="s">
        <v>251</v>
      </c>
      <c r="N114" t="s">
        <v>273</v>
      </c>
      <c r="P114" s="3">
        <f>IFERROR(IF(AND(tbl_daily[[#This Row],[Attendance (1 = Here, 0 = Not here)]]=1,tbl_daily[[#This Row],[Attended, but did not complete data]]&lt;&gt;1),tbl_daily[[#This Row],[Stress]]+tbl_daily[[#This Row],[SleepQuality]]+tbl_daily[[#This Row],[Energy]],""),"")</f>
        <v>23</v>
      </c>
      <c r="Q114" s="3">
        <f>IFERROR(IF(AND(tbl_daily[[#This Row],[Attendance (1 = Here, 0 = Not here)]]=1,tbl_daily[[#This Row],[Attended, but did not complete data]]&lt;&gt;1),tbl_daily[[#This Row],[LatestRPE]]*tbl_daily[[#This Row],[LatestDuration]],""),"")</f>
        <v>315</v>
      </c>
      <c r="R114" s="3">
        <f>IF(tbl_daily[[#This Row],[CodeName]]&lt;&gt;"",1,"")</f>
        <v>1</v>
      </c>
      <c r="S114" s="3" t="str">
        <f>IF(AND(tbl_daily[[#This Row],[Date]]&gt;=DATE(2019,8,1),tbl_daily[[#This Row],[Date]]&lt;=DATE(2020,6,1)),"2019-2020")</f>
        <v>2019-2020</v>
      </c>
      <c r="T114" s="3" t="str">
        <f>IFERROR(INDEX(tbl_prof[Cohort of Interest],MATCH(tbl_daily[[#This Row],[CodeName]],tbl_prof[CodeName],0)),"")</f>
        <v>Athletes</v>
      </c>
      <c r="U114" s="3">
        <f>IFERROR(AVERAGEIFS(tbl_perf[Grade],tbl_perf[CodeName],tbl_daily[[#This Row],[CodeName]],tbl_perf[Date],tbl_daily[[#This Row],[Date]]),"")</f>
        <v>99</v>
      </c>
      <c r="V114" s="3">
        <f>IFERROR(IF(AND(tbl_daily[[#This Row],[Attendance (1 = Here, 0 = Not here)]]=1,tbl_daily[[#This Row],[Attended, but did not complete data]]&lt;&gt;1),1,IF(AND(tbl_daily[[#This Row],[Attendance (1 = Here, 0 = Not here)]]=1,tbl_daily[[#This Row],[Attended, but did not complete data]]=1),2,3)),"")</f>
        <v>1</v>
      </c>
      <c r="W114" s="3">
        <f>IF(AND(tbl_daily[[#This Row],[Attendance Refined]]=1,tbl_daily[[#This Row],[InjuryStatus]]="Full"),1,IF(AND(tbl_daily[[#This Row],[Attendance Refined]]=1,tbl_daily[[#This Row],[InjuryStatus]]="Limited"),2,IF(AND(tbl_daily[[#This Row],[Attendance Refined]]=1,tbl_daily[[#This Row],[InjuryStatus]]="Out"),3,"")))</f>
        <v>1</v>
      </c>
    </row>
    <row r="115" spans="1:23" ht="15" customHeight="1" x14ac:dyDescent="0.25">
      <c r="A115" s="1">
        <v>43881</v>
      </c>
      <c r="B115" t="s">
        <v>424</v>
      </c>
      <c r="C115">
        <v>1</v>
      </c>
      <c r="E115">
        <v>6</v>
      </c>
      <c r="F115">
        <v>8</v>
      </c>
      <c r="G115">
        <v>7</v>
      </c>
      <c r="H115" t="s">
        <v>15</v>
      </c>
      <c r="I115">
        <v>1</v>
      </c>
      <c r="J115">
        <v>8</v>
      </c>
      <c r="K115">
        <v>45</v>
      </c>
      <c r="M115" t="s">
        <v>251</v>
      </c>
      <c r="N115" t="s">
        <v>263</v>
      </c>
      <c r="P115" s="3">
        <f>IFERROR(IF(AND(tbl_daily[[#This Row],[Attendance (1 = Here, 0 = Not here)]]=1,tbl_daily[[#This Row],[Attended, but did not complete data]]&lt;&gt;1),tbl_daily[[#This Row],[Stress]]+tbl_daily[[#This Row],[SleepQuality]]+tbl_daily[[#This Row],[Energy]],""),"")</f>
        <v>21</v>
      </c>
      <c r="Q115" s="3">
        <f>IFERROR(IF(AND(tbl_daily[[#This Row],[Attendance (1 = Here, 0 = Not here)]]=1,tbl_daily[[#This Row],[Attended, but did not complete data]]&lt;&gt;1),tbl_daily[[#This Row],[LatestRPE]]*tbl_daily[[#This Row],[LatestDuration]],""),"")</f>
        <v>360</v>
      </c>
      <c r="R115" s="3">
        <f>IF(tbl_daily[[#This Row],[CodeName]]&lt;&gt;"",1,"")</f>
        <v>1</v>
      </c>
      <c r="S115" s="3" t="str">
        <f>IF(AND(tbl_daily[[#This Row],[Date]]&gt;=DATE(2019,8,1),tbl_daily[[#This Row],[Date]]&lt;=DATE(2020,6,1)),"2019-2020")</f>
        <v>2019-2020</v>
      </c>
      <c r="T115" s="3" t="str">
        <f>IFERROR(INDEX(tbl_prof[Cohort of Interest],MATCH(tbl_daily[[#This Row],[CodeName]],tbl_prof[CodeName],0)),"")</f>
        <v>Special</v>
      </c>
      <c r="U115" s="3">
        <f>IFERROR(AVERAGEIFS(tbl_perf[Grade],tbl_perf[CodeName],tbl_daily[[#This Row],[CodeName]],tbl_perf[Date],tbl_daily[[#This Row],[Date]]),"")</f>
        <v>78</v>
      </c>
      <c r="V115" s="3">
        <f>IFERROR(IF(AND(tbl_daily[[#This Row],[Attendance (1 = Here, 0 = Not here)]]=1,tbl_daily[[#This Row],[Attended, but did not complete data]]&lt;&gt;1),1,IF(AND(tbl_daily[[#This Row],[Attendance (1 = Here, 0 = Not here)]]=1,tbl_daily[[#This Row],[Attended, but did not complete data]]=1),2,3)),"")</f>
        <v>1</v>
      </c>
      <c r="W115" s="3">
        <f>IF(AND(tbl_daily[[#This Row],[Attendance Refined]]=1,tbl_daily[[#This Row],[InjuryStatus]]="Full"),1,IF(AND(tbl_daily[[#This Row],[Attendance Refined]]=1,tbl_daily[[#This Row],[InjuryStatus]]="Limited"),2,IF(AND(tbl_daily[[#This Row],[Attendance Refined]]=1,tbl_daily[[#This Row],[InjuryStatus]]="Out"),3,"")))</f>
        <v>1</v>
      </c>
    </row>
    <row r="116" spans="1:23" ht="15" customHeight="1" x14ac:dyDescent="0.25">
      <c r="A116" s="1">
        <v>43881</v>
      </c>
      <c r="B116" t="s">
        <v>425</v>
      </c>
      <c r="C116">
        <v>1</v>
      </c>
      <c r="E116">
        <v>6</v>
      </c>
      <c r="F116">
        <v>7</v>
      </c>
      <c r="G116">
        <v>7</v>
      </c>
      <c r="H116" t="s">
        <v>15</v>
      </c>
      <c r="I116">
        <v>1</v>
      </c>
      <c r="J116">
        <v>6</v>
      </c>
      <c r="K116">
        <v>60</v>
      </c>
      <c r="M116" t="s">
        <v>251</v>
      </c>
      <c r="N116" t="s">
        <v>264</v>
      </c>
      <c r="P116" s="3">
        <f>IFERROR(IF(AND(tbl_daily[[#This Row],[Attendance (1 = Here, 0 = Not here)]]=1,tbl_daily[[#This Row],[Attended, but did not complete data]]&lt;&gt;1),tbl_daily[[#This Row],[Stress]]+tbl_daily[[#This Row],[SleepQuality]]+tbl_daily[[#This Row],[Energy]],""),"")</f>
        <v>20</v>
      </c>
      <c r="Q116" s="3">
        <f>IFERROR(IF(AND(tbl_daily[[#This Row],[Attendance (1 = Here, 0 = Not here)]]=1,tbl_daily[[#This Row],[Attended, but did not complete data]]&lt;&gt;1),tbl_daily[[#This Row],[LatestRPE]]*tbl_daily[[#This Row],[LatestDuration]],""),"")</f>
        <v>360</v>
      </c>
      <c r="R116" s="3">
        <f>IF(tbl_daily[[#This Row],[CodeName]]&lt;&gt;"",1,"")</f>
        <v>1</v>
      </c>
      <c r="S116" s="3" t="str">
        <f>IF(AND(tbl_daily[[#This Row],[Date]]&gt;=DATE(2019,8,1),tbl_daily[[#This Row],[Date]]&lt;=DATE(2020,6,1)),"2019-2020")</f>
        <v>2019-2020</v>
      </c>
      <c r="T116" s="3" t="str">
        <f>IFERROR(INDEX(tbl_prof[Cohort of Interest],MATCH(tbl_daily[[#This Row],[CodeName]],tbl_prof[CodeName],0)),"")</f>
        <v>Athletes</v>
      </c>
      <c r="U116" s="3">
        <f>IFERROR(AVERAGEIFS(tbl_perf[Grade],tbl_perf[CodeName],tbl_daily[[#This Row],[CodeName]],tbl_perf[Date],tbl_daily[[#This Row],[Date]]),"")</f>
        <v>79</v>
      </c>
      <c r="V116" s="3">
        <f>IFERROR(IF(AND(tbl_daily[[#This Row],[Attendance (1 = Here, 0 = Not here)]]=1,tbl_daily[[#This Row],[Attended, but did not complete data]]&lt;&gt;1),1,IF(AND(tbl_daily[[#This Row],[Attendance (1 = Here, 0 = Not here)]]=1,tbl_daily[[#This Row],[Attended, but did not complete data]]=1),2,3)),"")</f>
        <v>1</v>
      </c>
      <c r="W116" s="3">
        <f>IF(AND(tbl_daily[[#This Row],[Attendance Refined]]=1,tbl_daily[[#This Row],[InjuryStatus]]="Full"),1,IF(AND(tbl_daily[[#This Row],[Attendance Refined]]=1,tbl_daily[[#This Row],[InjuryStatus]]="Limited"),2,IF(AND(tbl_daily[[#This Row],[Attendance Refined]]=1,tbl_daily[[#This Row],[InjuryStatus]]="Out"),3,"")))</f>
        <v>1</v>
      </c>
    </row>
    <row r="117" spans="1:23" ht="15" customHeight="1" x14ac:dyDescent="0.25">
      <c r="A117" s="1">
        <v>43881</v>
      </c>
      <c r="B117" t="s">
        <v>417</v>
      </c>
      <c r="C117">
        <v>1</v>
      </c>
      <c r="E117">
        <v>8</v>
      </c>
      <c r="F117">
        <v>3</v>
      </c>
      <c r="G117">
        <v>4</v>
      </c>
      <c r="H117" t="s">
        <v>15</v>
      </c>
      <c r="I117">
        <v>1</v>
      </c>
      <c r="J117">
        <v>7</v>
      </c>
      <c r="K117">
        <v>60</v>
      </c>
      <c r="M117" t="s">
        <v>251</v>
      </c>
      <c r="N117" t="s">
        <v>257</v>
      </c>
      <c r="P117" s="3">
        <f>IFERROR(IF(AND(tbl_daily[[#This Row],[Attendance (1 = Here, 0 = Not here)]]=1,tbl_daily[[#This Row],[Attended, but did not complete data]]&lt;&gt;1),tbl_daily[[#This Row],[Stress]]+tbl_daily[[#This Row],[SleepQuality]]+tbl_daily[[#This Row],[Energy]],""),"")</f>
        <v>15</v>
      </c>
      <c r="Q117" s="3">
        <f>IFERROR(IF(AND(tbl_daily[[#This Row],[Attendance (1 = Here, 0 = Not here)]]=1,tbl_daily[[#This Row],[Attended, but did not complete data]]&lt;&gt;1),tbl_daily[[#This Row],[LatestRPE]]*tbl_daily[[#This Row],[LatestDuration]],""),"")</f>
        <v>420</v>
      </c>
      <c r="R117" s="3">
        <f>IF(tbl_daily[[#This Row],[CodeName]]&lt;&gt;"",1,"")</f>
        <v>1</v>
      </c>
      <c r="S117" s="3" t="str">
        <f>IF(AND(tbl_daily[[#This Row],[Date]]&gt;=DATE(2019,8,1),tbl_daily[[#This Row],[Date]]&lt;=DATE(2020,6,1)),"2019-2020")</f>
        <v>2019-2020</v>
      </c>
      <c r="T117" s="3" t="str">
        <f>IFERROR(INDEX(tbl_prof[Cohort of Interest],MATCH(tbl_daily[[#This Row],[CodeName]],tbl_prof[CodeName],0)),"")</f>
        <v>Gen Pop</v>
      </c>
      <c r="U117" s="3">
        <f>IFERROR(AVERAGEIFS(tbl_perf[Grade],tbl_perf[CodeName],tbl_daily[[#This Row],[CodeName]],tbl_perf[Date],tbl_daily[[#This Row],[Date]]),"")</f>
        <v>91</v>
      </c>
      <c r="V117" s="3">
        <f>IFERROR(IF(AND(tbl_daily[[#This Row],[Attendance (1 = Here, 0 = Not here)]]=1,tbl_daily[[#This Row],[Attended, but did not complete data]]&lt;&gt;1),1,IF(AND(tbl_daily[[#This Row],[Attendance (1 = Here, 0 = Not here)]]=1,tbl_daily[[#This Row],[Attended, but did not complete data]]=1),2,3)),"")</f>
        <v>1</v>
      </c>
      <c r="W117" s="3">
        <f>IF(AND(tbl_daily[[#This Row],[Attendance Refined]]=1,tbl_daily[[#This Row],[InjuryStatus]]="Full"),1,IF(AND(tbl_daily[[#This Row],[Attendance Refined]]=1,tbl_daily[[#This Row],[InjuryStatus]]="Limited"),2,IF(AND(tbl_daily[[#This Row],[Attendance Refined]]=1,tbl_daily[[#This Row],[InjuryStatus]]="Out"),3,"")))</f>
        <v>1</v>
      </c>
    </row>
    <row r="118" spans="1:23" ht="15" customHeight="1" x14ac:dyDescent="0.25">
      <c r="A118" s="1">
        <v>43881</v>
      </c>
      <c r="B118" t="s">
        <v>426</v>
      </c>
      <c r="C118">
        <v>1</v>
      </c>
      <c r="E118">
        <v>7</v>
      </c>
      <c r="F118">
        <v>7</v>
      </c>
      <c r="G118">
        <v>6</v>
      </c>
      <c r="H118" t="s">
        <v>32</v>
      </c>
      <c r="I118">
        <v>1</v>
      </c>
      <c r="J118">
        <v>5</v>
      </c>
      <c r="K118">
        <v>90</v>
      </c>
      <c r="M118" t="s">
        <v>251</v>
      </c>
      <c r="N118" t="s">
        <v>265</v>
      </c>
      <c r="P118" s="3">
        <f>IFERROR(IF(AND(tbl_daily[[#This Row],[Attendance (1 = Here, 0 = Not here)]]=1,tbl_daily[[#This Row],[Attended, but did not complete data]]&lt;&gt;1),tbl_daily[[#This Row],[Stress]]+tbl_daily[[#This Row],[SleepQuality]]+tbl_daily[[#This Row],[Energy]],""),"")</f>
        <v>20</v>
      </c>
      <c r="Q118" s="3">
        <f>IFERROR(IF(AND(tbl_daily[[#This Row],[Attendance (1 = Here, 0 = Not here)]]=1,tbl_daily[[#This Row],[Attended, but did not complete data]]&lt;&gt;1),tbl_daily[[#This Row],[LatestRPE]]*tbl_daily[[#This Row],[LatestDuration]],""),"")</f>
        <v>450</v>
      </c>
      <c r="R118" s="3">
        <f>IF(tbl_daily[[#This Row],[CodeName]]&lt;&gt;"",1,"")</f>
        <v>1</v>
      </c>
      <c r="S118" s="3" t="str">
        <f>IF(AND(tbl_daily[[#This Row],[Date]]&gt;=DATE(2019,8,1),tbl_daily[[#This Row],[Date]]&lt;=DATE(2020,6,1)),"2019-2020")</f>
        <v>2019-2020</v>
      </c>
      <c r="T118" s="3" t="str">
        <f>IFERROR(INDEX(tbl_prof[Cohort of Interest],MATCH(tbl_daily[[#This Row],[CodeName]],tbl_prof[CodeName],0)),"")</f>
        <v>Special</v>
      </c>
      <c r="U118" s="3">
        <f>IFERROR(AVERAGEIFS(tbl_perf[Grade],tbl_perf[CodeName],tbl_daily[[#This Row],[CodeName]],tbl_perf[Date],tbl_daily[[#This Row],[Date]]),"")</f>
        <v>76</v>
      </c>
      <c r="V118" s="3">
        <f>IFERROR(IF(AND(tbl_daily[[#This Row],[Attendance (1 = Here, 0 = Not here)]]=1,tbl_daily[[#This Row],[Attended, but did not complete data]]&lt;&gt;1),1,IF(AND(tbl_daily[[#This Row],[Attendance (1 = Here, 0 = Not here)]]=1,tbl_daily[[#This Row],[Attended, but did not complete data]]=1),2,3)),"")</f>
        <v>1</v>
      </c>
      <c r="W118" s="3">
        <f>IF(AND(tbl_daily[[#This Row],[Attendance Refined]]=1,tbl_daily[[#This Row],[InjuryStatus]]="Full"),1,IF(AND(tbl_daily[[#This Row],[Attendance Refined]]=1,tbl_daily[[#This Row],[InjuryStatus]]="Limited"),2,IF(AND(tbl_daily[[#This Row],[Attendance Refined]]=1,tbl_daily[[#This Row],[InjuryStatus]]="Out"),3,"")))</f>
        <v>2</v>
      </c>
    </row>
    <row r="119" spans="1:23" ht="15" customHeight="1" x14ac:dyDescent="0.25">
      <c r="A119" s="1">
        <v>43881</v>
      </c>
      <c r="B119" t="s">
        <v>441</v>
      </c>
      <c r="C119">
        <v>1</v>
      </c>
      <c r="E119">
        <v>8</v>
      </c>
      <c r="F119">
        <v>4</v>
      </c>
      <c r="G119">
        <v>4</v>
      </c>
      <c r="H119" t="s">
        <v>15</v>
      </c>
      <c r="I119">
        <v>1</v>
      </c>
      <c r="J119">
        <v>6</v>
      </c>
      <c r="K119">
        <v>75</v>
      </c>
      <c r="M119" t="s">
        <v>251</v>
      </c>
      <c r="N119" t="s">
        <v>278</v>
      </c>
      <c r="P119" s="3">
        <f>IFERROR(IF(AND(tbl_daily[[#This Row],[Attendance (1 = Here, 0 = Not here)]]=1,tbl_daily[[#This Row],[Attended, but did not complete data]]&lt;&gt;1),tbl_daily[[#This Row],[Stress]]+tbl_daily[[#This Row],[SleepQuality]]+tbl_daily[[#This Row],[Energy]],""),"")</f>
        <v>16</v>
      </c>
      <c r="Q119" s="3">
        <f>IFERROR(IF(AND(tbl_daily[[#This Row],[Attendance (1 = Here, 0 = Not here)]]=1,tbl_daily[[#This Row],[Attended, but did not complete data]]&lt;&gt;1),tbl_daily[[#This Row],[LatestRPE]]*tbl_daily[[#This Row],[LatestDuration]],""),"")</f>
        <v>450</v>
      </c>
      <c r="R119" s="3">
        <f>IF(tbl_daily[[#This Row],[CodeName]]&lt;&gt;"",1,"")</f>
        <v>1</v>
      </c>
      <c r="S119" s="3" t="str">
        <f>IF(AND(tbl_daily[[#This Row],[Date]]&gt;=DATE(2019,8,1),tbl_daily[[#This Row],[Date]]&lt;=DATE(2020,6,1)),"2019-2020")</f>
        <v>2019-2020</v>
      </c>
      <c r="T119" s="3" t="str">
        <f>IFERROR(INDEX(tbl_prof[Cohort of Interest],MATCH(tbl_daily[[#This Row],[CodeName]],tbl_prof[CodeName],0)),"")</f>
        <v>Athletes</v>
      </c>
      <c r="U119" s="3">
        <f>IFERROR(AVERAGEIFS(tbl_perf[Grade],tbl_perf[CodeName],tbl_daily[[#This Row],[CodeName]],tbl_perf[Date],tbl_daily[[#This Row],[Date]]),"")</f>
        <v>98</v>
      </c>
      <c r="V119" s="3">
        <f>IFERROR(IF(AND(tbl_daily[[#This Row],[Attendance (1 = Here, 0 = Not here)]]=1,tbl_daily[[#This Row],[Attended, but did not complete data]]&lt;&gt;1),1,IF(AND(tbl_daily[[#This Row],[Attendance (1 = Here, 0 = Not here)]]=1,tbl_daily[[#This Row],[Attended, but did not complete data]]=1),2,3)),"")</f>
        <v>1</v>
      </c>
      <c r="W119" s="3">
        <f>IF(AND(tbl_daily[[#This Row],[Attendance Refined]]=1,tbl_daily[[#This Row],[InjuryStatus]]="Full"),1,IF(AND(tbl_daily[[#This Row],[Attendance Refined]]=1,tbl_daily[[#This Row],[InjuryStatus]]="Limited"),2,IF(AND(tbl_daily[[#This Row],[Attendance Refined]]=1,tbl_daily[[#This Row],[InjuryStatus]]="Out"),3,"")))</f>
        <v>1</v>
      </c>
    </row>
    <row r="120" spans="1:23" ht="15" customHeight="1" x14ac:dyDescent="0.25">
      <c r="A120" s="1">
        <v>43881</v>
      </c>
      <c r="B120" t="s">
        <v>427</v>
      </c>
      <c r="C120">
        <v>1</v>
      </c>
      <c r="E120">
        <v>7</v>
      </c>
      <c r="F120">
        <v>8</v>
      </c>
      <c r="G120">
        <v>8</v>
      </c>
      <c r="H120" t="s">
        <v>15</v>
      </c>
      <c r="I120">
        <v>1</v>
      </c>
      <c r="J120">
        <v>7</v>
      </c>
      <c r="K120">
        <v>70</v>
      </c>
      <c r="M120" t="s">
        <v>251</v>
      </c>
      <c r="N120" t="s">
        <v>266</v>
      </c>
      <c r="P120" s="3">
        <f>IFERROR(IF(AND(tbl_daily[[#This Row],[Attendance (1 = Here, 0 = Not here)]]=1,tbl_daily[[#This Row],[Attended, but did not complete data]]&lt;&gt;1),tbl_daily[[#This Row],[Stress]]+tbl_daily[[#This Row],[SleepQuality]]+tbl_daily[[#This Row],[Energy]],""),"")</f>
        <v>23</v>
      </c>
      <c r="Q120" s="3">
        <f>IFERROR(IF(AND(tbl_daily[[#This Row],[Attendance (1 = Here, 0 = Not here)]]=1,tbl_daily[[#This Row],[Attended, but did not complete data]]&lt;&gt;1),tbl_daily[[#This Row],[LatestRPE]]*tbl_daily[[#This Row],[LatestDuration]],""),"")</f>
        <v>490</v>
      </c>
      <c r="R120" s="3">
        <f>IF(tbl_daily[[#This Row],[CodeName]]&lt;&gt;"",1,"")</f>
        <v>1</v>
      </c>
      <c r="S120" s="3" t="str">
        <f>IF(AND(tbl_daily[[#This Row],[Date]]&gt;=DATE(2019,8,1),tbl_daily[[#This Row],[Date]]&lt;=DATE(2020,6,1)),"2019-2020")</f>
        <v>2019-2020</v>
      </c>
      <c r="T120" s="3" t="str">
        <f>IFERROR(INDEX(tbl_prof[Cohort of Interest],MATCH(tbl_daily[[#This Row],[CodeName]],tbl_prof[CodeName],0)),"")</f>
        <v>Special</v>
      </c>
      <c r="U120" s="3">
        <f>IFERROR(AVERAGEIFS(tbl_perf[Grade],tbl_perf[CodeName],tbl_daily[[#This Row],[CodeName]],tbl_perf[Date],tbl_daily[[#This Row],[Date]]),"")</f>
        <v>100</v>
      </c>
      <c r="V120" s="3">
        <f>IFERROR(IF(AND(tbl_daily[[#This Row],[Attendance (1 = Here, 0 = Not here)]]=1,tbl_daily[[#This Row],[Attended, but did not complete data]]&lt;&gt;1),1,IF(AND(tbl_daily[[#This Row],[Attendance (1 = Here, 0 = Not here)]]=1,tbl_daily[[#This Row],[Attended, but did not complete data]]=1),2,3)),"")</f>
        <v>1</v>
      </c>
      <c r="W120" s="3">
        <f>IF(AND(tbl_daily[[#This Row],[Attendance Refined]]=1,tbl_daily[[#This Row],[InjuryStatus]]="Full"),1,IF(AND(tbl_daily[[#This Row],[Attendance Refined]]=1,tbl_daily[[#This Row],[InjuryStatus]]="Limited"),2,IF(AND(tbl_daily[[#This Row],[Attendance Refined]]=1,tbl_daily[[#This Row],[InjuryStatus]]="Out"),3,"")))</f>
        <v>1</v>
      </c>
    </row>
    <row r="121" spans="1:23" ht="15" customHeight="1" x14ac:dyDescent="0.25">
      <c r="A121" s="1">
        <v>43881</v>
      </c>
      <c r="B121" t="s">
        <v>418</v>
      </c>
      <c r="C121">
        <v>1</v>
      </c>
      <c r="E121">
        <v>8</v>
      </c>
      <c r="F121">
        <v>8</v>
      </c>
      <c r="G121">
        <v>8</v>
      </c>
      <c r="H121" t="s">
        <v>15</v>
      </c>
      <c r="I121">
        <v>1</v>
      </c>
      <c r="J121">
        <v>5</v>
      </c>
      <c r="K121">
        <v>120</v>
      </c>
      <c r="M121" t="s">
        <v>251</v>
      </c>
      <c r="N121" t="s">
        <v>258</v>
      </c>
      <c r="P121" s="3">
        <f>IFERROR(IF(AND(tbl_daily[[#This Row],[Attendance (1 = Here, 0 = Not here)]]=1,tbl_daily[[#This Row],[Attended, but did not complete data]]&lt;&gt;1),tbl_daily[[#This Row],[Stress]]+tbl_daily[[#This Row],[SleepQuality]]+tbl_daily[[#This Row],[Energy]],""),"")</f>
        <v>24</v>
      </c>
      <c r="Q121" s="3">
        <f>IFERROR(IF(AND(tbl_daily[[#This Row],[Attendance (1 = Here, 0 = Not here)]]=1,tbl_daily[[#This Row],[Attended, but did not complete data]]&lt;&gt;1),tbl_daily[[#This Row],[LatestRPE]]*tbl_daily[[#This Row],[LatestDuration]],""),"")</f>
        <v>600</v>
      </c>
      <c r="R121" s="3">
        <f>IF(tbl_daily[[#This Row],[CodeName]]&lt;&gt;"",1,"")</f>
        <v>1</v>
      </c>
      <c r="S121" s="3" t="str">
        <f>IF(AND(tbl_daily[[#This Row],[Date]]&gt;=DATE(2019,8,1),tbl_daily[[#This Row],[Date]]&lt;=DATE(2020,6,1)),"2019-2020")</f>
        <v>2019-2020</v>
      </c>
      <c r="T121" s="3" t="str">
        <f>IFERROR(INDEX(tbl_prof[Cohort of Interest],MATCH(tbl_daily[[#This Row],[CodeName]],tbl_prof[CodeName],0)),"")</f>
        <v>Special</v>
      </c>
      <c r="U121" s="3">
        <f>IFERROR(AVERAGEIFS(tbl_perf[Grade],tbl_perf[CodeName],tbl_daily[[#This Row],[CodeName]],tbl_perf[Date],tbl_daily[[#This Row],[Date]]),"")</f>
        <v>100</v>
      </c>
      <c r="V121" s="3">
        <f>IFERROR(IF(AND(tbl_daily[[#This Row],[Attendance (1 = Here, 0 = Not here)]]=1,tbl_daily[[#This Row],[Attended, but did not complete data]]&lt;&gt;1),1,IF(AND(tbl_daily[[#This Row],[Attendance (1 = Here, 0 = Not here)]]=1,tbl_daily[[#This Row],[Attended, but did not complete data]]=1),2,3)),"")</f>
        <v>1</v>
      </c>
      <c r="W121" s="3">
        <f>IF(AND(tbl_daily[[#This Row],[Attendance Refined]]=1,tbl_daily[[#This Row],[InjuryStatus]]="Full"),1,IF(AND(tbl_daily[[#This Row],[Attendance Refined]]=1,tbl_daily[[#This Row],[InjuryStatus]]="Limited"),2,IF(AND(tbl_daily[[#This Row],[Attendance Refined]]=1,tbl_daily[[#This Row],[InjuryStatus]]="Out"),3,"")))</f>
        <v>1</v>
      </c>
    </row>
    <row r="122" spans="1:23" ht="15" customHeight="1" x14ac:dyDescent="0.25">
      <c r="A122" s="1">
        <v>43881</v>
      </c>
      <c r="B122" t="s">
        <v>439</v>
      </c>
      <c r="C122">
        <v>1</v>
      </c>
      <c r="E122">
        <v>8</v>
      </c>
      <c r="F122">
        <v>3</v>
      </c>
      <c r="G122">
        <v>4</v>
      </c>
      <c r="H122" t="s">
        <v>32</v>
      </c>
      <c r="I122">
        <v>1</v>
      </c>
      <c r="J122">
        <v>7</v>
      </c>
      <c r="K122">
        <v>90</v>
      </c>
      <c r="M122" t="s">
        <v>251</v>
      </c>
      <c r="N122" t="s">
        <v>276</v>
      </c>
      <c r="P122" s="3">
        <f>IFERROR(IF(AND(tbl_daily[[#This Row],[Attendance (1 = Here, 0 = Not here)]]=1,tbl_daily[[#This Row],[Attended, but did not complete data]]&lt;&gt;1),tbl_daily[[#This Row],[Stress]]+tbl_daily[[#This Row],[SleepQuality]]+tbl_daily[[#This Row],[Energy]],""),"")</f>
        <v>15</v>
      </c>
      <c r="Q122" s="3">
        <f>IFERROR(IF(AND(tbl_daily[[#This Row],[Attendance (1 = Here, 0 = Not here)]]=1,tbl_daily[[#This Row],[Attended, but did not complete data]]&lt;&gt;1),tbl_daily[[#This Row],[LatestRPE]]*tbl_daily[[#This Row],[LatestDuration]],""),"")</f>
        <v>630</v>
      </c>
      <c r="R122" s="3">
        <f>IF(tbl_daily[[#This Row],[CodeName]]&lt;&gt;"",1,"")</f>
        <v>1</v>
      </c>
      <c r="S122" s="3" t="str">
        <f>IF(AND(tbl_daily[[#This Row],[Date]]&gt;=DATE(2019,8,1),tbl_daily[[#This Row],[Date]]&lt;=DATE(2020,6,1)),"2019-2020")</f>
        <v>2019-2020</v>
      </c>
      <c r="T122" s="3" t="str">
        <f>IFERROR(INDEX(tbl_prof[Cohort of Interest],MATCH(tbl_daily[[#This Row],[CodeName]],tbl_prof[CodeName],0)),"")</f>
        <v>Special</v>
      </c>
      <c r="U122" s="3">
        <f>IFERROR(AVERAGEIFS(tbl_perf[Grade],tbl_perf[CodeName],tbl_daily[[#This Row],[CodeName]],tbl_perf[Date],tbl_daily[[#This Row],[Date]]),"")</f>
        <v>97</v>
      </c>
      <c r="V122" s="3">
        <f>IFERROR(IF(AND(tbl_daily[[#This Row],[Attendance (1 = Here, 0 = Not here)]]=1,tbl_daily[[#This Row],[Attended, but did not complete data]]&lt;&gt;1),1,IF(AND(tbl_daily[[#This Row],[Attendance (1 = Here, 0 = Not here)]]=1,tbl_daily[[#This Row],[Attended, but did not complete data]]=1),2,3)),"")</f>
        <v>1</v>
      </c>
      <c r="W122" s="3">
        <f>IF(AND(tbl_daily[[#This Row],[Attendance Refined]]=1,tbl_daily[[#This Row],[InjuryStatus]]="Full"),1,IF(AND(tbl_daily[[#This Row],[Attendance Refined]]=1,tbl_daily[[#This Row],[InjuryStatus]]="Limited"),2,IF(AND(tbl_daily[[#This Row],[Attendance Refined]]=1,tbl_daily[[#This Row],[InjuryStatus]]="Out"),3,"")))</f>
        <v>2</v>
      </c>
    </row>
    <row r="123" spans="1:23" ht="15" customHeight="1" x14ac:dyDescent="0.25">
      <c r="A123" s="1">
        <v>43881</v>
      </c>
      <c r="B123" t="s">
        <v>433</v>
      </c>
      <c r="C123">
        <v>1</v>
      </c>
      <c r="D123">
        <v>0</v>
      </c>
      <c r="E123">
        <v>6</v>
      </c>
      <c r="F123">
        <v>8</v>
      </c>
      <c r="G123">
        <v>8</v>
      </c>
      <c r="H123" t="s">
        <v>32</v>
      </c>
      <c r="I123">
        <v>1</v>
      </c>
      <c r="J123">
        <v>7</v>
      </c>
      <c r="K123">
        <v>90</v>
      </c>
      <c r="M123" t="s">
        <v>251</v>
      </c>
      <c r="N123" t="s">
        <v>277</v>
      </c>
      <c r="P123" s="3">
        <f>IFERROR(IF(AND(tbl_daily[[#This Row],[Attendance (1 = Here, 0 = Not here)]]=1,tbl_daily[[#This Row],[Attended, but did not complete data]]&lt;&gt;1),tbl_daily[[#This Row],[Stress]]+tbl_daily[[#This Row],[SleepQuality]]+tbl_daily[[#This Row],[Energy]],""),"")</f>
        <v>22</v>
      </c>
      <c r="Q123" s="3">
        <f>IFERROR(IF(AND(tbl_daily[[#This Row],[Attendance (1 = Here, 0 = Not here)]]=1,tbl_daily[[#This Row],[Attended, but did not complete data]]&lt;&gt;1),tbl_daily[[#This Row],[LatestRPE]]*tbl_daily[[#This Row],[LatestDuration]],""),"")</f>
        <v>630</v>
      </c>
      <c r="R123" s="3">
        <f>IF(tbl_daily[[#This Row],[CodeName]]&lt;&gt;"",1,"")</f>
        <v>1</v>
      </c>
      <c r="S123" s="3" t="str">
        <f>IF(AND(tbl_daily[[#This Row],[Date]]&gt;=DATE(2019,8,1),tbl_daily[[#This Row],[Date]]&lt;=DATE(2020,6,1)),"2019-2020")</f>
        <v>2019-2020</v>
      </c>
      <c r="T123" s="3" t="str">
        <f>IFERROR(INDEX(tbl_prof[Cohort of Interest],MATCH(tbl_daily[[#This Row],[CodeName]],tbl_prof[CodeName],0)),"")</f>
        <v>Athletes</v>
      </c>
      <c r="U123" s="3">
        <f>IFERROR(AVERAGEIFS(tbl_perf[Grade],tbl_perf[CodeName],tbl_daily[[#This Row],[CodeName]],tbl_perf[Date],tbl_daily[[#This Row],[Date]]),"")</f>
        <v>78</v>
      </c>
      <c r="V123" s="3">
        <f>IFERROR(IF(AND(tbl_daily[[#This Row],[Attendance (1 = Here, 0 = Not here)]]=1,tbl_daily[[#This Row],[Attended, but did not complete data]]&lt;&gt;1),1,IF(AND(tbl_daily[[#This Row],[Attendance (1 = Here, 0 = Not here)]]=1,tbl_daily[[#This Row],[Attended, but did not complete data]]=1),2,3)),"")</f>
        <v>1</v>
      </c>
      <c r="W123" s="3">
        <f>IF(AND(tbl_daily[[#This Row],[Attendance Refined]]=1,tbl_daily[[#This Row],[InjuryStatus]]="Full"),1,IF(AND(tbl_daily[[#This Row],[Attendance Refined]]=1,tbl_daily[[#This Row],[InjuryStatus]]="Limited"),2,IF(AND(tbl_daily[[#This Row],[Attendance Refined]]=1,tbl_daily[[#This Row],[InjuryStatus]]="Out"),3,"")))</f>
        <v>2</v>
      </c>
    </row>
    <row r="124" spans="1:23" ht="15" customHeight="1" x14ac:dyDescent="0.25">
      <c r="A124" s="1">
        <v>43881</v>
      </c>
      <c r="B124" t="s">
        <v>422</v>
      </c>
      <c r="C124">
        <v>1</v>
      </c>
      <c r="E124">
        <v>5</v>
      </c>
      <c r="F124">
        <v>6</v>
      </c>
      <c r="G124">
        <v>6</v>
      </c>
      <c r="H124" t="s">
        <v>15</v>
      </c>
      <c r="I124">
        <v>1</v>
      </c>
      <c r="J124">
        <v>6</v>
      </c>
      <c r="K124">
        <v>180</v>
      </c>
      <c r="M124" t="s">
        <v>251</v>
      </c>
      <c r="N124" t="s">
        <v>262</v>
      </c>
      <c r="P124" s="3">
        <f>IFERROR(IF(AND(tbl_daily[[#This Row],[Attendance (1 = Here, 0 = Not here)]]=1,tbl_daily[[#This Row],[Attended, but did not complete data]]&lt;&gt;1),tbl_daily[[#This Row],[Stress]]+tbl_daily[[#This Row],[SleepQuality]]+tbl_daily[[#This Row],[Energy]],""),"")</f>
        <v>17</v>
      </c>
      <c r="Q124" s="3">
        <f>IFERROR(IF(AND(tbl_daily[[#This Row],[Attendance (1 = Here, 0 = Not here)]]=1,tbl_daily[[#This Row],[Attended, but did not complete data]]&lt;&gt;1),tbl_daily[[#This Row],[LatestRPE]]*tbl_daily[[#This Row],[LatestDuration]],""),"")</f>
        <v>1080</v>
      </c>
      <c r="R124" s="3">
        <f>IF(tbl_daily[[#This Row],[CodeName]]&lt;&gt;"",1,"")</f>
        <v>1</v>
      </c>
      <c r="S124" s="3" t="str">
        <f>IF(AND(tbl_daily[[#This Row],[Date]]&gt;=DATE(2019,8,1),tbl_daily[[#This Row],[Date]]&lt;=DATE(2020,6,1)),"2019-2020")</f>
        <v>2019-2020</v>
      </c>
      <c r="T124" s="3" t="str">
        <f>IFERROR(INDEX(tbl_prof[Cohort of Interest],MATCH(tbl_daily[[#This Row],[CodeName]],tbl_prof[CodeName],0)),"")</f>
        <v>Athletes</v>
      </c>
      <c r="U124" s="3">
        <f>IFERROR(AVERAGEIFS(tbl_perf[Grade],tbl_perf[CodeName],tbl_daily[[#This Row],[CodeName]],tbl_perf[Date],tbl_daily[[#This Row],[Date]]),"")</f>
        <v>95</v>
      </c>
      <c r="V124" s="3">
        <f>IFERROR(IF(AND(tbl_daily[[#This Row],[Attendance (1 = Here, 0 = Not here)]]=1,tbl_daily[[#This Row],[Attended, but did not complete data]]&lt;&gt;1),1,IF(AND(tbl_daily[[#This Row],[Attendance (1 = Here, 0 = Not here)]]=1,tbl_daily[[#This Row],[Attended, but did not complete data]]=1),2,3)),"")</f>
        <v>1</v>
      </c>
      <c r="W124" s="3">
        <f>IF(AND(tbl_daily[[#This Row],[Attendance Refined]]=1,tbl_daily[[#This Row],[InjuryStatus]]="Full"),1,IF(AND(tbl_daily[[#This Row],[Attendance Refined]]=1,tbl_daily[[#This Row],[InjuryStatus]]="Limited"),2,IF(AND(tbl_daily[[#This Row],[Attendance Refined]]=1,tbl_daily[[#This Row],[InjuryStatus]]="Out"),3,"")))</f>
        <v>1</v>
      </c>
    </row>
    <row r="125" spans="1:23" ht="15" customHeight="1" x14ac:dyDescent="0.25">
      <c r="A125" s="1">
        <v>43881</v>
      </c>
      <c r="B125" t="s">
        <v>434</v>
      </c>
      <c r="C125">
        <v>1</v>
      </c>
      <c r="E125">
        <v>5</v>
      </c>
      <c r="F125">
        <v>9</v>
      </c>
      <c r="G125">
        <v>5</v>
      </c>
      <c r="H125" t="s">
        <v>15</v>
      </c>
      <c r="I125">
        <v>1</v>
      </c>
      <c r="J125">
        <v>10</v>
      </c>
      <c r="K125">
        <v>120</v>
      </c>
      <c r="M125" t="s">
        <v>251</v>
      </c>
      <c r="N125" t="s">
        <v>270</v>
      </c>
      <c r="P125" s="3">
        <f>IFERROR(IF(AND(tbl_daily[[#This Row],[Attendance (1 = Here, 0 = Not here)]]=1,tbl_daily[[#This Row],[Attended, but did not complete data]]&lt;&gt;1),tbl_daily[[#This Row],[Stress]]+tbl_daily[[#This Row],[SleepQuality]]+tbl_daily[[#This Row],[Energy]],""),"")</f>
        <v>19</v>
      </c>
      <c r="Q125" s="3">
        <f>IFERROR(IF(AND(tbl_daily[[#This Row],[Attendance (1 = Here, 0 = Not here)]]=1,tbl_daily[[#This Row],[Attended, but did not complete data]]&lt;&gt;1),tbl_daily[[#This Row],[LatestRPE]]*tbl_daily[[#This Row],[LatestDuration]],""),"")</f>
        <v>1200</v>
      </c>
      <c r="R125" s="3">
        <f>IF(tbl_daily[[#This Row],[CodeName]]&lt;&gt;"",1,"")</f>
        <v>1</v>
      </c>
      <c r="S125" s="3" t="str">
        <f>IF(AND(tbl_daily[[#This Row],[Date]]&gt;=DATE(2019,8,1),tbl_daily[[#This Row],[Date]]&lt;=DATE(2020,6,1)),"2019-2020")</f>
        <v>2019-2020</v>
      </c>
      <c r="T125" s="3" t="str">
        <f>IFERROR(INDEX(tbl_prof[Cohort of Interest],MATCH(tbl_daily[[#This Row],[CodeName]],tbl_prof[CodeName],0)),"")</f>
        <v>Athletes</v>
      </c>
      <c r="U125" s="3">
        <f>IFERROR(AVERAGEIFS(tbl_perf[Grade],tbl_perf[CodeName],tbl_daily[[#This Row],[CodeName]],tbl_perf[Date],tbl_daily[[#This Row],[Date]]),"")</f>
        <v>83</v>
      </c>
      <c r="V125" s="3">
        <f>IFERROR(IF(AND(tbl_daily[[#This Row],[Attendance (1 = Here, 0 = Not here)]]=1,tbl_daily[[#This Row],[Attended, but did not complete data]]&lt;&gt;1),1,IF(AND(tbl_daily[[#This Row],[Attendance (1 = Here, 0 = Not here)]]=1,tbl_daily[[#This Row],[Attended, but did not complete data]]=1),2,3)),"")</f>
        <v>1</v>
      </c>
      <c r="W125" s="3">
        <f>IF(AND(tbl_daily[[#This Row],[Attendance Refined]]=1,tbl_daily[[#This Row],[InjuryStatus]]="Full"),1,IF(AND(tbl_daily[[#This Row],[Attendance Refined]]=1,tbl_daily[[#This Row],[InjuryStatus]]="Limited"),2,IF(AND(tbl_daily[[#This Row],[Attendance Refined]]=1,tbl_daily[[#This Row],[InjuryStatus]]="Out"),3,"")))</f>
        <v>1</v>
      </c>
    </row>
    <row r="126" spans="1:23" ht="15" customHeight="1" x14ac:dyDescent="0.25">
      <c r="A126" s="1">
        <v>43881</v>
      </c>
      <c r="B126" t="s">
        <v>435</v>
      </c>
      <c r="C126">
        <v>1</v>
      </c>
      <c r="E126">
        <v>8</v>
      </c>
      <c r="F126">
        <v>3</v>
      </c>
      <c r="G126">
        <v>4</v>
      </c>
      <c r="H126" t="s">
        <v>15</v>
      </c>
      <c r="I126">
        <v>1</v>
      </c>
      <c r="J126">
        <v>10</v>
      </c>
      <c r="K126">
        <v>120</v>
      </c>
      <c r="M126" t="s">
        <v>251</v>
      </c>
      <c r="N126" t="s">
        <v>272</v>
      </c>
      <c r="P126" s="3">
        <f>IFERROR(IF(AND(tbl_daily[[#This Row],[Attendance (1 = Here, 0 = Not here)]]=1,tbl_daily[[#This Row],[Attended, but did not complete data]]&lt;&gt;1),tbl_daily[[#This Row],[Stress]]+tbl_daily[[#This Row],[SleepQuality]]+tbl_daily[[#This Row],[Energy]],""),"")</f>
        <v>15</v>
      </c>
      <c r="Q126" s="3">
        <f>IFERROR(IF(AND(tbl_daily[[#This Row],[Attendance (1 = Here, 0 = Not here)]]=1,tbl_daily[[#This Row],[Attended, but did not complete data]]&lt;&gt;1),tbl_daily[[#This Row],[LatestRPE]]*tbl_daily[[#This Row],[LatestDuration]],""),"")</f>
        <v>1200</v>
      </c>
      <c r="R126" s="3">
        <f>IF(tbl_daily[[#This Row],[CodeName]]&lt;&gt;"",1,"")</f>
        <v>1</v>
      </c>
      <c r="S126" s="3" t="str">
        <f>IF(AND(tbl_daily[[#This Row],[Date]]&gt;=DATE(2019,8,1),tbl_daily[[#This Row],[Date]]&lt;=DATE(2020,6,1)),"2019-2020")</f>
        <v>2019-2020</v>
      </c>
      <c r="T126" s="3" t="str">
        <f>IFERROR(INDEX(tbl_prof[Cohort of Interest],MATCH(tbl_daily[[#This Row],[CodeName]],tbl_prof[CodeName],0)),"")</f>
        <v>Athletes</v>
      </c>
      <c r="U126" s="3">
        <f>IFERROR(AVERAGEIFS(tbl_perf[Grade],tbl_perf[CodeName],tbl_daily[[#This Row],[CodeName]],tbl_perf[Date],tbl_daily[[#This Row],[Date]]),"")</f>
        <v>79</v>
      </c>
      <c r="V126" s="3">
        <f>IFERROR(IF(AND(tbl_daily[[#This Row],[Attendance (1 = Here, 0 = Not here)]]=1,tbl_daily[[#This Row],[Attended, but did not complete data]]&lt;&gt;1),1,IF(AND(tbl_daily[[#This Row],[Attendance (1 = Here, 0 = Not here)]]=1,tbl_daily[[#This Row],[Attended, but did not complete data]]=1),2,3)),"")</f>
        <v>1</v>
      </c>
      <c r="W126" s="3">
        <f>IF(AND(tbl_daily[[#This Row],[Attendance Refined]]=1,tbl_daily[[#This Row],[InjuryStatus]]="Full"),1,IF(AND(tbl_daily[[#This Row],[Attendance Refined]]=1,tbl_daily[[#This Row],[InjuryStatus]]="Limited"),2,IF(AND(tbl_daily[[#This Row],[Attendance Refined]]=1,tbl_daily[[#This Row],[InjuryStatus]]="Out"),3,"")))</f>
        <v>1</v>
      </c>
    </row>
    <row r="127" spans="1:23" ht="15" customHeight="1" x14ac:dyDescent="0.25">
      <c r="A127" s="1">
        <v>43881</v>
      </c>
      <c r="B127" t="s">
        <v>429</v>
      </c>
      <c r="C127">
        <v>1</v>
      </c>
      <c r="E127">
        <v>6</v>
      </c>
      <c r="F127">
        <v>7</v>
      </c>
      <c r="G127">
        <v>7</v>
      </c>
      <c r="H127" t="s">
        <v>15</v>
      </c>
      <c r="I127">
        <v>1</v>
      </c>
      <c r="J127">
        <v>6</v>
      </c>
      <c r="K127">
        <v>240</v>
      </c>
      <c r="M127" t="s">
        <v>251</v>
      </c>
      <c r="N127" t="s">
        <v>269</v>
      </c>
      <c r="P127" s="3">
        <f>IFERROR(IF(AND(tbl_daily[[#This Row],[Attendance (1 = Here, 0 = Not here)]]=1,tbl_daily[[#This Row],[Attended, but did not complete data]]&lt;&gt;1),tbl_daily[[#This Row],[Stress]]+tbl_daily[[#This Row],[SleepQuality]]+tbl_daily[[#This Row],[Energy]],""),"")</f>
        <v>20</v>
      </c>
      <c r="Q127" s="3">
        <f>IFERROR(IF(AND(tbl_daily[[#This Row],[Attendance (1 = Here, 0 = Not here)]]=1,tbl_daily[[#This Row],[Attended, but did not complete data]]&lt;&gt;1),tbl_daily[[#This Row],[LatestRPE]]*tbl_daily[[#This Row],[LatestDuration]],""),"")</f>
        <v>1440</v>
      </c>
      <c r="R127" s="3">
        <f>IF(tbl_daily[[#This Row],[CodeName]]&lt;&gt;"",1,"")</f>
        <v>1</v>
      </c>
      <c r="S127" s="3" t="str">
        <f>IF(AND(tbl_daily[[#This Row],[Date]]&gt;=DATE(2019,8,1),tbl_daily[[#This Row],[Date]]&lt;=DATE(2020,6,1)),"2019-2020")</f>
        <v>2019-2020</v>
      </c>
      <c r="T127" s="3" t="str">
        <f>IFERROR(INDEX(tbl_prof[Cohort of Interest],MATCH(tbl_daily[[#This Row],[CodeName]],tbl_prof[CodeName],0)),"")</f>
        <v>Gen Pop</v>
      </c>
      <c r="U127" s="3">
        <f>IFERROR(AVERAGEIFS(tbl_perf[Grade],tbl_perf[CodeName],tbl_daily[[#This Row],[CodeName]],tbl_perf[Date],tbl_daily[[#This Row],[Date]]),"")</f>
        <v>82</v>
      </c>
      <c r="V127" s="3">
        <f>IFERROR(IF(AND(tbl_daily[[#This Row],[Attendance (1 = Here, 0 = Not here)]]=1,tbl_daily[[#This Row],[Attended, but did not complete data]]&lt;&gt;1),1,IF(AND(tbl_daily[[#This Row],[Attendance (1 = Here, 0 = Not here)]]=1,tbl_daily[[#This Row],[Attended, but did not complete data]]=1),2,3)),"")</f>
        <v>1</v>
      </c>
      <c r="W127" s="3">
        <f>IF(AND(tbl_daily[[#This Row],[Attendance Refined]]=1,tbl_daily[[#This Row],[InjuryStatus]]="Full"),1,IF(AND(tbl_daily[[#This Row],[Attendance Refined]]=1,tbl_daily[[#This Row],[InjuryStatus]]="Limited"),2,IF(AND(tbl_daily[[#This Row],[Attendance Refined]]=1,tbl_daily[[#This Row],[InjuryStatus]]="Out"),3,"")))</f>
        <v>1</v>
      </c>
    </row>
    <row r="128" spans="1:23" ht="15" customHeight="1" x14ac:dyDescent="0.25">
      <c r="A128" s="1">
        <v>43881</v>
      </c>
      <c r="B128" t="s">
        <v>421</v>
      </c>
      <c r="C128">
        <v>0</v>
      </c>
      <c r="D128">
        <v>0</v>
      </c>
      <c r="M128" t="s">
        <v>251</v>
      </c>
      <c r="N128" t="s">
        <v>261</v>
      </c>
      <c r="P128" s="3" t="str">
        <f>IFERROR(IF(AND(tbl_daily[[#This Row],[Attendance (1 = Here, 0 = Not here)]]=1,tbl_daily[[#This Row],[Attended, but did not complete data]]&lt;&gt;1),tbl_daily[[#This Row],[Stress]]+tbl_daily[[#This Row],[SleepQuality]]+tbl_daily[[#This Row],[Energy]],""),"")</f>
        <v/>
      </c>
      <c r="Q128" s="3" t="str">
        <f>IFERROR(IF(AND(tbl_daily[[#This Row],[Attendance (1 = Here, 0 = Not here)]]=1,tbl_daily[[#This Row],[Attended, but did not complete data]]&lt;&gt;1),tbl_daily[[#This Row],[LatestRPE]]*tbl_daily[[#This Row],[LatestDuration]],""),"")</f>
        <v/>
      </c>
      <c r="R128" s="3">
        <f>IF(tbl_daily[[#This Row],[CodeName]]&lt;&gt;"",1,"")</f>
        <v>1</v>
      </c>
      <c r="S128" s="3" t="str">
        <f>IF(AND(tbl_daily[[#This Row],[Date]]&gt;=DATE(2019,8,1),tbl_daily[[#This Row],[Date]]&lt;=DATE(2020,6,1)),"2019-2020")</f>
        <v>2019-2020</v>
      </c>
      <c r="T128" s="3" t="str">
        <f>IFERROR(INDEX(tbl_prof[Cohort of Interest],MATCH(tbl_daily[[#This Row],[CodeName]],tbl_prof[CodeName],0)),"")</f>
        <v>Athletes</v>
      </c>
      <c r="U128" s="3">
        <f>IFERROR(AVERAGEIFS(tbl_perf[Grade],tbl_perf[CodeName],tbl_daily[[#This Row],[CodeName]],tbl_perf[Date],tbl_daily[[#This Row],[Date]]),"")</f>
        <v>95</v>
      </c>
      <c r="V128" s="3">
        <f>IFERROR(IF(AND(tbl_daily[[#This Row],[Attendance (1 = Here, 0 = Not here)]]=1,tbl_daily[[#This Row],[Attended, but did not complete data]]&lt;&gt;1),1,IF(AND(tbl_daily[[#This Row],[Attendance (1 = Here, 0 = Not here)]]=1,tbl_daily[[#This Row],[Attended, but did not complete data]]=1),2,3)),"")</f>
        <v>3</v>
      </c>
      <c r="W128" s="3" t="str">
        <f>IF(AND(tbl_daily[[#This Row],[Attendance Refined]]=1,tbl_daily[[#This Row],[InjuryStatus]]="Full"),1,IF(AND(tbl_daily[[#This Row],[Attendance Refined]]=1,tbl_daily[[#This Row],[InjuryStatus]]="Limited"),2,IF(AND(tbl_daily[[#This Row],[Attendance Refined]]=1,tbl_daily[[#This Row],[InjuryStatus]]="Out"),3,"")))</f>
        <v/>
      </c>
    </row>
    <row r="129" spans="1:23" ht="15" customHeight="1" x14ac:dyDescent="0.25">
      <c r="A129" s="1">
        <v>43881</v>
      </c>
      <c r="B129" t="s">
        <v>436</v>
      </c>
      <c r="C129">
        <v>1</v>
      </c>
      <c r="M129" t="s">
        <v>251</v>
      </c>
      <c r="O129">
        <v>1</v>
      </c>
      <c r="P129" s="3" t="str">
        <f>IFERROR(IF(AND(tbl_daily[[#This Row],[Attendance (1 = Here, 0 = Not here)]]=1,tbl_daily[[#This Row],[Attended, but did not complete data]]&lt;&gt;1),tbl_daily[[#This Row],[Stress]]+tbl_daily[[#This Row],[SleepQuality]]+tbl_daily[[#This Row],[Energy]],""),"")</f>
        <v/>
      </c>
      <c r="Q129" s="3" t="str">
        <f>IFERROR(IF(AND(tbl_daily[[#This Row],[Attendance (1 = Here, 0 = Not here)]]=1,tbl_daily[[#This Row],[Attended, but did not complete data]]&lt;&gt;1),tbl_daily[[#This Row],[LatestRPE]]*tbl_daily[[#This Row],[LatestDuration]],""),"")</f>
        <v/>
      </c>
      <c r="R129" s="3">
        <f>IF(tbl_daily[[#This Row],[CodeName]]&lt;&gt;"",1,"")</f>
        <v>1</v>
      </c>
      <c r="S129" s="3" t="str">
        <f>IF(AND(tbl_daily[[#This Row],[Date]]&gt;=DATE(2019,8,1),tbl_daily[[#This Row],[Date]]&lt;=DATE(2020,6,1)),"2019-2020")</f>
        <v>2019-2020</v>
      </c>
      <c r="T129" s="3" t="str">
        <f>IFERROR(INDEX(tbl_prof[Cohort of Interest],MATCH(tbl_daily[[#This Row],[CodeName]],tbl_prof[CodeName],0)),"")</f>
        <v>Athletes</v>
      </c>
      <c r="U129" s="3">
        <f>IFERROR(AVERAGEIFS(tbl_perf[Grade],tbl_perf[CodeName],tbl_daily[[#This Row],[CodeName]],tbl_perf[Date],tbl_daily[[#This Row],[Date]]),"")</f>
        <v>92</v>
      </c>
      <c r="V129" s="3">
        <f>IFERROR(IF(AND(tbl_daily[[#This Row],[Attendance (1 = Here, 0 = Not here)]]=1,tbl_daily[[#This Row],[Attended, but did not complete data]]&lt;&gt;1),1,IF(AND(tbl_daily[[#This Row],[Attendance (1 = Here, 0 = Not here)]]=1,tbl_daily[[#This Row],[Attended, but did not complete data]]=1),2,3)),"")</f>
        <v>2</v>
      </c>
      <c r="W129" s="3" t="str">
        <f>IF(AND(tbl_daily[[#This Row],[Attendance Refined]]=1,tbl_daily[[#This Row],[InjuryStatus]]="Full"),1,IF(AND(tbl_daily[[#This Row],[Attendance Refined]]=1,tbl_daily[[#This Row],[InjuryStatus]]="Limited"),2,IF(AND(tbl_daily[[#This Row],[Attendance Refined]]=1,tbl_daily[[#This Row],[InjuryStatus]]="Out"),3,"")))</f>
        <v/>
      </c>
    </row>
    <row r="130" spans="1:23" ht="15" customHeight="1" x14ac:dyDescent="0.25">
      <c r="A130" s="1">
        <v>43881</v>
      </c>
      <c r="B130" t="s">
        <v>432</v>
      </c>
      <c r="C130">
        <v>0</v>
      </c>
      <c r="D130">
        <v>1</v>
      </c>
      <c r="M130" t="s">
        <v>251</v>
      </c>
      <c r="P130" s="3" t="str">
        <f>IFERROR(IF(AND(tbl_daily[[#This Row],[Attendance (1 = Here, 0 = Not here)]]=1,tbl_daily[[#This Row],[Attended, but did not complete data]]&lt;&gt;1),tbl_daily[[#This Row],[Stress]]+tbl_daily[[#This Row],[SleepQuality]]+tbl_daily[[#This Row],[Energy]],""),"")</f>
        <v/>
      </c>
      <c r="Q130" s="3" t="str">
        <f>IFERROR(IF(AND(tbl_daily[[#This Row],[Attendance (1 = Here, 0 = Not here)]]=1,tbl_daily[[#This Row],[Attended, but did not complete data]]&lt;&gt;1),tbl_daily[[#This Row],[LatestRPE]]*tbl_daily[[#This Row],[LatestDuration]],""),"")</f>
        <v/>
      </c>
      <c r="R130" s="3">
        <f>IF(tbl_daily[[#This Row],[CodeName]]&lt;&gt;"",1,"")</f>
        <v>1</v>
      </c>
      <c r="S130" s="3" t="str">
        <f>IF(AND(tbl_daily[[#This Row],[Date]]&gt;=DATE(2019,8,1),tbl_daily[[#This Row],[Date]]&lt;=DATE(2020,6,1)),"2019-2020")</f>
        <v>2019-2020</v>
      </c>
      <c r="T130" s="3" t="str">
        <f>IFERROR(INDEX(tbl_prof[Cohort of Interest],MATCH(tbl_daily[[#This Row],[CodeName]],tbl_prof[CodeName],0)),"")</f>
        <v>Athletes</v>
      </c>
      <c r="U130" s="3">
        <f>IFERROR(AVERAGEIFS(tbl_perf[Grade],tbl_perf[CodeName],tbl_daily[[#This Row],[CodeName]],tbl_perf[Date],tbl_daily[[#This Row],[Date]]),"")</f>
        <v>88</v>
      </c>
      <c r="V130" s="3">
        <f>IFERROR(IF(AND(tbl_daily[[#This Row],[Attendance (1 = Here, 0 = Not here)]]=1,tbl_daily[[#This Row],[Attended, but did not complete data]]&lt;&gt;1),1,IF(AND(tbl_daily[[#This Row],[Attendance (1 = Here, 0 = Not here)]]=1,tbl_daily[[#This Row],[Attended, but did not complete data]]=1),2,3)),"")</f>
        <v>3</v>
      </c>
      <c r="W130" s="3" t="str">
        <f>IF(AND(tbl_daily[[#This Row],[Attendance Refined]]=1,tbl_daily[[#This Row],[InjuryStatus]]="Full"),1,IF(AND(tbl_daily[[#This Row],[Attendance Refined]]=1,tbl_daily[[#This Row],[InjuryStatus]]="Limited"),2,IF(AND(tbl_daily[[#This Row],[Attendance Refined]]=1,tbl_daily[[#This Row],[InjuryStatus]]="Out"),3,"")))</f>
        <v/>
      </c>
    </row>
    <row r="131" spans="1:23" ht="15" customHeight="1" x14ac:dyDescent="0.25">
      <c r="A131" s="1">
        <v>43881</v>
      </c>
      <c r="B131" t="s">
        <v>440</v>
      </c>
      <c r="C131">
        <v>0</v>
      </c>
      <c r="D131">
        <v>1</v>
      </c>
      <c r="M131" t="s">
        <v>251</v>
      </c>
      <c r="P131" s="3" t="str">
        <f>IFERROR(IF(AND(tbl_daily[[#This Row],[Attendance (1 = Here, 0 = Not here)]]=1,tbl_daily[[#This Row],[Attended, but did not complete data]]&lt;&gt;1),tbl_daily[[#This Row],[Stress]]+tbl_daily[[#This Row],[SleepQuality]]+tbl_daily[[#This Row],[Energy]],""),"")</f>
        <v/>
      </c>
      <c r="Q131" s="3" t="str">
        <f>IFERROR(IF(AND(tbl_daily[[#This Row],[Attendance (1 = Here, 0 = Not here)]]=1,tbl_daily[[#This Row],[Attended, but did not complete data]]&lt;&gt;1),tbl_daily[[#This Row],[LatestRPE]]*tbl_daily[[#This Row],[LatestDuration]],""),"")</f>
        <v/>
      </c>
      <c r="R131" s="3">
        <f>IF(tbl_daily[[#This Row],[CodeName]]&lt;&gt;"",1,"")</f>
        <v>1</v>
      </c>
      <c r="S131" s="3" t="str">
        <f>IF(AND(tbl_daily[[#This Row],[Date]]&gt;=DATE(2019,8,1),tbl_daily[[#This Row],[Date]]&lt;=DATE(2020,6,1)),"2019-2020")</f>
        <v>2019-2020</v>
      </c>
      <c r="T131" s="3" t="str">
        <f>IFERROR(INDEX(tbl_prof[Cohort of Interest],MATCH(tbl_daily[[#This Row],[CodeName]],tbl_prof[CodeName],0)),"")</f>
        <v>Youth</v>
      </c>
      <c r="U131" s="3">
        <f>IFERROR(AVERAGEIFS(tbl_perf[Grade],tbl_perf[CodeName],tbl_daily[[#This Row],[CodeName]],tbl_perf[Date],tbl_daily[[#This Row],[Date]]),"")</f>
        <v>88</v>
      </c>
      <c r="V131" s="3">
        <f>IFERROR(IF(AND(tbl_daily[[#This Row],[Attendance (1 = Here, 0 = Not here)]]=1,tbl_daily[[#This Row],[Attended, but did not complete data]]&lt;&gt;1),1,IF(AND(tbl_daily[[#This Row],[Attendance (1 = Here, 0 = Not here)]]=1,tbl_daily[[#This Row],[Attended, but did not complete data]]=1),2,3)),"")</f>
        <v>3</v>
      </c>
      <c r="W131" s="3" t="str">
        <f>IF(AND(tbl_daily[[#This Row],[Attendance Refined]]=1,tbl_daily[[#This Row],[InjuryStatus]]="Full"),1,IF(AND(tbl_daily[[#This Row],[Attendance Refined]]=1,tbl_daily[[#This Row],[InjuryStatus]]="Limited"),2,IF(AND(tbl_daily[[#This Row],[Attendance Refined]]=1,tbl_daily[[#This Row],[InjuryStatus]]="Out"),3,"")))</f>
        <v/>
      </c>
    </row>
    <row r="132" spans="1:23" ht="15" customHeight="1" x14ac:dyDescent="0.25">
      <c r="A132" s="1">
        <v>43879</v>
      </c>
      <c r="B132" t="s">
        <v>412</v>
      </c>
      <c r="C132">
        <v>1</v>
      </c>
      <c r="E132">
        <v>7</v>
      </c>
      <c r="F132">
        <v>6</v>
      </c>
      <c r="G132">
        <v>7</v>
      </c>
      <c r="H132" t="s">
        <v>15</v>
      </c>
      <c r="I132">
        <v>0</v>
      </c>
      <c r="J132">
        <v>0</v>
      </c>
      <c r="K132">
        <v>0</v>
      </c>
      <c r="M132" t="s">
        <v>225</v>
      </c>
      <c r="N132" t="s">
        <v>227</v>
      </c>
      <c r="P132" s="3">
        <f>IFERROR(IF(AND(tbl_daily[[#This Row],[Attendance (1 = Here, 0 = Not here)]]=1,tbl_daily[[#This Row],[Attended, but did not complete data]]&lt;&gt;1),tbl_daily[[#This Row],[Stress]]+tbl_daily[[#This Row],[SleepQuality]]+tbl_daily[[#This Row],[Energy]],""),"")</f>
        <v>20</v>
      </c>
      <c r="Q132" s="3">
        <f>IFERROR(IF(AND(tbl_daily[[#This Row],[Attendance (1 = Here, 0 = Not here)]]=1,tbl_daily[[#This Row],[Attended, but did not complete data]]&lt;&gt;1),tbl_daily[[#This Row],[LatestRPE]]*tbl_daily[[#This Row],[LatestDuration]],""),"")</f>
        <v>0</v>
      </c>
      <c r="R132" s="3">
        <f>IF(tbl_daily[[#This Row],[CodeName]]&lt;&gt;"",1,"")</f>
        <v>1</v>
      </c>
      <c r="S132" s="3" t="str">
        <f>IF(AND(tbl_daily[[#This Row],[Date]]&gt;=DATE(2019,8,1),tbl_daily[[#This Row],[Date]]&lt;=DATE(2020,6,1)),"2019-2020")</f>
        <v>2019-2020</v>
      </c>
      <c r="T132" s="3" t="str">
        <f>IFERROR(INDEX(tbl_prof[Cohort of Interest],MATCH(tbl_daily[[#This Row],[CodeName]],tbl_prof[CodeName],0)),"")</f>
        <v>Gen Pop</v>
      </c>
      <c r="U132" s="3" t="str">
        <f>IFERROR(AVERAGEIFS(tbl_perf[Grade],tbl_perf[CodeName],tbl_daily[[#This Row],[CodeName]],tbl_perf[Date],tbl_daily[[#This Row],[Date]]),"")</f>
        <v/>
      </c>
      <c r="V132" s="3">
        <f>IFERROR(IF(AND(tbl_daily[[#This Row],[Attendance (1 = Here, 0 = Not here)]]=1,tbl_daily[[#This Row],[Attended, but did not complete data]]&lt;&gt;1),1,IF(AND(tbl_daily[[#This Row],[Attendance (1 = Here, 0 = Not here)]]=1,tbl_daily[[#This Row],[Attended, but did not complete data]]=1),2,3)),"")</f>
        <v>1</v>
      </c>
      <c r="W132" s="3">
        <f>IF(AND(tbl_daily[[#This Row],[Attendance Refined]]=1,tbl_daily[[#This Row],[InjuryStatus]]="Full"),1,IF(AND(tbl_daily[[#This Row],[Attendance Refined]]=1,tbl_daily[[#This Row],[InjuryStatus]]="Limited"),2,IF(AND(tbl_daily[[#This Row],[Attendance Refined]]=1,tbl_daily[[#This Row],[InjuryStatus]]="Out"),3,"")))</f>
        <v>1</v>
      </c>
    </row>
    <row r="133" spans="1:23" ht="15" customHeight="1" x14ac:dyDescent="0.25">
      <c r="A133" s="1">
        <v>43879</v>
      </c>
      <c r="B133" t="s">
        <v>414</v>
      </c>
      <c r="C133">
        <v>1</v>
      </c>
      <c r="E133">
        <v>5</v>
      </c>
      <c r="F133">
        <v>8</v>
      </c>
      <c r="G133">
        <v>8</v>
      </c>
      <c r="H133" t="s">
        <v>15</v>
      </c>
      <c r="I133">
        <v>0</v>
      </c>
      <c r="J133">
        <v>0</v>
      </c>
      <c r="K133">
        <v>0</v>
      </c>
      <c r="M133" t="s">
        <v>225</v>
      </c>
      <c r="N133" t="s">
        <v>229</v>
      </c>
      <c r="P133" s="3">
        <f>IFERROR(IF(AND(tbl_daily[[#This Row],[Attendance (1 = Here, 0 = Not here)]]=1,tbl_daily[[#This Row],[Attended, but did not complete data]]&lt;&gt;1),tbl_daily[[#This Row],[Stress]]+tbl_daily[[#This Row],[SleepQuality]]+tbl_daily[[#This Row],[Energy]],""),"")</f>
        <v>21</v>
      </c>
      <c r="Q133" s="3">
        <f>IFERROR(IF(AND(tbl_daily[[#This Row],[Attendance (1 = Here, 0 = Not here)]]=1,tbl_daily[[#This Row],[Attended, but did not complete data]]&lt;&gt;1),tbl_daily[[#This Row],[LatestRPE]]*tbl_daily[[#This Row],[LatestDuration]],""),"")</f>
        <v>0</v>
      </c>
      <c r="R133" s="3">
        <f>IF(tbl_daily[[#This Row],[CodeName]]&lt;&gt;"",1,"")</f>
        <v>1</v>
      </c>
      <c r="S133" s="3" t="str">
        <f>IF(AND(tbl_daily[[#This Row],[Date]]&gt;=DATE(2019,8,1),tbl_daily[[#This Row],[Date]]&lt;=DATE(2020,6,1)),"2019-2020")</f>
        <v>2019-2020</v>
      </c>
      <c r="T133" s="3" t="str">
        <f>IFERROR(INDEX(tbl_prof[Cohort of Interest],MATCH(tbl_daily[[#This Row],[CodeName]],tbl_prof[CodeName],0)),"")</f>
        <v>Gen Pop</v>
      </c>
      <c r="U133" s="3" t="str">
        <f>IFERROR(AVERAGEIFS(tbl_perf[Grade],tbl_perf[CodeName],tbl_daily[[#This Row],[CodeName]],tbl_perf[Date],tbl_daily[[#This Row],[Date]]),"")</f>
        <v/>
      </c>
      <c r="V133" s="3">
        <f>IFERROR(IF(AND(tbl_daily[[#This Row],[Attendance (1 = Here, 0 = Not here)]]=1,tbl_daily[[#This Row],[Attended, but did not complete data]]&lt;&gt;1),1,IF(AND(tbl_daily[[#This Row],[Attendance (1 = Here, 0 = Not here)]]=1,tbl_daily[[#This Row],[Attended, but did not complete data]]=1),2,3)),"")</f>
        <v>1</v>
      </c>
      <c r="W133" s="3">
        <f>IF(AND(tbl_daily[[#This Row],[Attendance Refined]]=1,tbl_daily[[#This Row],[InjuryStatus]]="Full"),1,IF(AND(tbl_daily[[#This Row],[Attendance Refined]]=1,tbl_daily[[#This Row],[InjuryStatus]]="Limited"),2,IF(AND(tbl_daily[[#This Row],[Attendance Refined]]=1,tbl_daily[[#This Row],[InjuryStatus]]="Out"),3,"")))</f>
        <v>1</v>
      </c>
    </row>
    <row r="134" spans="1:23" ht="15" customHeight="1" x14ac:dyDescent="0.25">
      <c r="A134" s="1">
        <v>43879</v>
      </c>
      <c r="B134" t="s">
        <v>423</v>
      </c>
      <c r="C134">
        <v>1</v>
      </c>
      <c r="E134">
        <v>6</v>
      </c>
      <c r="F134">
        <v>7</v>
      </c>
      <c r="G134">
        <v>7</v>
      </c>
      <c r="H134" t="s">
        <v>15</v>
      </c>
      <c r="I134">
        <v>0</v>
      </c>
      <c r="J134">
        <v>0</v>
      </c>
      <c r="K134">
        <v>0</v>
      </c>
      <c r="M134" t="s">
        <v>225</v>
      </c>
      <c r="N134" t="s">
        <v>236</v>
      </c>
      <c r="P134" s="3">
        <f>IFERROR(IF(AND(tbl_daily[[#This Row],[Attendance (1 = Here, 0 = Not here)]]=1,tbl_daily[[#This Row],[Attended, but did not complete data]]&lt;&gt;1),tbl_daily[[#This Row],[Stress]]+tbl_daily[[#This Row],[SleepQuality]]+tbl_daily[[#This Row],[Energy]],""),"")</f>
        <v>20</v>
      </c>
      <c r="Q134" s="3">
        <f>IFERROR(IF(AND(tbl_daily[[#This Row],[Attendance (1 = Here, 0 = Not here)]]=1,tbl_daily[[#This Row],[Attended, but did not complete data]]&lt;&gt;1),tbl_daily[[#This Row],[LatestRPE]]*tbl_daily[[#This Row],[LatestDuration]],""),"")</f>
        <v>0</v>
      </c>
      <c r="R134" s="3">
        <f>IF(tbl_daily[[#This Row],[CodeName]]&lt;&gt;"",1,"")</f>
        <v>1</v>
      </c>
      <c r="S134" s="3" t="str">
        <f>IF(AND(tbl_daily[[#This Row],[Date]]&gt;=DATE(2019,8,1),tbl_daily[[#This Row],[Date]]&lt;=DATE(2020,6,1)),"2019-2020")</f>
        <v>2019-2020</v>
      </c>
      <c r="T134" s="3" t="str">
        <f>IFERROR(INDEX(tbl_prof[Cohort of Interest],MATCH(tbl_daily[[#This Row],[CodeName]],tbl_prof[CodeName],0)),"")</f>
        <v>Youth</v>
      </c>
      <c r="U134" s="3" t="str">
        <f>IFERROR(AVERAGEIFS(tbl_perf[Grade],tbl_perf[CodeName],tbl_daily[[#This Row],[CodeName]],tbl_perf[Date],tbl_daily[[#This Row],[Date]]),"")</f>
        <v/>
      </c>
      <c r="V134" s="3">
        <f>IFERROR(IF(AND(tbl_daily[[#This Row],[Attendance (1 = Here, 0 = Not here)]]=1,tbl_daily[[#This Row],[Attended, but did not complete data]]&lt;&gt;1),1,IF(AND(tbl_daily[[#This Row],[Attendance (1 = Here, 0 = Not here)]]=1,tbl_daily[[#This Row],[Attended, but did not complete data]]=1),2,3)),"")</f>
        <v>1</v>
      </c>
      <c r="W134" s="3">
        <f>IF(AND(tbl_daily[[#This Row],[Attendance Refined]]=1,tbl_daily[[#This Row],[InjuryStatus]]="Full"),1,IF(AND(tbl_daily[[#This Row],[Attendance Refined]]=1,tbl_daily[[#This Row],[InjuryStatus]]="Limited"),2,IF(AND(tbl_daily[[#This Row],[Attendance Refined]]=1,tbl_daily[[#This Row],[InjuryStatus]]="Out"),3,"")))</f>
        <v>1</v>
      </c>
    </row>
    <row r="135" spans="1:23" ht="15" customHeight="1" x14ac:dyDescent="0.25">
      <c r="A135" s="1">
        <v>43879</v>
      </c>
      <c r="B135" t="s">
        <v>427</v>
      </c>
      <c r="C135">
        <v>1</v>
      </c>
      <c r="E135">
        <v>8</v>
      </c>
      <c r="F135">
        <v>6</v>
      </c>
      <c r="G135">
        <v>7</v>
      </c>
      <c r="H135" t="s">
        <v>15</v>
      </c>
      <c r="I135">
        <v>0</v>
      </c>
      <c r="J135">
        <v>0</v>
      </c>
      <c r="K135">
        <v>0</v>
      </c>
      <c r="M135" t="s">
        <v>225</v>
      </c>
      <c r="N135" t="s">
        <v>239</v>
      </c>
      <c r="P135" s="3">
        <f>IFERROR(IF(AND(tbl_daily[[#This Row],[Attendance (1 = Here, 0 = Not here)]]=1,tbl_daily[[#This Row],[Attended, but did not complete data]]&lt;&gt;1),tbl_daily[[#This Row],[Stress]]+tbl_daily[[#This Row],[SleepQuality]]+tbl_daily[[#This Row],[Energy]],""),"")</f>
        <v>21</v>
      </c>
      <c r="Q135" s="3">
        <f>IFERROR(IF(AND(tbl_daily[[#This Row],[Attendance (1 = Here, 0 = Not here)]]=1,tbl_daily[[#This Row],[Attended, but did not complete data]]&lt;&gt;1),tbl_daily[[#This Row],[LatestRPE]]*tbl_daily[[#This Row],[LatestDuration]],""),"")</f>
        <v>0</v>
      </c>
      <c r="R135" s="3">
        <f>IF(tbl_daily[[#This Row],[CodeName]]&lt;&gt;"",1,"")</f>
        <v>1</v>
      </c>
      <c r="S135" s="3" t="str">
        <f>IF(AND(tbl_daily[[#This Row],[Date]]&gt;=DATE(2019,8,1),tbl_daily[[#This Row],[Date]]&lt;=DATE(2020,6,1)),"2019-2020")</f>
        <v>2019-2020</v>
      </c>
      <c r="T135" s="3" t="str">
        <f>IFERROR(INDEX(tbl_prof[Cohort of Interest],MATCH(tbl_daily[[#This Row],[CodeName]],tbl_prof[CodeName],0)),"")</f>
        <v>Special</v>
      </c>
      <c r="U135" s="3" t="str">
        <f>IFERROR(AVERAGEIFS(tbl_perf[Grade],tbl_perf[CodeName],tbl_daily[[#This Row],[CodeName]],tbl_perf[Date],tbl_daily[[#This Row],[Date]]),"")</f>
        <v/>
      </c>
      <c r="V135" s="3">
        <f>IFERROR(IF(AND(tbl_daily[[#This Row],[Attendance (1 = Here, 0 = Not here)]]=1,tbl_daily[[#This Row],[Attended, but did not complete data]]&lt;&gt;1),1,IF(AND(tbl_daily[[#This Row],[Attendance (1 = Here, 0 = Not here)]]=1,tbl_daily[[#This Row],[Attended, but did not complete data]]=1),2,3)),"")</f>
        <v>1</v>
      </c>
      <c r="W135" s="3">
        <f>IF(AND(tbl_daily[[#This Row],[Attendance Refined]]=1,tbl_daily[[#This Row],[InjuryStatus]]="Full"),1,IF(AND(tbl_daily[[#This Row],[Attendance Refined]]=1,tbl_daily[[#This Row],[InjuryStatus]]="Limited"),2,IF(AND(tbl_daily[[#This Row],[Attendance Refined]]=1,tbl_daily[[#This Row],[InjuryStatus]]="Out"),3,"")))</f>
        <v>1</v>
      </c>
    </row>
    <row r="136" spans="1:23" ht="15" customHeight="1" x14ac:dyDescent="0.25">
      <c r="A136" s="1">
        <v>43879</v>
      </c>
      <c r="B136" t="s">
        <v>428</v>
      </c>
      <c r="C136">
        <v>1</v>
      </c>
      <c r="E136">
        <v>7</v>
      </c>
      <c r="F136">
        <v>7</v>
      </c>
      <c r="G136">
        <v>6</v>
      </c>
      <c r="H136" t="s">
        <v>15</v>
      </c>
      <c r="I136">
        <v>0</v>
      </c>
      <c r="J136">
        <v>0</v>
      </c>
      <c r="K136">
        <v>0</v>
      </c>
      <c r="M136" t="s">
        <v>225</v>
      </c>
      <c r="N136" t="s">
        <v>240</v>
      </c>
      <c r="P136" s="3">
        <f>IFERROR(IF(AND(tbl_daily[[#This Row],[Attendance (1 = Here, 0 = Not here)]]=1,tbl_daily[[#This Row],[Attended, but did not complete data]]&lt;&gt;1),tbl_daily[[#This Row],[Stress]]+tbl_daily[[#This Row],[SleepQuality]]+tbl_daily[[#This Row],[Energy]],""),"")</f>
        <v>20</v>
      </c>
      <c r="Q136" s="3">
        <f>IFERROR(IF(AND(tbl_daily[[#This Row],[Attendance (1 = Here, 0 = Not here)]]=1,tbl_daily[[#This Row],[Attended, but did not complete data]]&lt;&gt;1),tbl_daily[[#This Row],[LatestRPE]]*tbl_daily[[#This Row],[LatestDuration]],""),"")</f>
        <v>0</v>
      </c>
      <c r="R136" s="3">
        <f>IF(tbl_daily[[#This Row],[CodeName]]&lt;&gt;"",1,"")</f>
        <v>1</v>
      </c>
      <c r="S136" s="3" t="str">
        <f>IF(AND(tbl_daily[[#This Row],[Date]]&gt;=DATE(2019,8,1),tbl_daily[[#This Row],[Date]]&lt;=DATE(2020,6,1)),"2019-2020")</f>
        <v>2019-2020</v>
      </c>
      <c r="T136" s="3" t="str">
        <f>IFERROR(INDEX(tbl_prof[Cohort of Interest],MATCH(tbl_daily[[#This Row],[CodeName]],tbl_prof[CodeName],0)),"")</f>
        <v>Special</v>
      </c>
      <c r="U136" s="3" t="str">
        <f>IFERROR(AVERAGEIFS(tbl_perf[Grade],tbl_perf[CodeName],tbl_daily[[#This Row],[CodeName]],tbl_perf[Date],tbl_daily[[#This Row],[Date]]),"")</f>
        <v/>
      </c>
      <c r="V136" s="3">
        <f>IFERROR(IF(AND(tbl_daily[[#This Row],[Attendance (1 = Here, 0 = Not here)]]=1,tbl_daily[[#This Row],[Attended, but did not complete data]]&lt;&gt;1),1,IF(AND(tbl_daily[[#This Row],[Attendance (1 = Here, 0 = Not here)]]=1,tbl_daily[[#This Row],[Attended, but did not complete data]]=1),2,3)),"")</f>
        <v>1</v>
      </c>
      <c r="W136" s="3">
        <f>IF(AND(tbl_daily[[#This Row],[Attendance Refined]]=1,tbl_daily[[#This Row],[InjuryStatus]]="Full"),1,IF(AND(tbl_daily[[#This Row],[Attendance Refined]]=1,tbl_daily[[#This Row],[InjuryStatus]]="Limited"),2,IF(AND(tbl_daily[[#This Row],[Attendance Refined]]=1,tbl_daily[[#This Row],[InjuryStatus]]="Out"),3,"")))</f>
        <v>1</v>
      </c>
    </row>
    <row r="137" spans="1:23" ht="15" customHeight="1" x14ac:dyDescent="0.25">
      <c r="A137" s="1">
        <v>43879</v>
      </c>
      <c r="B137" t="s">
        <v>410</v>
      </c>
      <c r="C137">
        <v>1</v>
      </c>
      <c r="E137">
        <v>6</v>
      </c>
      <c r="F137">
        <v>5</v>
      </c>
      <c r="G137">
        <v>5</v>
      </c>
      <c r="H137" t="s">
        <v>15</v>
      </c>
      <c r="I137">
        <v>0</v>
      </c>
      <c r="J137">
        <v>0</v>
      </c>
      <c r="K137">
        <v>0</v>
      </c>
      <c r="M137" t="s">
        <v>225</v>
      </c>
      <c r="N137" t="s">
        <v>241</v>
      </c>
      <c r="P137" s="3">
        <f>IFERROR(IF(AND(tbl_daily[[#This Row],[Attendance (1 = Here, 0 = Not here)]]=1,tbl_daily[[#This Row],[Attended, but did not complete data]]&lt;&gt;1),tbl_daily[[#This Row],[Stress]]+tbl_daily[[#This Row],[SleepQuality]]+tbl_daily[[#This Row],[Energy]],""),"")</f>
        <v>16</v>
      </c>
      <c r="Q137" s="3">
        <f>IFERROR(IF(AND(tbl_daily[[#This Row],[Attendance (1 = Here, 0 = Not here)]]=1,tbl_daily[[#This Row],[Attended, but did not complete data]]&lt;&gt;1),tbl_daily[[#This Row],[LatestRPE]]*tbl_daily[[#This Row],[LatestDuration]],""),"")</f>
        <v>0</v>
      </c>
      <c r="R137" s="3">
        <f>IF(tbl_daily[[#This Row],[CodeName]]&lt;&gt;"",1,"")</f>
        <v>1</v>
      </c>
      <c r="S137" s="3" t="str">
        <f>IF(AND(tbl_daily[[#This Row],[Date]]&gt;=DATE(2019,8,1),tbl_daily[[#This Row],[Date]]&lt;=DATE(2020,6,1)),"2019-2020")</f>
        <v>2019-2020</v>
      </c>
      <c r="T137" s="3" t="str">
        <f>IFERROR(INDEX(tbl_prof[Cohort of Interest],MATCH(tbl_daily[[#This Row],[CodeName]],tbl_prof[CodeName],0)),"")</f>
        <v>Gen Pop</v>
      </c>
      <c r="U137" s="3" t="str">
        <f>IFERROR(AVERAGEIFS(tbl_perf[Grade],tbl_perf[CodeName],tbl_daily[[#This Row],[CodeName]],tbl_perf[Date],tbl_daily[[#This Row],[Date]]),"")</f>
        <v/>
      </c>
      <c r="V137" s="3">
        <f>IFERROR(IF(AND(tbl_daily[[#This Row],[Attendance (1 = Here, 0 = Not here)]]=1,tbl_daily[[#This Row],[Attended, but did not complete data]]&lt;&gt;1),1,IF(AND(tbl_daily[[#This Row],[Attendance (1 = Here, 0 = Not here)]]=1,tbl_daily[[#This Row],[Attended, but did not complete data]]=1),2,3)),"")</f>
        <v>1</v>
      </c>
      <c r="W137" s="3">
        <f>IF(AND(tbl_daily[[#This Row],[Attendance Refined]]=1,tbl_daily[[#This Row],[InjuryStatus]]="Full"),1,IF(AND(tbl_daily[[#This Row],[Attendance Refined]]=1,tbl_daily[[#This Row],[InjuryStatus]]="Limited"),2,IF(AND(tbl_daily[[#This Row],[Attendance Refined]]=1,tbl_daily[[#This Row],[InjuryStatus]]="Out"),3,"")))</f>
        <v>1</v>
      </c>
    </row>
    <row r="138" spans="1:23" ht="15" customHeight="1" x14ac:dyDescent="0.25">
      <c r="A138" s="1">
        <v>43879</v>
      </c>
      <c r="B138" t="s">
        <v>438</v>
      </c>
      <c r="C138">
        <v>1</v>
      </c>
      <c r="E138">
        <v>7</v>
      </c>
      <c r="F138">
        <v>5</v>
      </c>
      <c r="G138">
        <v>6</v>
      </c>
      <c r="H138" t="s">
        <v>15</v>
      </c>
      <c r="I138">
        <v>0</v>
      </c>
      <c r="J138">
        <v>0</v>
      </c>
      <c r="K138">
        <v>0</v>
      </c>
      <c r="M138" t="s">
        <v>225</v>
      </c>
      <c r="N138" t="s">
        <v>245</v>
      </c>
      <c r="P138" s="3">
        <f>IFERROR(IF(AND(tbl_daily[[#This Row],[Attendance (1 = Here, 0 = Not here)]]=1,tbl_daily[[#This Row],[Attended, but did not complete data]]&lt;&gt;1),tbl_daily[[#This Row],[Stress]]+tbl_daily[[#This Row],[SleepQuality]]+tbl_daily[[#This Row],[Energy]],""),"")</f>
        <v>18</v>
      </c>
      <c r="Q138" s="3">
        <f>IFERROR(IF(AND(tbl_daily[[#This Row],[Attendance (1 = Here, 0 = Not here)]]=1,tbl_daily[[#This Row],[Attended, but did not complete data]]&lt;&gt;1),tbl_daily[[#This Row],[LatestRPE]]*tbl_daily[[#This Row],[LatestDuration]],""),"")</f>
        <v>0</v>
      </c>
      <c r="R138" s="3">
        <f>IF(tbl_daily[[#This Row],[CodeName]]&lt;&gt;"",1,"")</f>
        <v>1</v>
      </c>
      <c r="S138" s="3" t="str">
        <f>IF(AND(tbl_daily[[#This Row],[Date]]&gt;=DATE(2019,8,1),tbl_daily[[#This Row],[Date]]&lt;=DATE(2020,6,1)),"2019-2020")</f>
        <v>2019-2020</v>
      </c>
      <c r="T138" s="3" t="str">
        <f>IFERROR(INDEX(tbl_prof[Cohort of Interest],MATCH(tbl_daily[[#This Row],[CodeName]],tbl_prof[CodeName],0)),"")</f>
        <v>Youth</v>
      </c>
      <c r="U138" s="3" t="str">
        <f>IFERROR(AVERAGEIFS(tbl_perf[Grade],tbl_perf[CodeName],tbl_daily[[#This Row],[CodeName]],tbl_perf[Date],tbl_daily[[#This Row],[Date]]),"")</f>
        <v/>
      </c>
      <c r="V138" s="3">
        <f>IFERROR(IF(AND(tbl_daily[[#This Row],[Attendance (1 = Here, 0 = Not here)]]=1,tbl_daily[[#This Row],[Attended, but did not complete data]]&lt;&gt;1),1,IF(AND(tbl_daily[[#This Row],[Attendance (1 = Here, 0 = Not here)]]=1,tbl_daily[[#This Row],[Attended, but did not complete data]]=1),2,3)),"")</f>
        <v>1</v>
      </c>
      <c r="W138" s="3">
        <f>IF(AND(tbl_daily[[#This Row],[Attendance Refined]]=1,tbl_daily[[#This Row],[InjuryStatus]]="Full"),1,IF(AND(tbl_daily[[#This Row],[Attendance Refined]]=1,tbl_daily[[#This Row],[InjuryStatus]]="Limited"),2,IF(AND(tbl_daily[[#This Row],[Attendance Refined]]=1,tbl_daily[[#This Row],[InjuryStatus]]="Out"),3,"")))</f>
        <v>1</v>
      </c>
    </row>
    <row r="139" spans="1:23" ht="15" customHeight="1" x14ac:dyDescent="0.25">
      <c r="A139" s="1">
        <v>43879</v>
      </c>
      <c r="B139" t="s">
        <v>431</v>
      </c>
      <c r="C139">
        <v>1</v>
      </c>
      <c r="E139">
        <v>8</v>
      </c>
      <c r="F139">
        <v>9</v>
      </c>
      <c r="G139">
        <v>8</v>
      </c>
      <c r="H139" t="s">
        <v>15</v>
      </c>
      <c r="I139">
        <v>0</v>
      </c>
      <c r="K139">
        <v>0</v>
      </c>
      <c r="M139" t="s">
        <v>225</v>
      </c>
      <c r="N139" t="s">
        <v>246</v>
      </c>
      <c r="P139" s="3">
        <f>IFERROR(IF(AND(tbl_daily[[#This Row],[Attendance (1 = Here, 0 = Not here)]]=1,tbl_daily[[#This Row],[Attended, but did not complete data]]&lt;&gt;1),tbl_daily[[#This Row],[Stress]]+tbl_daily[[#This Row],[SleepQuality]]+tbl_daily[[#This Row],[Energy]],""),"")</f>
        <v>25</v>
      </c>
      <c r="Q139" s="3">
        <f>IFERROR(IF(AND(tbl_daily[[#This Row],[Attendance (1 = Here, 0 = Not here)]]=1,tbl_daily[[#This Row],[Attended, but did not complete data]]&lt;&gt;1),tbl_daily[[#This Row],[LatestRPE]]*tbl_daily[[#This Row],[LatestDuration]],""),"")</f>
        <v>0</v>
      </c>
      <c r="R139" s="3">
        <f>IF(tbl_daily[[#This Row],[CodeName]]&lt;&gt;"",1,"")</f>
        <v>1</v>
      </c>
      <c r="S139" s="3" t="str">
        <f>IF(AND(tbl_daily[[#This Row],[Date]]&gt;=DATE(2019,8,1),tbl_daily[[#This Row],[Date]]&lt;=DATE(2020,6,1)),"2019-2020")</f>
        <v>2019-2020</v>
      </c>
      <c r="T139" s="3" t="str">
        <f>IFERROR(INDEX(tbl_prof[Cohort of Interest],MATCH(tbl_daily[[#This Row],[CodeName]],tbl_prof[CodeName],0)),"")</f>
        <v>Special</v>
      </c>
      <c r="U139" s="3" t="str">
        <f>IFERROR(AVERAGEIFS(tbl_perf[Grade],tbl_perf[CodeName],tbl_daily[[#This Row],[CodeName]],tbl_perf[Date],tbl_daily[[#This Row],[Date]]),"")</f>
        <v/>
      </c>
      <c r="V139" s="3">
        <f>IFERROR(IF(AND(tbl_daily[[#This Row],[Attendance (1 = Here, 0 = Not here)]]=1,tbl_daily[[#This Row],[Attended, but did not complete data]]&lt;&gt;1),1,IF(AND(tbl_daily[[#This Row],[Attendance (1 = Here, 0 = Not here)]]=1,tbl_daily[[#This Row],[Attended, but did not complete data]]=1),2,3)),"")</f>
        <v>1</v>
      </c>
      <c r="W139" s="3">
        <f>IF(AND(tbl_daily[[#This Row],[Attendance Refined]]=1,tbl_daily[[#This Row],[InjuryStatus]]="Full"),1,IF(AND(tbl_daily[[#This Row],[Attendance Refined]]=1,tbl_daily[[#This Row],[InjuryStatus]]="Limited"),2,IF(AND(tbl_daily[[#This Row],[Attendance Refined]]=1,tbl_daily[[#This Row],[InjuryStatus]]="Out"),3,"")))</f>
        <v>1</v>
      </c>
    </row>
    <row r="140" spans="1:23" ht="15" customHeight="1" x14ac:dyDescent="0.25">
      <c r="A140" s="1">
        <v>43879</v>
      </c>
      <c r="B140" t="s">
        <v>433</v>
      </c>
      <c r="C140">
        <v>1</v>
      </c>
      <c r="D140">
        <v>0</v>
      </c>
      <c r="E140">
        <v>7</v>
      </c>
      <c r="F140">
        <v>7</v>
      </c>
      <c r="G140">
        <v>8</v>
      </c>
      <c r="H140" t="s">
        <v>32</v>
      </c>
      <c r="I140">
        <v>0</v>
      </c>
      <c r="J140">
        <v>0</v>
      </c>
      <c r="K140">
        <v>0</v>
      </c>
      <c r="M140" t="s">
        <v>225</v>
      </c>
      <c r="N140" s="2" t="s">
        <v>249</v>
      </c>
      <c r="P140" s="3">
        <f>IFERROR(IF(AND(tbl_daily[[#This Row],[Attendance (1 = Here, 0 = Not here)]]=1,tbl_daily[[#This Row],[Attended, but did not complete data]]&lt;&gt;1),tbl_daily[[#This Row],[Stress]]+tbl_daily[[#This Row],[SleepQuality]]+tbl_daily[[#This Row],[Energy]],""),"")</f>
        <v>22</v>
      </c>
      <c r="Q140" s="3">
        <f>IFERROR(IF(AND(tbl_daily[[#This Row],[Attendance (1 = Here, 0 = Not here)]]=1,tbl_daily[[#This Row],[Attended, but did not complete data]]&lt;&gt;1),tbl_daily[[#This Row],[LatestRPE]]*tbl_daily[[#This Row],[LatestDuration]],""),"")</f>
        <v>0</v>
      </c>
      <c r="R140" s="3">
        <f>IF(tbl_daily[[#This Row],[CodeName]]&lt;&gt;"",1,"")</f>
        <v>1</v>
      </c>
      <c r="S140" s="3" t="str">
        <f>IF(AND(tbl_daily[[#This Row],[Date]]&gt;=DATE(2019,8,1),tbl_daily[[#This Row],[Date]]&lt;=DATE(2020,6,1)),"2019-2020")</f>
        <v>2019-2020</v>
      </c>
      <c r="T140" s="3" t="str">
        <f>IFERROR(INDEX(tbl_prof[Cohort of Interest],MATCH(tbl_daily[[#This Row],[CodeName]],tbl_prof[CodeName],0)),"")</f>
        <v>Athletes</v>
      </c>
      <c r="U140" s="3" t="str">
        <f>IFERROR(AVERAGEIFS(tbl_perf[Grade],tbl_perf[CodeName],tbl_daily[[#This Row],[CodeName]],tbl_perf[Date],tbl_daily[[#This Row],[Date]]),"")</f>
        <v/>
      </c>
      <c r="V140" s="3">
        <f>IFERROR(IF(AND(tbl_daily[[#This Row],[Attendance (1 = Here, 0 = Not here)]]=1,tbl_daily[[#This Row],[Attended, but did not complete data]]&lt;&gt;1),1,IF(AND(tbl_daily[[#This Row],[Attendance (1 = Here, 0 = Not here)]]=1,tbl_daily[[#This Row],[Attended, but did not complete data]]=1),2,3)),"")</f>
        <v>1</v>
      </c>
      <c r="W140" s="3">
        <f>IF(AND(tbl_daily[[#This Row],[Attendance Refined]]=1,tbl_daily[[#This Row],[InjuryStatus]]="Full"),1,IF(AND(tbl_daily[[#This Row],[Attendance Refined]]=1,tbl_daily[[#This Row],[InjuryStatus]]="Limited"),2,IF(AND(tbl_daily[[#This Row],[Attendance Refined]]=1,tbl_daily[[#This Row],[InjuryStatus]]="Out"),3,"")))</f>
        <v>2</v>
      </c>
    </row>
    <row r="141" spans="1:23" ht="15" customHeight="1" x14ac:dyDescent="0.25">
      <c r="A141" s="1">
        <v>43879</v>
      </c>
      <c r="B141" t="s">
        <v>411</v>
      </c>
      <c r="C141">
        <v>1</v>
      </c>
      <c r="E141">
        <v>5</v>
      </c>
      <c r="F141">
        <v>9</v>
      </c>
      <c r="G141">
        <v>8</v>
      </c>
      <c r="H141" t="s">
        <v>32</v>
      </c>
      <c r="I141">
        <v>1</v>
      </c>
      <c r="J141">
        <v>5</v>
      </c>
      <c r="K141">
        <v>30</v>
      </c>
      <c r="M141" t="s">
        <v>225</v>
      </c>
      <c r="N141" t="s">
        <v>226</v>
      </c>
      <c r="P141" s="3">
        <f>IFERROR(IF(AND(tbl_daily[[#This Row],[Attendance (1 = Here, 0 = Not here)]]=1,tbl_daily[[#This Row],[Attended, but did not complete data]]&lt;&gt;1),tbl_daily[[#This Row],[Stress]]+tbl_daily[[#This Row],[SleepQuality]]+tbl_daily[[#This Row],[Energy]],""),"")</f>
        <v>22</v>
      </c>
      <c r="Q141" s="3">
        <f>IFERROR(IF(AND(tbl_daily[[#This Row],[Attendance (1 = Here, 0 = Not here)]]=1,tbl_daily[[#This Row],[Attended, but did not complete data]]&lt;&gt;1),tbl_daily[[#This Row],[LatestRPE]]*tbl_daily[[#This Row],[LatestDuration]],""),"")</f>
        <v>150</v>
      </c>
      <c r="R141" s="3">
        <f>IF(tbl_daily[[#This Row],[CodeName]]&lt;&gt;"",1,"")</f>
        <v>1</v>
      </c>
      <c r="S141" s="3" t="str">
        <f>IF(AND(tbl_daily[[#This Row],[Date]]&gt;=DATE(2019,8,1),tbl_daily[[#This Row],[Date]]&lt;=DATE(2020,6,1)),"2019-2020")</f>
        <v>2019-2020</v>
      </c>
      <c r="T141" s="3" t="str">
        <f>IFERROR(INDEX(tbl_prof[Cohort of Interest],MATCH(tbl_daily[[#This Row],[CodeName]],tbl_prof[CodeName],0)),"")</f>
        <v>Athletes</v>
      </c>
      <c r="U141" s="3" t="str">
        <f>IFERROR(AVERAGEIFS(tbl_perf[Grade],tbl_perf[CodeName],tbl_daily[[#This Row],[CodeName]],tbl_perf[Date],tbl_daily[[#This Row],[Date]]),"")</f>
        <v/>
      </c>
      <c r="V141" s="3">
        <f>IFERROR(IF(AND(tbl_daily[[#This Row],[Attendance (1 = Here, 0 = Not here)]]=1,tbl_daily[[#This Row],[Attended, but did not complete data]]&lt;&gt;1),1,IF(AND(tbl_daily[[#This Row],[Attendance (1 = Here, 0 = Not here)]]=1,tbl_daily[[#This Row],[Attended, but did not complete data]]=1),2,3)),"")</f>
        <v>1</v>
      </c>
      <c r="W141" s="3">
        <f>IF(AND(tbl_daily[[#This Row],[Attendance Refined]]=1,tbl_daily[[#This Row],[InjuryStatus]]="Full"),1,IF(AND(tbl_daily[[#This Row],[Attendance Refined]]=1,tbl_daily[[#This Row],[InjuryStatus]]="Limited"),2,IF(AND(tbl_daily[[#This Row],[Attendance Refined]]=1,tbl_daily[[#This Row],[InjuryStatus]]="Out"),3,"")))</f>
        <v>2</v>
      </c>
    </row>
    <row r="142" spans="1:23" ht="15" customHeight="1" x14ac:dyDescent="0.25">
      <c r="A142" s="1">
        <v>43879</v>
      </c>
      <c r="B142" t="s">
        <v>415</v>
      </c>
      <c r="C142">
        <v>1</v>
      </c>
      <c r="E142">
        <v>6</v>
      </c>
      <c r="F142">
        <v>4</v>
      </c>
      <c r="G142">
        <v>5</v>
      </c>
      <c r="H142" t="s">
        <v>15</v>
      </c>
      <c r="I142">
        <v>0</v>
      </c>
      <c r="J142">
        <v>6</v>
      </c>
      <c r="K142">
        <v>30</v>
      </c>
      <c r="M142" t="s">
        <v>225</v>
      </c>
      <c r="N142" t="s">
        <v>230</v>
      </c>
      <c r="P142" s="3">
        <f>IFERROR(IF(AND(tbl_daily[[#This Row],[Attendance (1 = Here, 0 = Not here)]]=1,tbl_daily[[#This Row],[Attended, but did not complete data]]&lt;&gt;1),tbl_daily[[#This Row],[Stress]]+tbl_daily[[#This Row],[SleepQuality]]+tbl_daily[[#This Row],[Energy]],""),"")</f>
        <v>15</v>
      </c>
      <c r="Q142" s="3">
        <f>IFERROR(IF(AND(tbl_daily[[#This Row],[Attendance (1 = Here, 0 = Not here)]]=1,tbl_daily[[#This Row],[Attended, but did not complete data]]&lt;&gt;1),tbl_daily[[#This Row],[LatestRPE]]*tbl_daily[[#This Row],[LatestDuration]],""),"")</f>
        <v>180</v>
      </c>
      <c r="R142" s="3">
        <f>IF(tbl_daily[[#This Row],[CodeName]]&lt;&gt;"",1,"")</f>
        <v>1</v>
      </c>
      <c r="S142" s="3" t="str">
        <f>IF(AND(tbl_daily[[#This Row],[Date]]&gt;=DATE(2019,8,1),tbl_daily[[#This Row],[Date]]&lt;=DATE(2020,6,1)),"2019-2020")</f>
        <v>2019-2020</v>
      </c>
      <c r="T142" s="3" t="str">
        <f>IFERROR(INDEX(tbl_prof[Cohort of Interest],MATCH(tbl_daily[[#This Row],[CodeName]],tbl_prof[CodeName],0)),"")</f>
        <v>Youth</v>
      </c>
      <c r="U142" s="3" t="str">
        <f>IFERROR(AVERAGEIFS(tbl_perf[Grade],tbl_perf[CodeName],tbl_daily[[#This Row],[CodeName]],tbl_perf[Date],tbl_daily[[#This Row],[Date]]),"")</f>
        <v/>
      </c>
      <c r="V142" s="3">
        <f>IFERROR(IF(AND(tbl_daily[[#This Row],[Attendance (1 = Here, 0 = Not here)]]=1,tbl_daily[[#This Row],[Attended, but did not complete data]]&lt;&gt;1),1,IF(AND(tbl_daily[[#This Row],[Attendance (1 = Here, 0 = Not here)]]=1,tbl_daily[[#This Row],[Attended, but did not complete data]]=1),2,3)),"")</f>
        <v>1</v>
      </c>
      <c r="W142" s="3">
        <f>IF(AND(tbl_daily[[#This Row],[Attendance Refined]]=1,tbl_daily[[#This Row],[InjuryStatus]]="Full"),1,IF(AND(tbl_daily[[#This Row],[Attendance Refined]]=1,tbl_daily[[#This Row],[InjuryStatus]]="Limited"),2,IF(AND(tbl_daily[[#This Row],[Attendance Refined]]=1,tbl_daily[[#This Row],[InjuryStatus]]="Out"),3,"")))</f>
        <v>1</v>
      </c>
    </row>
    <row r="143" spans="1:23" ht="15" customHeight="1" x14ac:dyDescent="0.25">
      <c r="A143" s="1">
        <v>43879</v>
      </c>
      <c r="B143" t="s">
        <v>435</v>
      </c>
      <c r="C143">
        <v>1</v>
      </c>
      <c r="E143">
        <v>8</v>
      </c>
      <c r="F143">
        <v>7</v>
      </c>
      <c r="G143">
        <v>4</v>
      </c>
      <c r="H143" t="s">
        <v>15</v>
      </c>
      <c r="I143">
        <v>1</v>
      </c>
      <c r="J143">
        <v>3</v>
      </c>
      <c r="K143">
        <v>60</v>
      </c>
      <c r="M143" t="s">
        <v>225</v>
      </c>
      <c r="N143" t="s">
        <v>244</v>
      </c>
      <c r="P143" s="3">
        <f>IFERROR(IF(AND(tbl_daily[[#This Row],[Attendance (1 = Here, 0 = Not here)]]=1,tbl_daily[[#This Row],[Attended, but did not complete data]]&lt;&gt;1),tbl_daily[[#This Row],[Stress]]+tbl_daily[[#This Row],[SleepQuality]]+tbl_daily[[#This Row],[Energy]],""),"")</f>
        <v>19</v>
      </c>
      <c r="Q143" s="3">
        <f>IFERROR(IF(AND(tbl_daily[[#This Row],[Attendance (1 = Here, 0 = Not here)]]=1,tbl_daily[[#This Row],[Attended, but did not complete data]]&lt;&gt;1),tbl_daily[[#This Row],[LatestRPE]]*tbl_daily[[#This Row],[LatestDuration]],""),"")</f>
        <v>180</v>
      </c>
      <c r="R143" s="3">
        <f>IF(tbl_daily[[#This Row],[CodeName]]&lt;&gt;"",1,"")</f>
        <v>1</v>
      </c>
      <c r="S143" s="3" t="str">
        <f>IF(AND(tbl_daily[[#This Row],[Date]]&gt;=DATE(2019,8,1),tbl_daily[[#This Row],[Date]]&lt;=DATE(2020,6,1)),"2019-2020")</f>
        <v>2019-2020</v>
      </c>
      <c r="T143" s="3" t="str">
        <f>IFERROR(INDEX(tbl_prof[Cohort of Interest],MATCH(tbl_daily[[#This Row],[CodeName]],tbl_prof[CodeName],0)),"")</f>
        <v>Athletes</v>
      </c>
      <c r="U143" s="3" t="str">
        <f>IFERROR(AVERAGEIFS(tbl_perf[Grade],tbl_perf[CodeName],tbl_daily[[#This Row],[CodeName]],tbl_perf[Date],tbl_daily[[#This Row],[Date]]),"")</f>
        <v/>
      </c>
      <c r="V143" s="3">
        <f>IFERROR(IF(AND(tbl_daily[[#This Row],[Attendance (1 = Here, 0 = Not here)]]=1,tbl_daily[[#This Row],[Attended, but did not complete data]]&lt;&gt;1),1,IF(AND(tbl_daily[[#This Row],[Attendance (1 = Here, 0 = Not here)]]=1,tbl_daily[[#This Row],[Attended, but did not complete data]]=1),2,3)),"")</f>
        <v>1</v>
      </c>
      <c r="W143" s="3">
        <f>IF(AND(tbl_daily[[#This Row],[Attendance Refined]]=1,tbl_daily[[#This Row],[InjuryStatus]]="Full"),1,IF(AND(tbl_daily[[#This Row],[Attendance Refined]]=1,tbl_daily[[#This Row],[InjuryStatus]]="Limited"),2,IF(AND(tbl_daily[[#This Row],[Attendance Refined]]=1,tbl_daily[[#This Row],[InjuryStatus]]="Out"),3,"")))</f>
        <v>1</v>
      </c>
    </row>
    <row r="144" spans="1:23" ht="15" customHeight="1" x14ac:dyDescent="0.25">
      <c r="A144" s="1">
        <v>43879</v>
      </c>
      <c r="B144" t="s">
        <v>432</v>
      </c>
      <c r="C144">
        <v>1</v>
      </c>
      <c r="E144">
        <v>6</v>
      </c>
      <c r="F144">
        <v>7</v>
      </c>
      <c r="G144">
        <v>5</v>
      </c>
      <c r="H144" t="s">
        <v>32</v>
      </c>
      <c r="I144">
        <v>1</v>
      </c>
      <c r="J144">
        <v>4</v>
      </c>
      <c r="K144">
        <v>45</v>
      </c>
      <c r="M144" t="s">
        <v>225</v>
      </c>
      <c r="N144" t="s">
        <v>247</v>
      </c>
      <c r="P144" s="3">
        <f>IFERROR(IF(AND(tbl_daily[[#This Row],[Attendance (1 = Here, 0 = Not here)]]=1,tbl_daily[[#This Row],[Attended, but did not complete data]]&lt;&gt;1),tbl_daily[[#This Row],[Stress]]+tbl_daily[[#This Row],[SleepQuality]]+tbl_daily[[#This Row],[Energy]],""),"")</f>
        <v>18</v>
      </c>
      <c r="Q144" s="3">
        <f>IFERROR(IF(AND(tbl_daily[[#This Row],[Attendance (1 = Here, 0 = Not here)]]=1,tbl_daily[[#This Row],[Attended, but did not complete data]]&lt;&gt;1),tbl_daily[[#This Row],[LatestRPE]]*tbl_daily[[#This Row],[LatestDuration]],""),"")</f>
        <v>180</v>
      </c>
      <c r="R144" s="3">
        <f>IF(tbl_daily[[#This Row],[CodeName]]&lt;&gt;"",1,"")</f>
        <v>1</v>
      </c>
      <c r="S144" s="3" t="str">
        <f>IF(AND(tbl_daily[[#This Row],[Date]]&gt;=DATE(2019,8,1),tbl_daily[[#This Row],[Date]]&lt;=DATE(2020,6,1)),"2019-2020")</f>
        <v>2019-2020</v>
      </c>
      <c r="T144" s="3" t="str">
        <f>IFERROR(INDEX(tbl_prof[Cohort of Interest],MATCH(tbl_daily[[#This Row],[CodeName]],tbl_prof[CodeName],0)),"")</f>
        <v>Athletes</v>
      </c>
      <c r="U144" s="3" t="str">
        <f>IFERROR(AVERAGEIFS(tbl_perf[Grade],tbl_perf[CodeName],tbl_daily[[#This Row],[CodeName]],tbl_perf[Date],tbl_daily[[#This Row],[Date]]),"")</f>
        <v/>
      </c>
      <c r="V144" s="3">
        <f>IFERROR(IF(AND(tbl_daily[[#This Row],[Attendance (1 = Here, 0 = Not here)]]=1,tbl_daily[[#This Row],[Attended, but did not complete data]]&lt;&gt;1),1,IF(AND(tbl_daily[[#This Row],[Attendance (1 = Here, 0 = Not here)]]=1,tbl_daily[[#This Row],[Attended, but did not complete data]]=1),2,3)),"")</f>
        <v>1</v>
      </c>
      <c r="W144" s="3">
        <f>IF(AND(tbl_daily[[#This Row],[Attendance Refined]]=1,tbl_daily[[#This Row],[InjuryStatus]]="Full"),1,IF(AND(tbl_daily[[#This Row],[Attendance Refined]]=1,tbl_daily[[#This Row],[InjuryStatus]]="Limited"),2,IF(AND(tbl_daily[[#This Row],[Attendance Refined]]=1,tbl_daily[[#This Row],[InjuryStatus]]="Out"),3,"")))</f>
        <v>2</v>
      </c>
    </row>
    <row r="145" spans="1:23" ht="15" customHeight="1" x14ac:dyDescent="0.25">
      <c r="A145" s="1">
        <v>43879</v>
      </c>
      <c r="B145" t="s">
        <v>424</v>
      </c>
      <c r="C145">
        <v>1</v>
      </c>
      <c r="E145">
        <v>6</v>
      </c>
      <c r="F145">
        <v>7</v>
      </c>
      <c r="G145">
        <v>5</v>
      </c>
      <c r="H145" t="s">
        <v>15</v>
      </c>
      <c r="I145">
        <v>1</v>
      </c>
      <c r="J145">
        <v>7</v>
      </c>
      <c r="K145">
        <v>30</v>
      </c>
      <c r="M145" t="s">
        <v>225</v>
      </c>
      <c r="N145" t="s">
        <v>237</v>
      </c>
      <c r="P145" s="3">
        <f>IFERROR(IF(AND(tbl_daily[[#This Row],[Attendance (1 = Here, 0 = Not here)]]=1,tbl_daily[[#This Row],[Attended, but did not complete data]]&lt;&gt;1),tbl_daily[[#This Row],[Stress]]+tbl_daily[[#This Row],[SleepQuality]]+tbl_daily[[#This Row],[Energy]],""),"")</f>
        <v>18</v>
      </c>
      <c r="Q145" s="3">
        <f>IFERROR(IF(AND(tbl_daily[[#This Row],[Attendance (1 = Here, 0 = Not here)]]=1,tbl_daily[[#This Row],[Attended, but did not complete data]]&lt;&gt;1),tbl_daily[[#This Row],[LatestRPE]]*tbl_daily[[#This Row],[LatestDuration]],""),"")</f>
        <v>210</v>
      </c>
      <c r="R145" s="3">
        <f>IF(tbl_daily[[#This Row],[CodeName]]&lt;&gt;"",1,"")</f>
        <v>1</v>
      </c>
      <c r="S145" s="3" t="str">
        <f>IF(AND(tbl_daily[[#This Row],[Date]]&gt;=DATE(2019,8,1),tbl_daily[[#This Row],[Date]]&lt;=DATE(2020,6,1)),"2019-2020")</f>
        <v>2019-2020</v>
      </c>
      <c r="T145" s="3" t="str">
        <f>IFERROR(INDEX(tbl_prof[Cohort of Interest],MATCH(tbl_daily[[#This Row],[CodeName]],tbl_prof[CodeName],0)),"")</f>
        <v>Special</v>
      </c>
      <c r="U145" s="3" t="str">
        <f>IFERROR(AVERAGEIFS(tbl_perf[Grade],tbl_perf[CodeName],tbl_daily[[#This Row],[CodeName]],tbl_perf[Date],tbl_daily[[#This Row],[Date]]),"")</f>
        <v/>
      </c>
      <c r="V145" s="3">
        <f>IFERROR(IF(AND(tbl_daily[[#This Row],[Attendance (1 = Here, 0 = Not here)]]=1,tbl_daily[[#This Row],[Attended, but did not complete data]]&lt;&gt;1),1,IF(AND(tbl_daily[[#This Row],[Attendance (1 = Here, 0 = Not here)]]=1,tbl_daily[[#This Row],[Attended, but did not complete data]]=1),2,3)),"")</f>
        <v>1</v>
      </c>
      <c r="W145" s="3">
        <f>IF(AND(tbl_daily[[#This Row],[Attendance Refined]]=1,tbl_daily[[#This Row],[InjuryStatus]]="Full"),1,IF(AND(tbl_daily[[#This Row],[Attendance Refined]]=1,tbl_daily[[#This Row],[InjuryStatus]]="Limited"),2,IF(AND(tbl_daily[[#This Row],[Attendance Refined]]=1,tbl_daily[[#This Row],[InjuryStatus]]="Out"),3,"")))</f>
        <v>1</v>
      </c>
    </row>
    <row r="146" spans="1:23" ht="15" customHeight="1" x14ac:dyDescent="0.25">
      <c r="A146" s="1">
        <v>43879</v>
      </c>
      <c r="B146" t="s">
        <v>422</v>
      </c>
      <c r="C146">
        <v>1</v>
      </c>
      <c r="E146">
        <v>6</v>
      </c>
      <c r="F146">
        <v>8</v>
      </c>
      <c r="G146">
        <v>7</v>
      </c>
      <c r="H146" t="s">
        <v>15</v>
      </c>
      <c r="I146">
        <v>1</v>
      </c>
      <c r="J146">
        <v>4</v>
      </c>
      <c r="K146">
        <v>60</v>
      </c>
      <c r="M146" t="s">
        <v>225</v>
      </c>
      <c r="N146" t="s">
        <v>235</v>
      </c>
      <c r="P146" s="3">
        <f>IFERROR(IF(AND(tbl_daily[[#This Row],[Attendance (1 = Here, 0 = Not here)]]=1,tbl_daily[[#This Row],[Attended, but did not complete data]]&lt;&gt;1),tbl_daily[[#This Row],[Stress]]+tbl_daily[[#This Row],[SleepQuality]]+tbl_daily[[#This Row],[Energy]],""),"")</f>
        <v>21</v>
      </c>
      <c r="Q146" s="3">
        <f>IFERROR(IF(AND(tbl_daily[[#This Row],[Attendance (1 = Here, 0 = Not here)]]=1,tbl_daily[[#This Row],[Attended, but did not complete data]]&lt;&gt;1),tbl_daily[[#This Row],[LatestRPE]]*tbl_daily[[#This Row],[LatestDuration]],""),"")</f>
        <v>240</v>
      </c>
      <c r="R146" s="3">
        <f>IF(tbl_daily[[#This Row],[CodeName]]&lt;&gt;"",1,"")</f>
        <v>1</v>
      </c>
      <c r="S146" s="3" t="str">
        <f>IF(AND(tbl_daily[[#This Row],[Date]]&gt;=DATE(2019,8,1),tbl_daily[[#This Row],[Date]]&lt;=DATE(2020,6,1)),"2019-2020")</f>
        <v>2019-2020</v>
      </c>
      <c r="T146" s="3" t="str">
        <f>IFERROR(INDEX(tbl_prof[Cohort of Interest],MATCH(tbl_daily[[#This Row],[CodeName]],tbl_prof[CodeName],0)),"")</f>
        <v>Athletes</v>
      </c>
      <c r="U146" s="3" t="str">
        <f>IFERROR(AVERAGEIFS(tbl_perf[Grade],tbl_perf[CodeName],tbl_daily[[#This Row],[CodeName]],tbl_perf[Date],tbl_daily[[#This Row],[Date]]),"")</f>
        <v/>
      </c>
      <c r="V146" s="3">
        <f>IFERROR(IF(AND(tbl_daily[[#This Row],[Attendance (1 = Here, 0 = Not here)]]=1,tbl_daily[[#This Row],[Attended, but did not complete data]]&lt;&gt;1),1,IF(AND(tbl_daily[[#This Row],[Attendance (1 = Here, 0 = Not here)]]=1,tbl_daily[[#This Row],[Attended, but did not complete data]]=1),2,3)),"")</f>
        <v>1</v>
      </c>
      <c r="W146" s="3">
        <f>IF(AND(tbl_daily[[#This Row],[Attendance Refined]]=1,tbl_daily[[#This Row],[InjuryStatus]]="Full"),1,IF(AND(tbl_daily[[#This Row],[Attendance Refined]]=1,tbl_daily[[#This Row],[InjuryStatus]]="Limited"),2,IF(AND(tbl_daily[[#This Row],[Attendance Refined]]=1,tbl_daily[[#This Row],[InjuryStatus]]="Out"),3,"")))</f>
        <v>1</v>
      </c>
    </row>
    <row r="147" spans="1:23" ht="15" customHeight="1" x14ac:dyDescent="0.25">
      <c r="A147" s="1">
        <v>43879</v>
      </c>
      <c r="B147" t="s">
        <v>425</v>
      </c>
      <c r="C147">
        <v>1</v>
      </c>
      <c r="E147">
        <v>5</v>
      </c>
      <c r="F147">
        <v>7</v>
      </c>
      <c r="G147">
        <v>8</v>
      </c>
      <c r="H147" t="s">
        <v>15</v>
      </c>
      <c r="I147">
        <v>1</v>
      </c>
      <c r="J147">
        <v>6</v>
      </c>
      <c r="K147">
        <v>40</v>
      </c>
      <c r="M147" t="s">
        <v>225</v>
      </c>
      <c r="N147" t="s">
        <v>238</v>
      </c>
      <c r="P147" s="3">
        <f>IFERROR(IF(AND(tbl_daily[[#This Row],[Attendance (1 = Here, 0 = Not here)]]=1,tbl_daily[[#This Row],[Attended, but did not complete data]]&lt;&gt;1),tbl_daily[[#This Row],[Stress]]+tbl_daily[[#This Row],[SleepQuality]]+tbl_daily[[#This Row],[Energy]],""),"")</f>
        <v>20</v>
      </c>
      <c r="Q147" s="3">
        <f>IFERROR(IF(AND(tbl_daily[[#This Row],[Attendance (1 = Here, 0 = Not here)]]=1,tbl_daily[[#This Row],[Attended, but did not complete data]]&lt;&gt;1),tbl_daily[[#This Row],[LatestRPE]]*tbl_daily[[#This Row],[LatestDuration]],""),"")</f>
        <v>240</v>
      </c>
      <c r="R147" s="3">
        <f>IF(tbl_daily[[#This Row],[CodeName]]&lt;&gt;"",1,"")</f>
        <v>1</v>
      </c>
      <c r="S147" s="3" t="str">
        <f>IF(AND(tbl_daily[[#This Row],[Date]]&gt;=DATE(2019,8,1),tbl_daily[[#This Row],[Date]]&lt;=DATE(2020,6,1)),"2019-2020")</f>
        <v>2019-2020</v>
      </c>
      <c r="T147" s="3" t="str">
        <f>IFERROR(INDEX(tbl_prof[Cohort of Interest],MATCH(tbl_daily[[#This Row],[CodeName]],tbl_prof[CodeName],0)),"")</f>
        <v>Athletes</v>
      </c>
      <c r="U147" s="3" t="str">
        <f>IFERROR(AVERAGEIFS(tbl_perf[Grade],tbl_perf[CodeName],tbl_daily[[#This Row],[CodeName]],tbl_perf[Date],tbl_daily[[#This Row],[Date]]),"")</f>
        <v/>
      </c>
      <c r="V147" s="3">
        <f>IFERROR(IF(AND(tbl_daily[[#This Row],[Attendance (1 = Here, 0 = Not here)]]=1,tbl_daily[[#This Row],[Attended, but did not complete data]]&lt;&gt;1),1,IF(AND(tbl_daily[[#This Row],[Attendance (1 = Here, 0 = Not here)]]=1,tbl_daily[[#This Row],[Attended, but did not complete data]]=1),2,3)),"")</f>
        <v>1</v>
      </c>
      <c r="W147" s="3">
        <f>IF(AND(tbl_daily[[#This Row],[Attendance Refined]]=1,tbl_daily[[#This Row],[InjuryStatus]]="Full"),1,IF(AND(tbl_daily[[#This Row],[Attendance Refined]]=1,tbl_daily[[#This Row],[InjuryStatus]]="Limited"),2,IF(AND(tbl_daily[[#This Row],[Attendance Refined]]=1,tbl_daily[[#This Row],[InjuryStatus]]="Out"),3,"")))</f>
        <v>1</v>
      </c>
    </row>
    <row r="148" spans="1:23" ht="15" customHeight="1" x14ac:dyDescent="0.25">
      <c r="A148" s="1">
        <v>43879</v>
      </c>
      <c r="B148" t="s">
        <v>434</v>
      </c>
      <c r="C148">
        <v>1</v>
      </c>
      <c r="E148">
        <v>7</v>
      </c>
      <c r="F148">
        <v>8</v>
      </c>
      <c r="G148">
        <v>6</v>
      </c>
      <c r="H148" t="s">
        <v>15</v>
      </c>
      <c r="I148">
        <v>1</v>
      </c>
      <c r="J148">
        <v>4</v>
      </c>
      <c r="K148">
        <v>60</v>
      </c>
      <c r="M148" t="s">
        <v>225</v>
      </c>
      <c r="N148" t="s">
        <v>243</v>
      </c>
      <c r="P148" s="3">
        <f>IFERROR(IF(AND(tbl_daily[[#This Row],[Attendance (1 = Here, 0 = Not here)]]=1,tbl_daily[[#This Row],[Attended, but did not complete data]]&lt;&gt;1),tbl_daily[[#This Row],[Stress]]+tbl_daily[[#This Row],[SleepQuality]]+tbl_daily[[#This Row],[Energy]],""),"")</f>
        <v>21</v>
      </c>
      <c r="Q148" s="3">
        <f>IFERROR(IF(AND(tbl_daily[[#This Row],[Attendance (1 = Here, 0 = Not here)]]=1,tbl_daily[[#This Row],[Attended, but did not complete data]]&lt;&gt;1),tbl_daily[[#This Row],[LatestRPE]]*tbl_daily[[#This Row],[LatestDuration]],""),"")</f>
        <v>240</v>
      </c>
      <c r="R148" s="3">
        <f>IF(tbl_daily[[#This Row],[CodeName]]&lt;&gt;"",1,"")</f>
        <v>1</v>
      </c>
      <c r="S148" s="3" t="str">
        <f>IF(AND(tbl_daily[[#This Row],[Date]]&gt;=DATE(2019,8,1),tbl_daily[[#This Row],[Date]]&lt;=DATE(2020,6,1)),"2019-2020")</f>
        <v>2019-2020</v>
      </c>
      <c r="T148" s="3" t="str">
        <f>IFERROR(INDEX(tbl_prof[Cohort of Interest],MATCH(tbl_daily[[#This Row],[CodeName]],tbl_prof[CodeName],0)),"")</f>
        <v>Athletes</v>
      </c>
      <c r="U148" s="3" t="str">
        <f>IFERROR(AVERAGEIFS(tbl_perf[Grade],tbl_perf[CodeName],tbl_daily[[#This Row],[CodeName]],tbl_perf[Date],tbl_daily[[#This Row],[Date]]),"")</f>
        <v/>
      </c>
      <c r="V148" s="3">
        <f>IFERROR(IF(AND(tbl_daily[[#This Row],[Attendance (1 = Here, 0 = Not here)]]=1,tbl_daily[[#This Row],[Attended, but did not complete data]]&lt;&gt;1),1,IF(AND(tbl_daily[[#This Row],[Attendance (1 = Here, 0 = Not here)]]=1,tbl_daily[[#This Row],[Attended, but did not complete data]]=1),2,3)),"")</f>
        <v>1</v>
      </c>
      <c r="W148" s="3">
        <f>IF(AND(tbl_daily[[#This Row],[Attendance Refined]]=1,tbl_daily[[#This Row],[InjuryStatus]]="Full"),1,IF(AND(tbl_daily[[#This Row],[Attendance Refined]]=1,tbl_daily[[#This Row],[InjuryStatus]]="Limited"),2,IF(AND(tbl_daily[[#This Row],[Attendance Refined]]=1,tbl_daily[[#This Row],[InjuryStatus]]="Out"),3,"")))</f>
        <v>1</v>
      </c>
    </row>
    <row r="149" spans="1:23" ht="15" customHeight="1" x14ac:dyDescent="0.25">
      <c r="A149" s="1">
        <v>43879</v>
      </c>
      <c r="B149" t="s">
        <v>413</v>
      </c>
      <c r="C149">
        <v>1</v>
      </c>
      <c r="E149">
        <v>4</v>
      </c>
      <c r="F149">
        <v>5</v>
      </c>
      <c r="G149">
        <v>4</v>
      </c>
      <c r="H149" t="s">
        <v>15</v>
      </c>
      <c r="I149">
        <v>1</v>
      </c>
      <c r="J149">
        <v>7</v>
      </c>
      <c r="K149">
        <v>45</v>
      </c>
      <c r="M149" t="s">
        <v>225</v>
      </c>
      <c r="N149" t="s">
        <v>228</v>
      </c>
      <c r="P149" s="3">
        <f>IFERROR(IF(AND(tbl_daily[[#This Row],[Attendance (1 = Here, 0 = Not here)]]=1,tbl_daily[[#This Row],[Attended, but did not complete data]]&lt;&gt;1),tbl_daily[[#This Row],[Stress]]+tbl_daily[[#This Row],[SleepQuality]]+tbl_daily[[#This Row],[Energy]],""),"")</f>
        <v>13</v>
      </c>
      <c r="Q149" s="3">
        <f>IFERROR(IF(AND(tbl_daily[[#This Row],[Attendance (1 = Here, 0 = Not here)]]=1,tbl_daily[[#This Row],[Attended, but did not complete data]]&lt;&gt;1),tbl_daily[[#This Row],[LatestRPE]]*tbl_daily[[#This Row],[LatestDuration]],""),"")</f>
        <v>315</v>
      </c>
      <c r="R149" s="3">
        <f>IF(tbl_daily[[#This Row],[CodeName]]&lt;&gt;"",1,"")</f>
        <v>1</v>
      </c>
      <c r="S149" s="3" t="str">
        <f>IF(AND(tbl_daily[[#This Row],[Date]]&gt;=DATE(2019,8,1),tbl_daily[[#This Row],[Date]]&lt;=DATE(2020,6,1)),"2019-2020")</f>
        <v>2019-2020</v>
      </c>
      <c r="T149" s="3" t="str">
        <f>IFERROR(INDEX(tbl_prof[Cohort of Interest],MATCH(tbl_daily[[#This Row],[CodeName]],tbl_prof[CodeName],0)),"")</f>
        <v>Youth</v>
      </c>
      <c r="U149" s="3" t="str">
        <f>IFERROR(AVERAGEIFS(tbl_perf[Grade],tbl_perf[CodeName],tbl_daily[[#This Row],[CodeName]],tbl_perf[Date],tbl_daily[[#This Row],[Date]]),"")</f>
        <v/>
      </c>
      <c r="V149" s="3">
        <f>IFERROR(IF(AND(tbl_daily[[#This Row],[Attendance (1 = Here, 0 = Not here)]]=1,tbl_daily[[#This Row],[Attended, but did not complete data]]&lt;&gt;1),1,IF(AND(tbl_daily[[#This Row],[Attendance (1 = Here, 0 = Not here)]]=1,tbl_daily[[#This Row],[Attended, but did not complete data]]=1),2,3)),"")</f>
        <v>1</v>
      </c>
      <c r="W149" s="3">
        <f>IF(AND(tbl_daily[[#This Row],[Attendance Refined]]=1,tbl_daily[[#This Row],[InjuryStatus]]="Full"),1,IF(AND(tbl_daily[[#This Row],[Attendance Refined]]=1,tbl_daily[[#This Row],[InjuryStatus]]="Limited"),2,IF(AND(tbl_daily[[#This Row],[Attendance Refined]]=1,tbl_daily[[#This Row],[InjuryStatus]]="Out"),3,"")))</f>
        <v>1</v>
      </c>
    </row>
    <row r="150" spans="1:23" ht="15" customHeight="1" x14ac:dyDescent="0.25">
      <c r="A150" s="1">
        <v>43879</v>
      </c>
      <c r="B150" t="s">
        <v>416</v>
      </c>
      <c r="C150">
        <v>1</v>
      </c>
      <c r="E150">
        <v>6</v>
      </c>
      <c r="F150">
        <v>7</v>
      </c>
      <c r="G150">
        <v>5</v>
      </c>
      <c r="H150" t="s">
        <v>32</v>
      </c>
      <c r="I150">
        <v>1</v>
      </c>
      <c r="J150">
        <v>8</v>
      </c>
      <c r="K150">
        <v>40</v>
      </c>
      <c r="M150" t="s">
        <v>225</v>
      </c>
      <c r="N150" t="s">
        <v>231</v>
      </c>
      <c r="P150" s="3">
        <f>IFERROR(IF(AND(tbl_daily[[#This Row],[Attendance (1 = Here, 0 = Not here)]]=1,tbl_daily[[#This Row],[Attended, but did not complete data]]&lt;&gt;1),tbl_daily[[#This Row],[Stress]]+tbl_daily[[#This Row],[SleepQuality]]+tbl_daily[[#This Row],[Energy]],""),"")</f>
        <v>18</v>
      </c>
      <c r="Q150" s="3">
        <f>IFERROR(IF(AND(tbl_daily[[#This Row],[Attendance (1 = Here, 0 = Not here)]]=1,tbl_daily[[#This Row],[Attended, but did not complete data]]&lt;&gt;1),tbl_daily[[#This Row],[LatestRPE]]*tbl_daily[[#This Row],[LatestDuration]],""),"")</f>
        <v>320</v>
      </c>
      <c r="R150" s="3">
        <f>IF(tbl_daily[[#This Row],[CodeName]]&lt;&gt;"",1,"")</f>
        <v>1</v>
      </c>
      <c r="S150" s="3" t="str">
        <f>IF(AND(tbl_daily[[#This Row],[Date]]&gt;=DATE(2019,8,1),tbl_daily[[#This Row],[Date]]&lt;=DATE(2020,6,1)),"2019-2020")</f>
        <v>2019-2020</v>
      </c>
      <c r="T150" s="3" t="str">
        <f>IFERROR(INDEX(tbl_prof[Cohort of Interest],MATCH(tbl_daily[[#This Row],[CodeName]],tbl_prof[CodeName],0)),"")</f>
        <v>Special</v>
      </c>
      <c r="U150" s="3" t="str">
        <f>IFERROR(AVERAGEIFS(tbl_perf[Grade],tbl_perf[CodeName],tbl_daily[[#This Row],[CodeName]],tbl_perf[Date],tbl_daily[[#This Row],[Date]]),"")</f>
        <v/>
      </c>
      <c r="V150" s="3">
        <f>IFERROR(IF(AND(tbl_daily[[#This Row],[Attendance (1 = Here, 0 = Not here)]]=1,tbl_daily[[#This Row],[Attended, but did not complete data]]&lt;&gt;1),1,IF(AND(tbl_daily[[#This Row],[Attendance (1 = Here, 0 = Not here)]]=1,tbl_daily[[#This Row],[Attended, but did not complete data]]=1),2,3)),"")</f>
        <v>1</v>
      </c>
      <c r="W150" s="3">
        <f>IF(AND(tbl_daily[[#This Row],[Attendance Refined]]=1,tbl_daily[[#This Row],[InjuryStatus]]="Full"),1,IF(AND(tbl_daily[[#This Row],[Attendance Refined]]=1,tbl_daily[[#This Row],[InjuryStatus]]="Limited"),2,IF(AND(tbl_daily[[#This Row],[Attendance Refined]]=1,tbl_daily[[#This Row],[InjuryStatus]]="Out"),3,"")))</f>
        <v>2</v>
      </c>
    </row>
    <row r="151" spans="1:23" ht="15" customHeight="1" x14ac:dyDescent="0.25">
      <c r="A151" s="1">
        <v>43879</v>
      </c>
      <c r="B151" t="s">
        <v>430</v>
      </c>
      <c r="C151">
        <v>1</v>
      </c>
      <c r="E151">
        <v>5</v>
      </c>
      <c r="F151">
        <v>7</v>
      </c>
      <c r="G151">
        <v>7</v>
      </c>
      <c r="H151" t="s">
        <v>15</v>
      </c>
      <c r="I151">
        <v>1</v>
      </c>
      <c r="J151">
        <v>6</v>
      </c>
      <c r="K151">
        <v>60</v>
      </c>
      <c r="M151" t="s">
        <v>225</v>
      </c>
      <c r="N151" t="s">
        <v>241</v>
      </c>
      <c r="P151" s="3">
        <f>IFERROR(IF(AND(tbl_daily[[#This Row],[Attendance (1 = Here, 0 = Not here)]]=1,tbl_daily[[#This Row],[Attended, but did not complete data]]&lt;&gt;1),tbl_daily[[#This Row],[Stress]]+tbl_daily[[#This Row],[SleepQuality]]+tbl_daily[[#This Row],[Energy]],""),"")</f>
        <v>19</v>
      </c>
      <c r="Q151" s="3">
        <f>IFERROR(IF(AND(tbl_daily[[#This Row],[Attendance (1 = Here, 0 = Not here)]]=1,tbl_daily[[#This Row],[Attended, but did not complete data]]&lt;&gt;1),tbl_daily[[#This Row],[LatestRPE]]*tbl_daily[[#This Row],[LatestDuration]],""),"")</f>
        <v>360</v>
      </c>
      <c r="R151" s="3">
        <f>IF(tbl_daily[[#This Row],[CodeName]]&lt;&gt;"",1,"")</f>
        <v>1</v>
      </c>
      <c r="S151" s="3" t="str">
        <f>IF(AND(tbl_daily[[#This Row],[Date]]&gt;=DATE(2019,8,1),tbl_daily[[#This Row],[Date]]&lt;=DATE(2020,6,1)),"2019-2020")</f>
        <v>2019-2020</v>
      </c>
      <c r="T151" s="3" t="str">
        <f>IFERROR(INDEX(tbl_prof[Cohort of Interest],MATCH(tbl_daily[[#This Row],[CodeName]],tbl_prof[CodeName],0)),"")</f>
        <v>Gen Pop</v>
      </c>
      <c r="U151" s="3" t="str">
        <f>IFERROR(AVERAGEIFS(tbl_perf[Grade],tbl_perf[CodeName],tbl_daily[[#This Row],[CodeName]],tbl_perf[Date],tbl_daily[[#This Row],[Date]]),"")</f>
        <v/>
      </c>
      <c r="V151" s="3">
        <f>IFERROR(IF(AND(tbl_daily[[#This Row],[Attendance (1 = Here, 0 = Not here)]]=1,tbl_daily[[#This Row],[Attended, but did not complete data]]&lt;&gt;1),1,IF(AND(tbl_daily[[#This Row],[Attendance (1 = Here, 0 = Not here)]]=1,tbl_daily[[#This Row],[Attended, but did not complete data]]=1),2,3)),"")</f>
        <v>1</v>
      </c>
      <c r="W151" s="3">
        <f>IF(AND(tbl_daily[[#This Row],[Attendance Refined]]=1,tbl_daily[[#This Row],[InjuryStatus]]="Full"),1,IF(AND(tbl_daily[[#This Row],[Attendance Refined]]=1,tbl_daily[[#This Row],[InjuryStatus]]="Limited"),2,IF(AND(tbl_daily[[#This Row],[Attendance Refined]]=1,tbl_daily[[#This Row],[InjuryStatus]]="Out"),3,"")))</f>
        <v>1</v>
      </c>
    </row>
    <row r="152" spans="1:23" ht="15" customHeight="1" x14ac:dyDescent="0.25">
      <c r="A152" s="1">
        <v>43879</v>
      </c>
      <c r="B152" t="s">
        <v>437</v>
      </c>
      <c r="C152">
        <v>1</v>
      </c>
      <c r="E152">
        <v>7</v>
      </c>
      <c r="F152">
        <v>6</v>
      </c>
      <c r="G152">
        <v>7</v>
      </c>
      <c r="H152" t="s">
        <v>15</v>
      </c>
      <c r="I152">
        <v>1</v>
      </c>
      <c r="J152">
        <v>3</v>
      </c>
      <c r="K152">
        <v>120</v>
      </c>
      <c r="M152" t="s">
        <v>225</v>
      </c>
      <c r="N152" t="s">
        <v>240</v>
      </c>
      <c r="P152" s="3">
        <f>IFERROR(IF(AND(tbl_daily[[#This Row],[Attendance (1 = Here, 0 = Not here)]]=1,tbl_daily[[#This Row],[Attended, but did not complete data]]&lt;&gt;1),tbl_daily[[#This Row],[Stress]]+tbl_daily[[#This Row],[SleepQuality]]+tbl_daily[[#This Row],[Energy]],""),"")</f>
        <v>20</v>
      </c>
      <c r="Q152" s="3">
        <f>IFERROR(IF(AND(tbl_daily[[#This Row],[Attendance (1 = Here, 0 = Not here)]]=1,tbl_daily[[#This Row],[Attended, but did not complete data]]&lt;&gt;1),tbl_daily[[#This Row],[LatestRPE]]*tbl_daily[[#This Row],[LatestDuration]],""),"")</f>
        <v>360</v>
      </c>
      <c r="R152" s="3">
        <f>IF(tbl_daily[[#This Row],[CodeName]]&lt;&gt;"",1,"")</f>
        <v>1</v>
      </c>
      <c r="S152" s="3" t="str">
        <f>IF(AND(tbl_daily[[#This Row],[Date]]&gt;=DATE(2019,8,1),tbl_daily[[#This Row],[Date]]&lt;=DATE(2020,6,1)),"2019-2020")</f>
        <v>2019-2020</v>
      </c>
      <c r="T152" s="3" t="str">
        <f>IFERROR(INDEX(tbl_prof[Cohort of Interest],MATCH(tbl_daily[[#This Row],[CodeName]],tbl_prof[CodeName],0)),"")</f>
        <v>Athletes</v>
      </c>
      <c r="U152" s="3" t="str">
        <f>IFERROR(AVERAGEIFS(tbl_perf[Grade],tbl_perf[CodeName],tbl_daily[[#This Row],[CodeName]],tbl_perf[Date],tbl_daily[[#This Row],[Date]]),"")</f>
        <v/>
      </c>
      <c r="V152" s="3">
        <f>IFERROR(IF(AND(tbl_daily[[#This Row],[Attendance (1 = Here, 0 = Not here)]]=1,tbl_daily[[#This Row],[Attended, but did not complete data]]&lt;&gt;1),1,IF(AND(tbl_daily[[#This Row],[Attendance (1 = Here, 0 = Not here)]]=1,tbl_daily[[#This Row],[Attended, but did not complete data]]=1),2,3)),"")</f>
        <v>1</v>
      </c>
      <c r="W152" s="3">
        <f>IF(AND(tbl_daily[[#This Row],[Attendance Refined]]=1,tbl_daily[[#This Row],[InjuryStatus]]="Full"),1,IF(AND(tbl_daily[[#This Row],[Attendance Refined]]=1,tbl_daily[[#This Row],[InjuryStatus]]="Limited"),2,IF(AND(tbl_daily[[#This Row],[Attendance Refined]]=1,tbl_daily[[#This Row],[InjuryStatus]]="Out"),3,"")))</f>
        <v>1</v>
      </c>
    </row>
    <row r="153" spans="1:23" ht="15" customHeight="1" x14ac:dyDescent="0.25">
      <c r="A153" s="1">
        <v>43879</v>
      </c>
      <c r="B153" t="s">
        <v>441</v>
      </c>
      <c r="C153">
        <v>1</v>
      </c>
      <c r="E153">
        <v>2</v>
      </c>
      <c r="F153">
        <v>3</v>
      </c>
      <c r="G153">
        <v>8</v>
      </c>
      <c r="H153" t="s">
        <v>15</v>
      </c>
      <c r="I153">
        <v>1</v>
      </c>
      <c r="J153">
        <v>5</v>
      </c>
      <c r="K153">
        <v>80</v>
      </c>
      <c r="M153" t="s">
        <v>225</v>
      </c>
      <c r="N153" t="s">
        <v>250</v>
      </c>
      <c r="P153" s="3">
        <f>IFERROR(IF(AND(tbl_daily[[#This Row],[Attendance (1 = Here, 0 = Not here)]]=1,tbl_daily[[#This Row],[Attended, but did not complete data]]&lt;&gt;1),tbl_daily[[#This Row],[Stress]]+tbl_daily[[#This Row],[SleepQuality]]+tbl_daily[[#This Row],[Energy]],""),"")</f>
        <v>13</v>
      </c>
      <c r="Q153" s="3">
        <f>IFERROR(IF(AND(tbl_daily[[#This Row],[Attendance (1 = Here, 0 = Not here)]]=1,tbl_daily[[#This Row],[Attended, but did not complete data]]&lt;&gt;1),tbl_daily[[#This Row],[LatestRPE]]*tbl_daily[[#This Row],[LatestDuration]],""),"")</f>
        <v>400</v>
      </c>
      <c r="R153" s="3">
        <f>IF(tbl_daily[[#This Row],[CodeName]]&lt;&gt;"",1,"")</f>
        <v>1</v>
      </c>
      <c r="S153" s="3" t="str">
        <f>IF(AND(tbl_daily[[#This Row],[Date]]&gt;=DATE(2019,8,1),tbl_daily[[#This Row],[Date]]&lt;=DATE(2020,6,1)),"2019-2020")</f>
        <v>2019-2020</v>
      </c>
      <c r="T153" s="3" t="str">
        <f>IFERROR(INDEX(tbl_prof[Cohort of Interest],MATCH(tbl_daily[[#This Row],[CodeName]],tbl_prof[CodeName],0)),"")</f>
        <v>Athletes</v>
      </c>
      <c r="U153" s="3" t="str">
        <f>IFERROR(AVERAGEIFS(tbl_perf[Grade],tbl_perf[CodeName],tbl_daily[[#This Row],[CodeName]],tbl_perf[Date],tbl_daily[[#This Row],[Date]]),"")</f>
        <v/>
      </c>
      <c r="V153" s="3">
        <f>IFERROR(IF(AND(tbl_daily[[#This Row],[Attendance (1 = Here, 0 = Not here)]]=1,tbl_daily[[#This Row],[Attended, but did not complete data]]&lt;&gt;1),1,IF(AND(tbl_daily[[#This Row],[Attendance (1 = Here, 0 = Not here)]]=1,tbl_daily[[#This Row],[Attended, but did not complete data]]=1),2,3)),"")</f>
        <v>1</v>
      </c>
      <c r="W153" s="3">
        <f>IF(AND(tbl_daily[[#This Row],[Attendance Refined]]=1,tbl_daily[[#This Row],[InjuryStatus]]="Full"),1,IF(AND(tbl_daily[[#This Row],[Attendance Refined]]=1,tbl_daily[[#This Row],[InjuryStatus]]="Limited"),2,IF(AND(tbl_daily[[#This Row],[Attendance Refined]]=1,tbl_daily[[#This Row],[InjuryStatus]]="Out"),3,"")))</f>
        <v>1</v>
      </c>
    </row>
    <row r="154" spans="1:23" ht="15" customHeight="1" x14ac:dyDescent="0.25">
      <c r="A154" s="1">
        <v>43879</v>
      </c>
      <c r="B154" t="s">
        <v>417</v>
      </c>
      <c r="C154">
        <v>1</v>
      </c>
      <c r="E154">
        <v>5</v>
      </c>
      <c r="F154">
        <v>8</v>
      </c>
      <c r="G154">
        <v>7</v>
      </c>
      <c r="H154" t="s">
        <v>15</v>
      </c>
      <c r="I154">
        <v>1</v>
      </c>
      <c r="J154">
        <v>7</v>
      </c>
      <c r="K154">
        <v>60</v>
      </c>
      <c r="M154" t="s">
        <v>225</v>
      </c>
      <c r="N154" t="s">
        <v>232</v>
      </c>
      <c r="P154" s="3">
        <f>IFERROR(IF(AND(tbl_daily[[#This Row],[Attendance (1 = Here, 0 = Not here)]]=1,tbl_daily[[#This Row],[Attended, but did not complete data]]&lt;&gt;1),tbl_daily[[#This Row],[Stress]]+tbl_daily[[#This Row],[SleepQuality]]+tbl_daily[[#This Row],[Energy]],""),"")</f>
        <v>20</v>
      </c>
      <c r="Q154" s="3">
        <f>IFERROR(IF(AND(tbl_daily[[#This Row],[Attendance (1 = Here, 0 = Not here)]]=1,tbl_daily[[#This Row],[Attended, but did not complete data]]&lt;&gt;1),tbl_daily[[#This Row],[LatestRPE]]*tbl_daily[[#This Row],[LatestDuration]],""),"")</f>
        <v>420</v>
      </c>
      <c r="R154" s="3">
        <f>IF(tbl_daily[[#This Row],[CodeName]]&lt;&gt;"",1,"")</f>
        <v>1</v>
      </c>
      <c r="S154" s="3" t="str">
        <f>IF(AND(tbl_daily[[#This Row],[Date]]&gt;=DATE(2019,8,1),tbl_daily[[#This Row],[Date]]&lt;=DATE(2020,6,1)),"2019-2020")</f>
        <v>2019-2020</v>
      </c>
      <c r="T154" s="3" t="str">
        <f>IFERROR(INDEX(tbl_prof[Cohort of Interest],MATCH(tbl_daily[[#This Row],[CodeName]],tbl_prof[CodeName],0)),"")</f>
        <v>Gen Pop</v>
      </c>
      <c r="U154" s="3" t="str">
        <f>IFERROR(AVERAGEIFS(tbl_perf[Grade],tbl_perf[CodeName],tbl_daily[[#This Row],[CodeName]],tbl_perf[Date],tbl_daily[[#This Row],[Date]]),"")</f>
        <v/>
      </c>
      <c r="V154" s="3">
        <f>IFERROR(IF(AND(tbl_daily[[#This Row],[Attendance (1 = Here, 0 = Not here)]]=1,tbl_daily[[#This Row],[Attended, but did not complete data]]&lt;&gt;1),1,IF(AND(tbl_daily[[#This Row],[Attendance (1 = Here, 0 = Not here)]]=1,tbl_daily[[#This Row],[Attended, but did not complete data]]=1),2,3)),"")</f>
        <v>1</v>
      </c>
      <c r="W154" s="3">
        <f>IF(AND(tbl_daily[[#This Row],[Attendance Refined]]=1,tbl_daily[[#This Row],[InjuryStatus]]="Full"),1,IF(AND(tbl_daily[[#This Row],[Attendance Refined]]=1,tbl_daily[[#This Row],[InjuryStatus]]="Limited"),2,IF(AND(tbl_daily[[#This Row],[Attendance Refined]]=1,tbl_daily[[#This Row],[InjuryStatus]]="Out"),3,"")))</f>
        <v>1</v>
      </c>
    </row>
    <row r="155" spans="1:23" ht="15" customHeight="1" x14ac:dyDescent="0.25">
      <c r="A155" s="1">
        <v>43879</v>
      </c>
      <c r="B155" t="s">
        <v>421</v>
      </c>
      <c r="C155">
        <v>1</v>
      </c>
      <c r="E155">
        <v>8</v>
      </c>
      <c r="F155">
        <v>6</v>
      </c>
      <c r="G155">
        <v>5</v>
      </c>
      <c r="H155" t="s">
        <v>15</v>
      </c>
      <c r="I155">
        <v>1</v>
      </c>
      <c r="J155">
        <v>7</v>
      </c>
      <c r="K155">
        <v>60</v>
      </c>
      <c r="M155" t="s">
        <v>225</v>
      </c>
      <c r="N155" t="s">
        <v>234</v>
      </c>
      <c r="P155" s="3">
        <f>IFERROR(IF(AND(tbl_daily[[#This Row],[Attendance (1 = Here, 0 = Not here)]]=1,tbl_daily[[#This Row],[Attended, but did not complete data]]&lt;&gt;1),tbl_daily[[#This Row],[Stress]]+tbl_daily[[#This Row],[SleepQuality]]+tbl_daily[[#This Row],[Energy]],""),"")</f>
        <v>19</v>
      </c>
      <c r="Q155" s="3">
        <f>IFERROR(IF(AND(tbl_daily[[#This Row],[Attendance (1 = Here, 0 = Not here)]]=1,tbl_daily[[#This Row],[Attended, but did not complete data]]&lt;&gt;1),tbl_daily[[#This Row],[LatestRPE]]*tbl_daily[[#This Row],[LatestDuration]],""),"")</f>
        <v>420</v>
      </c>
      <c r="R155" s="3">
        <f>IF(tbl_daily[[#This Row],[CodeName]]&lt;&gt;"",1,"")</f>
        <v>1</v>
      </c>
      <c r="S155" s="3" t="str">
        <f>IF(AND(tbl_daily[[#This Row],[Date]]&gt;=DATE(2019,8,1),tbl_daily[[#This Row],[Date]]&lt;=DATE(2020,6,1)),"2019-2020")</f>
        <v>2019-2020</v>
      </c>
      <c r="T155" s="3" t="str">
        <f>IFERROR(INDEX(tbl_prof[Cohort of Interest],MATCH(tbl_daily[[#This Row],[CodeName]],tbl_prof[CodeName],0)),"")</f>
        <v>Athletes</v>
      </c>
      <c r="U155" s="3" t="str">
        <f>IFERROR(AVERAGEIFS(tbl_perf[Grade],tbl_perf[CodeName],tbl_daily[[#This Row],[CodeName]],tbl_perf[Date],tbl_daily[[#This Row],[Date]]),"")</f>
        <v/>
      </c>
      <c r="V155" s="3">
        <f>IFERROR(IF(AND(tbl_daily[[#This Row],[Attendance (1 = Here, 0 = Not here)]]=1,tbl_daily[[#This Row],[Attended, but did not complete data]]&lt;&gt;1),1,IF(AND(tbl_daily[[#This Row],[Attendance (1 = Here, 0 = Not here)]]=1,tbl_daily[[#This Row],[Attended, but did not complete data]]=1),2,3)),"")</f>
        <v>1</v>
      </c>
      <c r="W155" s="3">
        <f>IF(AND(tbl_daily[[#This Row],[Attendance Refined]]=1,tbl_daily[[#This Row],[InjuryStatus]]="Full"),1,IF(AND(tbl_daily[[#This Row],[Attendance Refined]]=1,tbl_daily[[#This Row],[InjuryStatus]]="Limited"),2,IF(AND(tbl_daily[[#This Row],[Attendance Refined]]=1,tbl_daily[[#This Row],[InjuryStatus]]="Out"),3,"")))</f>
        <v>1</v>
      </c>
    </row>
    <row r="156" spans="1:23" ht="15" customHeight="1" x14ac:dyDescent="0.25">
      <c r="A156" s="1">
        <v>43879</v>
      </c>
      <c r="B156" t="s">
        <v>429</v>
      </c>
      <c r="C156">
        <v>1</v>
      </c>
      <c r="E156">
        <v>5</v>
      </c>
      <c r="F156">
        <v>3</v>
      </c>
      <c r="G156">
        <v>5</v>
      </c>
      <c r="H156" t="s">
        <v>15</v>
      </c>
      <c r="I156">
        <v>1</v>
      </c>
      <c r="J156">
        <v>8</v>
      </c>
      <c r="K156">
        <v>60</v>
      </c>
      <c r="M156" t="s">
        <v>225</v>
      </c>
      <c r="N156" t="s">
        <v>242</v>
      </c>
      <c r="P156" s="3">
        <f>IFERROR(IF(AND(tbl_daily[[#This Row],[Attendance (1 = Here, 0 = Not here)]]=1,tbl_daily[[#This Row],[Attended, but did not complete data]]&lt;&gt;1),tbl_daily[[#This Row],[Stress]]+tbl_daily[[#This Row],[SleepQuality]]+tbl_daily[[#This Row],[Energy]],""),"")</f>
        <v>13</v>
      </c>
      <c r="Q156" s="3">
        <f>IFERROR(IF(AND(tbl_daily[[#This Row],[Attendance (1 = Here, 0 = Not here)]]=1,tbl_daily[[#This Row],[Attended, but did not complete data]]&lt;&gt;1),tbl_daily[[#This Row],[LatestRPE]]*tbl_daily[[#This Row],[LatestDuration]],""),"")</f>
        <v>480</v>
      </c>
      <c r="R156" s="3">
        <f>IF(tbl_daily[[#This Row],[CodeName]]&lt;&gt;"",1,"")</f>
        <v>1</v>
      </c>
      <c r="S156" s="3" t="str">
        <f>IF(AND(tbl_daily[[#This Row],[Date]]&gt;=DATE(2019,8,1),tbl_daily[[#This Row],[Date]]&lt;=DATE(2020,6,1)),"2019-2020")</f>
        <v>2019-2020</v>
      </c>
      <c r="T156" s="3" t="str">
        <f>IFERROR(INDEX(tbl_prof[Cohort of Interest],MATCH(tbl_daily[[#This Row],[CodeName]],tbl_prof[CodeName],0)),"")</f>
        <v>Gen Pop</v>
      </c>
      <c r="U156" s="3" t="str">
        <f>IFERROR(AVERAGEIFS(tbl_perf[Grade],tbl_perf[CodeName],tbl_daily[[#This Row],[CodeName]],tbl_perf[Date],tbl_daily[[#This Row],[Date]]),"")</f>
        <v/>
      </c>
      <c r="V156" s="3">
        <f>IFERROR(IF(AND(tbl_daily[[#This Row],[Attendance (1 = Here, 0 = Not here)]]=1,tbl_daily[[#This Row],[Attended, but did not complete data]]&lt;&gt;1),1,IF(AND(tbl_daily[[#This Row],[Attendance (1 = Here, 0 = Not here)]]=1,tbl_daily[[#This Row],[Attended, but did not complete data]]=1),2,3)),"")</f>
        <v>1</v>
      </c>
      <c r="W156" s="3">
        <f>IF(AND(tbl_daily[[#This Row],[Attendance Refined]]=1,tbl_daily[[#This Row],[InjuryStatus]]="Full"),1,IF(AND(tbl_daily[[#This Row],[Attendance Refined]]=1,tbl_daily[[#This Row],[InjuryStatus]]="Limited"),2,IF(AND(tbl_daily[[#This Row],[Attendance Refined]]=1,tbl_daily[[#This Row],[InjuryStatus]]="Out"),3,"")))</f>
        <v>1</v>
      </c>
    </row>
    <row r="157" spans="1:23" ht="15" customHeight="1" x14ac:dyDescent="0.25">
      <c r="A157" s="1">
        <v>43879</v>
      </c>
      <c r="B157" t="s">
        <v>418</v>
      </c>
      <c r="C157">
        <v>1</v>
      </c>
      <c r="E157">
        <v>9</v>
      </c>
      <c r="F157">
        <v>9</v>
      </c>
      <c r="G157">
        <v>8</v>
      </c>
      <c r="H157" t="s">
        <v>32</v>
      </c>
      <c r="I157">
        <v>1</v>
      </c>
      <c r="J157">
        <v>6</v>
      </c>
      <c r="K157">
        <v>120</v>
      </c>
      <c r="M157" t="s">
        <v>225</v>
      </c>
      <c r="N157" t="s">
        <v>233</v>
      </c>
      <c r="P157" s="3">
        <f>IFERROR(IF(AND(tbl_daily[[#This Row],[Attendance (1 = Here, 0 = Not here)]]=1,tbl_daily[[#This Row],[Attended, but did not complete data]]&lt;&gt;1),tbl_daily[[#This Row],[Stress]]+tbl_daily[[#This Row],[SleepQuality]]+tbl_daily[[#This Row],[Energy]],""),"")</f>
        <v>26</v>
      </c>
      <c r="Q157" s="3">
        <f>IFERROR(IF(AND(tbl_daily[[#This Row],[Attendance (1 = Here, 0 = Not here)]]=1,tbl_daily[[#This Row],[Attended, but did not complete data]]&lt;&gt;1),tbl_daily[[#This Row],[LatestRPE]]*tbl_daily[[#This Row],[LatestDuration]],""),"")</f>
        <v>720</v>
      </c>
      <c r="R157" s="3">
        <f>IF(tbl_daily[[#This Row],[CodeName]]&lt;&gt;"",1,"")</f>
        <v>1</v>
      </c>
      <c r="S157" s="3" t="str">
        <f>IF(AND(tbl_daily[[#This Row],[Date]]&gt;=DATE(2019,8,1),tbl_daily[[#This Row],[Date]]&lt;=DATE(2020,6,1)),"2019-2020")</f>
        <v>2019-2020</v>
      </c>
      <c r="T157" s="3" t="str">
        <f>IFERROR(INDEX(tbl_prof[Cohort of Interest],MATCH(tbl_daily[[#This Row],[CodeName]],tbl_prof[CodeName],0)),"")</f>
        <v>Special</v>
      </c>
      <c r="U157" s="3" t="str">
        <f>IFERROR(AVERAGEIFS(tbl_perf[Grade],tbl_perf[CodeName],tbl_daily[[#This Row],[CodeName]],tbl_perf[Date],tbl_daily[[#This Row],[Date]]),"")</f>
        <v/>
      </c>
      <c r="V157" s="3">
        <f>IFERROR(IF(AND(tbl_daily[[#This Row],[Attendance (1 = Here, 0 = Not here)]]=1,tbl_daily[[#This Row],[Attended, but did not complete data]]&lt;&gt;1),1,IF(AND(tbl_daily[[#This Row],[Attendance (1 = Here, 0 = Not here)]]=1,tbl_daily[[#This Row],[Attended, but did not complete data]]=1),2,3)),"")</f>
        <v>1</v>
      </c>
      <c r="W157" s="3">
        <f>IF(AND(tbl_daily[[#This Row],[Attendance Refined]]=1,tbl_daily[[#This Row],[InjuryStatus]]="Full"),1,IF(AND(tbl_daily[[#This Row],[Attendance Refined]]=1,tbl_daily[[#This Row],[InjuryStatus]]="Limited"),2,IF(AND(tbl_daily[[#This Row],[Attendance Refined]]=1,tbl_daily[[#This Row],[InjuryStatus]]="Out"),3,"")))</f>
        <v>2</v>
      </c>
    </row>
    <row r="158" spans="1:23" ht="15" customHeight="1" x14ac:dyDescent="0.25">
      <c r="A158" s="1">
        <v>43879</v>
      </c>
      <c r="B158" t="s">
        <v>439</v>
      </c>
      <c r="C158">
        <v>1</v>
      </c>
      <c r="E158">
        <v>5</v>
      </c>
      <c r="F158">
        <v>5</v>
      </c>
      <c r="G158">
        <v>5</v>
      </c>
      <c r="H158" t="s">
        <v>32</v>
      </c>
      <c r="I158">
        <v>1</v>
      </c>
      <c r="J158">
        <v>6</v>
      </c>
      <c r="K158">
        <v>150</v>
      </c>
      <c r="M158" t="s">
        <v>225</v>
      </c>
      <c r="N158" t="s">
        <v>248</v>
      </c>
      <c r="P158" s="3">
        <f>IFERROR(IF(AND(tbl_daily[[#This Row],[Attendance (1 = Here, 0 = Not here)]]=1,tbl_daily[[#This Row],[Attended, but did not complete data]]&lt;&gt;1),tbl_daily[[#This Row],[Stress]]+tbl_daily[[#This Row],[SleepQuality]]+tbl_daily[[#This Row],[Energy]],""),"")</f>
        <v>15</v>
      </c>
      <c r="Q158" s="3">
        <f>IFERROR(IF(AND(tbl_daily[[#This Row],[Attendance (1 = Here, 0 = Not here)]]=1,tbl_daily[[#This Row],[Attended, but did not complete data]]&lt;&gt;1),tbl_daily[[#This Row],[LatestRPE]]*tbl_daily[[#This Row],[LatestDuration]],""),"")</f>
        <v>900</v>
      </c>
      <c r="R158" s="3">
        <f>IF(tbl_daily[[#This Row],[CodeName]]&lt;&gt;"",1,"")</f>
        <v>1</v>
      </c>
      <c r="S158" s="3" t="str">
        <f>IF(AND(tbl_daily[[#This Row],[Date]]&gt;=DATE(2019,8,1),tbl_daily[[#This Row],[Date]]&lt;=DATE(2020,6,1)),"2019-2020")</f>
        <v>2019-2020</v>
      </c>
      <c r="T158" s="3" t="str">
        <f>IFERROR(INDEX(tbl_prof[Cohort of Interest],MATCH(tbl_daily[[#This Row],[CodeName]],tbl_prof[CodeName],0)),"")</f>
        <v>Special</v>
      </c>
      <c r="U158" s="3" t="str">
        <f>IFERROR(AVERAGEIFS(tbl_perf[Grade],tbl_perf[CodeName],tbl_daily[[#This Row],[CodeName]],tbl_perf[Date],tbl_daily[[#This Row],[Date]]),"")</f>
        <v/>
      </c>
      <c r="V158" s="3">
        <f>IFERROR(IF(AND(tbl_daily[[#This Row],[Attendance (1 = Here, 0 = Not here)]]=1,tbl_daily[[#This Row],[Attended, but did not complete data]]&lt;&gt;1),1,IF(AND(tbl_daily[[#This Row],[Attendance (1 = Here, 0 = Not here)]]=1,tbl_daily[[#This Row],[Attended, but did not complete data]]=1),2,3)),"")</f>
        <v>1</v>
      </c>
      <c r="W158" s="3">
        <f>IF(AND(tbl_daily[[#This Row],[Attendance Refined]]=1,tbl_daily[[#This Row],[InjuryStatus]]="Full"),1,IF(AND(tbl_daily[[#This Row],[Attendance Refined]]=1,tbl_daily[[#This Row],[InjuryStatus]]="Limited"),2,IF(AND(tbl_daily[[#This Row],[Attendance Refined]]=1,tbl_daily[[#This Row],[InjuryStatus]]="Out"),3,"")))</f>
        <v>2</v>
      </c>
    </row>
    <row r="159" spans="1:23" ht="15" customHeight="1" x14ac:dyDescent="0.25">
      <c r="A159" s="1">
        <v>43879</v>
      </c>
      <c r="B159" t="s">
        <v>419</v>
      </c>
      <c r="C159">
        <v>0</v>
      </c>
      <c r="D159">
        <v>0</v>
      </c>
      <c r="M159" t="s">
        <v>225</v>
      </c>
      <c r="P159" s="3" t="str">
        <f>IFERROR(IF(AND(tbl_daily[[#This Row],[Attendance (1 = Here, 0 = Not here)]]=1,tbl_daily[[#This Row],[Attended, but did not complete data]]&lt;&gt;1),tbl_daily[[#This Row],[Stress]]+tbl_daily[[#This Row],[SleepQuality]]+tbl_daily[[#This Row],[Energy]],""),"")</f>
        <v/>
      </c>
      <c r="Q159" s="3" t="str">
        <f>IFERROR(IF(AND(tbl_daily[[#This Row],[Attendance (1 = Here, 0 = Not here)]]=1,tbl_daily[[#This Row],[Attended, but did not complete data]]&lt;&gt;1),tbl_daily[[#This Row],[LatestRPE]]*tbl_daily[[#This Row],[LatestDuration]],""),"")</f>
        <v/>
      </c>
      <c r="R159" s="3">
        <f>IF(tbl_daily[[#This Row],[CodeName]]&lt;&gt;"",1,"")</f>
        <v>1</v>
      </c>
      <c r="S159" s="3" t="str">
        <f>IF(AND(tbl_daily[[#This Row],[Date]]&gt;=DATE(2019,8,1),tbl_daily[[#This Row],[Date]]&lt;=DATE(2020,6,1)),"2019-2020")</f>
        <v>2019-2020</v>
      </c>
      <c r="T159" s="3" t="str">
        <f>IFERROR(INDEX(tbl_prof[Cohort of Interest],MATCH(tbl_daily[[#This Row],[CodeName]],tbl_prof[CodeName],0)),"")</f>
        <v>Youth</v>
      </c>
      <c r="U159" s="3" t="str">
        <f>IFERROR(AVERAGEIFS(tbl_perf[Grade],tbl_perf[CodeName],tbl_daily[[#This Row],[CodeName]],tbl_perf[Date],tbl_daily[[#This Row],[Date]]),"")</f>
        <v/>
      </c>
      <c r="V159" s="3">
        <f>IFERROR(IF(AND(tbl_daily[[#This Row],[Attendance (1 = Here, 0 = Not here)]]=1,tbl_daily[[#This Row],[Attended, but did not complete data]]&lt;&gt;1),1,IF(AND(tbl_daily[[#This Row],[Attendance (1 = Here, 0 = Not here)]]=1,tbl_daily[[#This Row],[Attended, but did not complete data]]=1),2,3)),"")</f>
        <v>3</v>
      </c>
      <c r="W159" s="3" t="str">
        <f>IF(AND(tbl_daily[[#This Row],[Attendance Refined]]=1,tbl_daily[[#This Row],[InjuryStatus]]="Full"),1,IF(AND(tbl_daily[[#This Row],[Attendance Refined]]=1,tbl_daily[[#This Row],[InjuryStatus]]="Limited"),2,IF(AND(tbl_daily[[#This Row],[Attendance Refined]]=1,tbl_daily[[#This Row],[InjuryStatus]]="Out"),3,"")))</f>
        <v/>
      </c>
    </row>
    <row r="160" spans="1:23" ht="15" customHeight="1" x14ac:dyDescent="0.25">
      <c r="A160" s="1">
        <v>43879</v>
      </c>
      <c r="B160" t="s">
        <v>420</v>
      </c>
      <c r="C160">
        <v>0</v>
      </c>
      <c r="D160">
        <v>0</v>
      </c>
      <c r="M160" t="s">
        <v>225</v>
      </c>
      <c r="P160" s="3" t="str">
        <f>IFERROR(IF(AND(tbl_daily[[#This Row],[Attendance (1 = Here, 0 = Not here)]]=1,tbl_daily[[#This Row],[Attended, but did not complete data]]&lt;&gt;1),tbl_daily[[#This Row],[Stress]]+tbl_daily[[#This Row],[SleepQuality]]+tbl_daily[[#This Row],[Energy]],""),"")</f>
        <v/>
      </c>
      <c r="Q160" s="3" t="str">
        <f>IFERROR(IF(AND(tbl_daily[[#This Row],[Attendance (1 = Here, 0 = Not here)]]=1,tbl_daily[[#This Row],[Attended, but did not complete data]]&lt;&gt;1),tbl_daily[[#This Row],[LatestRPE]]*tbl_daily[[#This Row],[LatestDuration]],""),"")</f>
        <v/>
      </c>
      <c r="R160" s="3">
        <f>IF(tbl_daily[[#This Row],[CodeName]]&lt;&gt;"",1,"")</f>
        <v>1</v>
      </c>
      <c r="S160" s="3" t="str">
        <f>IF(AND(tbl_daily[[#This Row],[Date]]&gt;=DATE(2019,8,1),tbl_daily[[#This Row],[Date]]&lt;=DATE(2020,6,1)),"2019-2020")</f>
        <v>2019-2020</v>
      </c>
      <c r="T160" s="3" t="str">
        <f>IFERROR(INDEX(tbl_prof[Cohort of Interest],MATCH(tbl_daily[[#This Row],[CodeName]],tbl_prof[CodeName],0)),"")</f>
        <v>Athletes</v>
      </c>
      <c r="U160" s="3" t="str">
        <f>IFERROR(AVERAGEIFS(tbl_perf[Grade],tbl_perf[CodeName],tbl_daily[[#This Row],[CodeName]],tbl_perf[Date],tbl_daily[[#This Row],[Date]]),"")</f>
        <v/>
      </c>
      <c r="V160" s="3">
        <f>IFERROR(IF(AND(tbl_daily[[#This Row],[Attendance (1 = Here, 0 = Not here)]]=1,tbl_daily[[#This Row],[Attended, but did not complete data]]&lt;&gt;1),1,IF(AND(tbl_daily[[#This Row],[Attendance (1 = Here, 0 = Not here)]]=1,tbl_daily[[#This Row],[Attended, but did not complete data]]=1),2,3)),"")</f>
        <v>3</v>
      </c>
      <c r="W160" s="3" t="str">
        <f>IF(AND(tbl_daily[[#This Row],[Attendance Refined]]=1,tbl_daily[[#This Row],[InjuryStatus]]="Full"),1,IF(AND(tbl_daily[[#This Row],[Attendance Refined]]=1,tbl_daily[[#This Row],[InjuryStatus]]="Limited"),2,IF(AND(tbl_daily[[#This Row],[Attendance Refined]]=1,tbl_daily[[#This Row],[InjuryStatus]]="Out"),3,"")))</f>
        <v/>
      </c>
    </row>
    <row r="161" spans="1:23" ht="15" customHeight="1" x14ac:dyDescent="0.25">
      <c r="A161" s="1">
        <v>43879</v>
      </c>
      <c r="B161" t="s">
        <v>426</v>
      </c>
      <c r="C161">
        <v>0</v>
      </c>
      <c r="D161">
        <v>1</v>
      </c>
      <c r="M161" t="s">
        <v>225</v>
      </c>
      <c r="P161" s="3" t="str">
        <f>IFERROR(IF(AND(tbl_daily[[#This Row],[Attendance (1 = Here, 0 = Not here)]]=1,tbl_daily[[#This Row],[Attended, but did not complete data]]&lt;&gt;1),tbl_daily[[#This Row],[Stress]]+tbl_daily[[#This Row],[SleepQuality]]+tbl_daily[[#This Row],[Energy]],""),"")</f>
        <v/>
      </c>
      <c r="Q161" s="3" t="str">
        <f>IFERROR(IF(AND(tbl_daily[[#This Row],[Attendance (1 = Here, 0 = Not here)]]=1,tbl_daily[[#This Row],[Attended, but did not complete data]]&lt;&gt;1),tbl_daily[[#This Row],[LatestRPE]]*tbl_daily[[#This Row],[LatestDuration]],""),"")</f>
        <v/>
      </c>
      <c r="R161" s="3">
        <f>IF(tbl_daily[[#This Row],[CodeName]]&lt;&gt;"",1,"")</f>
        <v>1</v>
      </c>
      <c r="S161" s="3" t="str">
        <f>IF(AND(tbl_daily[[#This Row],[Date]]&gt;=DATE(2019,8,1),tbl_daily[[#This Row],[Date]]&lt;=DATE(2020,6,1)),"2019-2020")</f>
        <v>2019-2020</v>
      </c>
      <c r="T161" s="3" t="str">
        <f>IFERROR(INDEX(tbl_prof[Cohort of Interest],MATCH(tbl_daily[[#This Row],[CodeName]],tbl_prof[CodeName],0)),"")</f>
        <v>Special</v>
      </c>
      <c r="U161" s="3" t="str">
        <f>IFERROR(AVERAGEIFS(tbl_perf[Grade],tbl_perf[CodeName],tbl_daily[[#This Row],[CodeName]],tbl_perf[Date],tbl_daily[[#This Row],[Date]]),"")</f>
        <v/>
      </c>
      <c r="V161" s="3">
        <f>IFERROR(IF(AND(tbl_daily[[#This Row],[Attendance (1 = Here, 0 = Not here)]]=1,tbl_daily[[#This Row],[Attended, but did not complete data]]&lt;&gt;1),1,IF(AND(tbl_daily[[#This Row],[Attendance (1 = Here, 0 = Not here)]]=1,tbl_daily[[#This Row],[Attended, but did not complete data]]=1),2,3)),"")</f>
        <v>3</v>
      </c>
      <c r="W161" s="3" t="str">
        <f>IF(AND(tbl_daily[[#This Row],[Attendance Refined]]=1,tbl_daily[[#This Row],[InjuryStatus]]="Full"),1,IF(AND(tbl_daily[[#This Row],[Attendance Refined]]=1,tbl_daily[[#This Row],[InjuryStatus]]="Limited"),2,IF(AND(tbl_daily[[#This Row],[Attendance Refined]]=1,tbl_daily[[#This Row],[InjuryStatus]]="Out"),3,"")))</f>
        <v/>
      </c>
    </row>
    <row r="162" spans="1:23" ht="15" customHeight="1" x14ac:dyDescent="0.25">
      <c r="A162" s="1">
        <v>43879</v>
      </c>
      <c r="B162" t="s">
        <v>436</v>
      </c>
      <c r="C162">
        <v>1</v>
      </c>
      <c r="M162" t="s">
        <v>225</v>
      </c>
      <c r="N162" s="2"/>
      <c r="O162">
        <v>1</v>
      </c>
      <c r="P162" s="3" t="str">
        <f>IFERROR(IF(AND(tbl_daily[[#This Row],[Attendance (1 = Here, 0 = Not here)]]=1,tbl_daily[[#This Row],[Attended, but did not complete data]]&lt;&gt;1),tbl_daily[[#This Row],[Stress]]+tbl_daily[[#This Row],[SleepQuality]]+tbl_daily[[#This Row],[Energy]],""),"")</f>
        <v/>
      </c>
      <c r="Q162" s="3" t="str">
        <f>IFERROR(IF(AND(tbl_daily[[#This Row],[Attendance (1 = Here, 0 = Not here)]]=1,tbl_daily[[#This Row],[Attended, but did not complete data]]&lt;&gt;1),tbl_daily[[#This Row],[LatestRPE]]*tbl_daily[[#This Row],[LatestDuration]],""),"")</f>
        <v/>
      </c>
      <c r="R162" s="3">
        <f>IF(tbl_daily[[#This Row],[CodeName]]&lt;&gt;"",1,"")</f>
        <v>1</v>
      </c>
      <c r="S162" s="3" t="str">
        <f>IF(AND(tbl_daily[[#This Row],[Date]]&gt;=DATE(2019,8,1),tbl_daily[[#This Row],[Date]]&lt;=DATE(2020,6,1)),"2019-2020")</f>
        <v>2019-2020</v>
      </c>
      <c r="T162" s="3" t="str">
        <f>IFERROR(INDEX(tbl_prof[Cohort of Interest],MATCH(tbl_daily[[#This Row],[CodeName]],tbl_prof[CodeName],0)),"")</f>
        <v>Athletes</v>
      </c>
      <c r="U162" s="3" t="str">
        <f>IFERROR(AVERAGEIFS(tbl_perf[Grade],tbl_perf[CodeName],tbl_daily[[#This Row],[CodeName]],tbl_perf[Date],tbl_daily[[#This Row],[Date]]),"")</f>
        <v/>
      </c>
      <c r="V162" s="3">
        <f>IFERROR(IF(AND(tbl_daily[[#This Row],[Attendance (1 = Here, 0 = Not here)]]=1,tbl_daily[[#This Row],[Attended, but did not complete data]]&lt;&gt;1),1,IF(AND(tbl_daily[[#This Row],[Attendance (1 = Here, 0 = Not here)]]=1,tbl_daily[[#This Row],[Attended, but did not complete data]]=1),2,3)),"")</f>
        <v>2</v>
      </c>
      <c r="W162" s="3" t="str">
        <f>IF(AND(tbl_daily[[#This Row],[Attendance Refined]]=1,tbl_daily[[#This Row],[InjuryStatus]]="Full"),1,IF(AND(tbl_daily[[#This Row],[Attendance Refined]]=1,tbl_daily[[#This Row],[InjuryStatus]]="Limited"),2,IF(AND(tbl_daily[[#This Row],[Attendance Refined]]=1,tbl_daily[[#This Row],[InjuryStatus]]="Out"),3,"")))</f>
        <v/>
      </c>
    </row>
    <row r="163" spans="1:23" ht="15" customHeight="1" x14ac:dyDescent="0.25">
      <c r="A163" s="1">
        <v>43879</v>
      </c>
      <c r="B163" t="s">
        <v>440</v>
      </c>
      <c r="C163">
        <v>0</v>
      </c>
      <c r="D163">
        <v>1</v>
      </c>
      <c r="M163" t="s">
        <v>225</v>
      </c>
      <c r="P163" s="3" t="str">
        <f>IFERROR(IF(AND(tbl_daily[[#This Row],[Attendance (1 = Here, 0 = Not here)]]=1,tbl_daily[[#This Row],[Attended, but did not complete data]]&lt;&gt;1),tbl_daily[[#This Row],[Stress]]+tbl_daily[[#This Row],[SleepQuality]]+tbl_daily[[#This Row],[Energy]],""),"")</f>
        <v/>
      </c>
      <c r="Q163" s="3" t="str">
        <f>IFERROR(IF(AND(tbl_daily[[#This Row],[Attendance (1 = Here, 0 = Not here)]]=1,tbl_daily[[#This Row],[Attended, but did not complete data]]&lt;&gt;1),tbl_daily[[#This Row],[LatestRPE]]*tbl_daily[[#This Row],[LatestDuration]],""),"")</f>
        <v/>
      </c>
      <c r="R163" s="3">
        <f>IF(tbl_daily[[#This Row],[CodeName]]&lt;&gt;"",1,"")</f>
        <v>1</v>
      </c>
      <c r="S163" s="3" t="str">
        <f>IF(AND(tbl_daily[[#This Row],[Date]]&gt;=DATE(2019,8,1),tbl_daily[[#This Row],[Date]]&lt;=DATE(2020,6,1)),"2019-2020")</f>
        <v>2019-2020</v>
      </c>
      <c r="T163" s="3" t="str">
        <f>IFERROR(INDEX(tbl_prof[Cohort of Interest],MATCH(tbl_daily[[#This Row],[CodeName]],tbl_prof[CodeName],0)),"")</f>
        <v>Youth</v>
      </c>
      <c r="U163" s="3" t="str">
        <f>IFERROR(AVERAGEIFS(tbl_perf[Grade],tbl_perf[CodeName],tbl_daily[[#This Row],[CodeName]],tbl_perf[Date],tbl_daily[[#This Row],[Date]]),"")</f>
        <v/>
      </c>
      <c r="V163" s="3">
        <f>IFERROR(IF(AND(tbl_daily[[#This Row],[Attendance (1 = Here, 0 = Not here)]]=1,tbl_daily[[#This Row],[Attended, but did not complete data]]&lt;&gt;1),1,IF(AND(tbl_daily[[#This Row],[Attendance (1 = Here, 0 = Not here)]]=1,tbl_daily[[#This Row],[Attended, but did not complete data]]=1),2,3)),"")</f>
        <v>3</v>
      </c>
      <c r="W163" s="3" t="str">
        <f>IF(AND(tbl_daily[[#This Row],[Attendance Refined]]=1,tbl_daily[[#This Row],[InjuryStatus]]="Full"),1,IF(AND(tbl_daily[[#This Row],[Attendance Refined]]=1,tbl_daily[[#This Row],[InjuryStatus]]="Limited"),2,IF(AND(tbl_daily[[#This Row],[Attendance Refined]]=1,tbl_daily[[#This Row],[InjuryStatus]]="Out"),3,"")))</f>
        <v/>
      </c>
    </row>
    <row r="164" spans="1:23" ht="15" customHeight="1" x14ac:dyDescent="0.25">
      <c r="A164" s="1">
        <v>43874</v>
      </c>
      <c r="B164" t="s">
        <v>411</v>
      </c>
      <c r="C164">
        <v>1</v>
      </c>
      <c r="E164">
        <v>6</v>
      </c>
      <c r="F164">
        <v>7</v>
      </c>
      <c r="G164">
        <v>6</v>
      </c>
      <c r="H164" t="s">
        <v>32</v>
      </c>
      <c r="I164">
        <v>0</v>
      </c>
      <c r="J164">
        <v>0</v>
      </c>
      <c r="K164">
        <v>0</v>
      </c>
      <c r="M164" t="s">
        <v>224</v>
      </c>
      <c r="N164" t="s">
        <v>190</v>
      </c>
      <c r="P164">
        <f>IFERROR(IF(AND(tbl_daily[[#This Row],[Attendance (1 = Here, 0 = Not here)]]=1,tbl_daily[[#This Row],[Attended, but did not complete data]]&lt;&gt;1),tbl_daily[[#This Row],[Stress]]+tbl_daily[[#This Row],[SleepQuality]]+tbl_daily[[#This Row],[Energy]],""),"")</f>
        <v>19</v>
      </c>
      <c r="Q164" s="3">
        <f>IFERROR(IF(AND(tbl_daily[[#This Row],[Attendance (1 = Here, 0 = Not here)]]=1,tbl_daily[[#This Row],[Attended, but did not complete data]]&lt;&gt;1),tbl_daily[[#This Row],[LatestRPE]]*tbl_daily[[#This Row],[LatestDuration]],""),"")</f>
        <v>0</v>
      </c>
      <c r="R164">
        <f>IF(tbl_daily[[#This Row],[CodeName]]&lt;&gt;"",1,"")</f>
        <v>1</v>
      </c>
      <c r="S164" s="3" t="str">
        <f>IF(AND(tbl_daily[[#This Row],[Date]]&gt;=DATE(2019,8,1),tbl_daily[[#This Row],[Date]]&lt;=DATE(2020,6,1)),"2019-2020")</f>
        <v>2019-2020</v>
      </c>
      <c r="T164" t="str">
        <f>IFERROR(INDEX(tbl_prof[Cohort of Interest],MATCH(tbl_daily[[#This Row],[CodeName]],tbl_prof[CodeName],0)),"")</f>
        <v>Athletes</v>
      </c>
      <c r="U164" t="str">
        <f>IFERROR(AVERAGEIFS(tbl_perf[Grade],tbl_perf[CodeName],tbl_daily[[#This Row],[CodeName]],tbl_perf[Date],tbl_daily[[#This Row],[Date]]),"")</f>
        <v/>
      </c>
      <c r="V164">
        <f>IFERROR(IF(AND(tbl_daily[[#This Row],[Attendance (1 = Here, 0 = Not here)]]=1,tbl_daily[[#This Row],[Attended, but did not complete data]]&lt;&gt;1),1,IF(AND(tbl_daily[[#This Row],[Attendance (1 = Here, 0 = Not here)]]=1,tbl_daily[[#This Row],[Attended, but did not complete data]]=1),2,3)),"")</f>
        <v>1</v>
      </c>
      <c r="W164">
        <f>IF(AND(tbl_daily[[#This Row],[Attendance Refined]]=1,tbl_daily[[#This Row],[InjuryStatus]]="Full"),1,IF(AND(tbl_daily[[#This Row],[Attendance Refined]]=1,tbl_daily[[#This Row],[InjuryStatus]]="Limited"),2,IF(AND(tbl_daily[[#This Row],[Attendance Refined]]=1,tbl_daily[[#This Row],[InjuryStatus]]="Out"),3,"")))</f>
        <v>2</v>
      </c>
    </row>
    <row r="165" spans="1:23" ht="15" customHeight="1" x14ac:dyDescent="0.25">
      <c r="A165" s="1">
        <v>43874</v>
      </c>
      <c r="B165" t="s">
        <v>417</v>
      </c>
      <c r="C165">
        <v>1</v>
      </c>
      <c r="E165">
        <v>8</v>
      </c>
      <c r="F165">
        <v>10</v>
      </c>
      <c r="G165">
        <v>7</v>
      </c>
      <c r="H165" t="s">
        <v>15</v>
      </c>
      <c r="I165">
        <v>0</v>
      </c>
      <c r="J165">
        <v>0</v>
      </c>
      <c r="K165">
        <v>0</v>
      </c>
      <c r="M165" t="s">
        <v>224</v>
      </c>
      <c r="N165" t="s">
        <v>196</v>
      </c>
      <c r="P165">
        <f>IFERROR(IF(AND(tbl_daily[[#This Row],[Attendance (1 = Here, 0 = Not here)]]=1,tbl_daily[[#This Row],[Attended, but did not complete data]]&lt;&gt;1),tbl_daily[[#This Row],[Stress]]+tbl_daily[[#This Row],[SleepQuality]]+tbl_daily[[#This Row],[Energy]],""),"")</f>
        <v>25</v>
      </c>
      <c r="Q165" s="3">
        <f>IFERROR(IF(AND(tbl_daily[[#This Row],[Attendance (1 = Here, 0 = Not here)]]=1,tbl_daily[[#This Row],[Attended, but did not complete data]]&lt;&gt;1),tbl_daily[[#This Row],[LatestRPE]]*tbl_daily[[#This Row],[LatestDuration]],""),"")</f>
        <v>0</v>
      </c>
      <c r="R165">
        <f>IF(tbl_daily[[#This Row],[CodeName]]&lt;&gt;"",1,"")</f>
        <v>1</v>
      </c>
      <c r="S165" s="3" t="str">
        <f>IF(AND(tbl_daily[[#This Row],[Date]]&gt;=DATE(2019,8,1),tbl_daily[[#This Row],[Date]]&lt;=DATE(2020,6,1)),"2019-2020")</f>
        <v>2019-2020</v>
      </c>
      <c r="T165" t="str">
        <f>IFERROR(INDEX(tbl_prof[Cohort of Interest],MATCH(tbl_daily[[#This Row],[CodeName]],tbl_prof[CodeName],0)),"")</f>
        <v>Gen Pop</v>
      </c>
      <c r="U165" t="str">
        <f>IFERROR(AVERAGEIFS(tbl_perf[Grade],tbl_perf[CodeName],tbl_daily[[#This Row],[CodeName]],tbl_perf[Date],tbl_daily[[#This Row],[Date]]),"")</f>
        <v/>
      </c>
      <c r="V165">
        <f>IFERROR(IF(AND(tbl_daily[[#This Row],[Attendance (1 = Here, 0 = Not here)]]=1,tbl_daily[[#This Row],[Attended, but did not complete data]]&lt;&gt;1),1,IF(AND(tbl_daily[[#This Row],[Attendance (1 = Here, 0 = Not here)]]=1,tbl_daily[[#This Row],[Attended, but did not complete data]]=1),2,3)),"")</f>
        <v>1</v>
      </c>
      <c r="W165">
        <f>IF(AND(tbl_daily[[#This Row],[Attendance Refined]]=1,tbl_daily[[#This Row],[InjuryStatus]]="Full"),1,IF(AND(tbl_daily[[#This Row],[Attendance Refined]]=1,tbl_daily[[#This Row],[InjuryStatus]]="Limited"),2,IF(AND(tbl_daily[[#This Row],[Attendance Refined]]=1,tbl_daily[[#This Row],[InjuryStatus]]="Out"),3,"")))</f>
        <v>1</v>
      </c>
    </row>
    <row r="166" spans="1:23" ht="15" customHeight="1" x14ac:dyDescent="0.25">
      <c r="A166" s="1">
        <v>43874</v>
      </c>
      <c r="B166" t="s">
        <v>418</v>
      </c>
      <c r="C166">
        <v>1</v>
      </c>
      <c r="E166">
        <v>9</v>
      </c>
      <c r="F166">
        <v>7</v>
      </c>
      <c r="G166">
        <v>8</v>
      </c>
      <c r="H166" t="s">
        <v>15</v>
      </c>
      <c r="I166">
        <v>0</v>
      </c>
      <c r="J166">
        <v>0</v>
      </c>
      <c r="K166">
        <v>0</v>
      </c>
      <c r="M166" t="s">
        <v>224</v>
      </c>
      <c r="N166" t="s">
        <v>197</v>
      </c>
      <c r="P166">
        <f>IFERROR(IF(AND(tbl_daily[[#This Row],[Attendance (1 = Here, 0 = Not here)]]=1,tbl_daily[[#This Row],[Attended, but did not complete data]]&lt;&gt;1),tbl_daily[[#This Row],[Stress]]+tbl_daily[[#This Row],[SleepQuality]]+tbl_daily[[#This Row],[Energy]],""),"")</f>
        <v>24</v>
      </c>
      <c r="Q166" s="3">
        <f>IFERROR(IF(AND(tbl_daily[[#This Row],[Attendance (1 = Here, 0 = Not here)]]=1,tbl_daily[[#This Row],[Attended, but did not complete data]]&lt;&gt;1),tbl_daily[[#This Row],[LatestRPE]]*tbl_daily[[#This Row],[LatestDuration]],""),"")</f>
        <v>0</v>
      </c>
      <c r="R166">
        <f>IF(tbl_daily[[#This Row],[CodeName]]&lt;&gt;"",1,"")</f>
        <v>1</v>
      </c>
      <c r="S166" s="3" t="str">
        <f>IF(AND(tbl_daily[[#This Row],[Date]]&gt;=DATE(2019,8,1),tbl_daily[[#This Row],[Date]]&lt;=DATE(2020,6,1)),"2019-2020")</f>
        <v>2019-2020</v>
      </c>
      <c r="T166" t="str">
        <f>IFERROR(INDEX(tbl_prof[Cohort of Interest],MATCH(tbl_daily[[#This Row],[CodeName]],tbl_prof[CodeName],0)),"")</f>
        <v>Special</v>
      </c>
      <c r="U166" t="str">
        <f>IFERROR(AVERAGEIFS(tbl_perf[Grade],tbl_perf[CodeName],tbl_daily[[#This Row],[CodeName]],tbl_perf[Date],tbl_daily[[#This Row],[Date]]),"")</f>
        <v/>
      </c>
      <c r="V166">
        <f>IFERROR(IF(AND(tbl_daily[[#This Row],[Attendance (1 = Here, 0 = Not here)]]=1,tbl_daily[[#This Row],[Attended, but did not complete data]]&lt;&gt;1),1,IF(AND(tbl_daily[[#This Row],[Attendance (1 = Here, 0 = Not here)]]=1,tbl_daily[[#This Row],[Attended, but did not complete data]]=1),2,3)),"")</f>
        <v>1</v>
      </c>
      <c r="W166">
        <f>IF(AND(tbl_daily[[#This Row],[Attendance Refined]]=1,tbl_daily[[#This Row],[InjuryStatus]]="Full"),1,IF(AND(tbl_daily[[#This Row],[Attendance Refined]]=1,tbl_daily[[#This Row],[InjuryStatus]]="Limited"),2,IF(AND(tbl_daily[[#This Row],[Attendance Refined]]=1,tbl_daily[[#This Row],[InjuryStatus]]="Out"),3,"")))</f>
        <v>1</v>
      </c>
    </row>
    <row r="167" spans="1:23" ht="15" customHeight="1" x14ac:dyDescent="0.25">
      <c r="A167" s="1">
        <v>43874</v>
      </c>
      <c r="B167" t="s">
        <v>424</v>
      </c>
      <c r="C167">
        <v>1</v>
      </c>
      <c r="E167">
        <v>7</v>
      </c>
      <c r="F167">
        <v>8</v>
      </c>
      <c r="G167">
        <v>7</v>
      </c>
      <c r="H167" t="s">
        <v>15</v>
      </c>
      <c r="I167">
        <v>0</v>
      </c>
      <c r="J167">
        <v>0</v>
      </c>
      <c r="K167">
        <v>0</v>
      </c>
      <c r="M167" t="s">
        <v>224</v>
      </c>
      <c r="N167" t="s">
        <v>203</v>
      </c>
      <c r="P167">
        <f>IFERROR(IF(AND(tbl_daily[[#This Row],[Attendance (1 = Here, 0 = Not here)]]=1,tbl_daily[[#This Row],[Attended, but did not complete data]]&lt;&gt;1),tbl_daily[[#This Row],[Stress]]+tbl_daily[[#This Row],[SleepQuality]]+tbl_daily[[#This Row],[Energy]],""),"")</f>
        <v>22</v>
      </c>
      <c r="Q167" s="3">
        <f>IFERROR(IF(AND(tbl_daily[[#This Row],[Attendance (1 = Here, 0 = Not here)]]=1,tbl_daily[[#This Row],[Attended, but did not complete data]]&lt;&gt;1),tbl_daily[[#This Row],[LatestRPE]]*tbl_daily[[#This Row],[LatestDuration]],""),"")</f>
        <v>0</v>
      </c>
      <c r="R167">
        <f>IF(tbl_daily[[#This Row],[CodeName]]&lt;&gt;"",1,"")</f>
        <v>1</v>
      </c>
      <c r="S167" s="3" t="str">
        <f>IF(AND(tbl_daily[[#This Row],[Date]]&gt;=DATE(2019,8,1),tbl_daily[[#This Row],[Date]]&lt;=DATE(2020,6,1)),"2019-2020")</f>
        <v>2019-2020</v>
      </c>
      <c r="T167" t="str">
        <f>IFERROR(INDEX(tbl_prof[Cohort of Interest],MATCH(tbl_daily[[#This Row],[CodeName]],tbl_prof[CodeName],0)),"")</f>
        <v>Special</v>
      </c>
      <c r="U167" t="str">
        <f>IFERROR(AVERAGEIFS(tbl_perf[Grade],tbl_perf[CodeName],tbl_daily[[#This Row],[CodeName]],tbl_perf[Date],tbl_daily[[#This Row],[Date]]),"")</f>
        <v/>
      </c>
      <c r="V167">
        <f>IFERROR(IF(AND(tbl_daily[[#This Row],[Attendance (1 = Here, 0 = Not here)]]=1,tbl_daily[[#This Row],[Attended, but did not complete data]]&lt;&gt;1),1,IF(AND(tbl_daily[[#This Row],[Attendance (1 = Here, 0 = Not here)]]=1,tbl_daily[[#This Row],[Attended, but did not complete data]]=1),2,3)),"")</f>
        <v>1</v>
      </c>
      <c r="W167">
        <f>IF(AND(tbl_daily[[#This Row],[Attendance Refined]]=1,tbl_daily[[#This Row],[InjuryStatus]]="Full"),1,IF(AND(tbl_daily[[#This Row],[Attendance Refined]]=1,tbl_daily[[#This Row],[InjuryStatus]]="Limited"),2,IF(AND(tbl_daily[[#This Row],[Attendance Refined]]=1,tbl_daily[[#This Row],[InjuryStatus]]="Out"),3,"")))</f>
        <v>1</v>
      </c>
    </row>
    <row r="168" spans="1:23" ht="15" customHeight="1" x14ac:dyDescent="0.25">
      <c r="A168" s="1">
        <v>43874</v>
      </c>
      <c r="B168" t="s">
        <v>429</v>
      </c>
      <c r="C168">
        <v>1</v>
      </c>
      <c r="E168">
        <v>6</v>
      </c>
      <c r="F168">
        <v>7</v>
      </c>
      <c r="G168">
        <v>7</v>
      </c>
      <c r="H168" t="s">
        <v>32</v>
      </c>
      <c r="I168">
        <v>0</v>
      </c>
      <c r="J168">
        <v>0</v>
      </c>
      <c r="K168">
        <v>0</v>
      </c>
      <c r="M168" t="s">
        <v>224</v>
      </c>
      <c r="N168" t="s">
        <v>209</v>
      </c>
      <c r="P168">
        <f>IFERROR(IF(AND(tbl_daily[[#This Row],[Attendance (1 = Here, 0 = Not here)]]=1,tbl_daily[[#This Row],[Attended, but did not complete data]]&lt;&gt;1),tbl_daily[[#This Row],[Stress]]+tbl_daily[[#This Row],[SleepQuality]]+tbl_daily[[#This Row],[Energy]],""),"")</f>
        <v>20</v>
      </c>
      <c r="Q168" s="3">
        <f>IFERROR(IF(AND(tbl_daily[[#This Row],[Attendance (1 = Here, 0 = Not here)]]=1,tbl_daily[[#This Row],[Attended, but did not complete data]]&lt;&gt;1),tbl_daily[[#This Row],[LatestRPE]]*tbl_daily[[#This Row],[LatestDuration]],""),"")</f>
        <v>0</v>
      </c>
      <c r="R168">
        <f>IF(tbl_daily[[#This Row],[CodeName]]&lt;&gt;"",1,"")</f>
        <v>1</v>
      </c>
      <c r="S168" s="3" t="str">
        <f>IF(AND(tbl_daily[[#This Row],[Date]]&gt;=DATE(2019,8,1),tbl_daily[[#This Row],[Date]]&lt;=DATE(2020,6,1)),"2019-2020")</f>
        <v>2019-2020</v>
      </c>
      <c r="T168" t="str">
        <f>IFERROR(INDEX(tbl_prof[Cohort of Interest],MATCH(tbl_daily[[#This Row],[CodeName]],tbl_prof[CodeName],0)),"")</f>
        <v>Gen Pop</v>
      </c>
      <c r="U168" t="str">
        <f>IFERROR(AVERAGEIFS(tbl_perf[Grade],tbl_perf[CodeName],tbl_daily[[#This Row],[CodeName]],tbl_perf[Date],tbl_daily[[#This Row],[Date]]),"")</f>
        <v/>
      </c>
      <c r="V168">
        <f>IFERROR(IF(AND(tbl_daily[[#This Row],[Attendance (1 = Here, 0 = Not here)]]=1,tbl_daily[[#This Row],[Attended, but did not complete data]]&lt;&gt;1),1,IF(AND(tbl_daily[[#This Row],[Attendance (1 = Here, 0 = Not here)]]=1,tbl_daily[[#This Row],[Attended, but did not complete data]]=1),2,3)),"")</f>
        <v>1</v>
      </c>
      <c r="W168">
        <f>IF(AND(tbl_daily[[#This Row],[Attendance Refined]]=1,tbl_daily[[#This Row],[InjuryStatus]]="Full"),1,IF(AND(tbl_daily[[#This Row],[Attendance Refined]]=1,tbl_daily[[#This Row],[InjuryStatus]]="Limited"),2,IF(AND(tbl_daily[[#This Row],[Attendance Refined]]=1,tbl_daily[[#This Row],[InjuryStatus]]="Out"),3,"")))</f>
        <v>2</v>
      </c>
    </row>
    <row r="169" spans="1:23" ht="15" customHeight="1" x14ac:dyDescent="0.25">
      <c r="A169" s="1">
        <v>43874</v>
      </c>
      <c r="B169" t="s">
        <v>440</v>
      </c>
      <c r="C169">
        <v>1</v>
      </c>
      <c r="E169">
        <v>8</v>
      </c>
      <c r="F169">
        <v>4</v>
      </c>
      <c r="G169">
        <v>4</v>
      </c>
      <c r="H169" t="s">
        <v>32</v>
      </c>
      <c r="I169">
        <v>0</v>
      </c>
      <c r="J169">
        <v>0</v>
      </c>
      <c r="K169">
        <v>0</v>
      </c>
      <c r="M169" t="s">
        <v>224</v>
      </c>
      <c r="N169" t="s">
        <v>217</v>
      </c>
      <c r="P169">
        <f>IFERROR(IF(AND(tbl_daily[[#This Row],[Attendance (1 = Here, 0 = Not here)]]=1,tbl_daily[[#This Row],[Attended, but did not complete data]]&lt;&gt;1),tbl_daily[[#This Row],[Stress]]+tbl_daily[[#This Row],[SleepQuality]]+tbl_daily[[#This Row],[Energy]],""),"")</f>
        <v>16</v>
      </c>
      <c r="Q169" s="3">
        <f>IFERROR(IF(AND(tbl_daily[[#This Row],[Attendance (1 = Here, 0 = Not here)]]=1,tbl_daily[[#This Row],[Attended, but did not complete data]]&lt;&gt;1),tbl_daily[[#This Row],[LatestRPE]]*tbl_daily[[#This Row],[LatestDuration]],""),"")</f>
        <v>0</v>
      </c>
      <c r="R169">
        <f>IF(tbl_daily[[#This Row],[CodeName]]&lt;&gt;"",1,"")</f>
        <v>1</v>
      </c>
      <c r="S169" s="3" t="str">
        <f>IF(AND(tbl_daily[[#This Row],[Date]]&gt;=DATE(2019,8,1),tbl_daily[[#This Row],[Date]]&lt;=DATE(2020,6,1)),"2019-2020")</f>
        <v>2019-2020</v>
      </c>
      <c r="T169" t="str">
        <f>IFERROR(INDEX(tbl_prof[Cohort of Interest],MATCH(tbl_daily[[#This Row],[CodeName]],tbl_prof[CodeName],0)),"")</f>
        <v>Youth</v>
      </c>
      <c r="U169" t="str">
        <f>IFERROR(AVERAGEIFS(tbl_perf[Grade],tbl_perf[CodeName],tbl_daily[[#This Row],[CodeName]],tbl_perf[Date],tbl_daily[[#This Row],[Date]]),"")</f>
        <v/>
      </c>
      <c r="V169">
        <f>IFERROR(IF(AND(tbl_daily[[#This Row],[Attendance (1 = Here, 0 = Not here)]]=1,tbl_daily[[#This Row],[Attended, but did not complete data]]&lt;&gt;1),1,IF(AND(tbl_daily[[#This Row],[Attendance (1 = Here, 0 = Not here)]]=1,tbl_daily[[#This Row],[Attended, but did not complete data]]=1),2,3)),"")</f>
        <v>1</v>
      </c>
      <c r="W169">
        <f>IF(AND(tbl_daily[[#This Row],[Attendance Refined]]=1,tbl_daily[[#This Row],[InjuryStatus]]="Full"),1,IF(AND(tbl_daily[[#This Row],[Attendance Refined]]=1,tbl_daily[[#This Row],[InjuryStatus]]="Limited"),2,IF(AND(tbl_daily[[#This Row],[Attendance Refined]]=1,tbl_daily[[#This Row],[InjuryStatus]]="Out"),3,"")))</f>
        <v>2</v>
      </c>
    </row>
    <row r="170" spans="1:23" ht="15" customHeight="1" x14ac:dyDescent="0.25">
      <c r="A170" s="1">
        <v>43874</v>
      </c>
      <c r="B170" t="s">
        <v>412</v>
      </c>
      <c r="C170">
        <v>1</v>
      </c>
      <c r="E170">
        <v>6</v>
      </c>
      <c r="F170">
        <v>0</v>
      </c>
      <c r="G170">
        <v>4</v>
      </c>
      <c r="H170" t="s">
        <v>15</v>
      </c>
      <c r="I170">
        <v>1</v>
      </c>
      <c r="J170">
        <v>4</v>
      </c>
      <c r="K170">
        <v>15</v>
      </c>
      <c r="M170" t="s">
        <v>224</v>
      </c>
      <c r="N170" t="s">
        <v>191</v>
      </c>
      <c r="P170">
        <f>IFERROR(IF(AND(tbl_daily[[#This Row],[Attendance (1 = Here, 0 = Not here)]]=1,tbl_daily[[#This Row],[Attended, but did not complete data]]&lt;&gt;1),tbl_daily[[#This Row],[Stress]]+tbl_daily[[#This Row],[SleepQuality]]+tbl_daily[[#This Row],[Energy]],""),"")</f>
        <v>10</v>
      </c>
      <c r="Q170" s="3">
        <f>IFERROR(IF(AND(tbl_daily[[#This Row],[Attendance (1 = Here, 0 = Not here)]]=1,tbl_daily[[#This Row],[Attended, but did not complete data]]&lt;&gt;1),tbl_daily[[#This Row],[LatestRPE]]*tbl_daily[[#This Row],[LatestDuration]],""),"")</f>
        <v>60</v>
      </c>
      <c r="R170">
        <f>IF(tbl_daily[[#This Row],[CodeName]]&lt;&gt;"",1,"")</f>
        <v>1</v>
      </c>
      <c r="S170" s="3" t="str">
        <f>IF(AND(tbl_daily[[#This Row],[Date]]&gt;=DATE(2019,8,1),tbl_daily[[#This Row],[Date]]&lt;=DATE(2020,6,1)),"2019-2020")</f>
        <v>2019-2020</v>
      </c>
      <c r="T170" t="str">
        <f>IFERROR(INDEX(tbl_prof[Cohort of Interest],MATCH(tbl_daily[[#This Row],[CodeName]],tbl_prof[CodeName],0)),"")</f>
        <v>Gen Pop</v>
      </c>
      <c r="U170" t="str">
        <f>IFERROR(AVERAGEIFS(tbl_perf[Grade],tbl_perf[CodeName],tbl_daily[[#This Row],[CodeName]],tbl_perf[Date],tbl_daily[[#This Row],[Date]]),"")</f>
        <v/>
      </c>
      <c r="V170">
        <f>IFERROR(IF(AND(tbl_daily[[#This Row],[Attendance (1 = Here, 0 = Not here)]]=1,tbl_daily[[#This Row],[Attended, but did not complete data]]&lt;&gt;1),1,IF(AND(tbl_daily[[#This Row],[Attendance (1 = Here, 0 = Not here)]]=1,tbl_daily[[#This Row],[Attended, but did not complete data]]=1),2,3)),"")</f>
        <v>1</v>
      </c>
      <c r="W170">
        <f>IF(AND(tbl_daily[[#This Row],[Attendance Refined]]=1,tbl_daily[[#This Row],[InjuryStatus]]="Full"),1,IF(AND(tbl_daily[[#This Row],[Attendance Refined]]=1,tbl_daily[[#This Row],[InjuryStatus]]="Limited"),2,IF(AND(tbl_daily[[#This Row],[Attendance Refined]]=1,tbl_daily[[#This Row],[InjuryStatus]]="Out"),3,"")))</f>
        <v>1</v>
      </c>
    </row>
    <row r="171" spans="1:23" ht="15" customHeight="1" x14ac:dyDescent="0.25">
      <c r="A171" s="1">
        <v>43874</v>
      </c>
      <c r="B171" t="s">
        <v>419</v>
      </c>
      <c r="C171">
        <v>1</v>
      </c>
      <c r="E171">
        <v>7</v>
      </c>
      <c r="F171">
        <v>5</v>
      </c>
      <c r="G171">
        <v>3</v>
      </c>
      <c r="H171" t="s">
        <v>15</v>
      </c>
      <c r="I171">
        <v>1</v>
      </c>
      <c r="J171">
        <v>3</v>
      </c>
      <c r="K171">
        <v>30</v>
      </c>
      <c r="M171" t="s">
        <v>224</v>
      </c>
      <c r="N171" t="s">
        <v>198</v>
      </c>
      <c r="P171">
        <f>IFERROR(IF(AND(tbl_daily[[#This Row],[Attendance (1 = Here, 0 = Not here)]]=1,tbl_daily[[#This Row],[Attended, but did not complete data]]&lt;&gt;1),tbl_daily[[#This Row],[Stress]]+tbl_daily[[#This Row],[SleepQuality]]+tbl_daily[[#This Row],[Energy]],""),"")</f>
        <v>15</v>
      </c>
      <c r="Q171" s="3">
        <f>IFERROR(IF(AND(tbl_daily[[#This Row],[Attendance (1 = Here, 0 = Not here)]]=1,tbl_daily[[#This Row],[Attended, but did not complete data]]&lt;&gt;1),tbl_daily[[#This Row],[LatestRPE]]*tbl_daily[[#This Row],[LatestDuration]],""),"")</f>
        <v>90</v>
      </c>
      <c r="R171">
        <f>IF(tbl_daily[[#This Row],[CodeName]]&lt;&gt;"",1,"")</f>
        <v>1</v>
      </c>
      <c r="S171" s="3" t="str">
        <f>IF(AND(tbl_daily[[#This Row],[Date]]&gt;=DATE(2019,8,1),tbl_daily[[#This Row],[Date]]&lt;=DATE(2020,6,1)),"2019-2020")</f>
        <v>2019-2020</v>
      </c>
      <c r="T171" t="str">
        <f>IFERROR(INDEX(tbl_prof[Cohort of Interest],MATCH(tbl_daily[[#This Row],[CodeName]],tbl_prof[CodeName],0)),"")</f>
        <v>Youth</v>
      </c>
      <c r="U171" t="str">
        <f>IFERROR(AVERAGEIFS(tbl_perf[Grade],tbl_perf[CodeName],tbl_daily[[#This Row],[CodeName]],tbl_perf[Date],tbl_daily[[#This Row],[Date]]),"")</f>
        <v/>
      </c>
      <c r="V171">
        <f>IFERROR(IF(AND(tbl_daily[[#This Row],[Attendance (1 = Here, 0 = Not here)]]=1,tbl_daily[[#This Row],[Attended, but did not complete data]]&lt;&gt;1),1,IF(AND(tbl_daily[[#This Row],[Attendance (1 = Here, 0 = Not here)]]=1,tbl_daily[[#This Row],[Attended, but did not complete data]]=1),2,3)),"")</f>
        <v>1</v>
      </c>
      <c r="W171">
        <f>IF(AND(tbl_daily[[#This Row],[Attendance Refined]]=1,tbl_daily[[#This Row],[InjuryStatus]]="Full"),1,IF(AND(tbl_daily[[#This Row],[Attendance Refined]]=1,tbl_daily[[#This Row],[InjuryStatus]]="Limited"),2,IF(AND(tbl_daily[[#This Row],[Attendance Refined]]=1,tbl_daily[[#This Row],[InjuryStatus]]="Out"),3,"")))</f>
        <v>1</v>
      </c>
    </row>
    <row r="172" spans="1:23" ht="15" customHeight="1" x14ac:dyDescent="0.25">
      <c r="A172" s="1">
        <v>43874</v>
      </c>
      <c r="B172" t="s">
        <v>433</v>
      </c>
      <c r="C172">
        <v>1</v>
      </c>
      <c r="E172">
        <v>7</v>
      </c>
      <c r="F172">
        <v>8</v>
      </c>
      <c r="G172">
        <v>8</v>
      </c>
      <c r="H172" t="s">
        <v>32</v>
      </c>
      <c r="I172">
        <v>1</v>
      </c>
      <c r="J172">
        <v>3</v>
      </c>
      <c r="K172">
        <v>30</v>
      </c>
      <c r="M172" t="s">
        <v>224</v>
      </c>
      <c r="N172" t="s">
        <v>216</v>
      </c>
      <c r="P172">
        <f>IFERROR(IF(AND(tbl_daily[[#This Row],[Attendance (1 = Here, 0 = Not here)]]=1,tbl_daily[[#This Row],[Attended, but did not complete data]]&lt;&gt;1),tbl_daily[[#This Row],[Stress]]+tbl_daily[[#This Row],[SleepQuality]]+tbl_daily[[#This Row],[Energy]],""),"")</f>
        <v>23</v>
      </c>
      <c r="Q172" s="3">
        <f>IFERROR(IF(AND(tbl_daily[[#This Row],[Attendance (1 = Here, 0 = Not here)]]=1,tbl_daily[[#This Row],[Attended, but did not complete data]]&lt;&gt;1),tbl_daily[[#This Row],[LatestRPE]]*tbl_daily[[#This Row],[LatestDuration]],""),"")</f>
        <v>90</v>
      </c>
      <c r="R172">
        <f>IF(tbl_daily[[#This Row],[CodeName]]&lt;&gt;"",1,"")</f>
        <v>1</v>
      </c>
      <c r="S172" s="3" t="str">
        <f>IF(AND(tbl_daily[[#This Row],[Date]]&gt;=DATE(2019,8,1),tbl_daily[[#This Row],[Date]]&lt;=DATE(2020,6,1)),"2019-2020")</f>
        <v>2019-2020</v>
      </c>
      <c r="T172" t="str">
        <f>IFERROR(INDEX(tbl_prof[Cohort of Interest],MATCH(tbl_daily[[#This Row],[CodeName]],tbl_prof[CodeName],0)),"")</f>
        <v>Athletes</v>
      </c>
      <c r="U172" t="str">
        <f>IFERROR(AVERAGEIFS(tbl_perf[Grade],tbl_perf[CodeName],tbl_daily[[#This Row],[CodeName]],tbl_perf[Date],tbl_daily[[#This Row],[Date]]),"")</f>
        <v/>
      </c>
      <c r="V172">
        <f>IFERROR(IF(AND(tbl_daily[[#This Row],[Attendance (1 = Here, 0 = Not here)]]=1,tbl_daily[[#This Row],[Attended, but did not complete data]]&lt;&gt;1),1,IF(AND(tbl_daily[[#This Row],[Attendance (1 = Here, 0 = Not here)]]=1,tbl_daily[[#This Row],[Attended, but did not complete data]]=1),2,3)),"")</f>
        <v>1</v>
      </c>
      <c r="W172">
        <f>IF(AND(tbl_daily[[#This Row],[Attendance Refined]]=1,tbl_daily[[#This Row],[InjuryStatus]]="Full"),1,IF(AND(tbl_daily[[#This Row],[Attendance Refined]]=1,tbl_daily[[#This Row],[InjuryStatus]]="Limited"),2,IF(AND(tbl_daily[[#This Row],[Attendance Refined]]=1,tbl_daily[[#This Row],[InjuryStatus]]="Out"),3,"")))</f>
        <v>2</v>
      </c>
    </row>
    <row r="173" spans="1:23" ht="15" customHeight="1" x14ac:dyDescent="0.25">
      <c r="A173" s="1">
        <v>43874</v>
      </c>
      <c r="B173" t="s">
        <v>414</v>
      </c>
      <c r="C173">
        <v>1</v>
      </c>
      <c r="E173">
        <v>5</v>
      </c>
      <c r="F173">
        <v>8</v>
      </c>
      <c r="G173">
        <v>8</v>
      </c>
      <c r="H173" t="s">
        <v>15</v>
      </c>
      <c r="I173">
        <v>1</v>
      </c>
      <c r="J173">
        <v>5</v>
      </c>
      <c r="K173">
        <v>20</v>
      </c>
      <c r="M173" t="s">
        <v>224</v>
      </c>
      <c r="N173" t="s">
        <v>193</v>
      </c>
      <c r="P173">
        <f>IFERROR(IF(AND(tbl_daily[[#This Row],[Attendance (1 = Here, 0 = Not here)]]=1,tbl_daily[[#This Row],[Attended, but did not complete data]]&lt;&gt;1),tbl_daily[[#This Row],[Stress]]+tbl_daily[[#This Row],[SleepQuality]]+tbl_daily[[#This Row],[Energy]],""),"")</f>
        <v>21</v>
      </c>
      <c r="Q173" s="3">
        <f>IFERROR(IF(AND(tbl_daily[[#This Row],[Attendance (1 = Here, 0 = Not here)]]=1,tbl_daily[[#This Row],[Attended, but did not complete data]]&lt;&gt;1),tbl_daily[[#This Row],[LatestRPE]]*tbl_daily[[#This Row],[LatestDuration]],""),"")</f>
        <v>100</v>
      </c>
      <c r="R173">
        <f>IF(tbl_daily[[#This Row],[CodeName]]&lt;&gt;"",1,"")</f>
        <v>1</v>
      </c>
      <c r="S173" s="3" t="str">
        <f>IF(AND(tbl_daily[[#This Row],[Date]]&gt;=DATE(2019,8,1),tbl_daily[[#This Row],[Date]]&lt;=DATE(2020,6,1)),"2019-2020")</f>
        <v>2019-2020</v>
      </c>
      <c r="T173" t="str">
        <f>IFERROR(INDEX(tbl_prof[Cohort of Interest],MATCH(tbl_daily[[#This Row],[CodeName]],tbl_prof[CodeName],0)),"")</f>
        <v>Gen Pop</v>
      </c>
      <c r="U173" t="str">
        <f>IFERROR(AVERAGEIFS(tbl_perf[Grade],tbl_perf[CodeName],tbl_daily[[#This Row],[CodeName]],tbl_perf[Date],tbl_daily[[#This Row],[Date]]),"")</f>
        <v/>
      </c>
      <c r="V173">
        <f>IFERROR(IF(AND(tbl_daily[[#This Row],[Attendance (1 = Here, 0 = Not here)]]=1,tbl_daily[[#This Row],[Attended, but did not complete data]]&lt;&gt;1),1,IF(AND(tbl_daily[[#This Row],[Attendance (1 = Here, 0 = Not here)]]=1,tbl_daily[[#This Row],[Attended, but did not complete data]]=1),2,3)),"")</f>
        <v>1</v>
      </c>
      <c r="W173">
        <f>IF(AND(tbl_daily[[#This Row],[Attendance Refined]]=1,tbl_daily[[#This Row],[InjuryStatus]]="Full"),1,IF(AND(tbl_daily[[#This Row],[Attendance Refined]]=1,tbl_daily[[#This Row],[InjuryStatus]]="Limited"),2,IF(AND(tbl_daily[[#This Row],[Attendance Refined]]=1,tbl_daily[[#This Row],[InjuryStatus]]="Out"),3,"")))</f>
        <v>1</v>
      </c>
    </row>
    <row r="174" spans="1:23" ht="15" customHeight="1" x14ac:dyDescent="0.25">
      <c r="A174" s="1">
        <v>43874</v>
      </c>
      <c r="B174" t="s">
        <v>425</v>
      </c>
      <c r="C174">
        <v>1</v>
      </c>
      <c r="E174">
        <v>7</v>
      </c>
      <c r="F174">
        <v>8</v>
      </c>
      <c r="G174">
        <v>8</v>
      </c>
      <c r="H174" t="s">
        <v>15</v>
      </c>
      <c r="I174">
        <v>1</v>
      </c>
      <c r="J174">
        <v>4</v>
      </c>
      <c r="K174">
        <v>30</v>
      </c>
      <c r="M174" t="s">
        <v>224</v>
      </c>
      <c r="N174" t="s">
        <v>204</v>
      </c>
      <c r="P174">
        <f>IFERROR(IF(AND(tbl_daily[[#This Row],[Attendance (1 = Here, 0 = Not here)]]=1,tbl_daily[[#This Row],[Attended, but did not complete data]]&lt;&gt;1),tbl_daily[[#This Row],[Stress]]+tbl_daily[[#This Row],[SleepQuality]]+tbl_daily[[#This Row],[Energy]],""),"")</f>
        <v>23</v>
      </c>
      <c r="Q174" s="3">
        <f>IFERROR(IF(AND(tbl_daily[[#This Row],[Attendance (1 = Here, 0 = Not here)]]=1,tbl_daily[[#This Row],[Attended, but did not complete data]]&lt;&gt;1),tbl_daily[[#This Row],[LatestRPE]]*tbl_daily[[#This Row],[LatestDuration]],""),"")</f>
        <v>120</v>
      </c>
      <c r="R174">
        <f>IF(tbl_daily[[#This Row],[CodeName]]&lt;&gt;"",1,"")</f>
        <v>1</v>
      </c>
      <c r="S174" s="3" t="str">
        <f>IF(AND(tbl_daily[[#This Row],[Date]]&gt;=DATE(2019,8,1),tbl_daily[[#This Row],[Date]]&lt;=DATE(2020,6,1)),"2019-2020")</f>
        <v>2019-2020</v>
      </c>
      <c r="T174" t="str">
        <f>IFERROR(INDEX(tbl_prof[Cohort of Interest],MATCH(tbl_daily[[#This Row],[CodeName]],tbl_prof[CodeName],0)),"")</f>
        <v>Athletes</v>
      </c>
      <c r="U174" t="str">
        <f>IFERROR(AVERAGEIFS(tbl_perf[Grade],tbl_perf[CodeName],tbl_daily[[#This Row],[CodeName]],tbl_perf[Date],tbl_daily[[#This Row],[Date]]),"")</f>
        <v/>
      </c>
      <c r="V174">
        <f>IFERROR(IF(AND(tbl_daily[[#This Row],[Attendance (1 = Here, 0 = Not here)]]=1,tbl_daily[[#This Row],[Attended, but did not complete data]]&lt;&gt;1),1,IF(AND(tbl_daily[[#This Row],[Attendance (1 = Here, 0 = Not here)]]=1,tbl_daily[[#This Row],[Attended, but did not complete data]]=1),2,3)),"")</f>
        <v>1</v>
      </c>
      <c r="W174">
        <f>IF(AND(tbl_daily[[#This Row],[Attendance Refined]]=1,tbl_daily[[#This Row],[InjuryStatus]]="Full"),1,IF(AND(tbl_daily[[#This Row],[Attendance Refined]]=1,tbl_daily[[#This Row],[InjuryStatus]]="Limited"),2,IF(AND(tbl_daily[[#This Row],[Attendance Refined]]=1,tbl_daily[[#This Row],[InjuryStatus]]="Out"),3,"")))</f>
        <v>1</v>
      </c>
    </row>
    <row r="175" spans="1:23" ht="15" customHeight="1" x14ac:dyDescent="0.25">
      <c r="A175" s="1">
        <v>43874</v>
      </c>
      <c r="B175" t="s">
        <v>431</v>
      </c>
      <c r="C175">
        <v>1</v>
      </c>
      <c r="E175">
        <v>7</v>
      </c>
      <c r="F175">
        <v>10</v>
      </c>
      <c r="G175">
        <v>8</v>
      </c>
      <c r="H175" t="s">
        <v>15</v>
      </c>
      <c r="I175">
        <v>1</v>
      </c>
      <c r="J175">
        <v>2</v>
      </c>
      <c r="K175">
        <v>60</v>
      </c>
      <c r="M175" t="s">
        <v>224</v>
      </c>
      <c r="N175" t="s">
        <v>213</v>
      </c>
      <c r="P175">
        <f>IFERROR(IF(AND(tbl_daily[[#This Row],[Attendance (1 = Here, 0 = Not here)]]=1,tbl_daily[[#This Row],[Attended, but did not complete data]]&lt;&gt;1),tbl_daily[[#This Row],[Stress]]+tbl_daily[[#This Row],[SleepQuality]]+tbl_daily[[#This Row],[Energy]],""),"")</f>
        <v>25</v>
      </c>
      <c r="Q175" s="3">
        <f>IFERROR(IF(AND(tbl_daily[[#This Row],[Attendance (1 = Here, 0 = Not here)]]=1,tbl_daily[[#This Row],[Attended, but did not complete data]]&lt;&gt;1),tbl_daily[[#This Row],[LatestRPE]]*tbl_daily[[#This Row],[LatestDuration]],""),"")</f>
        <v>120</v>
      </c>
      <c r="R175">
        <f>IF(tbl_daily[[#This Row],[CodeName]]&lt;&gt;"",1,"")</f>
        <v>1</v>
      </c>
      <c r="S175" s="3" t="str">
        <f>IF(AND(tbl_daily[[#This Row],[Date]]&gt;=DATE(2019,8,1),tbl_daily[[#This Row],[Date]]&lt;=DATE(2020,6,1)),"2019-2020")</f>
        <v>2019-2020</v>
      </c>
      <c r="T175" t="str">
        <f>IFERROR(INDEX(tbl_prof[Cohort of Interest],MATCH(tbl_daily[[#This Row],[CodeName]],tbl_prof[CodeName],0)),"")</f>
        <v>Special</v>
      </c>
      <c r="U175" t="str">
        <f>IFERROR(AVERAGEIFS(tbl_perf[Grade],tbl_perf[CodeName],tbl_daily[[#This Row],[CodeName]],tbl_perf[Date],tbl_daily[[#This Row],[Date]]),"")</f>
        <v/>
      </c>
      <c r="V175">
        <f>IFERROR(IF(AND(tbl_daily[[#This Row],[Attendance (1 = Here, 0 = Not here)]]=1,tbl_daily[[#This Row],[Attended, but did not complete data]]&lt;&gt;1),1,IF(AND(tbl_daily[[#This Row],[Attendance (1 = Here, 0 = Not here)]]=1,tbl_daily[[#This Row],[Attended, but did not complete data]]=1),2,3)),"")</f>
        <v>1</v>
      </c>
      <c r="W175">
        <f>IF(AND(tbl_daily[[#This Row],[Attendance Refined]]=1,tbl_daily[[#This Row],[InjuryStatus]]="Full"),1,IF(AND(tbl_daily[[#This Row],[Attendance Refined]]=1,tbl_daily[[#This Row],[InjuryStatus]]="Limited"),2,IF(AND(tbl_daily[[#This Row],[Attendance Refined]]=1,tbl_daily[[#This Row],[InjuryStatus]]="Out"),3,"")))</f>
        <v>1</v>
      </c>
    </row>
    <row r="176" spans="1:23" ht="15" customHeight="1" x14ac:dyDescent="0.25">
      <c r="A176" s="1">
        <v>43874</v>
      </c>
      <c r="B176" t="s">
        <v>415</v>
      </c>
      <c r="C176">
        <v>1</v>
      </c>
      <c r="E176">
        <v>5</v>
      </c>
      <c r="F176">
        <v>5</v>
      </c>
      <c r="G176">
        <v>4</v>
      </c>
      <c r="H176" t="s">
        <v>15</v>
      </c>
      <c r="I176">
        <v>0</v>
      </c>
      <c r="J176">
        <v>6</v>
      </c>
      <c r="K176">
        <v>30</v>
      </c>
      <c r="M176" t="s">
        <v>224</v>
      </c>
      <c r="N176" t="s">
        <v>194</v>
      </c>
      <c r="P176">
        <f>IFERROR(IF(AND(tbl_daily[[#This Row],[Attendance (1 = Here, 0 = Not here)]]=1,tbl_daily[[#This Row],[Attended, but did not complete data]]&lt;&gt;1),tbl_daily[[#This Row],[Stress]]+tbl_daily[[#This Row],[SleepQuality]]+tbl_daily[[#This Row],[Energy]],""),"")</f>
        <v>14</v>
      </c>
      <c r="Q176" s="3">
        <f>IFERROR(IF(AND(tbl_daily[[#This Row],[Attendance (1 = Here, 0 = Not here)]]=1,tbl_daily[[#This Row],[Attended, but did not complete data]]&lt;&gt;1),tbl_daily[[#This Row],[LatestRPE]]*tbl_daily[[#This Row],[LatestDuration]],""),"")</f>
        <v>180</v>
      </c>
      <c r="R176">
        <f>IF(tbl_daily[[#This Row],[CodeName]]&lt;&gt;"",1,"")</f>
        <v>1</v>
      </c>
      <c r="S176" s="3" t="str">
        <f>IF(AND(tbl_daily[[#This Row],[Date]]&gt;=DATE(2019,8,1),tbl_daily[[#This Row],[Date]]&lt;=DATE(2020,6,1)),"2019-2020")</f>
        <v>2019-2020</v>
      </c>
      <c r="T176" t="str">
        <f>IFERROR(INDEX(tbl_prof[Cohort of Interest],MATCH(tbl_daily[[#This Row],[CodeName]],tbl_prof[CodeName],0)),"")</f>
        <v>Youth</v>
      </c>
      <c r="U176" t="str">
        <f>IFERROR(AVERAGEIFS(tbl_perf[Grade],tbl_perf[CodeName],tbl_daily[[#This Row],[CodeName]],tbl_perf[Date],tbl_daily[[#This Row],[Date]]),"")</f>
        <v/>
      </c>
      <c r="V176">
        <f>IFERROR(IF(AND(tbl_daily[[#This Row],[Attendance (1 = Here, 0 = Not here)]]=1,tbl_daily[[#This Row],[Attended, but did not complete data]]&lt;&gt;1),1,IF(AND(tbl_daily[[#This Row],[Attendance (1 = Here, 0 = Not here)]]=1,tbl_daily[[#This Row],[Attended, but did not complete data]]=1),2,3)),"")</f>
        <v>1</v>
      </c>
      <c r="W176">
        <f>IF(AND(tbl_daily[[#This Row],[Attendance Refined]]=1,tbl_daily[[#This Row],[InjuryStatus]]="Full"),1,IF(AND(tbl_daily[[#This Row],[Attendance Refined]]=1,tbl_daily[[#This Row],[InjuryStatus]]="Limited"),2,IF(AND(tbl_daily[[#This Row],[Attendance Refined]]=1,tbl_daily[[#This Row],[InjuryStatus]]="Out"),3,"")))</f>
        <v>1</v>
      </c>
    </row>
    <row r="177" spans="1:23" ht="15" customHeight="1" x14ac:dyDescent="0.25">
      <c r="A177" s="1">
        <v>43874</v>
      </c>
      <c r="B177" t="s">
        <v>416</v>
      </c>
      <c r="C177">
        <v>1</v>
      </c>
      <c r="E177">
        <v>5</v>
      </c>
      <c r="F177">
        <v>5</v>
      </c>
      <c r="G177">
        <v>5</v>
      </c>
      <c r="H177" t="s">
        <v>32</v>
      </c>
      <c r="I177">
        <v>1</v>
      </c>
      <c r="J177">
        <v>6</v>
      </c>
      <c r="K177">
        <v>40</v>
      </c>
      <c r="M177" t="s">
        <v>224</v>
      </c>
      <c r="N177" t="s">
        <v>195</v>
      </c>
      <c r="P177">
        <f>IFERROR(IF(AND(tbl_daily[[#This Row],[Attendance (1 = Here, 0 = Not here)]]=1,tbl_daily[[#This Row],[Attended, but did not complete data]]&lt;&gt;1),tbl_daily[[#This Row],[Stress]]+tbl_daily[[#This Row],[SleepQuality]]+tbl_daily[[#This Row],[Energy]],""),"")</f>
        <v>15</v>
      </c>
      <c r="Q177" s="3">
        <f>IFERROR(IF(AND(tbl_daily[[#This Row],[Attendance (1 = Here, 0 = Not here)]]=1,tbl_daily[[#This Row],[Attended, but did not complete data]]&lt;&gt;1),tbl_daily[[#This Row],[LatestRPE]]*tbl_daily[[#This Row],[LatestDuration]],""),"")</f>
        <v>240</v>
      </c>
      <c r="R177">
        <f>IF(tbl_daily[[#This Row],[CodeName]]&lt;&gt;"",1,"")</f>
        <v>1</v>
      </c>
      <c r="S177" s="3" t="str">
        <f>IF(AND(tbl_daily[[#This Row],[Date]]&gt;=DATE(2019,8,1),tbl_daily[[#This Row],[Date]]&lt;=DATE(2020,6,1)),"2019-2020")</f>
        <v>2019-2020</v>
      </c>
      <c r="T177" t="str">
        <f>IFERROR(INDEX(tbl_prof[Cohort of Interest],MATCH(tbl_daily[[#This Row],[CodeName]],tbl_prof[CodeName],0)),"")</f>
        <v>Special</v>
      </c>
      <c r="U177" t="str">
        <f>IFERROR(AVERAGEIFS(tbl_perf[Grade],tbl_perf[CodeName],tbl_daily[[#This Row],[CodeName]],tbl_perf[Date],tbl_daily[[#This Row],[Date]]),"")</f>
        <v/>
      </c>
      <c r="V177">
        <f>IFERROR(IF(AND(tbl_daily[[#This Row],[Attendance (1 = Here, 0 = Not here)]]=1,tbl_daily[[#This Row],[Attended, but did not complete data]]&lt;&gt;1),1,IF(AND(tbl_daily[[#This Row],[Attendance (1 = Here, 0 = Not here)]]=1,tbl_daily[[#This Row],[Attended, but did not complete data]]=1),2,3)),"")</f>
        <v>1</v>
      </c>
      <c r="W177">
        <f>IF(AND(tbl_daily[[#This Row],[Attendance Refined]]=1,tbl_daily[[#This Row],[InjuryStatus]]="Full"),1,IF(AND(tbl_daily[[#This Row],[Attendance Refined]]=1,tbl_daily[[#This Row],[InjuryStatus]]="Limited"),2,IF(AND(tbl_daily[[#This Row],[Attendance Refined]]=1,tbl_daily[[#This Row],[InjuryStatus]]="Out"),3,"")))</f>
        <v>2</v>
      </c>
    </row>
    <row r="178" spans="1:23" ht="15" customHeight="1" x14ac:dyDescent="0.25">
      <c r="A178" s="1">
        <v>43874</v>
      </c>
      <c r="B178" t="s">
        <v>422</v>
      </c>
      <c r="C178">
        <v>1</v>
      </c>
      <c r="E178">
        <v>8</v>
      </c>
      <c r="F178">
        <v>10</v>
      </c>
      <c r="G178">
        <v>8</v>
      </c>
      <c r="H178" t="s">
        <v>15</v>
      </c>
      <c r="I178">
        <v>1</v>
      </c>
      <c r="J178">
        <v>4</v>
      </c>
      <c r="K178">
        <v>60</v>
      </c>
      <c r="M178" t="s">
        <v>224</v>
      </c>
      <c r="N178" t="s">
        <v>201</v>
      </c>
      <c r="P178">
        <f>IFERROR(IF(AND(tbl_daily[[#This Row],[Attendance (1 = Here, 0 = Not here)]]=1,tbl_daily[[#This Row],[Attended, but did not complete data]]&lt;&gt;1),tbl_daily[[#This Row],[Stress]]+tbl_daily[[#This Row],[SleepQuality]]+tbl_daily[[#This Row],[Energy]],""),"")</f>
        <v>26</v>
      </c>
      <c r="Q178" s="3">
        <f>IFERROR(IF(AND(tbl_daily[[#This Row],[Attendance (1 = Here, 0 = Not here)]]=1,tbl_daily[[#This Row],[Attended, but did not complete data]]&lt;&gt;1),tbl_daily[[#This Row],[LatestRPE]]*tbl_daily[[#This Row],[LatestDuration]],""),"")</f>
        <v>240</v>
      </c>
      <c r="R178">
        <f>IF(tbl_daily[[#This Row],[CodeName]]&lt;&gt;"",1,"")</f>
        <v>1</v>
      </c>
      <c r="S178" s="3" t="str">
        <f>IF(AND(tbl_daily[[#This Row],[Date]]&gt;=DATE(2019,8,1),tbl_daily[[#This Row],[Date]]&lt;=DATE(2020,6,1)),"2019-2020")</f>
        <v>2019-2020</v>
      </c>
      <c r="T178" t="str">
        <f>IFERROR(INDEX(tbl_prof[Cohort of Interest],MATCH(tbl_daily[[#This Row],[CodeName]],tbl_prof[CodeName],0)),"")</f>
        <v>Athletes</v>
      </c>
      <c r="U178" t="str">
        <f>IFERROR(AVERAGEIFS(tbl_perf[Grade],tbl_perf[CodeName],tbl_daily[[#This Row],[CodeName]],tbl_perf[Date],tbl_daily[[#This Row],[Date]]),"")</f>
        <v/>
      </c>
      <c r="V178">
        <f>IFERROR(IF(AND(tbl_daily[[#This Row],[Attendance (1 = Here, 0 = Not here)]]=1,tbl_daily[[#This Row],[Attended, but did not complete data]]&lt;&gt;1),1,IF(AND(tbl_daily[[#This Row],[Attendance (1 = Here, 0 = Not here)]]=1,tbl_daily[[#This Row],[Attended, but did not complete data]]=1),2,3)),"")</f>
        <v>1</v>
      </c>
      <c r="W178">
        <f>IF(AND(tbl_daily[[#This Row],[Attendance Refined]]=1,tbl_daily[[#This Row],[InjuryStatus]]="Full"),1,IF(AND(tbl_daily[[#This Row],[Attendance Refined]]=1,tbl_daily[[#This Row],[InjuryStatus]]="Limited"),2,IF(AND(tbl_daily[[#This Row],[Attendance Refined]]=1,tbl_daily[[#This Row],[InjuryStatus]]="Out"),3,"")))</f>
        <v>1</v>
      </c>
    </row>
    <row r="179" spans="1:23" ht="15" customHeight="1" x14ac:dyDescent="0.25">
      <c r="A179" s="1">
        <v>43874</v>
      </c>
      <c r="B179" t="s">
        <v>439</v>
      </c>
      <c r="C179">
        <v>1</v>
      </c>
      <c r="E179">
        <v>8</v>
      </c>
      <c r="F179">
        <v>6</v>
      </c>
      <c r="G179">
        <v>4</v>
      </c>
      <c r="H179" t="s">
        <v>32</v>
      </c>
      <c r="I179">
        <v>1</v>
      </c>
      <c r="J179">
        <v>4</v>
      </c>
      <c r="K179">
        <v>60</v>
      </c>
      <c r="M179" t="s">
        <v>224</v>
      </c>
      <c r="N179" t="s">
        <v>215</v>
      </c>
      <c r="P179">
        <f>IFERROR(IF(AND(tbl_daily[[#This Row],[Attendance (1 = Here, 0 = Not here)]]=1,tbl_daily[[#This Row],[Attended, but did not complete data]]&lt;&gt;1),tbl_daily[[#This Row],[Stress]]+tbl_daily[[#This Row],[SleepQuality]]+tbl_daily[[#This Row],[Energy]],""),"")</f>
        <v>18</v>
      </c>
      <c r="Q179" s="3">
        <f>IFERROR(IF(AND(tbl_daily[[#This Row],[Attendance (1 = Here, 0 = Not here)]]=1,tbl_daily[[#This Row],[Attended, but did not complete data]]&lt;&gt;1),tbl_daily[[#This Row],[LatestRPE]]*tbl_daily[[#This Row],[LatestDuration]],""),"")</f>
        <v>240</v>
      </c>
      <c r="R179">
        <f>IF(tbl_daily[[#This Row],[CodeName]]&lt;&gt;"",1,"")</f>
        <v>1</v>
      </c>
      <c r="S179" s="3" t="str">
        <f>IF(AND(tbl_daily[[#This Row],[Date]]&gt;=DATE(2019,8,1),tbl_daily[[#This Row],[Date]]&lt;=DATE(2020,6,1)),"2019-2020")</f>
        <v>2019-2020</v>
      </c>
      <c r="T179" t="str">
        <f>IFERROR(INDEX(tbl_prof[Cohort of Interest],MATCH(tbl_daily[[#This Row],[CodeName]],tbl_prof[CodeName],0)),"")</f>
        <v>Special</v>
      </c>
      <c r="U179" t="str">
        <f>IFERROR(AVERAGEIFS(tbl_perf[Grade],tbl_perf[CodeName],tbl_daily[[#This Row],[CodeName]],tbl_perf[Date],tbl_daily[[#This Row],[Date]]),"")</f>
        <v/>
      </c>
      <c r="V179">
        <f>IFERROR(IF(AND(tbl_daily[[#This Row],[Attendance (1 = Here, 0 = Not here)]]=1,tbl_daily[[#This Row],[Attended, but did not complete data]]&lt;&gt;1),1,IF(AND(tbl_daily[[#This Row],[Attendance (1 = Here, 0 = Not here)]]=1,tbl_daily[[#This Row],[Attended, but did not complete data]]=1),2,3)),"")</f>
        <v>1</v>
      </c>
      <c r="W179">
        <f>IF(AND(tbl_daily[[#This Row],[Attendance Refined]]=1,tbl_daily[[#This Row],[InjuryStatus]]="Full"),1,IF(AND(tbl_daily[[#This Row],[Attendance Refined]]=1,tbl_daily[[#This Row],[InjuryStatus]]="Limited"),2,IF(AND(tbl_daily[[#This Row],[Attendance Refined]]=1,tbl_daily[[#This Row],[InjuryStatus]]="Out"),3,"")))</f>
        <v>2</v>
      </c>
    </row>
    <row r="180" spans="1:23" ht="15" customHeight="1" x14ac:dyDescent="0.25">
      <c r="A180" s="1">
        <v>43874</v>
      </c>
      <c r="B180" t="s">
        <v>428</v>
      </c>
      <c r="C180">
        <v>1</v>
      </c>
      <c r="E180">
        <v>9</v>
      </c>
      <c r="F180">
        <v>10</v>
      </c>
      <c r="G180">
        <v>6</v>
      </c>
      <c r="H180" t="s">
        <v>15</v>
      </c>
      <c r="I180">
        <v>1</v>
      </c>
      <c r="J180">
        <v>5</v>
      </c>
      <c r="K180">
        <v>60</v>
      </c>
      <c r="M180" t="s">
        <v>224</v>
      </c>
      <c r="N180" t="s">
        <v>207</v>
      </c>
      <c r="P180">
        <f>IFERROR(IF(AND(tbl_daily[[#This Row],[Attendance (1 = Here, 0 = Not here)]]=1,tbl_daily[[#This Row],[Attended, but did not complete data]]&lt;&gt;1),tbl_daily[[#This Row],[Stress]]+tbl_daily[[#This Row],[SleepQuality]]+tbl_daily[[#This Row],[Energy]],""),"")</f>
        <v>25</v>
      </c>
      <c r="Q180" s="3">
        <f>IFERROR(IF(AND(tbl_daily[[#This Row],[Attendance (1 = Here, 0 = Not here)]]=1,tbl_daily[[#This Row],[Attended, but did not complete data]]&lt;&gt;1),tbl_daily[[#This Row],[LatestRPE]]*tbl_daily[[#This Row],[LatestDuration]],""),"")</f>
        <v>300</v>
      </c>
      <c r="R180">
        <f>IF(tbl_daily[[#This Row],[CodeName]]&lt;&gt;"",1,"")</f>
        <v>1</v>
      </c>
      <c r="S180" s="3" t="str">
        <f>IF(AND(tbl_daily[[#This Row],[Date]]&gt;=DATE(2019,8,1),tbl_daily[[#This Row],[Date]]&lt;=DATE(2020,6,1)),"2019-2020")</f>
        <v>2019-2020</v>
      </c>
      <c r="T180" t="str">
        <f>IFERROR(INDEX(tbl_prof[Cohort of Interest],MATCH(tbl_daily[[#This Row],[CodeName]],tbl_prof[CodeName],0)),"")</f>
        <v>Special</v>
      </c>
      <c r="U180" t="str">
        <f>IFERROR(AVERAGEIFS(tbl_perf[Grade],tbl_perf[CodeName],tbl_daily[[#This Row],[CodeName]],tbl_perf[Date],tbl_daily[[#This Row],[Date]]),"")</f>
        <v/>
      </c>
      <c r="V180">
        <f>IFERROR(IF(AND(tbl_daily[[#This Row],[Attendance (1 = Here, 0 = Not here)]]=1,tbl_daily[[#This Row],[Attended, but did not complete data]]&lt;&gt;1),1,IF(AND(tbl_daily[[#This Row],[Attendance (1 = Here, 0 = Not here)]]=1,tbl_daily[[#This Row],[Attended, but did not complete data]]=1),2,3)),"")</f>
        <v>1</v>
      </c>
      <c r="W180">
        <f>IF(AND(tbl_daily[[#This Row],[Attendance Refined]]=1,tbl_daily[[#This Row],[InjuryStatus]]="Full"),1,IF(AND(tbl_daily[[#This Row],[Attendance Refined]]=1,tbl_daily[[#This Row],[InjuryStatus]]="Limited"),2,IF(AND(tbl_daily[[#This Row],[Attendance Refined]]=1,tbl_daily[[#This Row],[InjuryStatus]]="Out"),3,"")))</f>
        <v>1</v>
      </c>
    </row>
    <row r="181" spans="1:23" ht="15" customHeight="1" x14ac:dyDescent="0.25">
      <c r="A181" s="1">
        <v>43874</v>
      </c>
      <c r="B181" t="s">
        <v>420</v>
      </c>
      <c r="C181">
        <v>1</v>
      </c>
      <c r="E181">
        <v>5</v>
      </c>
      <c r="F181">
        <v>2</v>
      </c>
      <c r="G181">
        <v>7</v>
      </c>
      <c r="H181" t="s">
        <v>15</v>
      </c>
      <c r="I181">
        <v>1</v>
      </c>
      <c r="J181">
        <v>7</v>
      </c>
      <c r="K181">
        <v>45</v>
      </c>
      <c r="M181" t="s">
        <v>224</v>
      </c>
      <c r="N181" t="s">
        <v>199</v>
      </c>
      <c r="P181">
        <f>IFERROR(IF(AND(tbl_daily[[#This Row],[Attendance (1 = Here, 0 = Not here)]]=1,tbl_daily[[#This Row],[Attended, but did not complete data]]&lt;&gt;1),tbl_daily[[#This Row],[Stress]]+tbl_daily[[#This Row],[SleepQuality]]+tbl_daily[[#This Row],[Energy]],""),"")</f>
        <v>14</v>
      </c>
      <c r="Q181" s="3">
        <f>IFERROR(IF(AND(tbl_daily[[#This Row],[Attendance (1 = Here, 0 = Not here)]]=1,tbl_daily[[#This Row],[Attended, but did not complete data]]&lt;&gt;1),tbl_daily[[#This Row],[LatestRPE]]*tbl_daily[[#This Row],[LatestDuration]],""),"")</f>
        <v>315</v>
      </c>
      <c r="R181">
        <f>IF(tbl_daily[[#This Row],[CodeName]]&lt;&gt;"",1,"")</f>
        <v>1</v>
      </c>
      <c r="S181" s="3" t="str">
        <f>IF(AND(tbl_daily[[#This Row],[Date]]&gt;=DATE(2019,8,1),tbl_daily[[#This Row],[Date]]&lt;=DATE(2020,6,1)),"2019-2020")</f>
        <v>2019-2020</v>
      </c>
      <c r="T181" t="str">
        <f>IFERROR(INDEX(tbl_prof[Cohort of Interest],MATCH(tbl_daily[[#This Row],[CodeName]],tbl_prof[CodeName],0)),"")</f>
        <v>Athletes</v>
      </c>
      <c r="U181" t="str">
        <f>IFERROR(AVERAGEIFS(tbl_perf[Grade],tbl_perf[CodeName],tbl_daily[[#This Row],[CodeName]],tbl_perf[Date],tbl_daily[[#This Row],[Date]]),"")</f>
        <v/>
      </c>
      <c r="V181">
        <f>IFERROR(IF(AND(tbl_daily[[#This Row],[Attendance (1 = Here, 0 = Not here)]]=1,tbl_daily[[#This Row],[Attended, but did not complete data]]&lt;&gt;1),1,IF(AND(tbl_daily[[#This Row],[Attendance (1 = Here, 0 = Not here)]]=1,tbl_daily[[#This Row],[Attended, but did not complete data]]=1),2,3)),"")</f>
        <v>1</v>
      </c>
      <c r="W181">
        <f>IF(AND(tbl_daily[[#This Row],[Attendance Refined]]=1,tbl_daily[[#This Row],[InjuryStatus]]="Full"),1,IF(AND(tbl_daily[[#This Row],[Attendance Refined]]=1,tbl_daily[[#This Row],[InjuryStatus]]="Limited"),2,IF(AND(tbl_daily[[#This Row],[Attendance Refined]]=1,tbl_daily[[#This Row],[InjuryStatus]]="Out"),3,"")))</f>
        <v>1</v>
      </c>
    </row>
    <row r="182" spans="1:23" ht="15" customHeight="1" x14ac:dyDescent="0.25">
      <c r="A182" s="1">
        <v>43874</v>
      </c>
      <c r="B182" t="s">
        <v>421</v>
      </c>
      <c r="C182">
        <v>1</v>
      </c>
      <c r="E182">
        <v>9</v>
      </c>
      <c r="F182">
        <v>7</v>
      </c>
      <c r="G182">
        <v>7</v>
      </c>
      <c r="H182" t="s">
        <v>15</v>
      </c>
      <c r="I182">
        <v>1</v>
      </c>
      <c r="J182">
        <v>7</v>
      </c>
      <c r="K182">
        <v>45</v>
      </c>
      <c r="M182" t="s">
        <v>224</v>
      </c>
      <c r="N182" t="s">
        <v>200</v>
      </c>
      <c r="P182">
        <f>IFERROR(IF(AND(tbl_daily[[#This Row],[Attendance (1 = Here, 0 = Not here)]]=1,tbl_daily[[#This Row],[Attended, but did not complete data]]&lt;&gt;1),tbl_daily[[#This Row],[Stress]]+tbl_daily[[#This Row],[SleepQuality]]+tbl_daily[[#This Row],[Energy]],""),"")</f>
        <v>23</v>
      </c>
      <c r="Q182" s="3">
        <f>IFERROR(IF(AND(tbl_daily[[#This Row],[Attendance (1 = Here, 0 = Not here)]]=1,tbl_daily[[#This Row],[Attended, but did not complete data]]&lt;&gt;1),tbl_daily[[#This Row],[LatestRPE]]*tbl_daily[[#This Row],[LatestDuration]],""),"")</f>
        <v>315</v>
      </c>
      <c r="R182">
        <f>IF(tbl_daily[[#This Row],[CodeName]]&lt;&gt;"",1,"")</f>
        <v>1</v>
      </c>
      <c r="S182" s="3" t="str">
        <f>IF(AND(tbl_daily[[#This Row],[Date]]&gt;=DATE(2019,8,1),tbl_daily[[#This Row],[Date]]&lt;=DATE(2020,6,1)),"2019-2020")</f>
        <v>2019-2020</v>
      </c>
      <c r="T182" t="str">
        <f>IFERROR(INDEX(tbl_prof[Cohort of Interest],MATCH(tbl_daily[[#This Row],[CodeName]],tbl_prof[CodeName],0)),"")</f>
        <v>Athletes</v>
      </c>
      <c r="U182" t="str">
        <f>IFERROR(AVERAGEIFS(tbl_perf[Grade],tbl_perf[CodeName],tbl_daily[[#This Row],[CodeName]],tbl_perf[Date],tbl_daily[[#This Row],[Date]]),"")</f>
        <v/>
      </c>
      <c r="V182">
        <f>IFERROR(IF(AND(tbl_daily[[#This Row],[Attendance (1 = Here, 0 = Not here)]]=1,tbl_daily[[#This Row],[Attended, but did not complete data]]&lt;&gt;1),1,IF(AND(tbl_daily[[#This Row],[Attendance (1 = Here, 0 = Not here)]]=1,tbl_daily[[#This Row],[Attended, but did not complete data]]=1),2,3)),"")</f>
        <v>1</v>
      </c>
      <c r="W182">
        <f>IF(AND(tbl_daily[[#This Row],[Attendance Refined]]=1,tbl_daily[[#This Row],[InjuryStatus]]="Full"),1,IF(AND(tbl_daily[[#This Row],[Attendance Refined]]=1,tbl_daily[[#This Row],[InjuryStatus]]="Limited"),2,IF(AND(tbl_daily[[#This Row],[Attendance Refined]]=1,tbl_daily[[#This Row],[InjuryStatus]]="Out"),3,"")))</f>
        <v>1</v>
      </c>
    </row>
    <row r="183" spans="1:23" ht="15" customHeight="1" x14ac:dyDescent="0.25">
      <c r="A183" s="1">
        <v>43874</v>
      </c>
      <c r="B183" t="s">
        <v>437</v>
      </c>
      <c r="C183">
        <v>1</v>
      </c>
      <c r="E183">
        <v>7</v>
      </c>
      <c r="F183">
        <v>9</v>
      </c>
      <c r="G183">
        <v>8</v>
      </c>
      <c r="H183" t="s">
        <v>15</v>
      </c>
      <c r="I183">
        <v>1</v>
      </c>
      <c r="J183">
        <v>7</v>
      </c>
      <c r="K183">
        <v>45</v>
      </c>
      <c r="M183" t="s">
        <v>224</v>
      </c>
      <c r="N183" t="s">
        <v>212</v>
      </c>
      <c r="P183">
        <f>IFERROR(IF(AND(tbl_daily[[#This Row],[Attendance (1 = Here, 0 = Not here)]]=1,tbl_daily[[#This Row],[Attended, but did not complete data]]&lt;&gt;1),tbl_daily[[#This Row],[Stress]]+tbl_daily[[#This Row],[SleepQuality]]+tbl_daily[[#This Row],[Energy]],""),"")</f>
        <v>24</v>
      </c>
      <c r="Q183" s="3">
        <f>IFERROR(IF(AND(tbl_daily[[#This Row],[Attendance (1 = Here, 0 = Not here)]]=1,tbl_daily[[#This Row],[Attended, but did not complete data]]&lt;&gt;1),tbl_daily[[#This Row],[LatestRPE]]*tbl_daily[[#This Row],[LatestDuration]],""),"")</f>
        <v>315</v>
      </c>
      <c r="R183">
        <f>IF(tbl_daily[[#This Row],[CodeName]]&lt;&gt;"",1,"")</f>
        <v>1</v>
      </c>
      <c r="S183" s="3" t="str">
        <f>IF(AND(tbl_daily[[#This Row],[Date]]&gt;=DATE(2019,8,1),tbl_daily[[#This Row],[Date]]&lt;=DATE(2020,6,1)),"2019-2020")</f>
        <v>2019-2020</v>
      </c>
      <c r="T183" t="str">
        <f>IFERROR(INDEX(tbl_prof[Cohort of Interest],MATCH(tbl_daily[[#This Row],[CodeName]],tbl_prof[CodeName],0)),"")</f>
        <v>Athletes</v>
      </c>
      <c r="U183" t="str">
        <f>IFERROR(AVERAGEIFS(tbl_perf[Grade],tbl_perf[CodeName],tbl_daily[[#This Row],[CodeName]],tbl_perf[Date],tbl_daily[[#This Row],[Date]]),"")</f>
        <v/>
      </c>
      <c r="V183">
        <f>IFERROR(IF(AND(tbl_daily[[#This Row],[Attendance (1 = Here, 0 = Not here)]]=1,tbl_daily[[#This Row],[Attended, but did not complete data]]&lt;&gt;1),1,IF(AND(tbl_daily[[#This Row],[Attendance (1 = Here, 0 = Not here)]]=1,tbl_daily[[#This Row],[Attended, but did not complete data]]=1),2,3)),"")</f>
        <v>1</v>
      </c>
      <c r="W183">
        <f>IF(AND(tbl_daily[[#This Row],[Attendance Refined]]=1,tbl_daily[[#This Row],[InjuryStatus]]="Full"),1,IF(AND(tbl_daily[[#This Row],[Attendance Refined]]=1,tbl_daily[[#This Row],[InjuryStatus]]="Limited"),2,IF(AND(tbl_daily[[#This Row],[Attendance Refined]]=1,tbl_daily[[#This Row],[InjuryStatus]]="Out"),3,"")))</f>
        <v>1</v>
      </c>
    </row>
    <row r="184" spans="1:23" ht="15" customHeight="1" x14ac:dyDescent="0.25">
      <c r="A184" s="1">
        <v>43874</v>
      </c>
      <c r="B184" t="s">
        <v>413</v>
      </c>
      <c r="C184">
        <v>1</v>
      </c>
      <c r="E184">
        <v>5</v>
      </c>
      <c r="F184">
        <v>4</v>
      </c>
      <c r="G184">
        <v>6</v>
      </c>
      <c r="H184" t="s">
        <v>15</v>
      </c>
      <c r="I184">
        <v>1</v>
      </c>
      <c r="J184">
        <v>6</v>
      </c>
      <c r="K184">
        <v>60</v>
      </c>
      <c r="M184" t="s">
        <v>224</v>
      </c>
      <c r="N184" t="s">
        <v>192</v>
      </c>
      <c r="P184">
        <f>IFERROR(IF(AND(tbl_daily[[#This Row],[Attendance (1 = Here, 0 = Not here)]]=1,tbl_daily[[#This Row],[Attended, but did not complete data]]&lt;&gt;1),tbl_daily[[#This Row],[Stress]]+tbl_daily[[#This Row],[SleepQuality]]+tbl_daily[[#This Row],[Energy]],""),"")</f>
        <v>15</v>
      </c>
      <c r="Q184" s="3">
        <f>IFERROR(IF(AND(tbl_daily[[#This Row],[Attendance (1 = Here, 0 = Not here)]]=1,tbl_daily[[#This Row],[Attended, but did not complete data]]&lt;&gt;1),tbl_daily[[#This Row],[LatestRPE]]*tbl_daily[[#This Row],[LatestDuration]],""),"")</f>
        <v>360</v>
      </c>
      <c r="R184">
        <f>IF(tbl_daily[[#This Row],[CodeName]]&lt;&gt;"",1,"")</f>
        <v>1</v>
      </c>
      <c r="S184" s="3" t="str">
        <f>IF(AND(tbl_daily[[#This Row],[Date]]&gt;=DATE(2019,8,1),tbl_daily[[#This Row],[Date]]&lt;=DATE(2020,6,1)),"2019-2020")</f>
        <v>2019-2020</v>
      </c>
      <c r="T184" t="str">
        <f>IFERROR(INDEX(tbl_prof[Cohort of Interest],MATCH(tbl_daily[[#This Row],[CodeName]],tbl_prof[CodeName],0)),"")</f>
        <v>Youth</v>
      </c>
      <c r="U184" t="str">
        <f>IFERROR(AVERAGEIFS(tbl_perf[Grade],tbl_perf[CodeName],tbl_daily[[#This Row],[CodeName]],tbl_perf[Date],tbl_daily[[#This Row],[Date]]),"")</f>
        <v/>
      </c>
      <c r="V184">
        <f>IFERROR(IF(AND(tbl_daily[[#This Row],[Attendance (1 = Here, 0 = Not here)]]=1,tbl_daily[[#This Row],[Attended, but did not complete data]]&lt;&gt;1),1,IF(AND(tbl_daily[[#This Row],[Attendance (1 = Here, 0 = Not here)]]=1,tbl_daily[[#This Row],[Attended, but did not complete data]]=1),2,3)),"")</f>
        <v>1</v>
      </c>
      <c r="W184">
        <f>IF(AND(tbl_daily[[#This Row],[Attendance Refined]]=1,tbl_daily[[#This Row],[InjuryStatus]]="Full"),1,IF(AND(tbl_daily[[#This Row],[Attendance Refined]]=1,tbl_daily[[#This Row],[InjuryStatus]]="Limited"),2,IF(AND(tbl_daily[[#This Row],[Attendance Refined]]=1,tbl_daily[[#This Row],[InjuryStatus]]="Out"),3,"")))</f>
        <v>1</v>
      </c>
    </row>
    <row r="185" spans="1:23" ht="15" customHeight="1" x14ac:dyDescent="0.25">
      <c r="A185" s="1">
        <v>43874</v>
      </c>
      <c r="B185" t="s">
        <v>430</v>
      </c>
      <c r="C185">
        <v>1</v>
      </c>
      <c r="E185">
        <v>7</v>
      </c>
      <c r="F185">
        <v>6</v>
      </c>
      <c r="G185">
        <v>5</v>
      </c>
      <c r="H185" t="s">
        <v>15</v>
      </c>
      <c r="I185">
        <v>1</v>
      </c>
      <c r="J185">
        <v>6</v>
      </c>
      <c r="K185">
        <v>60</v>
      </c>
      <c r="M185" t="s">
        <v>224</v>
      </c>
      <c r="N185" t="s">
        <v>210</v>
      </c>
      <c r="P185">
        <f>IFERROR(IF(AND(tbl_daily[[#This Row],[Attendance (1 = Here, 0 = Not here)]]=1,tbl_daily[[#This Row],[Attended, but did not complete data]]&lt;&gt;1),tbl_daily[[#This Row],[Stress]]+tbl_daily[[#This Row],[SleepQuality]]+tbl_daily[[#This Row],[Energy]],""),"")</f>
        <v>18</v>
      </c>
      <c r="Q185" s="3">
        <f>IFERROR(IF(AND(tbl_daily[[#This Row],[Attendance (1 = Here, 0 = Not here)]]=1,tbl_daily[[#This Row],[Attended, but did not complete data]]&lt;&gt;1),tbl_daily[[#This Row],[LatestRPE]]*tbl_daily[[#This Row],[LatestDuration]],""),"")</f>
        <v>360</v>
      </c>
      <c r="R185">
        <f>IF(tbl_daily[[#This Row],[CodeName]]&lt;&gt;"",1,"")</f>
        <v>1</v>
      </c>
      <c r="S185" s="3" t="str">
        <f>IF(AND(tbl_daily[[#This Row],[Date]]&gt;=DATE(2019,8,1),tbl_daily[[#This Row],[Date]]&lt;=DATE(2020,6,1)),"2019-2020")</f>
        <v>2019-2020</v>
      </c>
      <c r="T185" t="str">
        <f>IFERROR(INDEX(tbl_prof[Cohort of Interest],MATCH(tbl_daily[[#This Row],[CodeName]],tbl_prof[CodeName],0)),"")</f>
        <v>Gen Pop</v>
      </c>
      <c r="U185" t="str">
        <f>IFERROR(AVERAGEIFS(tbl_perf[Grade],tbl_perf[CodeName],tbl_daily[[#This Row],[CodeName]],tbl_perf[Date],tbl_daily[[#This Row],[Date]]),"")</f>
        <v/>
      </c>
      <c r="V185">
        <f>IFERROR(IF(AND(tbl_daily[[#This Row],[Attendance (1 = Here, 0 = Not here)]]=1,tbl_daily[[#This Row],[Attended, but did not complete data]]&lt;&gt;1),1,IF(AND(tbl_daily[[#This Row],[Attendance (1 = Here, 0 = Not here)]]=1,tbl_daily[[#This Row],[Attended, but did not complete data]]=1),2,3)),"")</f>
        <v>1</v>
      </c>
      <c r="W185">
        <f>IF(AND(tbl_daily[[#This Row],[Attendance Refined]]=1,tbl_daily[[#This Row],[InjuryStatus]]="Full"),1,IF(AND(tbl_daily[[#This Row],[Attendance Refined]]=1,tbl_daily[[#This Row],[InjuryStatus]]="Limited"),2,IF(AND(tbl_daily[[#This Row],[Attendance Refined]]=1,tbl_daily[[#This Row],[InjuryStatus]]="Out"),3,"")))</f>
        <v>1</v>
      </c>
    </row>
    <row r="186" spans="1:23" ht="15" customHeight="1" x14ac:dyDescent="0.25">
      <c r="A186" s="1">
        <v>43874</v>
      </c>
      <c r="B186" t="s">
        <v>410</v>
      </c>
      <c r="C186">
        <v>1</v>
      </c>
      <c r="E186">
        <v>6</v>
      </c>
      <c r="F186">
        <v>4</v>
      </c>
      <c r="G186">
        <v>6</v>
      </c>
      <c r="H186" t="s">
        <v>15</v>
      </c>
      <c r="I186">
        <v>1</v>
      </c>
      <c r="J186">
        <v>7</v>
      </c>
      <c r="K186">
        <v>60</v>
      </c>
      <c r="M186" t="s">
        <v>224</v>
      </c>
      <c r="N186" t="s">
        <v>208</v>
      </c>
      <c r="P186">
        <f>IFERROR(IF(AND(tbl_daily[[#This Row],[Attendance (1 = Here, 0 = Not here)]]=1,tbl_daily[[#This Row],[Attended, but did not complete data]]&lt;&gt;1),tbl_daily[[#This Row],[Stress]]+tbl_daily[[#This Row],[SleepQuality]]+tbl_daily[[#This Row],[Energy]],""),"")</f>
        <v>16</v>
      </c>
      <c r="Q186" s="3">
        <f>IFERROR(IF(AND(tbl_daily[[#This Row],[Attendance (1 = Here, 0 = Not here)]]=1,tbl_daily[[#This Row],[Attended, but did not complete data]]&lt;&gt;1),tbl_daily[[#This Row],[LatestRPE]]*tbl_daily[[#This Row],[LatestDuration]],""),"")</f>
        <v>420</v>
      </c>
      <c r="R186">
        <f>IF(tbl_daily[[#This Row],[CodeName]]&lt;&gt;"",1,"")</f>
        <v>1</v>
      </c>
      <c r="S186" s="3" t="str">
        <f>IF(AND(tbl_daily[[#This Row],[Date]]&gt;=DATE(2019,8,1),tbl_daily[[#This Row],[Date]]&lt;=DATE(2020,6,1)),"2019-2020")</f>
        <v>2019-2020</v>
      </c>
      <c r="T186" t="str">
        <f>IFERROR(INDEX(tbl_prof[Cohort of Interest],MATCH(tbl_daily[[#This Row],[CodeName]],tbl_prof[CodeName],0)),"")</f>
        <v>Gen Pop</v>
      </c>
      <c r="U186" t="str">
        <f>IFERROR(AVERAGEIFS(tbl_perf[Grade],tbl_perf[CodeName],tbl_daily[[#This Row],[CodeName]],tbl_perf[Date],tbl_daily[[#This Row],[Date]]),"")</f>
        <v/>
      </c>
      <c r="V186">
        <f>IFERROR(IF(AND(tbl_daily[[#This Row],[Attendance (1 = Here, 0 = Not here)]]=1,tbl_daily[[#This Row],[Attended, but did not complete data]]&lt;&gt;1),1,IF(AND(tbl_daily[[#This Row],[Attendance (1 = Here, 0 = Not here)]]=1,tbl_daily[[#This Row],[Attended, but did not complete data]]=1),2,3)),"")</f>
        <v>1</v>
      </c>
      <c r="W186">
        <f>IF(AND(tbl_daily[[#This Row],[Attendance Refined]]=1,tbl_daily[[#This Row],[InjuryStatus]]="Full"),1,IF(AND(tbl_daily[[#This Row],[Attendance Refined]]=1,tbl_daily[[#This Row],[InjuryStatus]]="Limited"),2,IF(AND(tbl_daily[[#This Row],[Attendance Refined]]=1,tbl_daily[[#This Row],[InjuryStatus]]="Out"),3,"")))</f>
        <v>1</v>
      </c>
    </row>
    <row r="187" spans="1:23" ht="15" customHeight="1" x14ac:dyDescent="0.25">
      <c r="A187" s="1">
        <v>43874</v>
      </c>
      <c r="B187" t="s">
        <v>435</v>
      </c>
      <c r="C187">
        <v>1</v>
      </c>
      <c r="E187">
        <v>7</v>
      </c>
      <c r="F187">
        <v>4</v>
      </c>
      <c r="G187">
        <v>6</v>
      </c>
      <c r="H187" t="s">
        <v>15</v>
      </c>
      <c r="I187">
        <v>1</v>
      </c>
      <c r="J187">
        <v>7</v>
      </c>
      <c r="K187">
        <v>60</v>
      </c>
      <c r="M187" t="s">
        <v>224</v>
      </c>
      <c r="N187" t="s">
        <v>211</v>
      </c>
      <c r="P187">
        <f>IFERROR(IF(AND(tbl_daily[[#This Row],[Attendance (1 = Here, 0 = Not here)]]=1,tbl_daily[[#This Row],[Attended, but did not complete data]]&lt;&gt;1),tbl_daily[[#This Row],[Stress]]+tbl_daily[[#This Row],[SleepQuality]]+tbl_daily[[#This Row],[Energy]],""),"")</f>
        <v>17</v>
      </c>
      <c r="Q187" s="3">
        <f>IFERROR(IF(AND(tbl_daily[[#This Row],[Attendance (1 = Here, 0 = Not here)]]=1,tbl_daily[[#This Row],[Attended, but did not complete data]]&lt;&gt;1),tbl_daily[[#This Row],[LatestRPE]]*tbl_daily[[#This Row],[LatestDuration]],""),"")</f>
        <v>420</v>
      </c>
      <c r="R187">
        <f>IF(tbl_daily[[#This Row],[CodeName]]&lt;&gt;"",1,"")</f>
        <v>1</v>
      </c>
      <c r="S187" s="3" t="str">
        <f>IF(AND(tbl_daily[[#This Row],[Date]]&gt;=DATE(2019,8,1),tbl_daily[[#This Row],[Date]]&lt;=DATE(2020,6,1)),"2019-2020")</f>
        <v>2019-2020</v>
      </c>
      <c r="T187" t="str">
        <f>IFERROR(INDEX(tbl_prof[Cohort of Interest],MATCH(tbl_daily[[#This Row],[CodeName]],tbl_prof[CodeName],0)),"")</f>
        <v>Athletes</v>
      </c>
      <c r="U187" t="str">
        <f>IFERROR(AVERAGEIFS(tbl_perf[Grade],tbl_perf[CodeName],tbl_daily[[#This Row],[CodeName]],tbl_perf[Date],tbl_daily[[#This Row],[Date]]),"")</f>
        <v/>
      </c>
      <c r="V187">
        <f>IFERROR(IF(AND(tbl_daily[[#This Row],[Attendance (1 = Here, 0 = Not here)]]=1,tbl_daily[[#This Row],[Attended, but did not complete data]]&lt;&gt;1),1,IF(AND(tbl_daily[[#This Row],[Attendance (1 = Here, 0 = Not here)]]=1,tbl_daily[[#This Row],[Attended, but did not complete data]]=1),2,3)),"")</f>
        <v>1</v>
      </c>
      <c r="W187">
        <f>IF(AND(tbl_daily[[#This Row],[Attendance Refined]]=1,tbl_daily[[#This Row],[InjuryStatus]]="Full"),1,IF(AND(tbl_daily[[#This Row],[Attendance Refined]]=1,tbl_daily[[#This Row],[InjuryStatus]]="Limited"),2,IF(AND(tbl_daily[[#This Row],[Attendance Refined]]=1,tbl_daily[[#This Row],[InjuryStatus]]="Out"),3,"")))</f>
        <v>1</v>
      </c>
    </row>
    <row r="188" spans="1:23" ht="15" customHeight="1" x14ac:dyDescent="0.25">
      <c r="A188" s="1">
        <v>43874</v>
      </c>
      <c r="B188" t="s">
        <v>427</v>
      </c>
      <c r="C188">
        <v>1</v>
      </c>
      <c r="E188">
        <v>8</v>
      </c>
      <c r="F188">
        <v>7</v>
      </c>
      <c r="G188">
        <v>7</v>
      </c>
      <c r="H188" t="s">
        <v>15</v>
      </c>
      <c r="I188">
        <v>1</v>
      </c>
      <c r="J188">
        <v>8</v>
      </c>
      <c r="K188">
        <v>60</v>
      </c>
      <c r="M188" t="s">
        <v>224</v>
      </c>
      <c r="N188" t="s">
        <v>206</v>
      </c>
      <c r="P188">
        <f>IFERROR(IF(AND(tbl_daily[[#This Row],[Attendance (1 = Here, 0 = Not here)]]=1,tbl_daily[[#This Row],[Attended, but did not complete data]]&lt;&gt;1),tbl_daily[[#This Row],[Stress]]+tbl_daily[[#This Row],[SleepQuality]]+tbl_daily[[#This Row],[Energy]],""),"")</f>
        <v>22</v>
      </c>
      <c r="Q188" s="3">
        <f>IFERROR(IF(AND(tbl_daily[[#This Row],[Attendance (1 = Here, 0 = Not here)]]=1,tbl_daily[[#This Row],[Attended, but did not complete data]]&lt;&gt;1),tbl_daily[[#This Row],[LatestRPE]]*tbl_daily[[#This Row],[LatestDuration]],""),"")</f>
        <v>480</v>
      </c>
      <c r="R188">
        <f>IF(tbl_daily[[#This Row],[CodeName]]&lt;&gt;"",1,"")</f>
        <v>1</v>
      </c>
      <c r="S188" s="3" t="str">
        <f>IF(AND(tbl_daily[[#This Row],[Date]]&gt;=DATE(2019,8,1),tbl_daily[[#This Row],[Date]]&lt;=DATE(2020,6,1)),"2019-2020")</f>
        <v>2019-2020</v>
      </c>
      <c r="T188" t="str">
        <f>IFERROR(INDEX(tbl_prof[Cohort of Interest],MATCH(tbl_daily[[#This Row],[CodeName]],tbl_prof[CodeName],0)),"")</f>
        <v>Special</v>
      </c>
      <c r="U188" t="str">
        <f>IFERROR(AVERAGEIFS(tbl_perf[Grade],tbl_perf[CodeName],tbl_daily[[#This Row],[CodeName]],tbl_perf[Date],tbl_daily[[#This Row],[Date]]),"")</f>
        <v/>
      </c>
      <c r="V188">
        <f>IFERROR(IF(AND(tbl_daily[[#This Row],[Attendance (1 = Here, 0 = Not here)]]=1,tbl_daily[[#This Row],[Attended, but did not complete data]]&lt;&gt;1),1,IF(AND(tbl_daily[[#This Row],[Attendance (1 = Here, 0 = Not here)]]=1,tbl_daily[[#This Row],[Attended, but did not complete data]]=1),2,3)),"")</f>
        <v>1</v>
      </c>
      <c r="W188">
        <f>IF(AND(tbl_daily[[#This Row],[Attendance Refined]]=1,tbl_daily[[#This Row],[InjuryStatus]]="Full"),1,IF(AND(tbl_daily[[#This Row],[Attendance Refined]]=1,tbl_daily[[#This Row],[InjuryStatus]]="Limited"),2,IF(AND(tbl_daily[[#This Row],[Attendance Refined]]=1,tbl_daily[[#This Row],[InjuryStatus]]="Out"),3,"")))</f>
        <v>1</v>
      </c>
    </row>
    <row r="189" spans="1:23" ht="15" customHeight="1" x14ac:dyDescent="0.25">
      <c r="A189" s="1">
        <v>43874</v>
      </c>
      <c r="B189" t="s">
        <v>434</v>
      </c>
      <c r="C189">
        <v>1</v>
      </c>
      <c r="E189">
        <v>7</v>
      </c>
      <c r="F189">
        <v>6</v>
      </c>
      <c r="G189">
        <v>7</v>
      </c>
      <c r="H189" t="s">
        <v>15</v>
      </c>
      <c r="I189">
        <v>1</v>
      </c>
      <c r="J189">
        <v>8</v>
      </c>
      <c r="K189">
        <v>60</v>
      </c>
      <c r="M189" t="s">
        <v>224</v>
      </c>
      <c r="N189" t="s">
        <v>203</v>
      </c>
      <c r="P189">
        <f>IFERROR(IF(AND(tbl_daily[[#This Row],[Attendance (1 = Here, 0 = Not here)]]=1,tbl_daily[[#This Row],[Attended, but did not complete data]]&lt;&gt;1),tbl_daily[[#This Row],[Stress]]+tbl_daily[[#This Row],[SleepQuality]]+tbl_daily[[#This Row],[Energy]],""),"")</f>
        <v>20</v>
      </c>
      <c r="Q189" s="3">
        <f>IFERROR(IF(AND(tbl_daily[[#This Row],[Attendance (1 = Here, 0 = Not here)]]=1,tbl_daily[[#This Row],[Attended, but did not complete data]]&lt;&gt;1),tbl_daily[[#This Row],[LatestRPE]]*tbl_daily[[#This Row],[LatestDuration]],""),"")</f>
        <v>480</v>
      </c>
      <c r="R189">
        <f>IF(tbl_daily[[#This Row],[CodeName]]&lt;&gt;"",1,"")</f>
        <v>1</v>
      </c>
      <c r="S189" s="3" t="str">
        <f>IF(AND(tbl_daily[[#This Row],[Date]]&gt;=DATE(2019,8,1),tbl_daily[[#This Row],[Date]]&lt;=DATE(2020,6,1)),"2019-2020")</f>
        <v>2019-2020</v>
      </c>
      <c r="T189" t="str">
        <f>IFERROR(INDEX(tbl_prof[Cohort of Interest],MATCH(tbl_daily[[#This Row],[CodeName]],tbl_prof[CodeName],0)),"")</f>
        <v>Athletes</v>
      </c>
      <c r="U189" t="str">
        <f>IFERROR(AVERAGEIFS(tbl_perf[Grade],tbl_perf[CodeName],tbl_daily[[#This Row],[CodeName]],tbl_perf[Date],tbl_daily[[#This Row],[Date]]),"")</f>
        <v/>
      </c>
      <c r="V189">
        <f>IFERROR(IF(AND(tbl_daily[[#This Row],[Attendance (1 = Here, 0 = Not here)]]=1,tbl_daily[[#This Row],[Attended, but did not complete data]]&lt;&gt;1),1,IF(AND(tbl_daily[[#This Row],[Attendance (1 = Here, 0 = Not here)]]=1,tbl_daily[[#This Row],[Attended, but did not complete data]]=1),2,3)),"")</f>
        <v>1</v>
      </c>
      <c r="W189">
        <f>IF(AND(tbl_daily[[#This Row],[Attendance Refined]]=1,tbl_daily[[#This Row],[InjuryStatus]]="Full"),1,IF(AND(tbl_daily[[#This Row],[Attendance Refined]]=1,tbl_daily[[#This Row],[InjuryStatus]]="Limited"),2,IF(AND(tbl_daily[[#This Row],[Attendance Refined]]=1,tbl_daily[[#This Row],[InjuryStatus]]="Out"),3,"")))</f>
        <v>1</v>
      </c>
    </row>
    <row r="190" spans="1:23" ht="15" customHeight="1" x14ac:dyDescent="0.25">
      <c r="A190" s="1">
        <v>43874</v>
      </c>
      <c r="B190" t="s">
        <v>426</v>
      </c>
      <c r="C190">
        <v>1</v>
      </c>
      <c r="E190">
        <v>7</v>
      </c>
      <c r="F190">
        <v>4</v>
      </c>
      <c r="G190">
        <v>4</v>
      </c>
      <c r="H190" t="s">
        <v>32</v>
      </c>
      <c r="I190">
        <v>0</v>
      </c>
      <c r="J190">
        <v>5</v>
      </c>
      <c r="K190">
        <v>120</v>
      </c>
      <c r="M190" t="s">
        <v>224</v>
      </c>
      <c r="N190" t="s">
        <v>205</v>
      </c>
      <c r="P190">
        <f>IFERROR(IF(AND(tbl_daily[[#This Row],[Attendance (1 = Here, 0 = Not here)]]=1,tbl_daily[[#This Row],[Attended, but did not complete data]]&lt;&gt;1),tbl_daily[[#This Row],[Stress]]+tbl_daily[[#This Row],[SleepQuality]]+tbl_daily[[#This Row],[Energy]],""),"")</f>
        <v>15</v>
      </c>
      <c r="Q190" s="3">
        <f>IFERROR(IF(AND(tbl_daily[[#This Row],[Attendance (1 = Here, 0 = Not here)]]=1,tbl_daily[[#This Row],[Attended, but did not complete data]]&lt;&gt;1),tbl_daily[[#This Row],[LatestRPE]]*tbl_daily[[#This Row],[LatestDuration]],""),"")</f>
        <v>600</v>
      </c>
      <c r="R190">
        <f>IF(tbl_daily[[#This Row],[CodeName]]&lt;&gt;"",1,"")</f>
        <v>1</v>
      </c>
      <c r="S190" s="3" t="str">
        <f>IF(AND(tbl_daily[[#This Row],[Date]]&gt;=DATE(2019,8,1),tbl_daily[[#This Row],[Date]]&lt;=DATE(2020,6,1)),"2019-2020")</f>
        <v>2019-2020</v>
      </c>
      <c r="T190" t="str">
        <f>IFERROR(INDEX(tbl_prof[Cohort of Interest],MATCH(tbl_daily[[#This Row],[CodeName]],tbl_prof[CodeName],0)),"")</f>
        <v>Special</v>
      </c>
      <c r="U190" t="str">
        <f>IFERROR(AVERAGEIFS(tbl_perf[Grade],tbl_perf[CodeName],tbl_daily[[#This Row],[CodeName]],tbl_perf[Date],tbl_daily[[#This Row],[Date]]),"")</f>
        <v/>
      </c>
      <c r="V190">
        <f>IFERROR(IF(AND(tbl_daily[[#This Row],[Attendance (1 = Here, 0 = Not here)]]=1,tbl_daily[[#This Row],[Attended, but did not complete data]]&lt;&gt;1),1,IF(AND(tbl_daily[[#This Row],[Attendance (1 = Here, 0 = Not here)]]=1,tbl_daily[[#This Row],[Attended, but did not complete data]]=1),2,3)),"")</f>
        <v>1</v>
      </c>
      <c r="W190">
        <f>IF(AND(tbl_daily[[#This Row],[Attendance Refined]]=1,tbl_daily[[#This Row],[InjuryStatus]]="Full"),1,IF(AND(tbl_daily[[#This Row],[Attendance Refined]]=1,tbl_daily[[#This Row],[InjuryStatus]]="Limited"),2,IF(AND(tbl_daily[[#This Row],[Attendance Refined]]=1,tbl_daily[[#This Row],[InjuryStatus]]="Out"),3,"")))</f>
        <v>2</v>
      </c>
    </row>
    <row r="191" spans="1:23" ht="15" customHeight="1" x14ac:dyDescent="0.25">
      <c r="A191" s="1">
        <v>43874</v>
      </c>
      <c r="B191" t="s">
        <v>441</v>
      </c>
      <c r="C191">
        <v>1</v>
      </c>
      <c r="E191">
        <v>3</v>
      </c>
      <c r="F191">
        <v>5</v>
      </c>
      <c r="G191">
        <v>6</v>
      </c>
      <c r="H191" t="s">
        <v>15</v>
      </c>
      <c r="I191">
        <v>1</v>
      </c>
      <c r="J191">
        <v>9</v>
      </c>
      <c r="K191">
        <v>80</v>
      </c>
      <c r="M191" t="s">
        <v>224</v>
      </c>
      <c r="N191" t="s">
        <v>218</v>
      </c>
      <c r="P191">
        <f>IFERROR(IF(AND(tbl_daily[[#This Row],[Attendance (1 = Here, 0 = Not here)]]=1,tbl_daily[[#This Row],[Attended, but did not complete data]]&lt;&gt;1),tbl_daily[[#This Row],[Stress]]+tbl_daily[[#This Row],[SleepQuality]]+tbl_daily[[#This Row],[Energy]],""),"")</f>
        <v>14</v>
      </c>
      <c r="Q191" s="3">
        <f>IFERROR(IF(AND(tbl_daily[[#This Row],[Attendance (1 = Here, 0 = Not here)]]=1,tbl_daily[[#This Row],[Attended, but did not complete data]]&lt;&gt;1),tbl_daily[[#This Row],[LatestRPE]]*tbl_daily[[#This Row],[LatestDuration]],""),"")</f>
        <v>720</v>
      </c>
      <c r="R191">
        <f>IF(tbl_daily[[#This Row],[CodeName]]&lt;&gt;"",1,"")</f>
        <v>1</v>
      </c>
      <c r="S191" s="3" t="str">
        <f>IF(AND(tbl_daily[[#This Row],[Date]]&gt;=DATE(2019,8,1),tbl_daily[[#This Row],[Date]]&lt;=DATE(2020,6,1)),"2019-2020")</f>
        <v>2019-2020</v>
      </c>
      <c r="T191" t="str">
        <f>IFERROR(INDEX(tbl_prof[Cohort of Interest],MATCH(tbl_daily[[#This Row],[CodeName]],tbl_prof[CodeName],0)),"")</f>
        <v>Athletes</v>
      </c>
      <c r="U191" t="str">
        <f>IFERROR(AVERAGEIFS(tbl_perf[Grade],tbl_perf[CodeName],tbl_daily[[#This Row],[CodeName]],tbl_perf[Date],tbl_daily[[#This Row],[Date]]),"")</f>
        <v/>
      </c>
      <c r="V191">
        <f>IFERROR(IF(AND(tbl_daily[[#This Row],[Attendance (1 = Here, 0 = Not here)]]=1,tbl_daily[[#This Row],[Attended, but did not complete data]]&lt;&gt;1),1,IF(AND(tbl_daily[[#This Row],[Attendance (1 = Here, 0 = Not here)]]=1,tbl_daily[[#This Row],[Attended, but did not complete data]]=1),2,3)),"")</f>
        <v>1</v>
      </c>
      <c r="W191">
        <f>IF(AND(tbl_daily[[#This Row],[Attendance Refined]]=1,tbl_daily[[#This Row],[InjuryStatus]]="Full"),1,IF(AND(tbl_daily[[#This Row],[Attendance Refined]]=1,tbl_daily[[#This Row],[InjuryStatus]]="Limited"),2,IF(AND(tbl_daily[[#This Row],[Attendance Refined]]=1,tbl_daily[[#This Row],[InjuryStatus]]="Out"),3,"")))</f>
        <v>1</v>
      </c>
    </row>
    <row r="192" spans="1:23" ht="15" customHeight="1" x14ac:dyDescent="0.25">
      <c r="A192" s="1">
        <v>43874</v>
      </c>
      <c r="B192" t="s">
        <v>432</v>
      </c>
      <c r="C192">
        <v>1</v>
      </c>
      <c r="E192">
        <v>9</v>
      </c>
      <c r="F192">
        <v>8</v>
      </c>
      <c r="G192">
        <v>7</v>
      </c>
      <c r="H192" t="s">
        <v>32</v>
      </c>
      <c r="I192">
        <v>1</v>
      </c>
      <c r="J192">
        <v>7</v>
      </c>
      <c r="K192">
        <v>120</v>
      </c>
      <c r="M192" t="s">
        <v>224</v>
      </c>
      <c r="N192" t="s">
        <v>214</v>
      </c>
      <c r="P192">
        <f>IFERROR(IF(AND(tbl_daily[[#This Row],[Attendance (1 = Here, 0 = Not here)]]=1,tbl_daily[[#This Row],[Attended, but did not complete data]]&lt;&gt;1),tbl_daily[[#This Row],[Stress]]+tbl_daily[[#This Row],[SleepQuality]]+tbl_daily[[#This Row],[Energy]],""),"")</f>
        <v>24</v>
      </c>
      <c r="Q192" s="3">
        <f>IFERROR(IF(AND(tbl_daily[[#This Row],[Attendance (1 = Here, 0 = Not here)]]=1,tbl_daily[[#This Row],[Attended, but did not complete data]]&lt;&gt;1),tbl_daily[[#This Row],[LatestRPE]]*tbl_daily[[#This Row],[LatestDuration]],""),"")</f>
        <v>840</v>
      </c>
      <c r="R192">
        <f>IF(tbl_daily[[#This Row],[CodeName]]&lt;&gt;"",1,"")</f>
        <v>1</v>
      </c>
      <c r="S192" s="3" t="str">
        <f>IF(AND(tbl_daily[[#This Row],[Date]]&gt;=DATE(2019,8,1),tbl_daily[[#This Row],[Date]]&lt;=DATE(2020,6,1)),"2019-2020")</f>
        <v>2019-2020</v>
      </c>
      <c r="T192" t="str">
        <f>IFERROR(INDEX(tbl_prof[Cohort of Interest],MATCH(tbl_daily[[#This Row],[CodeName]],tbl_prof[CodeName],0)),"")</f>
        <v>Athletes</v>
      </c>
      <c r="U192" t="str">
        <f>IFERROR(AVERAGEIFS(tbl_perf[Grade],tbl_perf[CodeName],tbl_daily[[#This Row],[CodeName]],tbl_perf[Date],tbl_daily[[#This Row],[Date]]),"")</f>
        <v/>
      </c>
      <c r="V192">
        <f>IFERROR(IF(AND(tbl_daily[[#This Row],[Attendance (1 = Here, 0 = Not here)]]=1,tbl_daily[[#This Row],[Attended, but did not complete data]]&lt;&gt;1),1,IF(AND(tbl_daily[[#This Row],[Attendance (1 = Here, 0 = Not here)]]=1,tbl_daily[[#This Row],[Attended, but did not complete data]]=1),2,3)),"")</f>
        <v>1</v>
      </c>
      <c r="W192">
        <f>IF(AND(tbl_daily[[#This Row],[Attendance Refined]]=1,tbl_daily[[#This Row],[InjuryStatus]]="Full"),1,IF(AND(tbl_daily[[#This Row],[Attendance Refined]]=1,tbl_daily[[#This Row],[InjuryStatus]]="Limited"),2,IF(AND(tbl_daily[[#This Row],[Attendance Refined]]=1,tbl_daily[[#This Row],[InjuryStatus]]="Out"),3,"")))</f>
        <v>2</v>
      </c>
    </row>
    <row r="193" spans="1:23" ht="15" customHeight="1" x14ac:dyDescent="0.25">
      <c r="A193" s="1">
        <v>43874</v>
      </c>
      <c r="B193" t="s">
        <v>423</v>
      </c>
      <c r="C193">
        <v>1</v>
      </c>
      <c r="E193">
        <v>7</v>
      </c>
      <c r="F193">
        <v>6</v>
      </c>
      <c r="G193">
        <v>8</v>
      </c>
      <c r="H193" t="s">
        <v>15</v>
      </c>
      <c r="I193">
        <v>1</v>
      </c>
      <c r="J193">
        <v>9</v>
      </c>
      <c r="K193">
        <v>120</v>
      </c>
      <c r="M193" t="s">
        <v>224</v>
      </c>
      <c r="N193" t="s">
        <v>202</v>
      </c>
      <c r="P193">
        <f>IFERROR(IF(AND(tbl_daily[[#This Row],[Attendance (1 = Here, 0 = Not here)]]=1,tbl_daily[[#This Row],[Attended, but did not complete data]]&lt;&gt;1),tbl_daily[[#This Row],[Stress]]+tbl_daily[[#This Row],[SleepQuality]]+tbl_daily[[#This Row],[Energy]],""),"")</f>
        <v>21</v>
      </c>
      <c r="Q193" s="3">
        <f>IFERROR(IF(AND(tbl_daily[[#This Row],[Attendance (1 = Here, 0 = Not here)]]=1,tbl_daily[[#This Row],[Attended, but did not complete data]]&lt;&gt;1),tbl_daily[[#This Row],[LatestRPE]]*tbl_daily[[#This Row],[LatestDuration]],""),"")</f>
        <v>1080</v>
      </c>
      <c r="R193">
        <f>IF(tbl_daily[[#This Row],[CodeName]]&lt;&gt;"",1,"")</f>
        <v>1</v>
      </c>
      <c r="S193" s="3" t="str">
        <f>IF(AND(tbl_daily[[#This Row],[Date]]&gt;=DATE(2019,8,1),tbl_daily[[#This Row],[Date]]&lt;=DATE(2020,6,1)),"2019-2020")</f>
        <v>2019-2020</v>
      </c>
      <c r="T193" t="str">
        <f>IFERROR(INDEX(tbl_prof[Cohort of Interest],MATCH(tbl_daily[[#This Row],[CodeName]],tbl_prof[CodeName],0)),"")</f>
        <v>Youth</v>
      </c>
      <c r="U193" t="str">
        <f>IFERROR(AVERAGEIFS(tbl_perf[Grade],tbl_perf[CodeName],tbl_daily[[#This Row],[CodeName]],tbl_perf[Date],tbl_daily[[#This Row],[Date]]),"")</f>
        <v/>
      </c>
      <c r="V193">
        <f>IFERROR(IF(AND(tbl_daily[[#This Row],[Attendance (1 = Here, 0 = Not here)]]=1,tbl_daily[[#This Row],[Attended, but did not complete data]]&lt;&gt;1),1,IF(AND(tbl_daily[[#This Row],[Attendance (1 = Here, 0 = Not here)]]=1,tbl_daily[[#This Row],[Attended, but did not complete data]]=1),2,3)),"")</f>
        <v>1</v>
      </c>
      <c r="W193">
        <f>IF(AND(tbl_daily[[#This Row],[Attendance Refined]]=1,tbl_daily[[#This Row],[InjuryStatus]]="Full"),1,IF(AND(tbl_daily[[#This Row],[Attendance Refined]]=1,tbl_daily[[#This Row],[InjuryStatus]]="Limited"),2,IF(AND(tbl_daily[[#This Row],[Attendance Refined]]=1,tbl_daily[[#This Row],[InjuryStatus]]="Out"),3,"")))</f>
        <v>1</v>
      </c>
    </row>
    <row r="194" spans="1:23" ht="15" customHeight="1" x14ac:dyDescent="0.25">
      <c r="A194" s="1">
        <v>43874</v>
      </c>
      <c r="B194" t="s">
        <v>436</v>
      </c>
      <c r="C194">
        <v>0</v>
      </c>
      <c r="D194">
        <v>1</v>
      </c>
      <c r="M194" t="s">
        <v>224</v>
      </c>
      <c r="P194" t="str">
        <f>IFERROR(IF(AND(tbl_daily[[#This Row],[Attendance (1 = Here, 0 = Not here)]]=1,tbl_daily[[#This Row],[Attended, but did not complete data]]&lt;&gt;1),tbl_daily[[#This Row],[Stress]]+tbl_daily[[#This Row],[SleepQuality]]+tbl_daily[[#This Row],[Energy]],""),"")</f>
        <v/>
      </c>
      <c r="Q194" s="3" t="str">
        <f>IFERROR(IF(AND(tbl_daily[[#This Row],[Attendance (1 = Here, 0 = Not here)]]=1,tbl_daily[[#This Row],[Attended, but did not complete data]]&lt;&gt;1),tbl_daily[[#This Row],[LatestRPE]]*tbl_daily[[#This Row],[LatestDuration]],""),"")</f>
        <v/>
      </c>
      <c r="R194">
        <f>IF(tbl_daily[[#This Row],[CodeName]]&lt;&gt;"",1,"")</f>
        <v>1</v>
      </c>
      <c r="S194" s="3" t="str">
        <f>IF(AND(tbl_daily[[#This Row],[Date]]&gt;=DATE(2019,8,1),tbl_daily[[#This Row],[Date]]&lt;=DATE(2020,6,1)),"2019-2020")</f>
        <v>2019-2020</v>
      </c>
      <c r="T194" t="str">
        <f>IFERROR(INDEX(tbl_prof[Cohort of Interest],MATCH(tbl_daily[[#This Row],[CodeName]],tbl_prof[CodeName],0)),"")</f>
        <v>Athletes</v>
      </c>
      <c r="U194" t="str">
        <f>IFERROR(AVERAGEIFS(tbl_perf[Grade],tbl_perf[CodeName],tbl_daily[[#This Row],[CodeName]],tbl_perf[Date],tbl_daily[[#This Row],[Date]]),"")</f>
        <v/>
      </c>
      <c r="V194">
        <f>IFERROR(IF(AND(tbl_daily[[#This Row],[Attendance (1 = Here, 0 = Not here)]]=1,tbl_daily[[#This Row],[Attended, but did not complete data]]&lt;&gt;1),1,IF(AND(tbl_daily[[#This Row],[Attendance (1 = Here, 0 = Not here)]]=1,tbl_daily[[#This Row],[Attended, but did not complete data]]=1),2,3)),"")</f>
        <v>3</v>
      </c>
      <c r="W194" t="str">
        <f>IF(AND(tbl_daily[[#This Row],[Attendance Refined]]=1,tbl_daily[[#This Row],[InjuryStatus]]="Full"),1,IF(AND(tbl_daily[[#This Row],[Attendance Refined]]=1,tbl_daily[[#This Row],[InjuryStatus]]="Limited"),2,IF(AND(tbl_daily[[#This Row],[Attendance Refined]]=1,tbl_daily[[#This Row],[InjuryStatus]]="Out"),3,"")))</f>
        <v/>
      </c>
    </row>
    <row r="195" spans="1:23" ht="15" customHeight="1" x14ac:dyDescent="0.25">
      <c r="A195" s="1">
        <v>43874</v>
      </c>
      <c r="B195" t="s">
        <v>438</v>
      </c>
      <c r="C195">
        <v>0</v>
      </c>
      <c r="D195">
        <v>1</v>
      </c>
      <c r="M195" t="s">
        <v>224</v>
      </c>
      <c r="P195" t="str">
        <f>IFERROR(IF(AND(tbl_daily[[#This Row],[Attendance (1 = Here, 0 = Not here)]]=1,tbl_daily[[#This Row],[Attended, but did not complete data]]&lt;&gt;1),tbl_daily[[#This Row],[Stress]]+tbl_daily[[#This Row],[SleepQuality]]+tbl_daily[[#This Row],[Energy]],""),"")</f>
        <v/>
      </c>
      <c r="Q195" s="3" t="str">
        <f>IFERROR(IF(AND(tbl_daily[[#This Row],[Attendance (1 = Here, 0 = Not here)]]=1,tbl_daily[[#This Row],[Attended, but did not complete data]]&lt;&gt;1),tbl_daily[[#This Row],[LatestRPE]]*tbl_daily[[#This Row],[LatestDuration]],""),"")</f>
        <v/>
      </c>
      <c r="R195">
        <f>IF(tbl_daily[[#This Row],[CodeName]]&lt;&gt;"",1,"")</f>
        <v>1</v>
      </c>
      <c r="S195" s="3" t="str">
        <f>IF(AND(tbl_daily[[#This Row],[Date]]&gt;=DATE(2019,8,1),tbl_daily[[#This Row],[Date]]&lt;=DATE(2020,6,1)),"2019-2020")</f>
        <v>2019-2020</v>
      </c>
      <c r="T195" t="str">
        <f>IFERROR(INDEX(tbl_prof[Cohort of Interest],MATCH(tbl_daily[[#This Row],[CodeName]],tbl_prof[CodeName],0)),"")</f>
        <v>Youth</v>
      </c>
      <c r="U195" t="str">
        <f>IFERROR(AVERAGEIFS(tbl_perf[Grade],tbl_perf[CodeName],tbl_daily[[#This Row],[CodeName]],tbl_perf[Date],tbl_daily[[#This Row],[Date]]),"")</f>
        <v/>
      </c>
      <c r="V195">
        <f>IFERROR(IF(AND(tbl_daily[[#This Row],[Attendance (1 = Here, 0 = Not here)]]=1,tbl_daily[[#This Row],[Attended, but did not complete data]]&lt;&gt;1),1,IF(AND(tbl_daily[[#This Row],[Attendance (1 = Here, 0 = Not here)]]=1,tbl_daily[[#This Row],[Attended, but did not complete data]]=1),2,3)),"")</f>
        <v>3</v>
      </c>
      <c r="W195" t="str">
        <f>IF(AND(tbl_daily[[#This Row],[Attendance Refined]]=1,tbl_daily[[#This Row],[InjuryStatus]]="Full"),1,IF(AND(tbl_daily[[#This Row],[Attendance Refined]]=1,tbl_daily[[#This Row],[InjuryStatus]]="Limited"),2,IF(AND(tbl_daily[[#This Row],[Attendance Refined]]=1,tbl_daily[[#This Row],[InjuryStatus]]="Out"),3,"")))</f>
        <v/>
      </c>
    </row>
    <row r="196" spans="1:23" ht="15" customHeight="1" x14ac:dyDescent="0.25">
      <c r="A196" s="1">
        <v>43872</v>
      </c>
      <c r="B196" t="s">
        <v>412</v>
      </c>
      <c r="C196">
        <v>1</v>
      </c>
      <c r="E196">
        <v>5</v>
      </c>
      <c r="F196">
        <v>4</v>
      </c>
      <c r="G196">
        <v>4</v>
      </c>
      <c r="H196" t="s">
        <v>15</v>
      </c>
      <c r="I196">
        <v>0</v>
      </c>
      <c r="J196">
        <v>0</v>
      </c>
      <c r="K196">
        <v>0</v>
      </c>
      <c r="M196" t="s">
        <v>189</v>
      </c>
      <c r="N196" t="s">
        <v>163</v>
      </c>
      <c r="P196">
        <f>IFERROR(IF(AND(tbl_daily[[#This Row],[Attendance (1 = Here, 0 = Not here)]]=1,tbl_daily[[#This Row],[Attended, but did not complete data]]&lt;&gt;1),tbl_daily[[#This Row],[Stress]]+tbl_daily[[#This Row],[SleepQuality]]+tbl_daily[[#This Row],[Energy]],""),"")</f>
        <v>13</v>
      </c>
      <c r="Q196">
        <f>IFERROR(IF(AND(tbl_daily[[#This Row],[Attendance (1 = Here, 0 = Not here)]]=1,tbl_daily[[#This Row],[Attended, but did not complete data]]&lt;&gt;1),tbl_daily[[#This Row],[LatestRPE]]*tbl_daily[[#This Row],[LatestDuration]],""),"")</f>
        <v>0</v>
      </c>
      <c r="R196">
        <f>IF(tbl_daily[[#This Row],[CodeName]]&lt;&gt;"",1,"")</f>
        <v>1</v>
      </c>
      <c r="S196" t="str">
        <f>IF(AND(tbl_daily[[#This Row],[Date]]&gt;=DATE(2019,8,1),tbl_daily[[#This Row],[Date]]&lt;=DATE(2020,6,1)),"2019-2020")</f>
        <v>2019-2020</v>
      </c>
      <c r="T196" t="str">
        <f>IFERROR(INDEX(tbl_prof[Cohort of Interest],MATCH(tbl_daily[[#This Row],[CodeName]],tbl_prof[CodeName],0)),"")</f>
        <v>Gen Pop</v>
      </c>
      <c r="U196" t="str">
        <f>IFERROR(AVERAGEIFS(tbl_perf[Grade],tbl_perf[CodeName],tbl_daily[[#This Row],[CodeName]],tbl_perf[Date],tbl_daily[[#This Row],[Date]]),"")</f>
        <v/>
      </c>
      <c r="V196">
        <f>IFERROR(IF(AND(tbl_daily[[#This Row],[Attendance (1 = Here, 0 = Not here)]]=1,tbl_daily[[#This Row],[Attended, but did not complete data]]&lt;&gt;1),1,IF(AND(tbl_daily[[#This Row],[Attendance (1 = Here, 0 = Not here)]]=1,tbl_daily[[#This Row],[Attended, but did not complete data]]=1),2,3)),"")</f>
        <v>1</v>
      </c>
      <c r="W196">
        <f>IF(AND(tbl_daily[[#This Row],[Attendance Refined]]=1,tbl_daily[[#This Row],[InjuryStatus]]="Full"),1,IF(AND(tbl_daily[[#This Row],[Attendance Refined]]=1,tbl_daily[[#This Row],[InjuryStatus]]="Limited"),2,IF(AND(tbl_daily[[#This Row],[Attendance Refined]]=1,tbl_daily[[#This Row],[InjuryStatus]]="Out"),3,"")))</f>
        <v>1</v>
      </c>
    </row>
    <row r="197" spans="1:23" ht="15" customHeight="1" x14ac:dyDescent="0.25">
      <c r="A197" s="1">
        <v>43872</v>
      </c>
      <c r="B197" t="s">
        <v>421</v>
      </c>
      <c r="C197">
        <v>1</v>
      </c>
      <c r="E197">
        <v>7</v>
      </c>
      <c r="F197">
        <v>6</v>
      </c>
      <c r="G197">
        <v>7</v>
      </c>
      <c r="H197" t="s">
        <v>15</v>
      </c>
      <c r="I197">
        <v>1</v>
      </c>
      <c r="J197">
        <v>7</v>
      </c>
      <c r="M197" t="s">
        <v>189</v>
      </c>
      <c r="N197" t="s">
        <v>172</v>
      </c>
      <c r="P197">
        <f>IFERROR(IF(AND(tbl_daily[[#This Row],[Attendance (1 = Here, 0 = Not here)]]=1,tbl_daily[[#This Row],[Attended, but did not complete data]]&lt;&gt;1),tbl_daily[[#This Row],[Stress]]+tbl_daily[[#This Row],[SleepQuality]]+tbl_daily[[#This Row],[Energy]],""),"")</f>
        <v>20</v>
      </c>
      <c r="Q197">
        <f>IFERROR(IF(AND(tbl_daily[[#This Row],[Attendance (1 = Here, 0 = Not here)]]=1,tbl_daily[[#This Row],[Attended, but did not complete data]]&lt;&gt;1),tbl_daily[[#This Row],[LatestRPE]]*tbl_daily[[#This Row],[LatestDuration]],""),"")</f>
        <v>0</v>
      </c>
      <c r="R197">
        <f>IF(tbl_daily[[#This Row],[CodeName]]&lt;&gt;"",1,"")</f>
        <v>1</v>
      </c>
      <c r="S197" t="str">
        <f>IF(AND(tbl_daily[[#This Row],[Date]]&gt;=DATE(2019,8,1),tbl_daily[[#This Row],[Date]]&lt;=DATE(2020,6,1)),"2019-2020")</f>
        <v>2019-2020</v>
      </c>
      <c r="T197" t="str">
        <f>IFERROR(INDEX(tbl_prof[Cohort of Interest],MATCH(tbl_daily[[#This Row],[CodeName]],tbl_prof[CodeName],0)),"")</f>
        <v>Athletes</v>
      </c>
      <c r="U197" t="str">
        <f>IFERROR(AVERAGEIFS(tbl_perf[Grade],tbl_perf[CodeName],tbl_daily[[#This Row],[CodeName]],tbl_perf[Date],tbl_daily[[#This Row],[Date]]),"")</f>
        <v/>
      </c>
      <c r="V197">
        <f>IFERROR(IF(AND(tbl_daily[[#This Row],[Attendance (1 = Here, 0 = Not here)]]=1,tbl_daily[[#This Row],[Attended, but did not complete data]]&lt;&gt;1),1,IF(AND(tbl_daily[[#This Row],[Attendance (1 = Here, 0 = Not here)]]=1,tbl_daily[[#This Row],[Attended, but did not complete data]]=1),2,3)),"")</f>
        <v>1</v>
      </c>
      <c r="W197">
        <f>IF(AND(tbl_daily[[#This Row],[Attendance Refined]]=1,tbl_daily[[#This Row],[InjuryStatus]]="Full"),1,IF(AND(tbl_daily[[#This Row],[Attendance Refined]]=1,tbl_daily[[#This Row],[InjuryStatus]]="Limited"),2,IF(AND(tbl_daily[[#This Row],[Attendance Refined]]=1,tbl_daily[[#This Row],[InjuryStatus]]="Out"),3,"")))</f>
        <v>1</v>
      </c>
    </row>
    <row r="198" spans="1:23" ht="15" customHeight="1" x14ac:dyDescent="0.25">
      <c r="A198" s="1">
        <v>43872</v>
      </c>
      <c r="B198" t="s">
        <v>424</v>
      </c>
      <c r="C198">
        <v>1</v>
      </c>
      <c r="E198">
        <v>6</v>
      </c>
      <c r="F198">
        <v>5</v>
      </c>
      <c r="G198">
        <v>6</v>
      </c>
      <c r="H198" t="s">
        <v>15</v>
      </c>
      <c r="I198">
        <v>1</v>
      </c>
      <c r="J198">
        <v>6</v>
      </c>
      <c r="M198" t="s">
        <v>189</v>
      </c>
      <c r="N198" t="s">
        <v>173</v>
      </c>
      <c r="P198">
        <f>IFERROR(IF(AND(tbl_daily[[#This Row],[Attendance (1 = Here, 0 = Not here)]]=1,tbl_daily[[#This Row],[Attended, but did not complete data]]&lt;&gt;1),tbl_daily[[#This Row],[Stress]]+tbl_daily[[#This Row],[SleepQuality]]+tbl_daily[[#This Row],[Energy]],""),"")</f>
        <v>17</v>
      </c>
      <c r="Q198">
        <f>IFERROR(IF(AND(tbl_daily[[#This Row],[Attendance (1 = Here, 0 = Not here)]]=1,tbl_daily[[#This Row],[Attended, but did not complete data]]&lt;&gt;1),tbl_daily[[#This Row],[LatestRPE]]*tbl_daily[[#This Row],[LatestDuration]],""),"")</f>
        <v>0</v>
      </c>
      <c r="R198">
        <f>IF(tbl_daily[[#This Row],[CodeName]]&lt;&gt;"",1,"")</f>
        <v>1</v>
      </c>
      <c r="S198" t="str">
        <f>IF(AND(tbl_daily[[#This Row],[Date]]&gt;=DATE(2019,8,1),tbl_daily[[#This Row],[Date]]&lt;=DATE(2020,6,1)),"2019-2020")</f>
        <v>2019-2020</v>
      </c>
      <c r="T198" t="str">
        <f>IFERROR(INDEX(tbl_prof[Cohort of Interest],MATCH(tbl_daily[[#This Row],[CodeName]],tbl_prof[CodeName],0)),"")</f>
        <v>Special</v>
      </c>
      <c r="U198" t="str">
        <f>IFERROR(AVERAGEIFS(tbl_perf[Grade],tbl_perf[CodeName],tbl_daily[[#This Row],[CodeName]],tbl_perf[Date],tbl_daily[[#This Row],[Date]]),"")</f>
        <v/>
      </c>
      <c r="V198">
        <f>IFERROR(IF(AND(tbl_daily[[#This Row],[Attendance (1 = Here, 0 = Not here)]]=1,tbl_daily[[#This Row],[Attended, but did not complete data]]&lt;&gt;1),1,IF(AND(tbl_daily[[#This Row],[Attendance (1 = Here, 0 = Not here)]]=1,tbl_daily[[#This Row],[Attended, but did not complete data]]=1),2,3)),"")</f>
        <v>1</v>
      </c>
      <c r="W198">
        <f>IF(AND(tbl_daily[[#This Row],[Attendance Refined]]=1,tbl_daily[[#This Row],[InjuryStatus]]="Full"),1,IF(AND(tbl_daily[[#This Row],[Attendance Refined]]=1,tbl_daily[[#This Row],[InjuryStatus]]="Limited"),2,IF(AND(tbl_daily[[#This Row],[Attendance Refined]]=1,tbl_daily[[#This Row],[InjuryStatus]]="Out"),3,"")))</f>
        <v>1</v>
      </c>
    </row>
    <row r="199" spans="1:23" ht="15" customHeight="1" x14ac:dyDescent="0.25">
      <c r="A199" s="1">
        <v>43872</v>
      </c>
      <c r="B199" t="s">
        <v>425</v>
      </c>
      <c r="C199">
        <v>1</v>
      </c>
      <c r="E199">
        <v>5</v>
      </c>
      <c r="F199">
        <v>5</v>
      </c>
      <c r="G199">
        <v>5</v>
      </c>
      <c r="H199" t="s">
        <v>15</v>
      </c>
      <c r="I199">
        <v>1</v>
      </c>
      <c r="J199">
        <v>6</v>
      </c>
      <c r="M199" t="s">
        <v>189</v>
      </c>
      <c r="N199" t="s">
        <v>174</v>
      </c>
      <c r="P199">
        <f>IFERROR(IF(AND(tbl_daily[[#This Row],[Attendance (1 = Here, 0 = Not here)]]=1,tbl_daily[[#This Row],[Attended, but did not complete data]]&lt;&gt;1),tbl_daily[[#This Row],[Stress]]+tbl_daily[[#This Row],[SleepQuality]]+tbl_daily[[#This Row],[Energy]],""),"")</f>
        <v>15</v>
      </c>
      <c r="Q199">
        <f>IFERROR(IF(AND(tbl_daily[[#This Row],[Attendance (1 = Here, 0 = Not here)]]=1,tbl_daily[[#This Row],[Attended, but did not complete data]]&lt;&gt;1),tbl_daily[[#This Row],[LatestRPE]]*tbl_daily[[#This Row],[LatestDuration]],""),"")</f>
        <v>0</v>
      </c>
      <c r="R199">
        <f>IF(tbl_daily[[#This Row],[CodeName]]&lt;&gt;"",1,"")</f>
        <v>1</v>
      </c>
      <c r="S199" t="str">
        <f>IF(AND(tbl_daily[[#This Row],[Date]]&gt;=DATE(2019,8,1),tbl_daily[[#This Row],[Date]]&lt;=DATE(2020,6,1)),"2019-2020")</f>
        <v>2019-2020</v>
      </c>
      <c r="T199" t="str">
        <f>IFERROR(INDEX(tbl_prof[Cohort of Interest],MATCH(tbl_daily[[#This Row],[CodeName]],tbl_prof[CodeName],0)),"")</f>
        <v>Athletes</v>
      </c>
      <c r="U199" t="str">
        <f>IFERROR(AVERAGEIFS(tbl_perf[Grade],tbl_perf[CodeName],tbl_daily[[#This Row],[CodeName]],tbl_perf[Date],tbl_daily[[#This Row],[Date]]),"")</f>
        <v/>
      </c>
      <c r="V199">
        <f>IFERROR(IF(AND(tbl_daily[[#This Row],[Attendance (1 = Here, 0 = Not here)]]=1,tbl_daily[[#This Row],[Attended, but did not complete data]]&lt;&gt;1),1,IF(AND(tbl_daily[[#This Row],[Attendance (1 = Here, 0 = Not here)]]=1,tbl_daily[[#This Row],[Attended, but did not complete data]]=1),2,3)),"")</f>
        <v>1</v>
      </c>
      <c r="W199">
        <f>IF(AND(tbl_daily[[#This Row],[Attendance Refined]]=1,tbl_daily[[#This Row],[InjuryStatus]]="Full"),1,IF(AND(tbl_daily[[#This Row],[Attendance Refined]]=1,tbl_daily[[#This Row],[InjuryStatus]]="Limited"),2,IF(AND(tbl_daily[[#This Row],[Attendance Refined]]=1,tbl_daily[[#This Row],[InjuryStatus]]="Out"),3,"")))</f>
        <v>1</v>
      </c>
    </row>
    <row r="200" spans="1:23" ht="15" customHeight="1" x14ac:dyDescent="0.25">
      <c r="A200" s="1">
        <v>43872</v>
      </c>
      <c r="B200" t="s">
        <v>430</v>
      </c>
      <c r="C200">
        <v>1</v>
      </c>
      <c r="E200">
        <v>5</v>
      </c>
      <c r="F200">
        <v>6</v>
      </c>
      <c r="G200">
        <v>2</v>
      </c>
      <c r="H200" t="s">
        <v>15</v>
      </c>
      <c r="I200">
        <v>0</v>
      </c>
      <c r="J200">
        <v>0</v>
      </c>
      <c r="K200">
        <v>0</v>
      </c>
      <c r="M200" t="s">
        <v>189</v>
      </c>
      <c r="N200" t="s">
        <v>180</v>
      </c>
      <c r="P200">
        <f>IFERROR(IF(AND(tbl_daily[[#This Row],[Attendance (1 = Here, 0 = Not here)]]=1,tbl_daily[[#This Row],[Attended, but did not complete data]]&lt;&gt;1),tbl_daily[[#This Row],[Stress]]+tbl_daily[[#This Row],[SleepQuality]]+tbl_daily[[#This Row],[Energy]],""),"")</f>
        <v>13</v>
      </c>
      <c r="Q200">
        <f>IFERROR(IF(AND(tbl_daily[[#This Row],[Attendance (1 = Here, 0 = Not here)]]=1,tbl_daily[[#This Row],[Attended, but did not complete data]]&lt;&gt;1),tbl_daily[[#This Row],[LatestRPE]]*tbl_daily[[#This Row],[LatestDuration]],""),"")</f>
        <v>0</v>
      </c>
      <c r="R200">
        <f>IF(tbl_daily[[#This Row],[CodeName]]&lt;&gt;"",1,"")</f>
        <v>1</v>
      </c>
      <c r="S200" t="str">
        <f>IF(AND(tbl_daily[[#This Row],[Date]]&gt;=DATE(2019,8,1),tbl_daily[[#This Row],[Date]]&lt;=DATE(2020,6,1)),"2019-2020")</f>
        <v>2019-2020</v>
      </c>
      <c r="T200" t="str">
        <f>IFERROR(INDEX(tbl_prof[Cohort of Interest],MATCH(tbl_daily[[#This Row],[CodeName]],tbl_prof[CodeName],0)),"")</f>
        <v>Gen Pop</v>
      </c>
      <c r="U200" t="str">
        <f>IFERROR(AVERAGEIFS(tbl_perf[Grade],tbl_perf[CodeName],tbl_daily[[#This Row],[CodeName]],tbl_perf[Date],tbl_daily[[#This Row],[Date]]),"")</f>
        <v/>
      </c>
      <c r="V200">
        <f>IFERROR(IF(AND(tbl_daily[[#This Row],[Attendance (1 = Here, 0 = Not here)]]=1,tbl_daily[[#This Row],[Attended, but did not complete data]]&lt;&gt;1),1,IF(AND(tbl_daily[[#This Row],[Attendance (1 = Here, 0 = Not here)]]=1,tbl_daily[[#This Row],[Attended, but did not complete data]]=1),2,3)),"")</f>
        <v>1</v>
      </c>
      <c r="W200">
        <f>IF(AND(tbl_daily[[#This Row],[Attendance Refined]]=1,tbl_daily[[#This Row],[InjuryStatus]]="Full"),1,IF(AND(tbl_daily[[#This Row],[Attendance Refined]]=1,tbl_daily[[#This Row],[InjuryStatus]]="Limited"),2,IF(AND(tbl_daily[[#This Row],[Attendance Refined]]=1,tbl_daily[[#This Row],[InjuryStatus]]="Out"),3,"")))</f>
        <v>1</v>
      </c>
    </row>
    <row r="201" spans="1:23" ht="15" customHeight="1" x14ac:dyDescent="0.25">
      <c r="A201" s="1">
        <v>43872</v>
      </c>
      <c r="B201" t="s">
        <v>436</v>
      </c>
      <c r="C201">
        <v>1</v>
      </c>
      <c r="E201">
        <v>6</v>
      </c>
      <c r="F201">
        <v>2</v>
      </c>
      <c r="G201">
        <v>6</v>
      </c>
      <c r="H201" t="s">
        <v>15</v>
      </c>
      <c r="I201">
        <v>0</v>
      </c>
      <c r="J201">
        <v>0</v>
      </c>
      <c r="K201">
        <v>0</v>
      </c>
      <c r="M201" t="s">
        <v>189</v>
      </c>
      <c r="N201" t="s">
        <v>182</v>
      </c>
      <c r="P201">
        <f>IFERROR(IF(AND(tbl_daily[[#This Row],[Attendance (1 = Here, 0 = Not here)]]=1,tbl_daily[[#This Row],[Attended, but did not complete data]]&lt;&gt;1),tbl_daily[[#This Row],[Stress]]+tbl_daily[[#This Row],[SleepQuality]]+tbl_daily[[#This Row],[Energy]],""),"")</f>
        <v>14</v>
      </c>
      <c r="Q201">
        <f>IFERROR(IF(AND(tbl_daily[[#This Row],[Attendance (1 = Here, 0 = Not here)]]=1,tbl_daily[[#This Row],[Attended, but did not complete data]]&lt;&gt;1),tbl_daily[[#This Row],[LatestRPE]]*tbl_daily[[#This Row],[LatestDuration]],""),"")</f>
        <v>0</v>
      </c>
      <c r="R201">
        <f>IF(tbl_daily[[#This Row],[CodeName]]&lt;&gt;"",1,"")</f>
        <v>1</v>
      </c>
      <c r="S201" t="str">
        <f>IF(AND(tbl_daily[[#This Row],[Date]]&gt;=DATE(2019,8,1),tbl_daily[[#This Row],[Date]]&lt;=DATE(2020,6,1)),"2019-2020")</f>
        <v>2019-2020</v>
      </c>
      <c r="T201" t="str">
        <f>IFERROR(INDEX(tbl_prof[Cohort of Interest],MATCH(tbl_daily[[#This Row],[CodeName]],tbl_prof[CodeName],0)),"")</f>
        <v>Athletes</v>
      </c>
      <c r="U201" t="str">
        <f>IFERROR(AVERAGEIFS(tbl_perf[Grade],tbl_perf[CodeName],tbl_daily[[#This Row],[CodeName]],tbl_perf[Date],tbl_daily[[#This Row],[Date]]),"")</f>
        <v/>
      </c>
      <c r="V201">
        <f>IFERROR(IF(AND(tbl_daily[[#This Row],[Attendance (1 = Here, 0 = Not here)]]=1,tbl_daily[[#This Row],[Attended, but did not complete data]]&lt;&gt;1),1,IF(AND(tbl_daily[[#This Row],[Attendance (1 = Here, 0 = Not here)]]=1,tbl_daily[[#This Row],[Attended, but did not complete data]]=1),2,3)),"")</f>
        <v>1</v>
      </c>
      <c r="W201">
        <f>IF(AND(tbl_daily[[#This Row],[Attendance Refined]]=1,tbl_daily[[#This Row],[InjuryStatus]]="Full"),1,IF(AND(tbl_daily[[#This Row],[Attendance Refined]]=1,tbl_daily[[#This Row],[InjuryStatus]]="Limited"),2,IF(AND(tbl_daily[[#This Row],[Attendance Refined]]=1,tbl_daily[[#This Row],[InjuryStatus]]="Out"),3,"")))</f>
        <v>1</v>
      </c>
    </row>
    <row r="202" spans="1:23" ht="15" customHeight="1" x14ac:dyDescent="0.25">
      <c r="A202" s="1">
        <v>43872</v>
      </c>
      <c r="B202" t="s">
        <v>438</v>
      </c>
      <c r="C202">
        <v>1</v>
      </c>
      <c r="E202">
        <v>6</v>
      </c>
      <c r="F202">
        <v>6</v>
      </c>
      <c r="G202">
        <v>6</v>
      </c>
      <c r="H202" t="s">
        <v>15</v>
      </c>
      <c r="I202">
        <v>0</v>
      </c>
      <c r="J202">
        <v>0</v>
      </c>
      <c r="K202">
        <v>0</v>
      </c>
      <c r="M202" t="s">
        <v>189</v>
      </c>
      <c r="N202" t="s">
        <v>101</v>
      </c>
      <c r="P202">
        <f>IFERROR(IF(AND(tbl_daily[[#This Row],[Attendance (1 = Here, 0 = Not here)]]=1,tbl_daily[[#This Row],[Attended, but did not complete data]]&lt;&gt;1),tbl_daily[[#This Row],[Stress]]+tbl_daily[[#This Row],[SleepQuality]]+tbl_daily[[#This Row],[Energy]],""),"")</f>
        <v>18</v>
      </c>
      <c r="Q202">
        <f>IFERROR(IF(AND(tbl_daily[[#This Row],[Attendance (1 = Here, 0 = Not here)]]=1,tbl_daily[[#This Row],[Attended, but did not complete data]]&lt;&gt;1),tbl_daily[[#This Row],[LatestRPE]]*tbl_daily[[#This Row],[LatestDuration]],""),"")</f>
        <v>0</v>
      </c>
      <c r="R202">
        <f>IF(tbl_daily[[#This Row],[CodeName]]&lt;&gt;"",1,"")</f>
        <v>1</v>
      </c>
      <c r="S202" t="str">
        <f>IF(AND(tbl_daily[[#This Row],[Date]]&gt;=DATE(2019,8,1),tbl_daily[[#This Row],[Date]]&lt;=DATE(2020,6,1)),"2019-2020")</f>
        <v>2019-2020</v>
      </c>
      <c r="T202" t="str">
        <f>IFERROR(INDEX(tbl_prof[Cohort of Interest],MATCH(tbl_daily[[#This Row],[CodeName]],tbl_prof[CodeName],0)),"")</f>
        <v>Youth</v>
      </c>
      <c r="U202" t="str">
        <f>IFERROR(AVERAGEIFS(tbl_perf[Grade],tbl_perf[CodeName],tbl_daily[[#This Row],[CodeName]],tbl_perf[Date],tbl_daily[[#This Row],[Date]]),"")</f>
        <v/>
      </c>
      <c r="V202">
        <f>IFERROR(IF(AND(tbl_daily[[#This Row],[Attendance (1 = Here, 0 = Not here)]]=1,tbl_daily[[#This Row],[Attended, but did not complete data]]&lt;&gt;1),1,IF(AND(tbl_daily[[#This Row],[Attendance (1 = Here, 0 = Not here)]]=1,tbl_daily[[#This Row],[Attended, but did not complete data]]=1),2,3)),"")</f>
        <v>1</v>
      </c>
      <c r="W202">
        <f>IF(AND(tbl_daily[[#This Row],[Attendance Refined]]=1,tbl_daily[[#This Row],[InjuryStatus]]="Full"),1,IF(AND(tbl_daily[[#This Row],[Attendance Refined]]=1,tbl_daily[[#This Row],[InjuryStatus]]="Limited"),2,IF(AND(tbl_daily[[#This Row],[Attendance Refined]]=1,tbl_daily[[#This Row],[InjuryStatus]]="Out"),3,"")))</f>
        <v>1</v>
      </c>
    </row>
    <row r="203" spans="1:23" ht="15" customHeight="1" x14ac:dyDescent="0.25">
      <c r="A203" s="1">
        <v>43872</v>
      </c>
      <c r="B203" t="s">
        <v>439</v>
      </c>
      <c r="C203">
        <v>1</v>
      </c>
      <c r="E203">
        <v>8</v>
      </c>
      <c r="F203">
        <v>2</v>
      </c>
      <c r="G203">
        <v>4</v>
      </c>
      <c r="H203" t="s">
        <v>32</v>
      </c>
      <c r="I203">
        <v>0</v>
      </c>
      <c r="J203">
        <v>0</v>
      </c>
      <c r="K203">
        <v>0</v>
      </c>
      <c r="M203" t="s">
        <v>189</v>
      </c>
      <c r="N203" t="s">
        <v>185</v>
      </c>
      <c r="P203">
        <f>IFERROR(IF(AND(tbl_daily[[#This Row],[Attendance (1 = Here, 0 = Not here)]]=1,tbl_daily[[#This Row],[Attended, but did not complete data]]&lt;&gt;1),tbl_daily[[#This Row],[Stress]]+tbl_daily[[#This Row],[SleepQuality]]+tbl_daily[[#This Row],[Energy]],""),"")</f>
        <v>14</v>
      </c>
      <c r="Q203">
        <f>IFERROR(IF(AND(tbl_daily[[#This Row],[Attendance (1 = Here, 0 = Not here)]]=1,tbl_daily[[#This Row],[Attended, but did not complete data]]&lt;&gt;1),tbl_daily[[#This Row],[LatestRPE]]*tbl_daily[[#This Row],[LatestDuration]],""),"")</f>
        <v>0</v>
      </c>
      <c r="R203">
        <f>IF(tbl_daily[[#This Row],[CodeName]]&lt;&gt;"",1,"")</f>
        <v>1</v>
      </c>
      <c r="S203" t="str">
        <f>IF(AND(tbl_daily[[#This Row],[Date]]&gt;=DATE(2019,8,1),tbl_daily[[#This Row],[Date]]&lt;=DATE(2020,6,1)),"2019-2020")</f>
        <v>2019-2020</v>
      </c>
      <c r="T203" t="str">
        <f>IFERROR(INDEX(tbl_prof[Cohort of Interest],MATCH(tbl_daily[[#This Row],[CodeName]],tbl_prof[CodeName],0)),"")</f>
        <v>Special</v>
      </c>
      <c r="U203" t="str">
        <f>IFERROR(AVERAGEIFS(tbl_perf[Grade],tbl_perf[CodeName],tbl_daily[[#This Row],[CodeName]],tbl_perf[Date],tbl_daily[[#This Row],[Date]]),"")</f>
        <v/>
      </c>
      <c r="V203">
        <f>IFERROR(IF(AND(tbl_daily[[#This Row],[Attendance (1 = Here, 0 = Not here)]]=1,tbl_daily[[#This Row],[Attended, but did not complete data]]&lt;&gt;1),1,IF(AND(tbl_daily[[#This Row],[Attendance (1 = Here, 0 = Not here)]]=1,tbl_daily[[#This Row],[Attended, but did not complete data]]=1),2,3)),"")</f>
        <v>1</v>
      </c>
      <c r="W203">
        <f>IF(AND(tbl_daily[[#This Row],[Attendance Refined]]=1,tbl_daily[[#This Row],[InjuryStatus]]="Full"),1,IF(AND(tbl_daily[[#This Row],[Attendance Refined]]=1,tbl_daily[[#This Row],[InjuryStatus]]="Limited"),2,IF(AND(tbl_daily[[#This Row],[Attendance Refined]]=1,tbl_daily[[#This Row],[InjuryStatus]]="Out"),3,"")))</f>
        <v>2</v>
      </c>
    </row>
    <row r="204" spans="1:23" ht="15" customHeight="1" x14ac:dyDescent="0.25">
      <c r="A204" s="1">
        <v>43872</v>
      </c>
      <c r="B204" t="s">
        <v>414</v>
      </c>
      <c r="C204">
        <v>1</v>
      </c>
      <c r="E204">
        <v>6</v>
      </c>
      <c r="F204">
        <v>7</v>
      </c>
      <c r="G204">
        <v>7</v>
      </c>
      <c r="H204" t="s">
        <v>15</v>
      </c>
      <c r="I204">
        <v>1</v>
      </c>
      <c r="J204">
        <v>5</v>
      </c>
      <c r="K204">
        <v>20</v>
      </c>
      <c r="M204" t="s">
        <v>189</v>
      </c>
      <c r="N204" t="s">
        <v>165</v>
      </c>
      <c r="P204">
        <f>IFERROR(IF(AND(tbl_daily[[#This Row],[Attendance (1 = Here, 0 = Not here)]]=1,tbl_daily[[#This Row],[Attended, but did not complete data]]&lt;&gt;1),tbl_daily[[#This Row],[Stress]]+tbl_daily[[#This Row],[SleepQuality]]+tbl_daily[[#This Row],[Energy]],""),"")</f>
        <v>20</v>
      </c>
      <c r="Q204">
        <f>IFERROR(IF(AND(tbl_daily[[#This Row],[Attendance (1 = Here, 0 = Not here)]]=1,tbl_daily[[#This Row],[Attended, but did not complete data]]&lt;&gt;1),tbl_daily[[#This Row],[LatestRPE]]*tbl_daily[[#This Row],[LatestDuration]],""),"")</f>
        <v>100</v>
      </c>
      <c r="R204">
        <f>IF(tbl_daily[[#This Row],[CodeName]]&lt;&gt;"",1,"")</f>
        <v>1</v>
      </c>
      <c r="S204" t="str">
        <f>IF(AND(tbl_daily[[#This Row],[Date]]&gt;=DATE(2019,8,1),tbl_daily[[#This Row],[Date]]&lt;=DATE(2020,6,1)),"2019-2020")</f>
        <v>2019-2020</v>
      </c>
      <c r="T204" t="str">
        <f>IFERROR(INDEX(tbl_prof[Cohort of Interest],MATCH(tbl_daily[[#This Row],[CodeName]],tbl_prof[CodeName],0)),"")</f>
        <v>Gen Pop</v>
      </c>
      <c r="U204" t="str">
        <f>IFERROR(AVERAGEIFS(tbl_perf[Grade],tbl_perf[CodeName],tbl_daily[[#This Row],[CodeName]],tbl_perf[Date],tbl_daily[[#This Row],[Date]]),"")</f>
        <v/>
      </c>
      <c r="V204">
        <f>IFERROR(IF(AND(tbl_daily[[#This Row],[Attendance (1 = Here, 0 = Not here)]]=1,tbl_daily[[#This Row],[Attended, but did not complete data]]&lt;&gt;1),1,IF(AND(tbl_daily[[#This Row],[Attendance (1 = Here, 0 = Not here)]]=1,tbl_daily[[#This Row],[Attended, but did not complete data]]=1),2,3)),"")</f>
        <v>1</v>
      </c>
      <c r="W204">
        <f>IF(AND(tbl_daily[[#This Row],[Attendance Refined]]=1,tbl_daily[[#This Row],[InjuryStatus]]="Full"),1,IF(AND(tbl_daily[[#This Row],[Attendance Refined]]=1,tbl_daily[[#This Row],[InjuryStatus]]="Limited"),2,IF(AND(tbl_daily[[#This Row],[Attendance Refined]]=1,tbl_daily[[#This Row],[InjuryStatus]]="Out"),3,"")))</f>
        <v>1</v>
      </c>
    </row>
    <row r="205" spans="1:23" ht="15" customHeight="1" x14ac:dyDescent="0.25">
      <c r="A205" s="1">
        <v>43872</v>
      </c>
      <c r="B205" t="s">
        <v>433</v>
      </c>
      <c r="C205">
        <v>1</v>
      </c>
      <c r="E205">
        <v>6</v>
      </c>
      <c r="F205">
        <v>6</v>
      </c>
      <c r="G205">
        <v>6</v>
      </c>
      <c r="H205" t="s">
        <v>32</v>
      </c>
      <c r="I205">
        <v>1</v>
      </c>
      <c r="J205">
        <v>4</v>
      </c>
      <c r="K205">
        <v>25</v>
      </c>
      <c r="M205" t="s">
        <v>189</v>
      </c>
      <c r="N205" t="s">
        <v>186</v>
      </c>
      <c r="P205">
        <f>IFERROR(IF(AND(tbl_daily[[#This Row],[Attendance (1 = Here, 0 = Not here)]]=1,tbl_daily[[#This Row],[Attended, but did not complete data]]&lt;&gt;1),tbl_daily[[#This Row],[Stress]]+tbl_daily[[#This Row],[SleepQuality]]+tbl_daily[[#This Row],[Energy]],""),"")</f>
        <v>18</v>
      </c>
      <c r="Q205">
        <f>IFERROR(IF(AND(tbl_daily[[#This Row],[Attendance (1 = Here, 0 = Not here)]]=1,tbl_daily[[#This Row],[Attended, but did not complete data]]&lt;&gt;1),tbl_daily[[#This Row],[LatestRPE]]*tbl_daily[[#This Row],[LatestDuration]],""),"")</f>
        <v>100</v>
      </c>
      <c r="R205">
        <f>IF(tbl_daily[[#This Row],[CodeName]]&lt;&gt;"",1,"")</f>
        <v>1</v>
      </c>
      <c r="S205" t="str">
        <f>IF(AND(tbl_daily[[#This Row],[Date]]&gt;=DATE(2019,8,1),tbl_daily[[#This Row],[Date]]&lt;=DATE(2020,6,1)),"2019-2020")</f>
        <v>2019-2020</v>
      </c>
      <c r="T205" t="str">
        <f>IFERROR(INDEX(tbl_prof[Cohort of Interest],MATCH(tbl_daily[[#This Row],[CodeName]],tbl_prof[CodeName],0)),"")</f>
        <v>Athletes</v>
      </c>
      <c r="U205" t="str">
        <f>IFERROR(AVERAGEIFS(tbl_perf[Grade],tbl_perf[CodeName],tbl_daily[[#This Row],[CodeName]],tbl_perf[Date],tbl_daily[[#This Row],[Date]]),"")</f>
        <v/>
      </c>
      <c r="V205">
        <f>IFERROR(IF(AND(tbl_daily[[#This Row],[Attendance (1 = Here, 0 = Not here)]]=1,tbl_daily[[#This Row],[Attended, but did not complete data]]&lt;&gt;1),1,IF(AND(tbl_daily[[#This Row],[Attendance (1 = Here, 0 = Not here)]]=1,tbl_daily[[#This Row],[Attended, but did not complete data]]=1),2,3)),"")</f>
        <v>1</v>
      </c>
      <c r="W205">
        <f>IF(AND(tbl_daily[[#This Row],[Attendance Refined]]=1,tbl_daily[[#This Row],[InjuryStatus]]="Full"),1,IF(AND(tbl_daily[[#This Row],[Attendance Refined]]=1,tbl_daily[[#This Row],[InjuryStatus]]="Limited"),2,IF(AND(tbl_daily[[#This Row],[Attendance Refined]]=1,tbl_daily[[#This Row],[InjuryStatus]]="Out"),3,"")))</f>
        <v>2</v>
      </c>
    </row>
    <row r="206" spans="1:23" ht="15" customHeight="1" x14ac:dyDescent="0.25">
      <c r="A206" s="1">
        <v>43872</v>
      </c>
      <c r="B206" t="s">
        <v>411</v>
      </c>
      <c r="C206">
        <v>1</v>
      </c>
      <c r="E206">
        <v>5</v>
      </c>
      <c r="F206">
        <v>9</v>
      </c>
      <c r="G206">
        <v>7</v>
      </c>
      <c r="H206" t="s">
        <v>32</v>
      </c>
      <c r="I206">
        <v>1</v>
      </c>
      <c r="J206">
        <v>4</v>
      </c>
      <c r="K206">
        <v>30</v>
      </c>
      <c r="M206" t="s">
        <v>189</v>
      </c>
      <c r="N206" t="s">
        <v>162</v>
      </c>
      <c r="P206">
        <f>IFERROR(IF(AND(tbl_daily[[#This Row],[Attendance (1 = Here, 0 = Not here)]]=1,tbl_daily[[#This Row],[Attended, but did not complete data]]&lt;&gt;1),tbl_daily[[#This Row],[Stress]]+tbl_daily[[#This Row],[SleepQuality]]+tbl_daily[[#This Row],[Energy]],""),"")</f>
        <v>21</v>
      </c>
      <c r="Q206">
        <f>IFERROR(IF(AND(tbl_daily[[#This Row],[Attendance (1 = Here, 0 = Not here)]]=1,tbl_daily[[#This Row],[Attended, but did not complete data]]&lt;&gt;1),tbl_daily[[#This Row],[LatestRPE]]*tbl_daily[[#This Row],[LatestDuration]],""),"")</f>
        <v>120</v>
      </c>
      <c r="R206">
        <f>IF(tbl_daily[[#This Row],[CodeName]]&lt;&gt;"",1,"")</f>
        <v>1</v>
      </c>
      <c r="S206" t="str">
        <f>IF(AND(tbl_daily[[#This Row],[Date]]&gt;=DATE(2019,8,1),tbl_daily[[#This Row],[Date]]&lt;=DATE(2020,6,1)),"2019-2020")</f>
        <v>2019-2020</v>
      </c>
      <c r="T206" t="str">
        <f>IFERROR(INDEX(tbl_prof[Cohort of Interest],MATCH(tbl_daily[[#This Row],[CodeName]],tbl_prof[CodeName],0)),"")</f>
        <v>Athletes</v>
      </c>
      <c r="U206" t="str">
        <f>IFERROR(AVERAGEIFS(tbl_perf[Grade],tbl_perf[CodeName],tbl_daily[[#This Row],[CodeName]],tbl_perf[Date],tbl_daily[[#This Row],[Date]]),"")</f>
        <v/>
      </c>
      <c r="V206">
        <f>IFERROR(IF(AND(tbl_daily[[#This Row],[Attendance (1 = Here, 0 = Not here)]]=1,tbl_daily[[#This Row],[Attended, but did not complete data]]&lt;&gt;1),1,IF(AND(tbl_daily[[#This Row],[Attendance (1 = Here, 0 = Not here)]]=1,tbl_daily[[#This Row],[Attended, but did not complete data]]=1),2,3)),"")</f>
        <v>1</v>
      </c>
      <c r="W206">
        <f>IF(AND(tbl_daily[[#This Row],[Attendance Refined]]=1,tbl_daily[[#This Row],[InjuryStatus]]="Full"),1,IF(AND(tbl_daily[[#This Row],[Attendance Refined]]=1,tbl_daily[[#This Row],[InjuryStatus]]="Limited"),2,IF(AND(tbl_daily[[#This Row],[Attendance Refined]]=1,tbl_daily[[#This Row],[InjuryStatus]]="Out"),3,"")))</f>
        <v>2</v>
      </c>
    </row>
    <row r="207" spans="1:23" ht="15" customHeight="1" x14ac:dyDescent="0.25">
      <c r="A207" s="1">
        <v>43872</v>
      </c>
      <c r="B207" t="s">
        <v>419</v>
      </c>
      <c r="C207">
        <v>1</v>
      </c>
      <c r="E207">
        <v>7</v>
      </c>
      <c r="F207">
        <v>5</v>
      </c>
      <c r="G207">
        <v>3</v>
      </c>
      <c r="H207" t="s">
        <v>15</v>
      </c>
      <c r="I207">
        <v>1</v>
      </c>
      <c r="J207">
        <v>4</v>
      </c>
      <c r="K207">
        <v>30</v>
      </c>
      <c r="M207" t="s">
        <v>189</v>
      </c>
      <c r="N207" t="s">
        <v>170</v>
      </c>
      <c r="P207">
        <f>IFERROR(IF(AND(tbl_daily[[#This Row],[Attendance (1 = Here, 0 = Not here)]]=1,tbl_daily[[#This Row],[Attended, but did not complete data]]&lt;&gt;1),tbl_daily[[#This Row],[Stress]]+tbl_daily[[#This Row],[SleepQuality]]+tbl_daily[[#This Row],[Energy]],""),"")</f>
        <v>15</v>
      </c>
      <c r="Q207">
        <f>IFERROR(IF(AND(tbl_daily[[#This Row],[Attendance (1 = Here, 0 = Not here)]]=1,tbl_daily[[#This Row],[Attended, but did not complete data]]&lt;&gt;1),tbl_daily[[#This Row],[LatestRPE]]*tbl_daily[[#This Row],[LatestDuration]],""),"")</f>
        <v>120</v>
      </c>
      <c r="R207">
        <f>IF(tbl_daily[[#This Row],[CodeName]]&lt;&gt;"",1,"")</f>
        <v>1</v>
      </c>
      <c r="S207" t="str">
        <f>IF(AND(tbl_daily[[#This Row],[Date]]&gt;=DATE(2019,8,1),tbl_daily[[#This Row],[Date]]&lt;=DATE(2020,6,1)),"2019-2020")</f>
        <v>2019-2020</v>
      </c>
      <c r="T207" t="str">
        <f>IFERROR(INDEX(tbl_prof[Cohort of Interest],MATCH(tbl_daily[[#This Row],[CodeName]],tbl_prof[CodeName],0)),"")</f>
        <v>Youth</v>
      </c>
      <c r="U207" t="str">
        <f>IFERROR(AVERAGEIFS(tbl_perf[Grade],tbl_perf[CodeName],tbl_daily[[#This Row],[CodeName]],tbl_perf[Date],tbl_daily[[#This Row],[Date]]),"")</f>
        <v/>
      </c>
      <c r="V207">
        <f>IFERROR(IF(AND(tbl_daily[[#This Row],[Attendance (1 = Here, 0 = Not here)]]=1,tbl_daily[[#This Row],[Attended, but did not complete data]]&lt;&gt;1),1,IF(AND(tbl_daily[[#This Row],[Attendance (1 = Here, 0 = Not here)]]=1,tbl_daily[[#This Row],[Attended, but did not complete data]]=1),2,3)),"")</f>
        <v>1</v>
      </c>
      <c r="W207">
        <f>IF(AND(tbl_daily[[#This Row],[Attendance Refined]]=1,tbl_daily[[#This Row],[InjuryStatus]]="Full"),1,IF(AND(tbl_daily[[#This Row],[Attendance Refined]]=1,tbl_daily[[#This Row],[InjuryStatus]]="Limited"),2,IF(AND(tbl_daily[[#This Row],[Attendance Refined]]=1,tbl_daily[[#This Row],[InjuryStatus]]="Out"),3,"")))</f>
        <v>1</v>
      </c>
    </row>
    <row r="208" spans="1:23" ht="15" customHeight="1" x14ac:dyDescent="0.25">
      <c r="A208" s="1">
        <v>43872</v>
      </c>
      <c r="B208" t="s">
        <v>420</v>
      </c>
      <c r="C208">
        <v>1</v>
      </c>
      <c r="E208">
        <v>4</v>
      </c>
      <c r="F208">
        <v>4</v>
      </c>
      <c r="H208" t="s">
        <v>15</v>
      </c>
      <c r="I208">
        <v>1</v>
      </c>
      <c r="J208">
        <v>5</v>
      </c>
      <c r="K208">
        <v>30</v>
      </c>
      <c r="M208" t="s">
        <v>189</v>
      </c>
      <c r="N208" t="s">
        <v>171</v>
      </c>
      <c r="P208">
        <f>IFERROR(IF(AND(tbl_daily[[#This Row],[Attendance (1 = Here, 0 = Not here)]]=1,tbl_daily[[#This Row],[Attended, but did not complete data]]&lt;&gt;1),tbl_daily[[#This Row],[Stress]]+tbl_daily[[#This Row],[SleepQuality]]+tbl_daily[[#This Row],[Energy]],""),"")</f>
        <v>8</v>
      </c>
      <c r="Q208">
        <f>IFERROR(IF(AND(tbl_daily[[#This Row],[Attendance (1 = Here, 0 = Not here)]]=1,tbl_daily[[#This Row],[Attended, but did not complete data]]&lt;&gt;1),tbl_daily[[#This Row],[LatestRPE]]*tbl_daily[[#This Row],[LatestDuration]],""),"")</f>
        <v>150</v>
      </c>
      <c r="R208">
        <f>IF(tbl_daily[[#This Row],[CodeName]]&lt;&gt;"",1,"")</f>
        <v>1</v>
      </c>
      <c r="S208" t="str">
        <f>IF(AND(tbl_daily[[#This Row],[Date]]&gt;=DATE(2019,8,1),tbl_daily[[#This Row],[Date]]&lt;=DATE(2020,6,1)),"2019-2020")</f>
        <v>2019-2020</v>
      </c>
      <c r="T208" t="str">
        <f>IFERROR(INDEX(tbl_prof[Cohort of Interest],MATCH(tbl_daily[[#This Row],[CodeName]],tbl_prof[CodeName],0)),"")</f>
        <v>Athletes</v>
      </c>
      <c r="U208" t="str">
        <f>IFERROR(AVERAGEIFS(tbl_perf[Grade],tbl_perf[CodeName],tbl_daily[[#This Row],[CodeName]],tbl_perf[Date],tbl_daily[[#This Row],[Date]]),"")</f>
        <v/>
      </c>
      <c r="V208">
        <f>IFERROR(IF(AND(tbl_daily[[#This Row],[Attendance (1 = Here, 0 = Not here)]]=1,tbl_daily[[#This Row],[Attended, but did not complete data]]&lt;&gt;1),1,IF(AND(tbl_daily[[#This Row],[Attendance (1 = Here, 0 = Not here)]]=1,tbl_daily[[#This Row],[Attended, but did not complete data]]=1),2,3)),"")</f>
        <v>1</v>
      </c>
      <c r="W208">
        <f>IF(AND(tbl_daily[[#This Row],[Attendance Refined]]=1,tbl_daily[[#This Row],[InjuryStatus]]="Full"),1,IF(AND(tbl_daily[[#This Row],[Attendance Refined]]=1,tbl_daily[[#This Row],[InjuryStatus]]="Limited"),2,IF(AND(tbl_daily[[#This Row],[Attendance Refined]]=1,tbl_daily[[#This Row],[InjuryStatus]]="Out"),3,"")))</f>
        <v>1</v>
      </c>
    </row>
    <row r="209" spans="1:23" ht="15" customHeight="1" x14ac:dyDescent="0.25">
      <c r="A209" s="1">
        <v>43872</v>
      </c>
      <c r="B209" t="s">
        <v>415</v>
      </c>
      <c r="C209">
        <v>1</v>
      </c>
      <c r="E209">
        <v>5</v>
      </c>
      <c r="F209">
        <v>6</v>
      </c>
      <c r="G209">
        <v>7</v>
      </c>
      <c r="H209" t="s">
        <v>15</v>
      </c>
      <c r="I209">
        <v>1</v>
      </c>
      <c r="J209">
        <v>6</v>
      </c>
      <c r="K209">
        <v>30</v>
      </c>
      <c r="M209" t="s">
        <v>189</v>
      </c>
      <c r="N209" t="s">
        <v>166</v>
      </c>
      <c r="P209">
        <f>IFERROR(IF(AND(tbl_daily[[#This Row],[Attendance (1 = Here, 0 = Not here)]]=1,tbl_daily[[#This Row],[Attended, but did not complete data]]&lt;&gt;1),tbl_daily[[#This Row],[Stress]]+tbl_daily[[#This Row],[SleepQuality]]+tbl_daily[[#This Row],[Energy]],""),"")</f>
        <v>18</v>
      </c>
      <c r="Q209">
        <f>IFERROR(IF(AND(tbl_daily[[#This Row],[Attendance (1 = Here, 0 = Not here)]]=1,tbl_daily[[#This Row],[Attended, but did not complete data]]&lt;&gt;1),tbl_daily[[#This Row],[LatestRPE]]*tbl_daily[[#This Row],[LatestDuration]],""),"")</f>
        <v>180</v>
      </c>
      <c r="R209">
        <f>IF(tbl_daily[[#This Row],[CodeName]]&lt;&gt;"",1,"")</f>
        <v>1</v>
      </c>
      <c r="S209" t="str">
        <f>IF(AND(tbl_daily[[#This Row],[Date]]&gt;=DATE(2019,8,1),tbl_daily[[#This Row],[Date]]&lt;=DATE(2020,6,1)),"2019-2020")</f>
        <v>2019-2020</v>
      </c>
      <c r="T209" t="str">
        <f>IFERROR(INDEX(tbl_prof[Cohort of Interest],MATCH(tbl_daily[[#This Row],[CodeName]],tbl_prof[CodeName],0)),"")</f>
        <v>Youth</v>
      </c>
      <c r="U209" t="str">
        <f>IFERROR(AVERAGEIFS(tbl_perf[Grade],tbl_perf[CodeName],tbl_daily[[#This Row],[CodeName]],tbl_perf[Date],tbl_daily[[#This Row],[Date]]),"")</f>
        <v/>
      </c>
      <c r="V209">
        <f>IFERROR(IF(AND(tbl_daily[[#This Row],[Attendance (1 = Here, 0 = Not here)]]=1,tbl_daily[[#This Row],[Attended, but did not complete data]]&lt;&gt;1),1,IF(AND(tbl_daily[[#This Row],[Attendance (1 = Here, 0 = Not here)]]=1,tbl_daily[[#This Row],[Attended, but did not complete data]]=1),2,3)),"")</f>
        <v>1</v>
      </c>
      <c r="W209">
        <f>IF(AND(tbl_daily[[#This Row],[Attendance Refined]]=1,tbl_daily[[#This Row],[InjuryStatus]]="Full"),1,IF(AND(tbl_daily[[#This Row],[Attendance Refined]]=1,tbl_daily[[#This Row],[InjuryStatus]]="Limited"),2,IF(AND(tbl_daily[[#This Row],[Attendance Refined]]=1,tbl_daily[[#This Row],[InjuryStatus]]="Out"),3,"")))</f>
        <v>1</v>
      </c>
    </row>
    <row r="210" spans="1:23" ht="15" customHeight="1" x14ac:dyDescent="0.25">
      <c r="A210" s="1">
        <v>43872</v>
      </c>
      <c r="B210" t="s">
        <v>416</v>
      </c>
      <c r="C210">
        <v>1</v>
      </c>
      <c r="E210">
        <v>8</v>
      </c>
      <c r="F210">
        <v>8</v>
      </c>
      <c r="G210">
        <v>7</v>
      </c>
      <c r="H210" t="s">
        <v>32</v>
      </c>
      <c r="I210">
        <v>1</v>
      </c>
      <c r="J210">
        <v>7</v>
      </c>
      <c r="K210">
        <v>30</v>
      </c>
      <c r="M210" t="s">
        <v>189</v>
      </c>
      <c r="N210" t="s">
        <v>167</v>
      </c>
      <c r="P210">
        <f>IFERROR(IF(AND(tbl_daily[[#This Row],[Attendance (1 = Here, 0 = Not here)]]=1,tbl_daily[[#This Row],[Attended, but did not complete data]]&lt;&gt;1),tbl_daily[[#This Row],[Stress]]+tbl_daily[[#This Row],[SleepQuality]]+tbl_daily[[#This Row],[Energy]],""),"")</f>
        <v>23</v>
      </c>
      <c r="Q210">
        <f>IFERROR(IF(AND(tbl_daily[[#This Row],[Attendance (1 = Here, 0 = Not here)]]=1,tbl_daily[[#This Row],[Attended, but did not complete data]]&lt;&gt;1),tbl_daily[[#This Row],[LatestRPE]]*tbl_daily[[#This Row],[LatestDuration]],""),"")</f>
        <v>210</v>
      </c>
      <c r="R210">
        <f>IF(tbl_daily[[#This Row],[CodeName]]&lt;&gt;"",1,"")</f>
        <v>1</v>
      </c>
      <c r="S210" t="str">
        <f>IF(AND(tbl_daily[[#This Row],[Date]]&gt;=DATE(2019,8,1),tbl_daily[[#This Row],[Date]]&lt;=DATE(2020,6,1)),"2019-2020")</f>
        <v>2019-2020</v>
      </c>
      <c r="T210" t="str">
        <f>IFERROR(INDEX(tbl_prof[Cohort of Interest],MATCH(tbl_daily[[#This Row],[CodeName]],tbl_prof[CodeName],0)),"")</f>
        <v>Special</v>
      </c>
      <c r="U210" t="str">
        <f>IFERROR(AVERAGEIFS(tbl_perf[Grade],tbl_perf[CodeName],tbl_daily[[#This Row],[CodeName]],tbl_perf[Date],tbl_daily[[#This Row],[Date]]),"")</f>
        <v/>
      </c>
      <c r="V210">
        <f>IFERROR(IF(AND(tbl_daily[[#This Row],[Attendance (1 = Here, 0 = Not here)]]=1,tbl_daily[[#This Row],[Attended, but did not complete data]]&lt;&gt;1),1,IF(AND(tbl_daily[[#This Row],[Attendance (1 = Here, 0 = Not here)]]=1,tbl_daily[[#This Row],[Attended, but did not complete data]]=1),2,3)),"")</f>
        <v>1</v>
      </c>
      <c r="W210">
        <f>IF(AND(tbl_daily[[#This Row],[Attendance Refined]]=1,tbl_daily[[#This Row],[InjuryStatus]]="Full"),1,IF(AND(tbl_daily[[#This Row],[Attendance Refined]]=1,tbl_daily[[#This Row],[InjuryStatus]]="Limited"),2,IF(AND(tbl_daily[[#This Row],[Attendance Refined]]=1,tbl_daily[[#This Row],[InjuryStatus]]="Out"),3,"")))</f>
        <v>2</v>
      </c>
    </row>
    <row r="211" spans="1:23" ht="15" customHeight="1" x14ac:dyDescent="0.25">
      <c r="A211" s="1">
        <v>43872</v>
      </c>
      <c r="B211" t="s">
        <v>435</v>
      </c>
      <c r="C211">
        <v>1</v>
      </c>
      <c r="E211">
        <v>8</v>
      </c>
      <c r="F211">
        <v>8</v>
      </c>
      <c r="G211">
        <v>8</v>
      </c>
      <c r="H211" t="s">
        <v>15</v>
      </c>
      <c r="I211">
        <v>1</v>
      </c>
      <c r="J211">
        <v>8</v>
      </c>
      <c r="K211">
        <v>30</v>
      </c>
      <c r="M211" t="s">
        <v>189</v>
      </c>
      <c r="N211" t="s">
        <v>181</v>
      </c>
      <c r="P211">
        <f>IFERROR(IF(AND(tbl_daily[[#This Row],[Attendance (1 = Here, 0 = Not here)]]=1,tbl_daily[[#This Row],[Attended, but did not complete data]]&lt;&gt;1),tbl_daily[[#This Row],[Stress]]+tbl_daily[[#This Row],[SleepQuality]]+tbl_daily[[#This Row],[Energy]],""),"")</f>
        <v>24</v>
      </c>
      <c r="Q211">
        <f>IFERROR(IF(AND(tbl_daily[[#This Row],[Attendance (1 = Here, 0 = Not here)]]=1,tbl_daily[[#This Row],[Attended, but did not complete data]]&lt;&gt;1),tbl_daily[[#This Row],[LatestRPE]]*tbl_daily[[#This Row],[LatestDuration]],""),"")</f>
        <v>240</v>
      </c>
      <c r="R211">
        <f>IF(tbl_daily[[#This Row],[CodeName]]&lt;&gt;"",1,"")</f>
        <v>1</v>
      </c>
      <c r="S211" t="str">
        <f>IF(AND(tbl_daily[[#This Row],[Date]]&gt;=DATE(2019,8,1),tbl_daily[[#This Row],[Date]]&lt;=DATE(2020,6,1)),"2019-2020")</f>
        <v>2019-2020</v>
      </c>
      <c r="T211" t="str">
        <f>IFERROR(INDEX(tbl_prof[Cohort of Interest],MATCH(tbl_daily[[#This Row],[CodeName]],tbl_prof[CodeName],0)),"")</f>
        <v>Athletes</v>
      </c>
      <c r="U211" t="str">
        <f>IFERROR(AVERAGEIFS(tbl_perf[Grade],tbl_perf[CodeName],tbl_daily[[#This Row],[CodeName]],tbl_perf[Date],tbl_daily[[#This Row],[Date]]),"")</f>
        <v/>
      </c>
      <c r="V211">
        <f>IFERROR(IF(AND(tbl_daily[[#This Row],[Attendance (1 = Here, 0 = Not here)]]=1,tbl_daily[[#This Row],[Attended, but did not complete data]]&lt;&gt;1),1,IF(AND(tbl_daily[[#This Row],[Attendance (1 = Here, 0 = Not here)]]=1,tbl_daily[[#This Row],[Attended, but did not complete data]]=1),2,3)),"")</f>
        <v>1</v>
      </c>
      <c r="W211">
        <f>IF(AND(tbl_daily[[#This Row],[Attendance Refined]]=1,tbl_daily[[#This Row],[InjuryStatus]]="Full"),1,IF(AND(tbl_daily[[#This Row],[Attendance Refined]]=1,tbl_daily[[#This Row],[InjuryStatus]]="Limited"),2,IF(AND(tbl_daily[[#This Row],[Attendance Refined]]=1,tbl_daily[[#This Row],[InjuryStatus]]="Out"),3,"")))</f>
        <v>1</v>
      </c>
    </row>
    <row r="212" spans="1:23" ht="15" customHeight="1" x14ac:dyDescent="0.25">
      <c r="A212" s="1">
        <v>43872</v>
      </c>
      <c r="B212" t="s">
        <v>410</v>
      </c>
      <c r="C212">
        <v>1</v>
      </c>
      <c r="E212">
        <v>6</v>
      </c>
      <c r="F212">
        <v>7</v>
      </c>
      <c r="G212">
        <v>9</v>
      </c>
      <c r="H212" t="s">
        <v>15</v>
      </c>
      <c r="I212">
        <v>1</v>
      </c>
      <c r="J212">
        <v>5</v>
      </c>
      <c r="K212">
        <v>50</v>
      </c>
      <c r="M212" t="s">
        <v>189</v>
      </c>
      <c r="N212" t="s">
        <v>177</v>
      </c>
      <c r="P212">
        <f>IFERROR(IF(AND(tbl_daily[[#This Row],[Attendance (1 = Here, 0 = Not here)]]=1,tbl_daily[[#This Row],[Attended, but did not complete data]]&lt;&gt;1),tbl_daily[[#This Row],[Stress]]+tbl_daily[[#This Row],[SleepQuality]]+tbl_daily[[#This Row],[Energy]],""),"")</f>
        <v>22</v>
      </c>
      <c r="Q212">
        <f>IFERROR(IF(AND(tbl_daily[[#This Row],[Attendance (1 = Here, 0 = Not here)]]=1,tbl_daily[[#This Row],[Attended, but did not complete data]]&lt;&gt;1),tbl_daily[[#This Row],[LatestRPE]]*tbl_daily[[#This Row],[LatestDuration]],""),"")</f>
        <v>250</v>
      </c>
      <c r="R212">
        <f>IF(tbl_daily[[#This Row],[CodeName]]&lt;&gt;"",1,"")</f>
        <v>1</v>
      </c>
      <c r="S212" t="str">
        <f>IF(AND(tbl_daily[[#This Row],[Date]]&gt;=DATE(2019,8,1),tbl_daily[[#This Row],[Date]]&lt;=DATE(2020,6,1)),"2019-2020")</f>
        <v>2019-2020</v>
      </c>
      <c r="T212" t="str">
        <f>IFERROR(INDEX(tbl_prof[Cohort of Interest],MATCH(tbl_daily[[#This Row],[CodeName]],tbl_prof[CodeName],0)),"")</f>
        <v>Gen Pop</v>
      </c>
      <c r="U212" t="str">
        <f>IFERROR(AVERAGEIFS(tbl_perf[Grade],tbl_perf[CodeName],tbl_daily[[#This Row],[CodeName]],tbl_perf[Date],tbl_daily[[#This Row],[Date]]),"")</f>
        <v/>
      </c>
      <c r="V212">
        <f>IFERROR(IF(AND(tbl_daily[[#This Row],[Attendance (1 = Here, 0 = Not here)]]=1,tbl_daily[[#This Row],[Attended, but did not complete data]]&lt;&gt;1),1,IF(AND(tbl_daily[[#This Row],[Attendance (1 = Here, 0 = Not here)]]=1,tbl_daily[[#This Row],[Attended, but did not complete data]]=1),2,3)),"")</f>
        <v>1</v>
      </c>
      <c r="W212">
        <f>IF(AND(tbl_daily[[#This Row],[Attendance Refined]]=1,tbl_daily[[#This Row],[InjuryStatus]]="Full"),1,IF(AND(tbl_daily[[#This Row],[Attendance Refined]]=1,tbl_daily[[#This Row],[InjuryStatus]]="Limited"),2,IF(AND(tbl_daily[[#This Row],[Attendance Refined]]=1,tbl_daily[[#This Row],[InjuryStatus]]="Out"),3,"")))</f>
        <v>1</v>
      </c>
    </row>
    <row r="213" spans="1:23" ht="15" customHeight="1" x14ac:dyDescent="0.25">
      <c r="A213" s="1">
        <v>43872</v>
      </c>
      <c r="B213" t="s">
        <v>431</v>
      </c>
      <c r="C213">
        <v>1</v>
      </c>
      <c r="E213">
        <v>7</v>
      </c>
      <c r="F213">
        <v>8</v>
      </c>
      <c r="G213">
        <v>7</v>
      </c>
      <c r="H213" t="s">
        <v>15</v>
      </c>
      <c r="I213">
        <v>1</v>
      </c>
      <c r="J213">
        <v>6</v>
      </c>
      <c r="K213">
        <v>45</v>
      </c>
      <c r="M213" t="s">
        <v>189</v>
      </c>
      <c r="N213" t="s">
        <v>183</v>
      </c>
      <c r="P213">
        <f>IFERROR(IF(AND(tbl_daily[[#This Row],[Attendance (1 = Here, 0 = Not here)]]=1,tbl_daily[[#This Row],[Attended, but did not complete data]]&lt;&gt;1),tbl_daily[[#This Row],[Stress]]+tbl_daily[[#This Row],[SleepQuality]]+tbl_daily[[#This Row],[Energy]],""),"")</f>
        <v>22</v>
      </c>
      <c r="Q213">
        <f>IFERROR(IF(AND(tbl_daily[[#This Row],[Attendance (1 = Here, 0 = Not here)]]=1,tbl_daily[[#This Row],[Attended, but did not complete data]]&lt;&gt;1),tbl_daily[[#This Row],[LatestRPE]]*tbl_daily[[#This Row],[LatestDuration]],""),"")</f>
        <v>270</v>
      </c>
      <c r="R213">
        <f>IF(tbl_daily[[#This Row],[CodeName]]&lt;&gt;"",1,"")</f>
        <v>1</v>
      </c>
      <c r="S213" t="str">
        <f>IF(AND(tbl_daily[[#This Row],[Date]]&gt;=DATE(2019,8,1),tbl_daily[[#This Row],[Date]]&lt;=DATE(2020,6,1)),"2019-2020")</f>
        <v>2019-2020</v>
      </c>
      <c r="T213" t="str">
        <f>IFERROR(INDEX(tbl_prof[Cohort of Interest],MATCH(tbl_daily[[#This Row],[CodeName]],tbl_prof[CodeName],0)),"")</f>
        <v>Special</v>
      </c>
      <c r="U213" t="str">
        <f>IFERROR(AVERAGEIFS(tbl_perf[Grade],tbl_perf[CodeName],tbl_daily[[#This Row],[CodeName]],tbl_perf[Date],tbl_daily[[#This Row],[Date]]),"")</f>
        <v/>
      </c>
      <c r="V213">
        <f>IFERROR(IF(AND(tbl_daily[[#This Row],[Attendance (1 = Here, 0 = Not here)]]=1,tbl_daily[[#This Row],[Attended, but did not complete data]]&lt;&gt;1),1,IF(AND(tbl_daily[[#This Row],[Attendance (1 = Here, 0 = Not here)]]=1,tbl_daily[[#This Row],[Attended, but did not complete data]]=1),2,3)),"")</f>
        <v>1</v>
      </c>
      <c r="W213">
        <f>IF(AND(tbl_daily[[#This Row],[Attendance Refined]]=1,tbl_daily[[#This Row],[InjuryStatus]]="Full"),1,IF(AND(tbl_daily[[#This Row],[Attendance Refined]]=1,tbl_daily[[#This Row],[InjuryStatus]]="Limited"),2,IF(AND(tbl_daily[[#This Row],[Attendance Refined]]=1,tbl_daily[[#This Row],[InjuryStatus]]="Out"),3,"")))</f>
        <v>1</v>
      </c>
    </row>
    <row r="214" spans="1:23" ht="15" customHeight="1" x14ac:dyDescent="0.25">
      <c r="A214" s="1">
        <v>43872</v>
      </c>
      <c r="B214" t="s">
        <v>428</v>
      </c>
      <c r="C214">
        <v>1</v>
      </c>
      <c r="E214">
        <v>8</v>
      </c>
      <c r="F214">
        <v>9</v>
      </c>
      <c r="G214">
        <v>7</v>
      </c>
      <c r="H214" t="s">
        <v>15</v>
      </c>
      <c r="I214">
        <v>1</v>
      </c>
      <c r="J214">
        <v>5</v>
      </c>
      <c r="K214">
        <v>60</v>
      </c>
      <c r="M214" t="s">
        <v>189</v>
      </c>
      <c r="N214" t="s">
        <v>176</v>
      </c>
      <c r="P214">
        <f>IFERROR(IF(AND(tbl_daily[[#This Row],[Attendance (1 = Here, 0 = Not here)]]=1,tbl_daily[[#This Row],[Attended, but did not complete data]]&lt;&gt;1),tbl_daily[[#This Row],[Stress]]+tbl_daily[[#This Row],[SleepQuality]]+tbl_daily[[#This Row],[Energy]],""),"")</f>
        <v>24</v>
      </c>
      <c r="Q214">
        <f>IFERROR(IF(AND(tbl_daily[[#This Row],[Attendance (1 = Here, 0 = Not here)]]=1,tbl_daily[[#This Row],[Attended, but did not complete data]]&lt;&gt;1),tbl_daily[[#This Row],[LatestRPE]]*tbl_daily[[#This Row],[LatestDuration]],""),"")</f>
        <v>300</v>
      </c>
      <c r="R214">
        <f>IF(tbl_daily[[#This Row],[CodeName]]&lt;&gt;"",1,"")</f>
        <v>1</v>
      </c>
      <c r="S214" t="str">
        <f>IF(AND(tbl_daily[[#This Row],[Date]]&gt;=DATE(2019,8,1),tbl_daily[[#This Row],[Date]]&lt;=DATE(2020,6,1)),"2019-2020")</f>
        <v>2019-2020</v>
      </c>
      <c r="T214" t="str">
        <f>IFERROR(INDEX(tbl_prof[Cohort of Interest],MATCH(tbl_daily[[#This Row],[CodeName]],tbl_prof[CodeName],0)),"")</f>
        <v>Special</v>
      </c>
      <c r="U214" t="str">
        <f>IFERROR(AVERAGEIFS(tbl_perf[Grade],tbl_perf[CodeName],tbl_daily[[#This Row],[CodeName]],tbl_perf[Date],tbl_daily[[#This Row],[Date]]),"")</f>
        <v/>
      </c>
      <c r="V214">
        <f>IFERROR(IF(AND(tbl_daily[[#This Row],[Attendance (1 = Here, 0 = Not here)]]=1,tbl_daily[[#This Row],[Attended, but did not complete data]]&lt;&gt;1),1,IF(AND(tbl_daily[[#This Row],[Attendance (1 = Here, 0 = Not here)]]=1,tbl_daily[[#This Row],[Attended, but did not complete data]]=1),2,3)),"")</f>
        <v>1</v>
      </c>
      <c r="W214">
        <f>IF(AND(tbl_daily[[#This Row],[Attendance Refined]]=1,tbl_daily[[#This Row],[InjuryStatus]]="Full"),1,IF(AND(tbl_daily[[#This Row],[Attendance Refined]]=1,tbl_daily[[#This Row],[InjuryStatus]]="Limited"),2,IF(AND(tbl_daily[[#This Row],[Attendance Refined]]=1,tbl_daily[[#This Row],[InjuryStatus]]="Out"),3,"")))</f>
        <v>1</v>
      </c>
    </row>
    <row r="215" spans="1:23" ht="15" customHeight="1" x14ac:dyDescent="0.25">
      <c r="A215" s="1">
        <v>43872</v>
      </c>
      <c r="B215" t="s">
        <v>413</v>
      </c>
      <c r="C215">
        <v>1</v>
      </c>
      <c r="E215">
        <v>5</v>
      </c>
      <c r="F215">
        <v>4</v>
      </c>
      <c r="G215">
        <v>7</v>
      </c>
      <c r="H215" t="s">
        <v>15</v>
      </c>
      <c r="I215">
        <v>1</v>
      </c>
      <c r="J215">
        <v>8</v>
      </c>
      <c r="K215">
        <v>45</v>
      </c>
      <c r="M215" t="s">
        <v>189</v>
      </c>
      <c r="N215" t="s">
        <v>164</v>
      </c>
      <c r="P215">
        <f>IFERROR(IF(AND(tbl_daily[[#This Row],[Attendance (1 = Here, 0 = Not here)]]=1,tbl_daily[[#This Row],[Attended, but did not complete data]]&lt;&gt;1),tbl_daily[[#This Row],[Stress]]+tbl_daily[[#This Row],[SleepQuality]]+tbl_daily[[#This Row],[Energy]],""),"")</f>
        <v>16</v>
      </c>
      <c r="Q215">
        <f>IFERROR(IF(AND(tbl_daily[[#This Row],[Attendance (1 = Here, 0 = Not here)]]=1,tbl_daily[[#This Row],[Attended, but did not complete data]]&lt;&gt;1),tbl_daily[[#This Row],[LatestRPE]]*tbl_daily[[#This Row],[LatestDuration]],""),"")</f>
        <v>360</v>
      </c>
      <c r="R215">
        <f>IF(tbl_daily[[#This Row],[CodeName]]&lt;&gt;"",1,"")</f>
        <v>1</v>
      </c>
      <c r="S215" t="str">
        <f>IF(AND(tbl_daily[[#This Row],[Date]]&gt;=DATE(2019,8,1),tbl_daily[[#This Row],[Date]]&lt;=DATE(2020,6,1)),"2019-2020")</f>
        <v>2019-2020</v>
      </c>
      <c r="T215" t="str">
        <f>IFERROR(INDEX(tbl_prof[Cohort of Interest],MATCH(tbl_daily[[#This Row],[CodeName]],tbl_prof[CodeName],0)),"")</f>
        <v>Youth</v>
      </c>
      <c r="U215" t="str">
        <f>IFERROR(AVERAGEIFS(tbl_perf[Grade],tbl_perf[CodeName],tbl_daily[[#This Row],[CodeName]],tbl_perf[Date],tbl_daily[[#This Row],[Date]]),"")</f>
        <v/>
      </c>
      <c r="V215">
        <f>IFERROR(IF(AND(tbl_daily[[#This Row],[Attendance (1 = Here, 0 = Not here)]]=1,tbl_daily[[#This Row],[Attended, but did not complete data]]&lt;&gt;1),1,IF(AND(tbl_daily[[#This Row],[Attendance (1 = Here, 0 = Not here)]]=1,tbl_daily[[#This Row],[Attended, but did not complete data]]=1),2,3)),"")</f>
        <v>1</v>
      </c>
      <c r="W215">
        <f>IF(AND(tbl_daily[[#This Row],[Attendance Refined]]=1,tbl_daily[[#This Row],[InjuryStatus]]="Full"),1,IF(AND(tbl_daily[[#This Row],[Attendance Refined]]=1,tbl_daily[[#This Row],[InjuryStatus]]="Limited"),2,IF(AND(tbl_daily[[#This Row],[Attendance Refined]]=1,tbl_daily[[#This Row],[InjuryStatus]]="Out"),3,"")))</f>
        <v>1</v>
      </c>
    </row>
    <row r="216" spans="1:23" ht="15" customHeight="1" x14ac:dyDescent="0.25">
      <c r="A216" s="1">
        <v>43872</v>
      </c>
      <c r="B216" t="s">
        <v>417</v>
      </c>
      <c r="C216">
        <v>1</v>
      </c>
      <c r="E216">
        <v>4</v>
      </c>
      <c r="F216">
        <v>9</v>
      </c>
      <c r="G216">
        <v>5</v>
      </c>
      <c r="H216" t="s">
        <v>15</v>
      </c>
      <c r="I216">
        <v>1</v>
      </c>
      <c r="J216">
        <v>7</v>
      </c>
      <c r="K216">
        <v>60</v>
      </c>
      <c r="M216" t="s">
        <v>189</v>
      </c>
      <c r="N216" t="s">
        <v>168</v>
      </c>
      <c r="P216">
        <f>IFERROR(IF(AND(tbl_daily[[#This Row],[Attendance (1 = Here, 0 = Not here)]]=1,tbl_daily[[#This Row],[Attended, but did not complete data]]&lt;&gt;1),tbl_daily[[#This Row],[Stress]]+tbl_daily[[#This Row],[SleepQuality]]+tbl_daily[[#This Row],[Energy]],""),"")</f>
        <v>18</v>
      </c>
      <c r="Q216">
        <f>IFERROR(IF(AND(tbl_daily[[#This Row],[Attendance (1 = Here, 0 = Not here)]]=1,tbl_daily[[#This Row],[Attended, but did not complete data]]&lt;&gt;1),tbl_daily[[#This Row],[LatestRPE]]*tbl_daily[[#This Row],[LatestDuration]],""),"")</f>
        <v>420</v>
      </c>
      <c r="R216">
        <f>IF(tbl_daily[[#This Row],[CodeName]]&lt;&gt;"",1,"")</f>
        <v>1</v>
      </c>
      <c r="S216" t="str">
        <f>IF(AND(tbl_daily[[#This Row],[Date]]&gt;=DATE(2019,8,1),tbl_daily[[#This Row],[Date]]&lt;=DATE(2020,6,1)),"2019-2020")</f>
        <v>2019-2020</v>
      </c>
      <c r="T216" t="str">
        <f>IFERROR(INDEX(tbl_prof[Cohort of Interest],MATCH(tbl_daily[[#This Row],[CodeName]],tbl_prof[CodeName],0)),"")</f>
        <v>Gen Pop</v>
      </c>
      <c r="U216" t="str">
        <f>IFERROR(AVERAGEIFS(tbl_perf[Grade],tbl_perf[CodeName],tbl_daily[[#This Row],[CodeName]],tbl_perf[Date],tbl_daily[[#This Row],[Date]]),"")</f>
        <v/>
      </c>
      <c r="V216">
        <f>IFERROR(IF(AND(tbl_daily[[#This Row],[Attendance (1 = Here, 0 = Not here)]]=1,tbl_daily[[#This Row],[Attended, but did not complete data]]&lt;&gt;1),1,IF(AND(tbl_daily[[#This Row],[Attendance (1 = Here, 0 = Not here)]]=1,tbl_daily[[#This Row],[Attended, but did not complete data]]=1),2,3)),"")</f>
        <v>1</v>
      </c>
      <c r="W216">
        <f>IF(AND(tbl_daily[[#This Row],[Attendance Refined]]=1,tbl_daily[[#This Row],[InjuryStatus]]="Full"),1,IF(AND(tbl_daily[[#This Row],[Attendance Refined]]=1,tbl_daily[[#This Row],[InjuryStatus]]="Limited"),2,IF(AND(tbl_daily[[#This Row],[Attendance Refined]]=1,tbl_daily[[#This Row],[InjuryStatus]]="Out"),3,"")))</f>
        <v>1</v>
      </c>
    </row>
    <row r="217" spans="1:23" ht="15" customHeight="1" x14ac:dyDescent="0.25">
      <c r="A217" s="1">
        <v>43872</v>
      </c>
      <c r="B217" t="s">
        <v>422</v>
      </c>
      <c r="C217">
        <v>1</v>
      </c>
      <c r="E217">
        <v>7</v>
      </c>
      <c r="F217">
        <v>7</v>
      </c>
      <c r="G217">
        <v>6</v>
      </c>
      <c r="H217" t="s">
        <v>15</v>
      </c>
      <c r="I217">
        <v>1</v>
      </c>
      <c r="J217">
        <v>7</v>
      </c>
      <c r="K217">
        <v>60</v>
      </c>
      <c r="M217" t="s">
        <v>189</v>
      </c>
      <c r="N217" t="s">
        <v>97</v>
      </c>
      <c r="P217">
        <f>IFERROR(IF(AND(tbl_daily[[#This Row],[Attendance (1 = Here, 0 = Not here)]]=1,tbl_daily[[#This Row],[Attended, but did not complete data]]&lt;&gt;1),tbl_daily[[#This Row],[Stress]]+tbl_daily[[#This Row],[SleepQuality]]+tbl_daily[[#This Row],[Energy]],""),"")</f>
        <v>20</v>
      </c>
      <c r="Q217">
        <f>IFERROR(IF(AND(tbl_daily[[#This Row],[Attendance (1 = Here, 0 = Not here)]]=1,tbl_daily[[#This Row],[Attended, but did not complete data]]&lt;&gt;1),tbl_daily[[#This Row],[LatestRPE]]*tbl_daily[[#This Row],[LatestDuration]],""),"")</f>
        <v>420</v>
      </c>
      <c r="R217">
        <f>IF(tbl_daily[[#This Row],[CodeName]]&lt;&gt;"",1,"")</f>
        <v>1</v>
      </c>
      <c r="S217" t="str">
        <f>IF(AND(tbl_daily[[#This Row],[Date]]&gt;=DATE(2019,8,1),tbl_daily[[#This Row],[Date]]&lt;=DATE(2020,6,1)),"2019-2020")</f>
        <v>2019-2020</v>
      </c>
      <c r="T217" t="str">
        <f>IFERROR(INDEX(tbl_prof[Cohort of Interest],MATCH(tbl_daily[[#This Row],[CodeName]],tbl_prof[CodeName],0)),"")</f>
        <v>Athletes</v>
      </c>
      <c r="U217" t="str">
        <f>IFERROR(AVERAGEIFS(tbl_perf[Grade],tbl_perf[CodeName],tbl_daily[[#This Row],[CodeName]],tbl_perf[Date],tbl_daily[[#This Row],[Date]]),"")</f>
        <v/>
      </c>
      <c r="V217">
        <f>IFERROR(IF(AND(tbl_daily[[#This Row],[Attendance (1 = Here, 0 = Not here)]]=1,tbl_daily[[#This Row],[Attended, but did not complete data]]&lt;&gt;1),1,IF(AND(tbl_daily[[#This Row],[Attendance (1 = Here, 0 = Not here)]]=1,tbl_daily[[#This Row],[Attended, but did not complete data]]=1),2,3)),"")</f>
        <v>1</v>
      </c>
      <c r="W217">
        <f>IF(AND(tbl_daily[[#This Row],[Attendance Refined]]=1,tbl_daily[[#This Row],[InjuryStatus]]="Full"),1,IF(AND(tbl_daily[[#This Row],[Attendance Refined]]=1,tbl_daily[[#This Row],[InjuryStatus]]="Limited"),2,IF(AND(tbl_daily[[#This Row],[Attendance Refined]]=1,tbl_daily[[#This Row],[InjuryStatus]]="Out"),3,"")))</f>
        <v>1</v>
      </c>
    </row>
    <row r="218" spans="1:23" ht="15" customHeight="1" x14ac:dyDescent="0.25">
      <c r="A218" s="1">
        <v>43872</v>
      </c>
      <c r="B218" t="s">
        <v>429</v>
      </c>
      <c r="C218">
        <v>1</v>
      </c>
      <c r="E218">
        <v>7</v>
      </c>
      <c r="F218">
        <v>8</v>
      </c>
      <c r="G218">
        <v>7</v>
      </c>
      <c r="H218" t="s">
        <v>32</v>
      </c>
      <c r="I218">
        <v>1</v>
      </c>
      <c r="J218">
        <v>7</v>
      </c>
      <c r="K218">
        <v>60</v>
      </c>
      <c r="M218" t="s">
        <v>189</v>
      </c>
      <c r="N218" t="s">
        <v>178</v>
      </c>
      <c r="P218">
        <f>IFERROR(IF(AND(tbl_daily[[#This Row],[Attendance (1 = Here, 0 = Not here)]]=1,tbl_daily[[#This Row],[Attended, but did not complete data]]&lt;&gt;1),tbl_daily[[#This Row],[Stress]]+tbl_daily[[#This Row],[SleepQuality]]+tbl_daily[[#This Row],[Energy]],""),"")</f>
        <v>22</v>
      </c>
      <c r="Q218">
        <f>IFERROR(IF(AND(tbl_daily[[#This Row],[Attendance (1 = Here, 0 = Not here)]]=1,tbl_daily[[#This Row],[Attended, but did not complete data]]&lt;&gt;1),tbl_daily[[#This Row],[LatestRPE]]*tbl_daily[[#This Row],[LatestDuration]],""),"")</f>
        <v>420</v>
      </c>
      <c r="R218">
        <f>IF(tbl_daily[[#This Row],[CodeName]]&lt;&gt;"",1,"")</f>
        <v>1</v>
      </c>
      <c r="S218" t="str">
        <f>IF(AND(tbl_daily[[#This Row],[Date]]&gt;=DATE(2019,8,1),tbl_daily[[#This Row],[Date]]&lt;=DATE(2020,6,1)),"2019-2020")</f>
        <v>2019-2020</v>
      </c>
      <c r="T218" t="str">
        <f>IFERROR(INDEX(tbl_prof[Cohort of Interest],MATCH(tbl_daily[[#This Row],[CodeName]],tbl_prof[CodeName],0)),"")</f>
        <v>Gen Pop</v>
      </c>
      <c r="U218" t="str">
        <f>IFERROR(AVERAGEIFS(tbl_perf[Grade],tbl_perf[CodeName],tbl_daily[[#This Row],[CodeName]],tbl_perf[Date],tbl_daily[[#This Row],[Date]]),"")</f>
        <v/>
      </c>
      <c r="V218">
        <f>IFERROR(IF(AND(tbl_daily[[#This Row],[Attendance (1 = Here, 0 = Not here)]]=1,tbl_daily[[#This Row],[Attended, but did not complete data]]&lt;&gt;1),1,IF(AND(tbl_daily[[#This Row],[Attendance (1 = Here, 0 = Not here)]]=1,tbl_daily[[#This Row],[Attended, but did not complete data]]=1),2,3)),"")</f>
        <v>1</v>
      </c>
      <c r="W218">
        <f>IF(AND(tbl_daily[[#This Row],[Attendance Refined]]=1,tbl_daily[[#This Row],[InjuryStatus]]="Full"),1,IF(AND(tbl_daily[[#This Row],[Attendance Refined]]=1,tbl_daily[[#This Row],[InjuryStatus]]="Limited"),2,IF(AND(tbl_daily[[#This Row],[Attendance Refined]]=1,tbl_daily[[#This Row],[InjuryStatus]]="Out"),3,"")))</f>
        <v>2</v>
      </c>
    </row>
    <row r="219" spans="1:23" ht="15" customHeight="1" x14ac:dyDescent="0.25">
      <c r="A219" s="1">
        <v>43872</v>
      </c>
      <c r="B219" t="s">
        <v>427</v>
      </c>
      <c r="C219">
        <v>1</v>
      </c>
      <c r="E219">
        <v>7</v>
      </c>
      <c r="F219">
        <v>8</v>
      </c>
      <c r="G219">
        <v>8</v>
      </c>
      <c r="H219" t="s">
        <v>15</v>
      </c>
      <c r="I219">
        <v>1</v>
      </c>
      <c r="J219">
        <v>6</v>
      </c>
      <c r="K219">
        <v>75</v>
      </c>
      <c r="M219" t="s">
        <v>189</v>
      </c>
      <c r="N219" t="s">
        <v>88</v>
      </c>
      <c r="P219">
        <f>IFERROR(IF(AND(tbl_daily[[#This Row],[Attendance (1 = Here, 0 = Not here)]]=1,tbl_daily[[#This Row],[Attended, but did not complete data]]&lt;&gt;1),tbl_daily[[#This Row],[Stress]]+tbl_daily[[#This Row],[SleepQuality]]+tbl_daily[[#This Row],[Energy]],""),"")</f>
        <v>23</v>
      </c>
      <c r="Q219">
        <f>IFERROR(IF(AND(tbl_daily[[#This Row],[Attendance (1 = Here, 0 = Not here)]]=1,tbl_daily[[#This Row],[Attended, but did not complete data]]&lt;&gt;1),tbl_daily[[#This Row],[LatestRPE]]*tbl_daily[[#This Row],[LatestDuration]],""),"")</f>
        <v>450</v>
      </c>
      <c r="R219">
        <f>IF(tbl_daily[[#This Row],[CodeName]]&lt;&gt;"",1,"")</f>
        <v>1</v>
      </c>
      <c r="S219" t="str">
        <f>IF(AND(tbl_daily[[#This Row],[Date]]&gt;=DATE(2019,8,1),tbl_daily[[#This Row],[Date]]&lt;=DATE(2020,6,1)),"2019-2020")</f>
        <v>2019-2020</v>
      </c>
      <c r="T219" t="str">
        <f>IFERROR(INDEX(tbl_prof[Cohort of Interest],MATCH(tbl_daily[[#This Row],[CodeName]],tbl_prof[CodeName],0)),"")</f>
        <v>Special</v>
      </c>
      <c r="U219" t="str">
        <f>IFERROR(AVERAGEIFS(tbl_perf[Grade],tbl_perf[CodeName],tbl_daily[[#This Row],[CodeName]],tbl_perf[Date],tbl_daily[[#This Row],[Date]]),"")</f>
        <v/>
      </c>
      <c r="V219">
        <f>IFERROR(IF(AND(tbl_daily[[#This Row],[Attendance (1 = Here, 0 = Not here)]]=1,tbl_daily[[#This Row],[Attended, but did not complete data]]&lt;&gt;1),1,IF(AND(tbl_daily[[#This Row],[Attendance (1 = Here, 0 = Not here)]]=1,tbl_daily[[#This Row],[Attended, but did not complete data]]=1),2,3)),"")</f>
        <v>1</v>
      </c>
      <c r="W219">
        <f>IF(AND(tbl_daily[[#This Row],[Attendance Refined]]=1,tbl_daily[[#This Row],[InjuryStatus]]="Full"),1,IF(AND(tbl_daily[[#This Row],[Attendance Refined]]=1,tbl_daily[[#This Row],[InjuryStatus]]="Limited"),2,IF(AND(tbl_daily[[#This Row],[Attendance Refined]]=1,tbl_daily[[#This Row],[InjuryStatus]]="Out"),3,"")))</f>
        <v>1</v>
      </c>
    </row>
    <row r="220" spans="1:23" ht="15" customHeight="1" x14ac:dyDescent="0.25">
      <c r="A220" s="1">
        <v>43872</v>
      </c>
      <c r="B220" t="s">
        <v>434</v>
      </c>
      <c r="C220">
        <v>1</v>
      </c>
      <c r="E220">
        <v>8</v>
      </c>
      <c r="F220">
        <v>4</v>
      </c>
      <c r="G220">
        <v>5</v>
      </c>
      <c r="H220" t="s">
        <v>15</v>
      </c>
      <c r="I220">
        <v>1</v>
      </c>
      <c r="J220">
        <v>10</v>
      </c>
      <c r="K220">
        <v>60</v>
      </c>
      <c r="M220" t="s">
        <v>189</v>
      </c>
      <c r="N220" t="s">
        <v>179</v>
      </c>
      <c r="P220">
        <f>IFERROR(IF(AND(tbl_daily[[#This Row],[Attendance (1 = Here, 0 = Not here)]]=1,tbl_daily[[#This Row],[Attended, but did not complete data]]&lt;&gt;1),tbl_daily[[#This Row],[Stress]]+tbl_daily[[#This Row],[SleepQuality]]+tbl_daily[[#This Row],[Energy]],""),"")</f>
        <v>17</v>
      </c>
      <c r="Q220">
        <f>IFERROR(IF(AND(tbl_daily[[#This Row],[Attendance (1 = Here, 0 = Not here)]]=1,tbl_daily[[#This Row],[Attended, but did not complete data]]&lt;&gt;1),tbl_daily[[#This Row],[LatestRPE]]*tbl_daily[[#This Row],[LatestDuration]],""),"")</f>
        <v>600</v>
      </c>
      <c r="R220">
        <f>IF(tbl_daily[[#This Row],[CodeName]]&lt;&gt;"",1,"")</f>
        <v>1</v>
      </c>
      <c r="S220" t="str">
        <f>IF(AND(tbl_daily[[#This Row],[Date]]&gt;=DATE(2019,8,1),tbl_daily[[#This Row],[Date]]&lt;=DATE(2020,6,1)),"2019-2020")</f>
        <v>2019-2020</v>
      </c>
      <c r="T220" t="str">
        <f>IFERROR(INDEX(tbl_prof[Cohort of Interest],MATCH(tbl_daily[[#This Row],[CodeName]],tbl_prof[CodeName],0)),"")</f>
        <v>Athletes</v>
      </c>
      <c r="U220" t="str">
        <f>IFERROR(AVERAGEIFS(tbl_perf[Grade],tbl_perf[CodeName],tbl_daily[[#This Row],[CodeName]],tbl_perf[Date],tbl_daily[[#This Row],[Date]]),"")</f>
        <v/>
      </c>
      <c r="V220">
        <f>IFERROR(IF(AND(tbl_daily[[#This Row],[Attendance (1 = Here, 0 = Not here)]]=1,tbl_daily[[#This Row],[Attended, but did not complete data]]&lt;&gt;1),1,IF(AND(tbl_daily[[#This Row],[Attendance (1 = Here, 0 = Not here)]]=1,tbl_daily[[#This Row],[Attended, but did not complete data]]=1),2,3)),"")</f>
        <v>1</v>
      </c>
      <c r="W220">
        <f>IF(AND(tbl_daily[[#This Row],[Attendance Refined]]=1,tbl_daily[[#This Row],[InjuryStatus]]="Full"),1,IF(AND(tbl_daily[[#This Row],[Attendance Refined]]=1,tbl_daily[[#This Row],[InjuryStatus]]="Limited"),2,IF(AND(tbl_daily[[#This Row],[Attendance Refined]]=1,tbl_daily[[#This Row],[InjuryStatus]]="Out"),3,"")))</f>
        <v>1</v>
      </c>
    </row>
    <row r="221" spans="1:23" ht="15" customHeight="1" x14ac:dyDescent="0.25">
      <c r="A221" s="1">
        <v>43872</v>
      </c>
      <c r="B221" t="s">
        <v>441</v>
      </c>
      <c r="C221">
        <v>1</v>
      </c>
      <c r="E221">
        <v>5</v>
      </c>
      <c r="F221">
        <v>4</v>
      </c>
      <c r="G221">
        <v>5</v>
      </c>
      <c r="H221" t="s">
        <v>15</v>
      </c>
      <c r="I221">
        <v>1</v>
      </c>
      <c r="J221">
        <v>7</v>
      </c>
      <c r="K221">
        <v>90</v>
      </c>
      <c r="M221" t="s">
        <v>189</v>
      </c>
      <c r="N221" t="s">
        <v>187</v>
      </c>
      <c r="P221">
        <f>IFERROR(IF(AND(tbl_daily[[#This Row],[Attendance (1 = Here, 0 = Not here)]]=1,tbl_daily[[#This Row],[Attended, but did not complete data]]&lt;&gt;1),tbl_daily[[#This Row],[Stress]]+tbl_daily[[#This Row],[SleepQuality]]+tbl_daily[[#This Row],[Energy]],""),"")</f>
        <v>14</v>
      </c>
      <c r="Q221">
        <f>IFERROR(IF(AND(tbl_daily[[#This Row],[Attendance (1 = Here, 0 = Not here)]]=1,tbl_daily[[#This Row],[Attended, but did not complete data]]&lt;&gt;1),tbl_daily[[#This Row],[LatestRPE]]*tbl_daily[[#This Row],[LatestDuration]],""),"")</f>
        <v>630</v>
      </c>
      <c r="R221">
        <f>IF(tbl_daily[[#This Row],[CodeName]]&lt;&gt;"",1,"")</f>
        <v>1</v>
      </c>
      <c r="S221" t="str">
        <f>IF(AND(tbl_daily[[#This Row],[Date]]&gt;=DATE(2019,8,1),tbl_daily[[#This Row],[Date]]&lt;=DATE(2020,6,1)),"2019-2020")</f>
        <v>2019-2020</v>
      </c>
      <c r="T221" t="str">
        <f>IFERROR(INDEX(tbl_prof[Cohort of Interest],MATCH(tbl_daily[[#This Row],[CodeName]],tbl_prof[CodeName],0)),"")</f>
        <v>Athletes</v>
      </c>
      <c r="U221" t="str">
        <f>IFERROR(AVERAGEIFS(tbl_perf[Grade],tbl_perf[CodeName],tbl_daily[[#This Row],[CodeName]],tbl_perf[Date],tbl_daily[[#This Row],[Date]]),"")</f>
        <v/>
      </c>
      <c r="V221">
        <f>IFERROR(IF(AND(tbl_daily[[#This Row],[Attendance (1 = Here, 0 = Not here)]]=1,tbl_daily[[#This Row],[Attended, but did not complete data]]&lt;&gt;1),1,IF(AND(tbl_daily[[#This Row],[Attendance (1 = Here, 0 = Not here)]]=1,tbl_daily[[#This Row],[Attended, but did not complete data]]=1),2,3)),"")</f>
        <v>1</v>
      </c>
      <c r="W221">
        <f>IF(AND(tbl_daily[[#This Row],[Attendance Refined]]=1,tbl_daily[[#This Row],[InjuryStatus]]="Full"),1,IF(AND(tbl_daily[[#This Row],[Attendance Refined]]=1,tbl_daily[[#This Row],[InjuryStatus]]="Limited"),2,IF(AND(tbl_daily[[#This Row],[Attendance Refined]]=1,tbl_daily[[#This Row],[InjuryStatus]]="Out"),3,"")))</f>
        <v>1</v>
      </c>
    </row>
    <row r="222" spans="1:23" ht="15" customHeight="1" x14ac:dyDescent="0.25">
      <c r="A222" s="1">
        <v>43872</v>
      </c>
      <c r="B222" t="s">
        <v>418</v>
      </c>
      <c r="C222">
        <v>1</v>
      </c>
      <c r="E222">
        <v>8</v>
      </c>
      <c r="F222">
        <v>8</v>
      </c>
      <c r="G222">
        <v>8</v>
      </c>
      <c r="H222" t="s">
        <v>15</v>
      </c>
      <c r="I222">
        <v>1</v>
      </c>
      <c r="J222">
        <v>6</v>
      </c>
      <c r="K222">
        <v>120</v>
      </c>
      <c r="M222" t="s">
        <v>189</v>
      </c>
      <c r="N222" t="s">
        <v>169</v>
      </c>
      <c r="P222">
        <f>IFERROR(IF(AND(tbl_daily[[#This Row],[Attendance (1 = Here, 0 = Not here)]]=1,tbl_daily[[#This Row],[Attended, but did not complete data]]&lt;&gt;1),tbl_daily[[#This Row],[Stress]]+tbl_daily[[#This Row],[SleepQuality]]+tbl_daily[[#This Row],[Energy]],""),"")</f>
        <v>24</v>
      </c>
      <c r="Q222">
        <f>IFERROR(IF(AND(tbl_daily[[#This Row],[Attendance (1 = Here, 0 = Not here)]]=1,tbl_daily[[#This Row],[Attended, but did not complete data]]&lt;&gt;1),tbl_daily[[#This Row],[LatestRPE]]*tbl_daily[[#This Row],[LatestDuration]],""),"")</f>
        <v>720</v>
      </c>
      <c r="R222">
        <f>IF(tbl_daily[[#This Row],[CodeName]]&lt;&gt;"",1,"")</f>
        <v>1</v>
      </c>
      <c r="S222" t="str">
        <f>IF(AND(tbl_daily[[#This Row],[Date]]&gt;=DATE(2019,8,1),tbl_daily[[#This Row],[Date]]&lt;=DATE(2020,6,1)),"2019-2020")</f>
        <v>2019-2020</v>
      </c>
      <c r="T222" t="str">
        <f>IFERROR(INDEX(tbl_prof[Cohort of Interest],MATCH(tbl_daily[[#This Row],[CodeName]],tbl_prof[CodeName],0)),"")</f>
        <v>Special</v>
      </c>
      <c r="U222" t="str">
        <f>IFERROR(AVERAGEIFS(tbl_perf[Grade],tbl_perf[CodeName],tbl_daily[[#This Row],[CodeName]],tbl_perf[Date],tbl_daily[[#This Row],[Date]]),"")</f>
        <v/>
      </c>
      <c r="V222">
        <f>IFERROR(IF(AND(tbl_daily[[#This Row],[Attendance (1 = Here, 0 = Not here)]]=1,tbl_daily[[#This Row],[Attended, but did not complete data]]&lt;&gt;1),1,IF(AND(tbl_daily[[#This Row],[Attendance (1 = Here, 0 = Not here)]]=1,tbl_daily[[#This Row],[Attended, but did not complete data]]=1),2,3)),"")</f>
        <v>1</v>
      </c>
      <c r="W222">
        <f>IF(AND(tbl_daily[[#This Row],[Attendance Refined]]=1,tbl_daily[[#This Row],[InjuryStatus]]="Full"),1,IF(AND(tbl_daily[[#This Row],[Attendance Refined]]=1,tbl_daily[[#This Row],[InjuryStatus]]="Limited"),2,IF(AND(tbl_daily[[#This Row],[Attendance Refined]]=1,tbl_daily[[#This Row],[InjuryStatus]]="Out"),3,"")))</f>
        <v>1</v>
      </c>
    </row>
    <row r="223" spans="1:23" ht="15" customHeight="1" x14ac:dyDescent="0.25">
      <c r="A223" s="1">
        <v>43872</v>
      </c>
      <c r="B223" t="s">
        <v>437</v>
      </c>
      <c r="C223">
        <v>1</v>
      </c>
      <c r="E223">
        <v>8</v>
      </c>
      <c r="F223">
        <v>9</v>
      </c>
      <c r="G223">
        <v>9</v>
      </c>
      <c r="H223" t="s">
        <v>15</v>
      </c>
      <c r="I223">
        <v>1</v>
      </c>
      <c r="J223">
        <v>6</v>
      </c>
      <c r="K223">
        <v>120</v>
      </c>
      <c r="M223" t="s">
        <v>189</v>
      </c>
      <c r="P223">
        <f>IFERROR(IF(AND(tbl_daily[[#This Row],[Attendance (1 = Here, 0 = Not here)]]=1,tbl_daily[[#This Row],[Attended, but did not complete data]]&lt;&gt;1),tbl_daily[[#This Row],[Stress]]+tbl_daily[[#This Row],[SleepQuality]]+tbl_daily[[#This Row],[Energy]],""),"")</f>
        <v>26</v>
      </c>
      <c r="Q223">
        <f>IFERROR(IF(AND(tbl_daily[[#This Row],[Attendance (1 = Here, 0 = Not here)]]=1,tbl_daily[[#This Row],[Attended, but did not complete data]]&lt;&gt;1),tbl_daily[[#This Row],[LatestRPE]]*tbl_daily[[#This Row],[LatestDuration]],""),"")</f>
        <v>720</v>
      </c>
      <c r="R223">
        <f>IF(tbl_daily[[#This Row],[CodeName]]&lt;&gt;"",1,"")</f>
        <v>1</v>
      </c>
      <c r="S223" t="str">
        <f>IF(AND(tbl_daily[[#This Row],[Date]]&gt;=DATE(2019,8,1),tbl_daily[[#This Row],[Date]]&lt;=DATE(2020,6,1)),"2019-2020")</f>
        <v>2019-2020</v>
      </c>
      <c r="T223" t="str">
        <f>IFERROR(INDEX(tbl_prof[Cohort of Interest],MATCH(tbl_daily[[#This Row],[CodeName]],tbl_prof[CodeName],0)),"")</f>
        <v>Athletes</v>
      </c>
      <c r="U223" t="str">
        <f>IFERROR(AVERAGEIFS(tbl_perf[Grade],tbl_perf[CodeName],tbl_daily[[#This Row],[CodeName]],tbl_perf[Date],tbl_daily[[#This Row],[Date]]),"")</f>
        <v/>
      </c>
      <c r="V223">
        <f>IFERROR(IF(AND(tbl_daily[[#This Row],[Attendance (1 = Here, 0 = Not here)]]=1,tbl_daily[[#This Row],[Attended, but did not complete data]]&lt;&gt;1),1,IF(AND(tbl_daily[[#This Row],[Attendance (1 = Here, 0 = Not here)]]=1,tbl_daily[[#This Row],[Attended, but did not complete data]]=1),2,3)),"")</f>
        <v>1</v>
      </c>
      <c r="W223">
        <f>IF(AND(tbl_daily[[#This Row],[Attendance Refined]]=1,tbl_daily[[#This Row],[InjuryStatus]]="Full"),1,IF(AND(tbl_daily[[#This Row],[Attendance Refined]]=1,tbl_daily[[#This Row],[InjuryStatus]]="Limited"),2,IF(AND(tbl_daily[[#This Row],[Attendance Refined]]=1,tbl_daily[[#This Row],[InjuryStatus]]="Out"),3,"")))</f>
        <v>1</v>
      </c>
    </row>
    <row r="224" spans="1:23" ht="15" customHeight="1" x14ac:dyDescent="0.25">
      <c r="A224" s="1">
        <v>43872</v>
      </c>
      <c r="B224" t="s">
        <v>432</v>
      </c>
      <c r="C224">
        <v>1</v>
      </c>
      <c r="E224">
        <v>9</v>
      </c>
      <c r="F224">
        <v>8</v>
      </c>
      <c r="G224">
        <v>8</v>
      </c>
      <c r="H224" t="s">
        <v>32</v>
      </c>
      <c r="I224">
        <v>1</v>
      </c>
      <c r="J224">
        <v>6</v>
      </c>
      <c r="K224">
        <v>120</v>
      </c>
      <c r="M224" t="s">
        <v>189</v>
      </c>
      <c r="N224" t="s">
        <v>184</v>
      </c>
      <c r="P224">
        <f>IFERROR(IF(AND(tbl_daily[[#This Row],[Attendance (1 = Here, 0 = Not here)]]=1,tbl_daily[[#This Row],[Attended, but did not complete data]]&lt;&gt;1),tbl_daily[[#This Row],[Stress]]+tbl_daily[[#This Row],[SleepQuality]]+tbl_daily[[#This Row],[Energy]],""),"")</f>
        <v>25</v>
      </c>
      <c r="Q224">
        <f>IFERROR(IF(AND(tbl_daily[[#This Row],[Attendance (1 = Here, 0 = Not here)]]=1,tbl_daily[[#This Row],[Attended, but did not complete data]]&lt;&gt;1),tbl_daily[[#This Row],[LatestRPE]]*tbl_daily[[#This Row],[LatestDuration]],""),"")</f>
        <v>720</v>
      </c>
      <c r="R224">
        <f>IF(tbl_daily[[#This Row],[CodeName]]&lt;&gt;"",1,"")</f>
        <v>1</v>
      </c>
      <c r="S224" t="str">
        <f>IF(AND(tbl_daily[[#This Row],[Date]]&gt;=DATE(2019,8,1),tbl_daily[[#This Row],[Date]]&lt;=DATE(2020,6,1)),"2019-2020")</f>
        <v>2019-2020</v>
      </c>
      <c r="T224" t="str">
        <f>IFERROR(INDEX(tbl_prof[Cohort of Interest],MATCH(tbl_daily[[#This Row],[CodeName]],tbl_prof[CodeName],0)),"")</f>
        <v>Athletes</v>
      </c>
      <c r="U224" t="str">
        <f>IFERROR(AVERAGEIFS(tbl_perf[Grade],tbl_perf[CodeName],tbl_daily[[#This Row],[CodeName]],tbl_perf[Date],tbl_daily[[#This Row],[Date]]),"")</f>
        <v/>
      </c>
      <c r="V224">
        <f>IFERROR(IF(AND(tbl_daily[[#This Row],[Attendance (1 = Here, 0 = Not here)]]=1,tbl_daily[[#This Row],[Attended, but did not complete data]]&lt;&gt;1),1,IF(AND(tbl_daily[[#This Row],[Attendance (1 = Here, 0 = Not here)]]=1,tbl_daily[[#This Row],[Attended, but did not complete data]]=1),2,3)),"")</f>
        <v>1</v>
      </c>
      <c r="W224">
        <f>IF(AND(tbl_daily[[#This Row],[Attendance Refined]]=1,tbl_daily[[#This Row],[InjuryStatus]]="Full"),1,IF(AND(tbl_daily[[#This Row],[Attendance Refined]]=1,tbl_daily[[#This Row],[InjuryStatus]]="Limited"),2,IF(AND(tbl_daily[[#This Row],[Attendance Refined]]=1,tbl_daily[[#This Row],[InjuryStatus]]="Out"),3,"")))</f>
        <v>2</v>
      </c>
    </row>
    <row r="225" spans="1:23" ht="15" customHeight="1" x14ac:dyDescent="0.25">
      <c r="A225" s="1">
        <v>43872</v>
      </c>
      <c r="B225" t="s">
        <v>426</v>
      </c>
      <c r="C225">
        <v>1</v>
      </c>
      <c r="E225">
        <v>7</v>
      </c>
      <c r="F225">
        <v>6</v>
      </c>
      <c r="G225">
        <v>5</v>
      </c>
      <c r="H225" t="s">
        <v>32</v>
      </c>
      <c r="I225">
        <v>1</v>
      </c>
      <c r="J225">
        <v>5</v>
      </c>
      <c r="K225">
        <v>150</v>
      </c>
      <c r="M225" t="s">
        <v>189</v>
      </c>
      <c r="N225" t="s">
        <v>175</v>
      </c>
      <c r="P225">
        <f>IFERROR(IF(AND(tbl_daily[[#This Row],[Attendance (1 = Here, 0 = Not here)]]=1,tbl_daily[[#This Row],[Attended, but did not complete data]]&lt;&gt;1),tbl_daily[[#This Row],[Stress]]+tbl_daily[[#This Row],[SleepQuality]]+tbl_daily[[#This Row],[Energy]],""),"")</f>
        <v>18</v>
      </c>
      <c r="Q225">
        <f>IFERROR(IF(AND(tbl_daily[[#This Row],[Attendance (1 = Here, 0 = Not here)]]=1,tbl_daily[[#This Row],[Attended, but did not complete data]]&lt;&gt;1),tbl_daily[[#This Row],[LatestRPE]]*tbl_daily[[#This Row],[LatestDuration]],""),"")</f>
        <v>750</v>
      </c>
      <c r="R225">
        <f>IF(tbl_daily[[#This Row],[CodeName]]&lt;&gt;"",1,"")</f>
        <v>1</v>
      </c>
      <c r="S225" t="str">
        <f>IF(AND(tbl_daily[[#This Row],[Date]]&gt;=DATE(2019,8,1),tbl_daily[[#This Row],[Date]]&lt;=DATE(2020,6,1)),"2019-2020")</f>
        <v>2019-2020</v>
      </c>
      <c r="T225" t="str">
        <f>IFERROR(INDEX(tbl_prof[Cohort of Interest],MATCH(tbl_daily[[#This Row],[CodeName]],tbl_prof[CodeName],0)),"")</f>
        <v>Special</v>
      </c>
      <c r="U225" t="str">
        <f>IFERROR(AVERAGEIFS(tbl_perf[Grade],tbl_perf[CodeName],tbl_daily[[#This Row],[CodeName]],tbl_perf[Date],tbl_daily[[#This Row],[Date]]),"")</f>
        <v/>
      </c>
      <c r="V225">
        <f>IFERROR(IF(AND(tbl_daily[[#This Row],[Attendance (1 = Here, 0 = Not here)]]=1,tbl_daily[[#This Row],[Attended, but did not complete data]]&lt;&gt;1),1,IF(AND(tbl_daily[[#This Row],[Attendance (1 = Here, 0 = Not here)]]=1,tbl_daily[[#This Row],[Attended, but did not complete data]]=1),2,3)),"")</f>
        <v>1</v>
      </c>
      <c r="W225">
        <f>IF(AND(tbl_daily[[#This Row],[Attendance Refined]]=1,tbl_daily[[#This Row],[InjuryStatus]]="Full"),1,IF(AND(tbl_daily[[#This Row],[Attendance Refined]]=1,tbl_daily[[#This Row],[InjuryStatus]]="Limited"),2,IF(AND(tbl_daily[[#This Row],[Attendance Refined]]=1,tbl_daily[[#This Row],[InjuryStatus]]="Out"),3,"")))</f>
        <v>2</v>
      </c>
    </row>
    <row r="226" spans="1:23" ht="15" customHeight="1" x14ac:dyDescent="0.25">
      <c r="A226" s="1">
        <v>43872</v>
      </c>
      <c r="B226" t="s">
        <v>423</v>
      </c>
      <c r="C226">
        <v>1</v>
      </c>
      <c r="E226">
        <v>8</v>
      </c>
      <c r="F226">
        <v>6</v>
      </c>
      <c r="G226">
        <v>5</v>
      </c>
      <c r="H226" t="s">
        <v>15</v>
      </c>
      <c r="I226">
        <v>1</v>
      </c>
      <c r="J226">
        <v>7</v>
      </c>
      <c r="K226">
        <v>120</v>
      </c>
      <c r="M226" t="s">
        <v>189</v>
      </c>
      <c r="N226" t="s">
        <v>170</v>
      </c>
      <c r="P226">
        <f>IFERROR(IF(AND(tbl_daily[[#This Row],[Attendance (1 = Here, 0 = Not here)]]=1,tbl_daily[[#This Row],[Attended, but did not complete data]]&lt;&gt;1),tbl_daily[[#This Row],[Stress]]+tbl_daily[[#This Row],[SleepQuality]]+tbl_daily[[#This Row],[Energy]],""),"")</f>
        <v>19</v>
      </c>
      <c r="Q226">
        <f>IFERROR(IF(AND(tbl_daily[[#This Row],[Attendance (1 = Here, 0 = Not here)]]=1,tbl_daily[[#This Row],[Attended, but did not complete data]]&lt;&gt;1),tbl_daily[[#This Row],[LatestRPE]]*tbl_daily[[#This Row],[LatestDuration]],""),"")</f>
        <v>840</v>
      </c>
      <c r="R226">
        <f>IF(tbl_daily[[#This Row],[CodeName]]&lt;&gt;"",1,"")</f>
        <v>1</v>
      </c>
      <c r="S226" t="str">
        <f>IF(AND(tbl_daily[[#This Row],[Date]]&gt;=DATE(2019,8,1),tbl_daily[[#This Row],[Date]]&lt;=DATE(2020,6,1)),"2019-2020")</f>
        <v>2019-2020</v>
      </c>
      <c r="T226" t="str">
        <f>IFERROR(INDEX(tbl_prof[Cohort of Interest],MATCH(tbl_daily[[#This Row],[CodeName]],tbl_prof[CodeName],0)),"")</f>
        <v>Youth</v>
      </c>
      <c r="U226" t="str">
        <f>IFERROR(AVERAGEIFS(tbl_perf[Grade],tbl_perf[CodeName],tbl_daily[[#This Row],[CodeName]],tbl_perf[Date],tbl_daily[[#This Row],[Date]]),"")</f>
        <v/>
      </c>
      <c r="V226">
        <f>IFERROR(IF(AND(tbl_daily[[#This Row],[Attendance (1 = Here, 0 = Not here)]]=1,tbl_daily[[#This Row],[Attended, but did not complete data]]&lt;&gt;1),1,IF(AND(tbl_daily[[#This Row],[Attendance (1 = Here, 0 = Not here)]]=1,tbl_daily[[#This Row],[Attended, but did not complete data]]=1),2,3)),"")</f>
        <v>1</v>
      </c>
      <c r="W226">
        <f>IF(AND(tbl_daily[[#This Row],[Attendance Refined]]=1,tbl_daily[[#This Row],[InjuryStatus]]="Full"),1,IF(AND(tbl_daily[[#This Row],[Attendance Refined]]=1,tbl_daily[[#This Row],[InjuryStatus]]="Limited"),2,IF(AND(tbl_daily[[#This Row],[Attendance Refined]]=1,tbl_daily[[#This Row],[InjuryStatus]]="Out"),3,"")))</f>
        <v>1</v>
      </c>
    </row>
    <row r="227" spans="1:23" ht="15" customHeight="1" x14ac:dyDescent="0.25">
      <c r="A227" s="1">
        <v>43872</v>
      </c>
      <c r="B227" t="s">
        <v>440</v>
      </c>
      <c r="C227">
        <v>0</v>
      </c>
      <c r="D227">
        <v>1</v>
      </c>
      <c r="M227" t="s">
        <v>189</v>
      </c>
      <c r="P227" t="str">
        <f>IFERROR(IF(AND(tbl_daily[[#This Row],[Attendance (1 = Here, 0 = Not here)]]=1,tbl_daily[[#This Row],[Attended, but did not complete data]]&lt;&gt;1),tbl_daily[[#This Row],[Stress]]+tbl_daily[[#This Row],[SleepQuality]]+tbl_daily[[#This Row],[Energy]],""),"")</f>
        <v/>
      </c>
      <c r="Q227" t="str">
        <f>IFERROR(IF(AND(tbl_daily[[#This Row],[Attendance (1 = Here, 0 = Not here)]]=1,tbl_daily[[#This Row],[Attended, but did not complete data]]&lt;&gt;1),tbl_daily[[#This Row],[LatestRPE]]*tbl_daily[[#This Row],[LatestDuration]],""),"")</f>
        <v/>
      </c>
      <c r="R227">
        <f>IF(tbl_daily[[#This Row],[CodeName]]&lt;&gt;"",1,"")</f>
        <v>1</v>
      </c>
      <c r="S227" t="str">
        <f>IF(AND(tbl_daily[[#This Row],[Date]]&gt;=DATE(2019,8,1),tbl_daily[[#This Row],[Date]]&lt;=DATE(2020,6,1)),"2019-2020")</f>
        <v>2019-2020</v>
      </c>
      <c r="T227" t="str">
        <f>IFERROR(INDEX(tbl_prof[Cohort of Interest],MATCH(tbl_daily[[#This Row],[CodeName]],tbl_prof[CodeName],0)),"")</f>
        <v>Youth</v>
      </c>
      <c r="U227" t="str">
        <f>IFERROR(AVERAGEIFS(tbl_perf[Grade],tbl_perf[CodeName],tbl_daily[[#This Row],[CodeName]],tbl_perf[Date],tbl_daily[[#This Row],[Date]]),"")</f>
        <v/>
      </c>
      <c r="V227">
        <f>IFERROR(IF(AND(tbl_daily[[#This Row],[Attendance (1 = Here, 0 = Not here)]]=1,tbl_daily[[#This Row],[Attended, but did not complete data]]&lt;&gt;1),1,IF(AND(tbl_daily[[#This Row],[Attendance (1 = Here, 0 = Not here)]]=1,tbl_daily[[#This Row],[Attended, but did not complete data]]=1),2,3)),"")</f>
        <v>3</v>
      </c>
      <c r="W227" t="str">
        <f>IF(AND(tbl_daily[[#This Row],[Attendance Refined]]=1,tbl_daily[[#This Row],[InjuryStatus]]="Full"),1,IF(AND(tbl_daily[[#This Row],[Attendance Refined]]=1,tbl_daily[[#This Row],[InjuryStatus]]="Limited"),2,IF(AND(tbl_daily[[#This Row],[Attendance Refined]]=1,tbl_daily[[#This Row],[InjuryStatus]]="Out"),3,"")))</f>
        <v/>
      </c>
    </row>
    <row r="228" spans="1:23" ht="15" customHeight="1" x14ac:dyDescent="0.25">
      <c r="A228" s="1">
        <v>43867</v>
      </c>
      <c r="B228" t="s">
        <v>413</v>
      </c>
      <c r="C228">
        <v>1</v>
      </c>
      <c r="E228">
        <v>4</v>
      </c>
      <c r="F228">
        <v>5</v>
      </c>
      <c r="G228">
        <v>5</v>
      </c>
      <c r="H228" t="s">
        <v>15</v>
      </c>
      <c r="I228">
        <v>0</v>
      </c>
      <c r="J228">
        <v>0</v>
      </c>
      <c r="K228">
        <v>0</v>
      </c>
      <c r="M228" t="s">
        <v>139</v>
      </c>
      <c r="N228" t="s">
        <v>141</v>
      </c>
      <c r="P228">
        <f>IFERROR(IF(AND(tbl_daily[[#This Row],[Attendance (1 = Here, 0 = Not here)]]=1,tbl_daily[[#This Row],[Attended, but did not complete data]]&lt;&gt;1),tbl_daily[[#This Row],[Stress]]+tbl_daily[[#This Row],[SleepQuality]]+tbl_daily[[#This Row],[Energy]],""),"")</f>
        <v>14</v>
      </c>
      <c r="Q228">
        <f>IFERROR(IF(AND(tbl_daily[[#This Row],[Attendance (1 = Here, 0 = Not here)]]=1,tbl_daily[[#This Row],[Attended, but did not complete data]]&lt;&gt;1),tbl_daily[[#This Row],[LatestRPE]]*tbl_daily[[#This Row],[LatestDuration]],""),"")</f>
        <v>0</v>
      </c>
      <c r="R228">
        <f>IF(tbl_daily[[#This Row],[CodeName]]&lt;&gt;"",1,"")</f>
        <v>1</v>
      </c>
      <c r="S228" t="str">
        <f>IF(AND(tbl_daily[[#This Row],[Date]]&gt;=DATE(2019,8,1),tbl_daily[[#This Row],[Date]]&lt;=DATE(2020,6,1)),"2019-2020")</f>
        <v>2019-2020</v>
      </c>
      <c r="T228" t="str">
        <f>IFERROR(INDEX(tbl_prof[Cohort of Interest],MATCH(tbl_daily[[#This Row],[CodeName]],tbl_prof[CodeName],0)),"")</f>
        <v>Youth</v>
      </c>
      <c r="U228" t="str">
        <f>IFERROR(AVERAGEIFS(tbl_perf[Grade],tbl_perf[CodeName],tbl_daily[[#This Row],[CodeName]],tbl_perf[Date],tbl_daily[[#This Row],[Date]]),"")</f>
        <v/>
      </c>
      <c r="V228">
        <f>IFERROR(IF(AND(tbl_daily[[#This Row],[Attendance (1 = Here, 0 = Not here)]]=1,tbl_daily[[#This Row],[Attended, but did not complete data]]&lt;&gt;1),1,IF(AND(tbl_daily[[#This Row],[Attendance (1 = Here, 0 = Not here)]]=1,tbl_daily[[#This Row],[Attended, but did not complete data]]=1),2,3)),"")</f>
        <v>1</v>
      </c>
      <c r="W228">
        <f>IF(AND(tbl_daily[[#This Row],[Attendance Refined]]=1,tbl_daily[[#This Row],[InjuryStatus]]="Full"),1,IF(AND(tbl_daily[[#This Row],[Attendance Refined]]=1,tbl_daily[[#This Row],[InjuryStatus]]="Limited"),2,IF(AND(tbl_daily[[#This Row],[Attendance Refined]]=1,tbl_daily[[#This Row],[InjuryStatus]]="Out"),3,"")))</f>
        <v>1</v>
      </c>
    </row>
    <row r="229" spans="1:23" ht="15" customHeight="1" x14ac:dyDescent="0.25">
      <c r="A229" s="1">
        <v>43867</v>
      </c>
      <c r="B229" t="s">
        <v>417</v>
      </c>
      <c r="C229">
        <v>1</v>
      </c>
      <c r="E229">
        <v>9</v>
      </c>
      <c r="F229">
        <v>8</v>
      </c>
      <c r="G229">
        <v>7</v>
      </c>
      <c r="H229" t="s">
        <v>15</v>
      </c>
      <c r="I229">
        <v>0</v>
      </c>
      <c r="J229">
        <v>0</v>
      </c>
      <c r="K229">
        <v>0</v>
      </c>
      <c r="M229" t="s">
        <v>139</v>
      </c>
      <c r="N229" t="s">
        <v>144</v>
      </c>
      <c r="P229">
        <f>IFERROR(IF(AND(tbl_daily[[#This Row],[Attendance (1 = Here, 0 = Not here)]]=1,tbl_daily[[#This Row],[Attended, but did not complete data]]&lt;&gt;1),tbl_daily[[#This Row],[Stress]]+tbl_daily[[#This Row],[SleepQuality]]+tbl_daily[[#This Row],[Energy]],""),"")</f>
        <v>24</v>
      </c>
      <c r="Q229">
        <f>IFERROR(IF(AND(tbl_daily[[#This Row],[Attendance (1 = Here, 0 = Not here)]]=1,tbl_daily[[#This Row],[Attended, but did not complete data]]&lt;&gt;1),tbl_daily[[#This Row],[LatestRPE]]*tbl_daily[[#This Row],[LatestDuration]],""),"")</f>
        <v>0</v>
      </c>
      <c r="R229">
        <f>IF(tbl_daily[[#This Row],[CodeName]]&lt;&gt;"",1,"")</f>
        <v>1</v>
      </c>
      <c r="S229" t="str">
        <f>IF(AND(tbl_daily[[#This Row],[Date]]&gt;=DATE(2019,8,1),tbl_daily[[#This Row],[Date]]&lt;=DATE(2020,6,1)),"2019-2020")</f>
        <v>2019-2020</v>
      </c>
      <c r="T229" t="str">
        <f>IFERROR(INDEX(tbl_prof[Cohort of Interest],MATCH(tbl_daily[[#This Row],[CodeName]],tbl_prof[CodeName],0)),"")</f>
        <v>Gen Pop</v>
      </c>
      <c r="U229" t="str">
        <f>IFERROR(AVERAGEIFS(tbl_perf[Grade],tbl_perf[CodeName],tbl_daily[[#This Row],[CodeName]],tbl_perf[Date],tbl_daily[[#This Row],[Date]]),"")</f>
        <v/>
      </c>
      <c r="V229">
        <f>IFERROR(IF(AND(tbl_daily[[#This Row],[Attendance (1 = Here, 0 = Not here)]]=1,tbl_daily[[#This Row],[Attended, but did not complete data]]&lt;&gt;1),1,IF(AND(tbl_daily[[#This Row],[Attendance (1 = Here, 0 = Not here)]]=1,tbl_daily[[#This Row],[Attended, but did not complete data]]=1),2,3)),"")</f>
        <v>1</v>
      </c>
      <c r="W229">
        <f>IF(AND(tbl_daily[[#This Row],[Attendance Refined]]=1,tbl_daily[[#This Row],[InjuryStatus]]="Full"),1,IF(AND(tbl_daily[[#This Row],[Attendance Refined]]=1,tbl_daily[[#This Row],[InjuryStatus]]="Limited"),2,IF(AND(tbl_daily[[#This Row],[Attendance Refined]]=1,tbl_daily[[#This Row],[InjuryStatus]]="Out"),3,"")))</f>
        <v>1</v>
      </c>
    </row>
    <row r="230" spans="1:23" ht="15" customHeight="1" x14ac:dyDescent="0.25">
      <c r="A230" s="1">
        <v>43867</v>
      </c>
      <c r="B230" t="s">
        <v>418</v>
      </c>
      <c r="C230">
        <v>1</v>
      </c>
      <c r="E230">
        <v>9</v>
      </c>
      <c r="F230">
        <v>9</v>
      </c>
      <c r="G230">
        <v>9</v>
      </c>
      <c r="H230" t="s">
        <v>15</v>
      </c>
      <c r="I230">
        <v>0</v>
      </c>
      <c r="J230">
        <v>0</v>
      </c>
      <c r="K230">
        <v>0</v>
      </c>
      <c r="M230" t="s">
        <v>139</v>
      </c>
      <c r="N230" t="s">
        <v>142</v>
      </c>
      <c r="P230">
        <f>IFERROR(IF(AND(tbl_daily[[#This Row],[Attendance (1 = Here, 0 = Not here)]]=1,tbl_daily[[#This Row],[Attended, but did not complete data]]&lt;&gt;1),tbl_daily[[#This Row],[Stress]]+tbl_daily[[#This Row],[SleepQuality]]+tbl_daily[[#This Row],[Energy]],""),"")</f>
        <v>27</v>
      </c>
      <c r="Q230">
        <f>IFERROR(IF(AND(tbl_daily[[#This Row],[Attendance (1 = Here, 0 = Not here)]]=1,tbl_daily[[#This Row],[Attended, but did not complete data]]&lt;&gt;1),tbl_daily[[#This Row],[LatestRPE]]*tbl_daily[[#This Row],[LatestDuration]],""),"")</f>
        <v>0</v>
      </c>
      <c r="R230">
        <f>IF(tbl_daily[[#This Row],[CodeName]]&lt;&gt;"",1,"")</f>
        <v>1</v>
      </c>
      <c r="S230" t="str">
        <f>IF(AND(tbl_daily[[#This Row],[Date]]&gt;=DATE(2019,8,1),tbl_daily[[#This Row],[Date]]&lt;=DATE(2020,6,1)),"2019-2020")</f>
        <v>2019-2020</v>
      </c>
      <c r="T230" t="str">
        <f>IFERROR(INDEX(tbl_prof[Cohort of Interest],MATCH(tbl_daily[[#This Row],[CodeName]],tbl_prof[CodeName],0)),"")</f>
        <v>Special</v>
      </c>
      <c r="U230" t="str">
        <f>IFERROR(AVERAGEIFS(tbl_perf[Grade],tbl_perf[CodeName],tbl_daily[[#This Row],[CodeName]],tbl_perf[Date],tbl_daily[[#This Row],[Date]]),"")</f>
        <v/>
      </c>
      <c r="V230">
        <f>IFERROR(IF(AND(tbl_daily[[#This Row],[Attendance (1 = Here, 0 = Not here)]]=1,tbl_daily[[#This Row],[Attended, but did not complete data]]&lt;&gt;1),1,IF(AND(tbl_daily[[#This Row],[Attendance (1 = Here, 0 = Not here)]]=1,tbl_daily[[#This Row],[Attended, but did not complete data]]=1),2,3)),"")</f>
        <v>1</v>
      </c>
      <c r="W230">
        <f>IF(AND(tbl_daily[[#This Row],[Attendance Refined]]=1,tbl_daily[[#This Row],[InjuryStatus]]="Full"),1,IF(AND(tbl_daily[[#This Row],[Attendance Refined]]=1,tbl_daily[[#This Row],[InjuryStatus]]="Limited"),2,IF(AND(tbl_daily[[#This Row],[Attendance Refined]]=1,tbl_daily[[#This Row],[InjuryStatus]]="Out"),3,"")))</f>
        <v>1</v>
      </c>
    </row>
    <row r="231" spans="1:23" ht="15" customHeight="1" x14ac:dyDescent="0.25">
      <c r="A231" s="1">
        <v>43867</v>
      </c>
      <c r="B231" t="s">
        <v>410</v>
      </c>
      <c r="C231">
        <v>1</v>
      </c>
      <c r="E231">
        <v>5</v>
      </c>
      <c r="F231">
        <v>7</v>
      </c>
      <c r="G231">
        <v>7</v>
      </c>
      <c r="H231" t="s">
        <v>15</v>
      </c>
      <c r="I231">
        <v>0</v>
      </c>
      <c r="J231">
        <v>0</v>
      </c>
      <c r="K231">
        <v>0</v>
      </c>
      <c r="M231" t="s">
        <v>139</v>
      </c>
      <c r="N231" t="s">
        <v>152</v>
      </c>
      <c r="P231">
        <f>IFERROR(IF(AND(tbl_daily[[#This Row],[Attendance (1 = Here, 0 = Not here)]]=1,tbl_daily[[#This Row],[Attended, but did not complete data]]&lt;&gt;1),tbl_daily[[#This Row],[Stress]]+tbl_daily[[#This Row],[SleepQuality]]+tbl_daily[[#This Row],[Energy]],""),"")</f>
        <v>19</v>
      </c>
      <c r="Q231">
        <f>IFERROR(IF(AND(tbl_daily[[#This Row],[Attendance (1 = Here, 0 = Not here)]]=1,tbl_daily[[#This Row],[Attended, but did not complete data]]&lt;&gt;1),tbl_daily[[#This Row],[LatestRPE]]*tbl_daily[[#This Row],[LatestDuration]],""),"")</f>
        <v>0</v>
      </c>
      <c r="R231">
        <f>IF(tbl_daily[[#This Row],[CodeName]]&lt;&gt;"",1,"")</f>
        <v>1</v>
      </c>
      <c r="S231" t="str">
        <f>IF(AND(tbl_daily[[#This Row],[Date]]&gt;=DATE(2019,8,1),tbl_daily[[#This Row],[Date]]&lt;=DATE(2020,6,1)),"2019-2020")</f>
        <v>2019-2020</v>
      </c>
      <c r="T231" t="str">
        <f>IFERROR(INDEX(tbl_prof[Cohort of Interest],MATCH(tbl_daily[[#This Row],[CodeName]],tbl_prof[CodeName],0)),"")</f>
        <v>Gen Pop</v>
      </c>
      <c r="U231" t="str">
        <f>IFERROR(AVERAGEIFS(tbl_perf[Grade],tbl_perf[CodeName],tbl_daily[[#This Row],[CodeName]],tbl_perf[Date],tbl_daily[[#This Row],[Date]]),"")</f>
        <v/>
      </c>
      <c r="V231">
        <f>IFERROR(IF(AND(tbl_daily[[#This Row],[Attendance (1 = Here, 0 = Not here)]]=1,tbl_daily[[#This Row],[Attended, but did not complete data]]&lt;&gt;1),1,IF(AND(tbl_daily[[#This Row],[Attendance (1 = Here, 0 = Not here)]]=1,tbl_daily[[#This Row],[Attended, but did not complete data]]=1),2,3)),"")</f>
        <v>1</v>
      </c>
      <c r="W231">
        <f>IF(AND(tbl_daily[[#This Row],[Attendance Refined]]=1,tbl_daily[[#This Row],[InjuryStatus]]="Full"),1,IF(AND(tbl_daily[[#This Row],[Attendance Refined]]=1,tbl_daily[[#This Row],[InjuryStatus]]="Limited"),2,IF(AND(tbl_daily[[#This Row],[Attendance Refined]]=1,tbl_daily[[#This Row],[InjuryStatus]]="Out"),3,"")))</f>
        <v>1</v>
      </c>
    </row>
    <row r="232" spans="1:23" ht="15" customHeight="1" x14ac:dyDescent="0.25">
      <c r="A232" s="1">
        <v>43867</v>
      </c>
      <c r="B232" t="s">
        <v>429</v>
      </c>
      <c r="C232">
        <v>1</v>
      </c>
      <c r="E232">
        <v>6</v>
      </c>
      <c r="F232">
        <v>8</v>
      </c>
      <c r="G232">
        <v>7</v>
      </c>
      <c r="H232" t="s">
        <v>32</v>
      </c>
      <c r="I232">
        <v>0</v>
      </c>
      <c r="J232">
        <v>0</v>
      </c>
      <c r="K232">
        <v>0</v>
      </c>
      <c r="M232" t="s">
        <v>139</v>
      </c>
      <c r="N232" t="s">
        <v>153</v>
      </c>
      <c r="P232">
        <f>IFERROR(IF(AND(tbl_daily[[#This Row],[Attendance (1 = Here, 0 = Not here)]]=1,tbl_daily[[#This Row],[Attended, but did not complete data]]&lt;&gt;1),tbl_daily[[#This Row],[Stress]]+tbl_daily[[#This Row],[SleepQuality]]+tbl_daily[[#This Row],[Energy]],""),"")</f>
        <v>21</v>
      </c>
      <c r="Q232">
        <f>IFERROR(IF(AND(tbl_daily[[#This Row],[Attendance (1 = Here, 0 = Not here)]]=1,tbl_daily[[#This Row],[Attended, but did not complete data]]&lt;&gt;1),tbl_daily[[#This Row],[LatestRPE]]*tbl_daily[[#This Row],[LatestDuration]],""),"")</f>
        <v>0</v>
      </c>
      <c r="R232">
        <f>IF(tbl_daily[[#This Row],[CodeName]]&lt;&gt;"",1,"")</f>
        <v>1</v>
      </c>
      <c r="S232" t="str">
        <f>IF(AND(tbl_daily[[#This Row],[Date]]&gt;=DATE(2019,8,1),tbl_daily[[#This Row],[Date]]&lt;=DATE(2020,6,1)),"2019-2020")</f>
        <v>2019-2020</v>
      </c>
      <c r="T232" t="str">
        <f>IFERROR(INDEX(tbl_prof[Cohort of Interest],MATCH(tbl_daily[[#This Row],[CodeName]],tbl_prof[CodeName],0)),"")</f>
        <v>Gen Pop</v>
      </c>
      <c r="U232" t="str">
        <f>IFERROR(AVERAGEIFS(tbl_perf[Grade],tbl_perf[CodeName],tbl_daily[[#This Row],[CodeName]],tbl_perf[Date],tbl_daily[[#This Row],[Date]]),"")</f>
        <v/>
      </c>
      <c r="V232">
        <f>IFERROR(IF(AND(tbl_daily[[#This Row],[Attendance (1 = Here, 0 = Not here)]]=1,tbl_daily[[#This Row],[Attended, but did not complete data]]&lt;&gt;1),1,IF(AND(tbl_daily[[#This Row],[Attendance (1 = Here, 0 = Not here)]]=1,tbl_daily[[#This Row],[Attended, but did not complete data]]=1),2,3)),"")</f>
        <v>1</v>
      </c>
      <c r="W232">
        <f>IF(AND(tbl_daily[[#This Row],[Attendance Refined]]=1,tbl_daily[[#This Row],[InjuryStatus]]="Full"),1,IF(AND(tbl_daily[[#This Row],[Attendance Refined]]=1,tbl_daily[[#This Row],[InjuryStatus]]="Limited"),2,IF(AND(tbl_daily[[#This Row],[Attendance Refined]]=1,tbl_daily[[#This Row],[InjuryStatus]]="Out"),3,"")))</f>
        <v>2</v>
      </c>
    </row>
    <row r="233" spans="1:23" ht="15" customHeight="1" x14ac:dyDescent="0.25">
      <c r="A233" s="1">
        <v>43867</v>
      </c>
      <c r="B233" t="s">
        <v>438</v>
      </c>
      <c r="C233">
        <v>1</v>
      </c>
      <c r="E233">
        <v>3</v>
      </c>
      <c r="F233">
        <v>4</v>
      </c>
      <c r="G233">
        <v>5</v>
      </c>
      <c r="H233" t="s">
        <v>15</v>
      </c>
      <c r="I233">
        <v>0</v>
      </c>
      <c r="J233">
        <v>0</v>
      </c>
      <c r="K233">
        <v>0</v>
      </c>
      <c r="M233" t="s">
        <v>139</v>
      </c>
      <c r="N233" t="s">
        <v>140</v>
      </c>
      <c r="P233">
        <f>IFERROR(IF(AND(tbl_daily[[#This Row],[Attendance (1 = Here, 0 = Not here)]]=1,tbl_daily[[#This Row],[Attended, but did not complete data]]&lt;&gt;1),tbl_daily[[#This Row],[Stress]]+tbl_daily[[#This Row],[SleepQuality]]+tbl_daily[[#This Row],[Energy]],""),"")</f>
        <v>12</v>
      </c>
      <c r="Q233">
        <f>IFERROR(IF(AND(tbl_daily[[#This Row],[Attendance (1 = Here, 0 = Not here)]]=1,tbl_daily[[#This Row],[Attended, but did not complete data]]&lt;&gt;1),tbl_daily[[#This Row],[LatestRPE]]*tbl_daily[[#This Row],[LatestDuration]],""),"")</f>
        <v>0</v>
      </c>
      <c r="R233">
        <f>IF(tbl_daily[[#This Row],[CodeName]]&lt;&gt;"",1,"")</f>
        <v>1</v>
      </c>
      <c r="S233" t="str">
        <f>IF(AND(tbl_daily[[#This Row],[Date]]&gt;=DATE(2019,8,1),tbl_daily[[#This Row],[Date]]&lt;=DATE(2020,6,1)),"2019-2020")</f>
        <v>2019-2020</v>
      </c>
      <c r="T233" t="str">
        <f>IFERROR(INDEX(tbl_prof[Cohort of Interest],MATCH(tbl_daily[[#This Row],[CodeName]],tbl_prof[CodeName],0)),"")</f>
        <v>Youth</v>
      </c>
      <c r="U233" t="str">
        <f>IFERROR(AVERAGEIFS(tbl_perf[Grade],tbl_perf[CodeName],tbl_daily[[#This Row],[CodeName]],tbl_perf[Date],tbl_daily[[#This Row],[Date]]),"")</f>
        <v/>
      </c>
      <c r="V233">
        <f>IFERROR(IF(AND(tbl_daily[[#This Row],[Attendance (1 = Here, 0 = Not here)]]=1,tbl_daily[[#This Row],[Attended, but did not complete data]]&lt;&gt;1),1,IF(AND(tbl_daily[[#This Row],[Attendance (1 = Here, 0 = Not here)]]=1,tbl_daily[[#This Row],[Attended, but did not complete data]]=1),2,3)),"")</f>
        <v>1</v>
      </c>
      <c r="W233">
        <f>IF(AND(tbl_daily[[#This Row],[Attendance Refined]]=1,tbl_daily[[#This Row],[InjuryStatus]]="Full"),1,IF(AND(tbl_daily[[#This Row],[Attendance Refined]]=1,tbl_daily[[#This Row],[InjuryStatus]]="Limited"),2,IF(AND(tbl_daily[[#This Row],[Attendance Refined]]=1,tbl_daily[[#This Row],[InjuryStatus]]="Out"),3,"")))</f>
        <v>1</v>
      </c>
    </row>
    <row r="234" spans="1:23" ht="15" customHeight="1" x14ac:dyDescent="0.25">
      <c r="A234" s="1">
        <v>43867</v>
      </c>
      <c r="B234" t="s">
        <v>440</v>
      </c>
      <c r="C234">
        <v>1</v>
      </c>
      <c r="E234">
        <v>6</v>
      </c>
      <c r="F234">
        <v>4</v>
      </c>
      <c r="G234">
        <v>4</v>
      </c>
      <c r="H234" t="s">
        <v>32</v>
      </c>
      <c r="I234">
        <v>0</v>
      </c>
      <c r="J234">
        <v>0</v>
      </c>
      <c r="K234">
        <v>0</v>
      </c>
      <c r="M234" t="s">
        <v>139</v>
      </c>
      <c r="N234" t="s">
        <v>160</v>
      </c>
      <c r="P234">
        <f>IFERROR(IF(AND(tbl_daily[[#This Row],[Attendance (1 = Here, 0 = Not here)]]=1,tbl_daily[[#This Row],[Attended, but did not complete data]]&lt;&gt;1),tbl_daily[[#This Row],[Stress]]+tbl_daily[[#This Row],[SleepQuality]]+tbl_daily[[#This Row],[Energy]],""),"")</f>
        <v>14</v>
      </c>
      <c r="Q234">
        <f>IFERROR(IF(AND(tbl_daily[[#This Row],[Attendance (1 = Here, 0 = Not here)]]=1,tbl_daily[[#This Row],[Attended, but did not complete data]]&lt;&gt;1),tbl_daily[[#This Row],[LatestRPE]]*tbl_daily[[#This Row],[LatestDuration]],""),"")</f>
        <v>0</v>
      </c>
      <c r="R234">
        <f>IF(tbl_daily[[#This Row],[CodeName]]&lt;&gt;"",1,"")</f>
        <v>1</v>
      </c>
      <c r="S234" t="str">
        <f>IF(AND(tbl_daily[[#This Row],[Date]]&gt;=DATE(2019,8,1),tbl_daily[[#This Row],[Date]]&lt;=DATE(2020,6,1)),"2019-2020")</f>
        <v>2019-2020</v>
      </c>
      <c r="T234" t="str">
        <f>IFERROR(INDEX(tbl_prof[Cohort of Interest],MATCH(tbl_daily[[#This Row],[CodeName]],tbl_prof[CodeName],0)),"")</f>
        <v>Youth</v>
      </c>
      <c r="U234" t="str">
        <f>IFERROR(AVERAGEIFS(tbl_perf[Grade],tbl_perf[CodeName],tbl_daily[[#This Row],[CodeName]],tbl_perf[Date],tbl_daily[[#This Row],[Date]]),"")</f>
        <v/>
      </c>
      <c r="V234">
        <f>IFERROR(IF(AND(tbl_daily[[#This Row],[Attendance (1 = Here, 0 = Not here)]]=1,tbl_daily[[#This Row],[Attended, but did not complete data]]&lt;&gt;1),1,IF(AND(tbl_daily[[#This Row],[Attendance (1 = Here, 0 = Not here)]]=1,tbl_daily[[#This Row],[Attended, but did not complete data]]=1),2,3)),"")</f>
        <v>1</v>
      </c>
      <c r="W234">
        <f>IF(AND(tbl_daily[[#This Row],[Attendance Refined]]=1,tbl_daily[[#This Row],[InjuryStatus]]="Full"),1,IF(AND(tbl_daily[[#This Row],[Attendance Refined]]=1,tbl_daily[[#This Row],[InjuryStatus]]="Limited"),2,IF(AND(tbl_daily[[#This Row],[Attendance Refined]]=1,tbl_daily[[#This Row],[InjuryStatus]]="Out"),3,"")))</f>
        <v>2</v>
      </c>
    </row>
    <row r="235" spans="1:23" ht="15" customHeight="1" x14ac:dyDescent="0.25">
      <c r="A235" s="1">
        <v>43867</v>
      </c>
      <c r="B235" t="s">
        <v>419</v>
      </c>
      <c r="C235">
        <v>1</v>
      </c>
      <c r="E235">
        <v>7</v>
      </c>
      <c r="F235">
        <v>5</v>
      </c>
      <c r="G235">
        <v>2</v>
      </c>
      <c r="H235" t="s">
        <v>15</v>
      </c>
      <c r="I235">
        <v>1</v>
      </c>
      <c r="J235">
        <v>3</v>
      </c>
      <c r="K235">
        <v>30</v>
      </c>
      <c r="M235" t="s">
        <v>139</v>
      </c>
      <c r="N235" t="s">
        <v>145</v>
      </c>
      <c r="P235">
        <f>IFERROR(IF(AND(tbl_daily[[#This Row],[Attendance (1 = Here, 0 = Not here)]]=1,tbl_daily[[#This Row],[Attended, but did not complete data]]&lt;&gt;1),tbl_daily[[#This Row],[Stress]]+tbl_daily[[#This Row],[SleepQuality]]+tbl_daily[[#This Row],[Energy]],""),"")</f>
        <v>14</v>
      </c>
      <c r="Q235">
        <f>IFERROR(IF(AND(tbl_daily[[#This Row],[Attendance (1 = Here, 0 = Not here)]]=1,tbl_daily[[#This Row],[Attended, but did not complete data]]&lt;&gt;1),tbl_daily[[#This Row],[LatestRPE]]*tbl_daily[[#This Row],[LatestDuration]],""),"")</f>
        <v>90</v>
      </c>
      <c r="R235">
        <f>IF(tbl_daily[[#This Row],[CodeName]]&lt;&gt;"",1,"")</f>
        <v>1</v>
      </c>
      <c r="S235" t="str">
        <f>IF(AND(tbl_daily[[#This Row],[Date]]&gt;=DATE(2019,8,1),tbl_daily[[#This Row],[Date]]&lt;=DATE(2020,6,1)),"2019-2020")</f>
        <v>2019-2020</v>
      </c>
      <c r="T235" t="str">
        <f>IFERROR(INDEX(tbl_prof[Cohort of Interest],MATCH(tbl_daily[[#This Row],[CodeName]],tbl_prof[CodeName],0)),"")</f>
        <v>Youth</v>
      </c>
      <c r="U235" t="str">
        <f>IFERROR(AVERAGEIFS(tbl_perf[Grade],tbl_perf[CodeName],tbl_daily[[#This Row],[CodeName]],tbl_perf[Date],tbl_daily[[#This Row],[Date]]),"")</f>
        <v/>
      </c>
      <c r="V235">
        <f>IFERROR(IF(AND(tbl_daily[[#This Row],[Attendance (1 = Here, 0 = Not here)]]=1,tbl_daily[[#This Row],[Attended, but did not complete data]]&lt;&gt;1),1,IF(AND(tbl_daily[[#This Row],[Attendance (1 = Here, 0 = Not here)]]=1,tbl_daily[[#This Row],[Attended, but did not complete data]]=1),2,3)),"")</f>
        <v>1</v>
      </c>
      <c r="W235">
        <f>IF(AND(tbl_daily[[#This Row],[Attendance Refined]]=1,tbl_daily[[#This Row],[InjuryStatus]]="Full"),1,IF(AND(tbl_daily[[#This Row],[Attendance Refined]]=1,tbl_daily[[#This Row],[InjuryStatus]]="Limited"),2,IF(AND(tbl_daily[[#This Row],[Attendance Refined]]=1,tbl_daily[[#This Row],[InjuryStatus]]="Out"),3,"")))</f>
        <v>1</v>
      </c>
    </row>
    <row r="236" spans="1:23" ht="15" customHeight="1" x14ac:dyDescent="0.25">
      <c r="A236" s="1">
        <v>43867</v>
      </c>
      <c r="B236" t="s">
        <v>423</v>
      </c>
      <c r="C236">
        <v>1</v>
      </c>
      <c r="E236">
        <v>7</v>
      </c>
      <c r="F236">
        <v>9</v>
      </c>
      <c r="G236">
        <v>7</v>
      </c>
      <c r="H236" t="s">
        <v>15</v>
      </c>
      <c r="I236">
        <v>1</v>
      </c>
      <c r="J236">
        <v>1</v>
      </c>
      <c r="K236">
        <v>90</v>
      </c>
      <c r="M236" t="s">
        <v>139</v>
      </c>
      <c r="N236" t="s">
        <v>147</v>
      </c>
      <c r="P236">
        <f>IFERROR(IF(AND(tbl_daily[[#This Row],[Attendance (1 = Here, 0 = Not here)]]=1,tbl_daily[[#This Row],[Attended, but did not complete data]]&lt;&gt;1),tbl_daily[[#This Row],[Stress]]+tbl_daily[[#This Row],[SleepQuality]]+tbl_daily[[#This Row],[Energy]],""),"")</f>
        <v>23</v>
      </c>
      <c r="Q236">
        <f>IFERROR(IF(AND(tbl_daily[[#This Row],[Attendance (1 = Here, 0 = Not here)]]=1,tbl_daily[[#This Row],[Attended, but did not complete data]]&lt;&gt;1),tbl_daily[[#This Row],[LatestRPE]]*tbl_daily[[#This Row],[LatestDuration]],""),"")</f>
        <v>90</v>
      </c>
      <c r="R236">
        <f>IF(tbl_daily[[#This Row],[CodeName]]&lt;&gt;"",1,"")</f>
        <v>1</v>
      </c>
      <c r="S236" t="str">
        <f>IF(AND(tbl_daily[[#This Row],[Date]]&gt;=DATE(2019,8,1),tbl_daily[[#This Row],[Date]]&lt;=DATE(2020,6,1)),"2019-2020")</f>
        <v>2019-2020</v>
      </c>
      <c r="T236" t="str">
        <f>IFERROR(INDEX(tbl_prof[Cohort of Interest],MATCH(tbl_daily[[#This Row],[CodeName]],tbl_prof[CodeName],0)),"")</f>
        <v>Youth</v>
      </c>
      <c r="U236" t="str">
        <f>IFERROR(AVERAGEIFS(tbl_perf[Grade],tbl_perf[CodeName],tbl_daily[[#This Row],[CodeName]],tbl_perf[Date],tbl_daily[[#This Row],[Date]]),"")</f>
        <v/>
      </c>
      <c r="V236">
        <f>IFERROR(IF(AND(tbl_daily[[#This Row],[Attendance (1 = Here, 0 = Not here)]]=1,tbl_daily[[#This Row],[Attended, but did not complete data]]&lt;&gt;1),1,IF(AND(tbl_daily[[#This Row],[Attendance (1 = Here, 0 = Not here)]]=1,tbl_daily[[#This Row],[Attended, but did not complete data]]=1),2,3)),"")</f>
        <v>1</v>
      </c>
      <c r="W236">
        <f>IF(AND(tbl_daily[[#This Row],[Attendance Refined]]=1,tbl_daily[[#This Row],[InjuryStatus]]="Full"),1,IF(AND(tbl_daily[[#This Row],[Attendance Refined]]=1,tbl_daily[[#This Row],[InjuryStatus]]="Limited"),2,IF(AND(tbl_daily[[#This Row],[Attendance Refined]]=1,tbl_daily[[#This Row],[InjuryStatus]]="Out"),3,"")))</f>
        <v>1</v>
      </c>
    </row>
    <row r="237" spans="1:23" ht="15" customHeight="1" x14ac:dyDescent="0.25">
      <c r="A237" s="1">
        <v>43867</v>
      </c>
      <c r="B237" t="s">
        <v>433</v>
      </c>
      <c r="C237">
        <v>1</v>
      </c>
      <c r="E237">
        <v>8</v>
      </c>
      <c r="F237">
        <v>9</v>
      </c>
      <c r="G237">
        <v>8</v>
      </c>
      <c r="H237" t="s">
        <v>32</v>
      </c>
      <c r="I237">
        <v>1</v>
      </c>
      <c r="J237">
        <v>4</v>
      </c>
      <c r="K237">
        <v>30</v>
      </c>
      <c r="M237" t="s">
        <v>139</v>
      </c>
      <c r="N237" t="s">
        <v>159</v>
      </c>
      <c r="P237">
        <f>IFERROR(IF(AND(tbl_daily[[#This Row],[Attendance (1 = Here, 0 = Not here)]]=1,tbl_daily[[#This Row],[Attended, but did not complete data]]&lt;&gt;1),tbl_daily[[#This Row],[Stress]]+tbl_daily[[#This Row],[SleepQuality]]+tbl_daily[[#This Row],[Energy]],""),"")</f>
        <v>25</v>
      </c>
      <c r="Q237">
        <f>IFERROR(IF(AND(tbl_daily[[#This Row],[Attendance (1 = Here, 0 = Not here)]]=1,tbl_daily[[#This Row],[Attended, but did not complete data]]&lt;&gt;1),tbl_daily[[#This Row],[LatestRPE]]*tbl_daily[[#This Row],[LatestDuration]],""),"")</f>
        <v>120</v>
      </c>
      <c r="R237">
        <f>IF(tbl_daily[[#This Row],[CodeName]]&lt;&gt;"",1,"")</f>
        <v>1</v>
      </c>
      <c r="S237" t="str">
        <f>IF(AND(tbl_daily[[#This Row],[Date]]&gt;=DATE(2019,8,1),tbl_daily[[#This Row],[Date]]&lt;=DATE(2020,6,1)),"2019-2020")</f>
        <v>2019-2020</v>
      </c>
      <c r="T237" t="str">
        <f>IFERROR(INDEX(tbl_prof[Cohort of Interest],MATCH(tbl_daily[[#This Row],[CodeName]],tbl_prof[CodeName],0)),"")</f>
        <v>Athletes</v>
      </c>
      <c r="U237" t="str">
        <f>IFERROR(AVERAGEIFS(tbl_perf[Grade],tbl_perf[CodeName],tbl_daily[[#This Row],[CodeName]],tbl_perf[Date],tbl_daily[[#This Row],[Date]]),"")</f>
        <v/>
      </c>
      <c r="V237">
        <f>IFERROR(IF(AND(tbl_daily[[#This Row],[Attendance (1 = Here, 0 = Not here)]]=1,tbl_daily[[#This Row],[Attended, but did not complete data]]&lt;&gt;1),1,IF(AND(tbl_daily[[#This Row],[Attendance (1 = Here, 0 = Not here)]]=1,tbl_daily[[#This Row],[Attended, but did not complete data]]=1),2,3)),"")</f>
        <v>1</v>
      </c>
      <c r="W237">
        <f>IF(AND(tbl_daily[[#This Row],[Attendance Refined]]=1,tbl_daily[[#This Row],[InjuryStatus]]="Full"),1,IF(AND(tbl_daily[[#This Row],[Attendance Refined]]=1,tbl_daily[[#This Row],[InjuryStatus]]="Limited"),2,IF(AND(tbl_daily[[#This Row],[Attendance Refined]]=1,tbl_daily[[#This Row],[InjuryStatus]]="Out"),3,"")))</f>
        <v>2</v>
      </c>
    </row>
    <row r="238" spans="1:23" ht="15" customHeight="1" x14ac:dyDescent="0.25">
      <c r="A238" s="1">
        <v>43867</v>
      </c>
      <c r="B238" t="s">
        <v>412</v>
      </c>
      <c r="C238">
        <v>1</v>
      </c>
      <c r="E238">
        <v>7</v>
      </c>
      <c r="F238">
        <v>3</v>
      </c>
      <c r="G238">
        <v>5</v>
      </c>
      <c r="H238" t="s">
        <v>15</v>
      </c>
      <c r="I238">
        <v>1</v>
      </c>
      <c r="J238">
        <v>5</v>
      </c>
      <c r="K238">
        <v>30</v>
      </c>
      <c r="M238" t="s">
        <v>139</v>
      </c>
      <c r="N238" t="s">
        <v>140</v>
      </c>
      <c r="P238">
        <f>IFERROR(IF(AND(tbl_daily[[#This Row],[Attendance (1 = Here, 0 = Not here)]]=1,tbl_daily[[#This Row],[Attended, but did not complete data]]&lt;&gt;1),tbl_daily[[#This Row],[Stress]]+tbl_daily[[#This Row],[SleepQuality]]+tbl_daily[[#This Row],[Energy]],""),"")</f>
        <v>15</v>
      </c>
      <c r="Q238">
        <f>IFERROR(IF(AND(tbl_daily[[#This Row],[Attendance (1 = Here, 0 = Not here)]]=1,tbl_daily[[#This Row],[Attended, but did not complete data]]&lt;&gt;1),tbl_daily[[#This Row],[LatestRPE]]*tbl_daily[[#This Row],[LatestDuration]],""),"")</f>
        <v>150</v>
      </c>
      <c r="R238">
        <f>IF(tbl_daily[[#This Row],[CodeName]]&lt;&gt;"",1,"")</f>
        <v>1</v>
      </c>
      <c r="S238" t="str">
        <f>IF(AND(tbl_daily[[#This Row],[Date]]&gt;=DATE(2019,8,1),tbl_daily[[#This Row],[Date]]&lt;=DATE(2020,6,1)),"2019-2020")</f>
        <v>2019-2020</v>
      </c>
      <c r="T238" t="str">
        <f>IFERROR(INDEX(tbl_prof[Cohort of Interest],MATCH(tbl_daily[[#This Row],[CodeName]],tbl_prof[CodeName],0)),"")</f>
        <v>Gen Pop</v>
      </c>
      <c r="U238" t="str">
        <f>IFERROR(AVERAGEIFS(tbl_perf[Grade],tbl_perf[CodeName],tbl_daily[[#This Row],[CodeName]],tbl_perf[Date],tbl_daily[[#This Row],[Date]]),"")</f>
        <v/>
      </c>
      <c r="V238">
        <f>IFERROR(IF(AND(tbl_daily[[#This Row],[Attendance (1 = Here, 0 = Not here)]]=1,tbl_daily[[#This Row],[Attended, but did not complete data]]&lt;&gt;1),1,IF(AND(tbl_daily[[#This Row],[Attendance (1 = Here, 0 = Not here)]]=1,tbl_daily[[#This Row],[Attended, but did not complete data]]=1),2,3)),"")</f>
        <v>1</v>
      </c>
      <c r="W238">
        <f>IF(AND(tbl_daily[[#This Row],[Attendance Refined]]=1,tbl_daily[[#This Row],[InjuryStatus]]="Full"),1,IF(AND(tbl_daily[[#This Row],[Attendance Refined]]=1,tbl_daily[[#This Row],[InjuryStatus]]="Limited"),2,IF(AND(tbl_daily[[#This Row],[Attendance Refined]]=1,tbl_daily[[#This Row],[InjuryStatus]]="Out"),3,"")))</f>
        <v>1</v>
      </c>
    </row>
    <row r="239" spans="1:23" ht="15" customHeight="1" x14ac:dyDescent="0.25">
      <c r="A239" s="1">
        <v>43867</v>
      </c>
      <c r="B239" t="s">
        <v>415</v>
      </c>
      <c r="C239">
        <v>1</v>
      </c>
      <c r="E239">
        <v>3</v>
      </c>
      <c r="F239">
        <v>8</v>
      </c>
      <c r="G239">
        <v>5</v>
      </c>
      <c r="H239" t="s">
        <v>15</v>
      </c>
      <c r="I239">
        <v>0</v>
      </c>
      <c r="J239">
        <v>5</v>
      </c>
      <c r="K239">
        <v>30</v>
      </c>
      <c r="M239" t="s">
        <v>139</v>
      </c>
      <c r="N239" t="s">
        <v>142</v>
      </c>
      <c r="P239">
        <f>IFERROR(IF(AND(tbl_daily[[#This Row],[Attendance (1 = Here, 0 = Not here)]]=1,tbl_daily[[#This Row],[Attended, but did not complete data]]&lt;&gt;1),tbl_daily[[#This Row],[Stress]]+tbl_daily[[#This Row],[SleepQuality]]+tbl_daily[[#This Row],[Energy]],""),"")</f>
        <v>16</v>
      </c>
      <c r="Q239">
        <f>IFERROR(IF(AND(tbl_daily[[#This Row],[Attendance (1 = Here, 0 = Not here)]]=1,tbl_daily[[#This Row],[Attended, but did not complete data]]&lt;&gt;1),tbl_daily[[#This Row],[LatestRPE]]*tbl_daily[[#This Row],[LatestDuration]],""),"")</f>
        <v>150</v>
      </c>
      <c r="R239">
        <f>IF(tbl_daily[[#This Row],[CodeName]]&lt;&gt;"",1,"")</f>
        <v>1</v>
      </c>
      <c r="S239" t="str">
        <f>IF(AND(tbl_daily[[#This Row],[Date]]&gt;=DATE(2019,8,1),tbl_daily[[#This Row],[Date]]&lt;=DATE(2020,6,1)),"2019-2020")</f>
        <v>2019-2020</v>
      </c>
      <c r="T239" t="str">
        <f>IFERROR(INDEX(tbl_prof[Cohort of Interest],MATCH(tbl_daily[[#This Row],[CodeName]],tbl_prof[CodeName],0)),"")</f>
        <v>Youth</v>
      </c>
      <c r="U239" t="str">
        <f>IFERROR(AVERAGEIFS(tbl_perf[Grade],tbl_perf[CodeName],tbl_daily[[#This Row],[CodeName]],tbl_perf[Date],tbl_daily[[#This Row],[Date]]),"")</f>
        <v/>
      </c>
      <c r="V239">
        <f>IFERROR(IF(AND(tbl_daily[[#This Row],[Attendance (1 = Here, 0 = Not here)]]=1,tbl_daily[[#This Row],[Attended, but did not complete data]]&lt;&gt;1),1,IF(AND(tbl_daily[[#This Row],[Attendance (1 = Here, 0 = Not here)]]=1,tbl_daily[[#This Row],[Attended, but did not complete data]]=1),2,3)),"")</f>
        <v>1</v>
      </c>
      <c r="W239">
        <f>IF(AND(tbl_daily[[#This Row],[Attendance Refined]]=1,tbl_daily[[#This Row],[InjuryStatus]]="Full"),1,IF(AND(tbl_daily[[#This Row],[Attendance Refined]]=1,tbl_daily[[#This Row],[InjuryStatus]]="Limited"),2,IF(AND(tbl_daily[[#This Row],[Attendance Refined]]=1,tbl_daily[[#This Row],[InjuryStatus]]="Out"),3,"")))</f>
        <v>1</v>
      </c>
    </row>
    <row r="240" spans="1:23" ht="15" customHeight="1" x14ac:dyDescent="0.25">
      <c r="A240" s="1">
        <v>43867</v>
      </c>
      <c r="B240" t="s">
        <v>416</v>
      </c>
      <c r="C240">
        <v>1</v>
      </c>
      <c r="E240">
        <v>7</v>
      </c>
      <c r="F240">
        <v>5</v>
      </c>
      <c r="G240">
        <v>4</v>
      </c>
      <c r="H240" t="s">
        <v>32</v>
      </c>
      <c r="I240">
        <v>1</v>
      </c>
      <c r="J240">
        <v>5</v>
      </c>
      <c r="K240">
        <v>30</v>
      </c>
      <c r="M240" t="s">
        <v>139</v>
      </c>
      <c r="N240" t="s">
        <v>143</v>
      </c>
      <c r="P240">
        <f>IFERROR(IF(AND(tbl_daily[[#This Row],[Attendance (1 = Here, 0 = Not here)]]=1,tbl_daily[[#This Row],[Attended, but did not complete data]]&lt;&gt;1),tbl_daily[[#This Row],[Stress]]+tbl_daily[[#This Row],[SleepQuality]]+tbl_daily[[#This Row],[Energy]],""),"")</f>
        <v>16</v>
      </c>
      <c r="Q240">
        <f>IFERROR(IF(AND(tbl_daily[[#This Row],[Attendance (1 = Here, 0 = Not here)]]=1,tbl_daily[[#This Row],[Attended, but did not complete data]]&lt;&gt;1),tbl_daily[[#This Row],[LatestRPE]]*tbl_daily[[#This Row],[LatestDuration]],""),"")</f>
        <v>150</v>
      </c>
      <c r="R240">
        <f>IF(tbl_daily[[#This Row],[CodeName]]&lt;&gt;"",1,"")</f>
        <v>1</v>
      </c>
      <c r="S240" t="str">
        <f>IF(AND(tbl_daily[[#This Row],[Date]]&gt;=DATE(2019,8,1),tbl_daily[[#This Row],[Date]]&lt;=DATE(2020,6,1)),"2019-2020")</f>
        <v>2019-2020</v>
      </c>
      <c r="T240" t="str">
        <f>IFERROR(INDEX(tbl_prof[Cohort of Interest],MATCH(tbl_daily[[#This Row],[CodeName]],tbl_prof[CodeName],0)),"")</f>
        <v>Special</v>
      </c>
      <c r="U240" t="str">
        <f>IFERROR(AVERAGEIFS(tbl_perf[Grade],tbl_perf[CodeName],tbl_daily[[#This Row],[CodeName]],tbl_perf[Date],tbl_daily[[#This Row],[Date]]),"")</f>
        <v/>
      </c>
      <c r="V240">
        <f>IFERROR(IF(AND(tbl_daily[[#This Row],[Attendance (1 = Here, 0 = Not here)]]=1,tbl_daily[[#This Row],[Attended, but did not complete data]]&lt;&gt;1),1,IF(AND(tbl_daily[[#This Row],[Attendance (1 = Here, 0 = Not here)]]=1,tbl_daily[[#This Row],[Attended, but did not complete data]]=1),2,3)),"")</f>
        <v>1</v>
      </c>
      <c r="W240">
        <f>IF(AND(tbl_daily[[#This Row],[Attendance Refined]]=1,tbl_daily[[#This Row],[InjuryStatus]]="Full"),1,IF(AND(tbl_daily[[#This Row],[Attendance Refined]]=1,tbl_daily[[#This Row],[InjuryStatus]]="Limited"),2,IF(AND(tbl_daily[[#This Row],[Attendance Refined]]=1,tbl_daily[[#This Row],[InjuryStatus]]="Out"),3,"")))</f>
        <v>2</v>
      </c>
    </row>
    <row r="241" spans="1:23" ht="15" customHeight="1" x14ac:dyDescent="0.25">
      <c r="A241" s="1">
        <v>43867</v>
      </c>
      <c r="B241" t="s">
        <v>431</v>
      </c>
      <c r="C241">
        <v>1</v>
      </c>
      <c r="E241">
        <v>8</v>
      </c>
      <c r="F241">
        <v>8</v>
      </c>
      <c r="G241">
        <v>8</v>
      </c>
      <c r="H241" t="s">
        <v>15</v>
      </c>
      <c r="I241">
        <v>1</v>
      </c>
      <c r="J241">
        <v>8</v>
      </c>
      <c r="K241">
        <v>25</v>
      </c>
      <c r="M241" t="s">
        <v>139</v>
      </c>
      <c r="N241" t="s">
        <v>156</v>
      </c>
      <c r="P241">
        <f>IFERROR(IF(AND(tbl_daily[[#This Row],[Attendance (1 = Here, 0 = Not here)]]=1,tbl_daily[[#This Row],[Attended, but did not complete data]]&lt;&gt;1),tbl_daily[[#This Row],[Stress]]+tbl_daily[[#This Row],[SleepQuality]]+tbl_daily[[#This Row],[Energy]],""),"")</f>
        <v>24</v>
      </c>
      <c r="Q241">
        <f>IFERROR(IF(AND(tbl_daily[[#This Row],[Attendance (1 = Here, 0 = Not here)]]=1,tbl_daily[[#This Row],[Attended, but did not complete data]]&lt;&gt;1),tbl_daily[[#This Row],[LatestRPE]]*tbl_daily[[#This Row],[LatestDuration]],""),"")</f>
        <v>200</v>
      </c>
      <c r="R241">
        <f>IF(tbl_daily[[#This Row],[CodeName]]&lt;&gt;"",1,"")</f>
        <v>1</v>
      </c>
      <c r="S241" t="str">
        <f>IF(AND(tbl_daily[[#This Row],[Date]]&gt;=DATE(2019,8,1),tbl_daily[[#This Row],[Date]]&lt;=DATE(2020,6,1)),"2019-2020")</f>
        <v>2019-2020</v>
      </c>
      <c r="T241" t="str">
        <f>IFERROR(INDEX(tbl_prof[Cohort of Interest],MATCH(tbl_daily[[#This Row],[CodeName]],tbl_prof[CodeName],0)),"")</f>
        <v>Special</v>
      </c>
      <c r="U241" t="str">
        <f>IFERROR(AVERAGEIFS(tbl_perf[Grade],tbl_perf[CodeName],tbl_daily[[#This Row],[CodeName]],tbl_perf[Date],tbl_daily[[#This Row],[Date]]),"")</f>
        <v/>
      </c>
      <c r="V241">
        <f>IFERROR(IF(AND(tbl_daily[[#This Row],[Attendance (1 = Here, 0 = Not here)]]=1,tbl_daily[[#This Row],[Attended, but did not complete data]]&lt;&gt;1),1,IF(AND(tbl_daily[[#This Row],[Attendance (1 = Here, 0 = Not here)]]=1,tbl_daily[[#This Row],[Attended, but did not complete data]]=1),2,3)),"")</f>
        <v>1</v>
      </c>
      <c r="W241">
        <f>IF(AND(tbl_daily[[#This Row],[Attendance Refined]]=1,tbl_daily[[#This Row],[InjuryStatus]]="Full"),1,IF(AND(tbl_daily[[#This Row],[Attendance Refined]]=1,tbl_daily[[#This Row],[InjuryStatus]]="Limited"),2,IF(AND(tbl_daily[[#This Row],[Attendance Refined]]=1,tbl_daily[[#This Row],[InjuryStatus]]="Out"),3,"")))</f>
        <v>1</v>
      </c>
    </row>
    <row r="242" spans="1:23" ht="15" customHeight="1" x14ac:dyDescent="0.25">
      <c r="A242" s="1">
        <v>43867</v>
      </c>
      <c r="B242" t="s">
        <v>437</v>
      </c>
      <c r="C242">
        <v>1</v>
      </c>
      <c r="E242">
        <v>7</v>
      </c>
      <c r="F242">
        <v>8</v>
      </c>
      <c r="G242">
        <v>8</v>
      </c>
      <c r="H242" t="s">
        <v>15</v>
      </c>
      <c r="I242">
        <v>1</v>
      </c>
      <c r="J242">
        <v>6</v>
      </c>
      <c r="K242">
        <v>45</v>
      </c>
      <c r="M242" t="s">
        <v>139</v>
      </c>
      <c r="N242" t="s">
        <v>155</v>
      </c>
      <c r="P242">
        <f>IFERROR(IF(AND(tbl_daily[[#This Row],[Attendance (1 = Here, 0 = Not here)]]=1,tbl_daily[[#This Row],[Attended, but did not complete data]]&lt;&gt;1),tbl_daily[[#This Row],[Stress]]+tbl_daily[[#This Row],[SleepQuality]]+tbl_daily[[#This Row],[Energy]],""),"")</f>
        <v>23</v>
      </c>
      <c r="Q242">
        <f>IFERROR(IF(AND(tbl_daily[[#This Row],[Attendance (1 = Here, 0 = Not here)]]=1,tbl_daily[[#This Row],[Attended, but did not complete data]]&lt;&gt;1),tbl_daily[[#This Row],[LatestRPE]]*tbl_daily[[#This Row],[LatestDuration]],""),"")</f>
        <v>270</v>
      </c>
      <c r="R242">
        <f>IF(tbl_daily[[#This Row],[CodeName]]&lt;&gt;"",1,"")</f>
        <v>1</v>
      </c>
      <c r="S242" t="str">
        <f>IF(AND(tbl_daily[[#This Row],[Date]]&gt;=DATE(2019,8,1),tbl_daily[[#This Row],[Date]]&lt;=DATE(2020,6,1)),"2019-2020")</f>
        <v>2019-2020</v>
      </c>
      <c r="T242" t="str">
        <f>IFERROR(INDEX(tbl_prof[Cohort of Interest],MATCH(tbl_daily[[#This Row],[CodeName]],tbl_prof[CodeName],0)),"")</f>
        <v>Athletes</v>
      </c>
      <c r="U242" t="str">
        <f>IFERROR(AVERAGEIFS(tbl_perf[Grade],tbl_perf[CodeName],tbl_daily[[#This Row],[CodeName]],tbl_perf[Date],tbl_daily[[#This Row],[Date]]),"")</f>
        <v/>
      </c>
      <c r="V242">
        <f>IFERROR(IF(AND(tbl_daily[[#This Row],[Attendance (1 = Here, 0 = Not here)]]=1,tbl_daily[[#This Row],[Attended, but did not complete data]]&lt;&gt;1),1,IF(AND(tbl_daily[[#This Row],[Attendance (1 = Here, 0 = Not here)]]=1,tbl_daily[[#This Row],[Attended, but did not complete data]]=1),2,3)),"")</f>
        <v>1</v>
      </c>
      <c r="W242">
        <f>IF(AND(tbl_daily[[#This Row],[Attendance Refined]]=1,tbl_daily[[#This Row],[InjuryStatus]]="Full"),1,IF(AND(tbl_daily[[#This Row],[Attendance Refined]]=1,tbl_daily[[#This Row],[InjuryStatus]]="Limited"),2,IF(AND(tbl_daily[[#This Row],[Attendance Refined]]=1,tbl_daily[[#This Row],[InjuryStatus]]="Out"),3,"")))</f>
        <v>1</v>
      </c>
    </row>
    <row r="243" spans="1:23" ht="15" customHeight="1" x14ac:dyDescent="0.25">
      <c r="A243" s="1">
        <v>43867</v>
      </c>
      <c r="B243" t="s">
        <v>426</v>
      </c>
      <c r="C243">
        <v>1</v>
      </c>
      <c r="E243">
        <v>8</v>
      </c>
      <c r="F243">
        <v>8</v>
      </c>
      <c r="G243">
        <v>8</v>
      </c>
      <c r="H243" t="s">
        <v>15</v>
      </c>
      <c r="I243">
        <v>1</v>
      </c>
      <c r="J243">
        <v>8</v>
      </c>
      <c r="K243">
        <v>35</v>
      </c>
      <c r="M243" t="s">
        <v>139</v>
      </c>
      <c r="N243" t="s">
        <v>149</v>
      </c>
      <c r="P243">
        <f>IFERROR(IF(AND(tbl_daily[[#This Row],[Attendance (1 = Here, 0 = Not here)]]=1,tbl_daily[[#This Row],[Attended, but did not complete data]]&lt;&gt;1),tbl_daily[[#This Row],[Stress]]+tbl_daily[[#This Row],[SleepQuality]]+tbl_daily[[#This Row],[Energy]],""),"")</f>
        <v>24</v>
      </c>
      <c r="Q243">
        <f>IFERROR(IF(AND(tbl_daily[[#This Row],[Attendance (1 = Here, 0 = Not here)]]=1,tbl_daily[[#This Row],[Attended, but did not complete data]]&lt;&gt;1),tbl_daily[[#This Row],[LatestRPE]]*tbl_daily[[#This Row],[LatestDuration]],""),"")</f>
        <v>280</v>
      </c>
      <c r="R243">
        <f>IF(tbl_daily[[#This Row],[CodeName]]&lt;&gt;"",1,"")</f>
        <v>1</v>
      </c>
      <c r="S243" t="str">
        <f>IF(AND(tbl_daily[[#This Row],[Date]]&gt;=DATE(2019,8,1),tbl_daily[[#This Row],[Date]]&lt;=DATE(2020,6,1)),"2019-2020")</f>
        <v>2019-2020</v>
      </c>
      <c r="T243" t="str">
        <f>IFERROR(INDEX(tbl_prof[Cohort of Interest],MATCH(tbl_daily[[#This Row],[CodeName]],tbl_prof[CodeName],0)),"")</f>
        <v>Special</v>
      </c>
      <c r="U243" t="str">
        <f>IFERROR(AVERAGEIFS(tbl_perf[Grade],tbl_perf[CodeName],tbl_daily[[#This Row],[CodeName]],tbl_perf[Date],tbl_daily[[#This Row],[Date]]),"")</f>
        <v/>
      </c>
      <c r="V243">
        <f>IFERROR(IF(AND(tbl_daily[[#This Row],[Attendance (1 = Here, 0 = Not here)]]=1,tbl_daily[[#This Row],[Attended, but did not complete data]]&lt;&gt;1),1,IF(AND(tbl_daily[[#This Row],[Attendance (1 = Here, 0 = Not here)]]=1,tbl_daily[[#This Row],[Attended, but did not complete data]]=1),2,3)),"")</f>
        <v>1</v>
      </c>
      <c r="W243">
        <f>IF(AND(tbl_daily[[#This Row],[Attendance Refined]]=1,tbl_daily[[#This Row],[InjuryStatus]]="Full"),1,IF(AND(tbl_daily[[#This Row],[Attendance Refined]]=1,tbl_daily[[#This Row],[InjuryStatus]]="Limited"),2,IF(AND(tbl_daily[[#This Row],[Attendance Refined]]=1,tbl_daily[[#This Row],[InjuryStatus]]="Out"),3,"")))</f>
        <v>1</v>
      </c>
    </row>
    <row r="244" spans="1:23" ht="15" customHeight="1" x14ac:dyDescent="0.25">
      <c r="A244" s="1">
        <v>43867</v>
      </c>
      <c r="B244" t="s">
        <v>421</v>
      </c>
      <c r="C244">
        <v>1</v>
      </c>
      <c r="E244">
        <v>7</v>
      </c>
      <c r="F244">
        <v>8</v>
      </c>
      <c r="G244">
        <v>8</v>
      </c>
      <c r="H244" t="s">
        <v>15</v>
      </c>
      <c r="I244">
        <v>1</v>
      </c>
      <c r="J244">
        <v>7</v>
      </c>
      <c r="K244">
        <v>45</v>
      </c>
      <c r="M244" t="s">
        <v>139</v>
      </c>
      <c r="N244" t="s">
        <v>146</v>
      </c>
      <c r="P244">
        <f>IFERROR(IF(AND(tbl_daily[[#This Row],[Attendance (1 = Here, 0 = Not here)]]=1,tbl_daily[[#This Row],[Attended, but did not complete data]]&lt;&gt;1),tbl_daily[[#This Row],[Stress]]+tbl_daily[[#This Row],[SleepQuality]]+tbl_daily[[#This Row],[Energy]],""),"")</f>
        <v>23</v>
      </c>
      <c r="Q244">
        <f>IFERROR(IF(AND(tbl_daily[[#This Row],[Attendance (1 = Here, 0 = Not here)]]=1,tbl_daily[[#This Row],[Attended, but did not complete data]]&lt;&gt;1),tbl_daily[[#This Row],[LatestRPE]]*tbl_daily[[#This Row],[LatestDuration]],""),"")</f>
        <v>315</v>
      </c>
      <c r="R244">
        <f>IF(tbl_daily[[#This Row],[CodeName]]&lt;&gt;"",1,"")</f>
        <v>1</v>
      </c>
      <c r="S244" t="str">
        <f>IF(AND(tbl_daily[[#This Row],[Date]]&gt;=DATE(2019,8,1),tbl_daily[[#This Row],[Date]]&lt;=DATE(2020,6,1)),"2019-2020")</f>
        <v>2019-2020</v>
      </c>
      <c r="T244" t="str">
        <f>IFERROR(INDEX(tbl_prof[Cohort of Interest],MATCH(tbl_daily[[#This Row],[CodeName]],tbl_prof[CodeName],0)),"")</f>
        <v>Athletes</v>
      </c>
      <c r="U244" t="str">
        <f>IFERROR(AVERAGEIFS(tbl_perf[Grade],tbl_perf[CodeName],tbl_daily[[#This Row],[CodeName]],tbl_perf[Date],tbl_daily[[#This Row],[Date]]),"")</f>
        <v/>
      </c>
      <c r="V244">
        <f>IFERROR(IF(AND(tbl_daily[[#This Row],[Attendance (1 = Here, 0 = Not here)]]=1,tbl_daily[[#This Row],[Attended, but did not complete data]]&lt;&gt;1),1,IF(AND(tbl_daily[[#This Row],[Attendance (1 = Here, 0 = Not here)]]=1,tbl_daily[[#This Row],[Attended, but did not complete data]]=1),2,3)),"")</f>
        <v>1</v>
      </c>
      <c r="W244">
        <f>IF(AND(tbl_daily[[#This Row],[Attendance Refined]]=1,tbl_daily[[#This Row],[InjuryStatus]]="Full"),1,IF(AND(tbl_daily[[#This Row],[Attendance Refined]]=1,tbl_daily[[#This Row],[InjuryStatus]]="Limited"),2,IF(AND(tbl_daily[[#This Row],[Attendance Refined]]=1,tbl_daily[[#This Row],[InjuryStatus]]="Out"),3,"")))</f>
        <v>1</v>
      </c>
    </row>
    <row r="245" spans="1:23" ht="15" customHeight="1" x14ac:dyDescent="0.25">
      <c r="A245" s="1">
        <v>43867</v>
      </c>
      <c r="B245" t="s">
        <v>424</v>
      </c>
      <c r="C245">
        <v>1</v>
      </c>
      <c r="E245">
        <v>5</v>
      </c>
      <c r="F245">
        <v>7</v>
      </c>
      <c r="G245">
        <v>7</v>
      </c>
      <c r="H245" t="s">
        <v>15</v>
      </c>
      <c r="I245">
        <v>1</v>
      </c>
      <c r="J245">
        <v>7</v>
      </c>
      <c r="K245">
        <v>45</v>
      </c>
      <c r="M245" t="s">
        <v>139</v>
      </c>
      <c r="N245" t="s">
        <v>148</v>
      </c>
      <c r="P245">
        <f>IFERROR(IF(AND(tbl_daily[[#This Row],[Attendance (1 = Here, 0 = Not here)]]=1,tbl_daily[[#This Row],[Attended, but did not complete data]]&lt;&gt;1),tbl_daily[[#This Row],[Stress]]+tbl_daily[[#This Row],[SleepQuality]]+tbl_daily[[#This Row],[Energy]],""),"")</f>
        <v>19</v>
      </c>
      <c r="Q245">
        <f>IFERROR(IF(AND(tbl_daily[[#This Row],[Attendance (1 = Here, 0 = Not here)]]=1,tbl_daily[[#This Row],[Attended, but did not complete data]]&lt;&gt;1),tbl_daily[[#This Row],[LatestRPE]]*tbl_daily[[#This Row],[LatestDuration]],""),"")</f>
        <v>315</v>
      </c>
      <c r="R245">
        <f>IF(tbl_daily[[#This Row],[CodeName]]&lt;&gt;"",1,"")</f>
        <v>1</v>
      </c>
      <c r="S245" t="str">
        <f>IF(AND(tbl_daily[[#This Row],[Date]]&gt;=DATE(2019,8,1),tbl_daily[[#This Row],[Date]]&lt;=DATE(2020,6,1)),"2019-2020")</f>
        <v>2019-2020</v>
      </c>
      <c r="T245" t="str">
        <f>IFERROR(INDEX(tbl_prof[Cohort of Interest],MATCH(tbl_daily[[#This Row],[CodeName]],tbl_prof[CodeName],0)),"")</f>
        <v>Special</v>
      </c>
      <c r="U245" t="str">
        <f>IFERROR(AVERAGEIFS(tbl_perf[Grade],tbl_perf[CodeName],tbl_daily[[#This Row],[CodeName]],tbl_perf[Date],tbl_daily[[#This Row],[Date]]),"")</f>
        <v/>
      </c>
      <c r="V245">
        <f>IFERROR(IF(AND(tbl_daily[[#This Row],[Attendance (1 = Here, 0 = Not here)]]=1,tbl_daily[[#This Row],[Attended, but did not complete data]]&lt;&gt;1),1,IF(AND(tbl_daily[[#This Row],[Attendance (1 = Here, 0 = Not here)]]=1,tbl_daily[[#This Row],[Attended, but did not complete data]]=1),2,3)),"")</f>
        <v>1</v>
      </c>
      <c r="W245">
        <f>IF(AND(tbl_daily[[#This Row],[Attendance Refined]]=1,tbl_daily[[#This Row],[InjuryStatus]]="Full"),1,IF(AND(tbl_daily[[#This Row],[Attendance Refined]]=1,tbl_daily[[#This Row],[InjuryStatus]]="Limited"),2,IF(AND(tbl_daily[[#This Row],[Attendance Refined]]=1,tbl_daily[[#This Row],[InjuryStatus]]="Out"),3,"")))</f>
        <v>1</v>
      </c>
    </row>
    <row r="246" spans="1:23" ht="15" customHeight="1" x14ac:dyDescent="0.25">
      <c r="A246" s="1">
        <v>43867</v>
      </c>
      <c r="B246" t="s">
        <v>414</v>
      </c>
      <c r="C246">
        <v>1</v>
      </c>
      <c r="E246">
        <v>5</v>
      </c>
      <c r="F246">
        <v>5</v>
      </c>
      <c r="G246">
        <v>5</v>
      </c>
      <c r="H246" t="s">
        <v>15</v>
      </c>
      <c r="I246">
        <v>1</v>
      </c>
      <c r="J246">
        <v>5</v>
      </c>
      <c r="K246">
        <v>90</v>
      </c>
      <c r="M246" t="s">
        <v>139</v>
      </c>
      <c r="P246">
        <f>IFERROR(IF(AND(tbl_daily[[#This Row],[Attendance (1 = Here, 0 = Not here)]]=1,tbl_daily[[#This Row],[Attended, but did not complete data]]&lt;&gt;1),tbl_daily[[#This Row],[Stress]]+tbl_daily[[#This Row],[SleepQuality]]+tbl_daily[[#This Row],[Energy]],""),"")</f>
        <v>15</v>
      </c>
      <c r="Q246">
        <f>IFERROR(IF(AND(tbl_daily[[#This Row],[Attendance (1 = Here, 0 = Not here)]]=1,tbl_daily[[#This Row],[Attended, but did not complete data]]&lt;&gt;1),tbl_daily[[#This Row],[LatestRPE]]*tbl_daily[[#This Row],[LatestDuration]],""),"")</f>
        <v>450</v>
      </c>
      <c r="R246">
        <f>IF(tbl_daily[[#This Row],[CodeName]]&lt;&gt;"",1,"")</f>
        <v>1</v>
      </c>
      <c r="S246" t="str">
        <f>IF(AND(tbl_daily[[#This Row],[Date]]&gt;=DATE(2019,8,1),tbl_daily[[#This Row],[Date]]&lt;=DATE(2020,6,1)),"2019-2020")</f>
        <v>2019-2020</v>
      </c>
      <c r="T246" t="str">
        <f>IFERROR(INDEX(tbl_prof[Cohort of Interest],MATCH(tbl_daily[[#This Row],[CodeName]],tbl_prof[CodeName],0)),"")</f>
        <v>Gen Pop</v>
      </c>
      <c r="U246" t="str">
        <f>IFERROR(AVERAGEIFS(tbl_perf[Grade],tbl_perf[CodeName],tbl_daily[[#This Row],[CodeName]],tbl_perf[Date],tbl_daily[[#This Row],[Date]]),"")</f>
        <v/>
      </c>
      <c r="V246">
        <f>IFERROR(IF(AND(tbl_daily[[#This Row],[Attendance (1 = Here, 0 = Not here)]]=1,tbl_daily[[#This Row],[Attended, but did not complete data]]&lt;&gt;1),1,IF(AND(tbl_daily[[#This Row],[Attendance (1 = Here, 0 = Not here)]]=1,tbl_daily[[#This Row],[Attended, but did not complete data]]=1),2,3)),"")</f>
        <v>1</v>
      </c>
      <c r="W246">
        <f>IF(AND(tbl_daily[[#This Row],[Attendance Refined]]=1,tbl_daily[[#This Row],[InjuryStatus]]="Full"),1,IF(AND(tbl_daily[[#This Row],[Attendance Refined]]=1,tbl_daily[[#This Row],[InjuryStatus]]="Limited"),2,IF(AND(tbl_daily[[#This Row],[Attendance Refined]]=1,tbl_daily[[#This Row],[InjuryStatus]]="Out"),3,"")))</f>
        <v>1</v>
      </c>
    </row>
    <row r="247" spans="1:23" ht="15" customHeight="1" x14ac:dyDescent="0.25">
      <c r="A247" s="1">
        <v>43867</v>
      </c>
      <c r="B247" t="s">
        <v>439</v>
      </c>
      <c r="C247">
        <v>1</v>
      </c>
      <c r="E247">
        <v>8</v>
      </c>
      <c r="F247">
        <v>7</v>
      </c>
      <c r="G247">
        <v>5</v>
      </c>
      <c r="H247" t="s">
        <v>32</v>
      </c>
      <c r="I247">
        <v>1</v>
      </c>
      <c r="J247">
        <v>5</v>
      </c>
      <c r="K247">
        <v>90</v>
      </c>
      <c r="M247" t="s">
        <v>139</v>
      </c>
      <c r="N247" t="s">
        <v>158</v>
      </c>
      <c r="P247">
        <f>IFERROR(IF(AND(tbl_daily[[#This Row],[Attendance (1 = Here, 0 = Not here)]]=1,tbl_daily[[#This Row],[Attended, but did not complete data]]&lt;&gt;1),tbl_daily[[#This Row],[Stress]]+tbl_daily[[#This Row],[SleepQuality]]+tbl_daily[[#This Row],[Energy]],""),"")</f>
        <v>20</v>
      </c>
      <c r="Q247">
        <f>IFERROR(IF(AND(tbl_daily[[#This Row],[Attendance (1 = Here, 0 = Not here)]]=1,tbl_daily[[#This Row],[Attended, but did not complete data]]&lt;&gt;1),tbl_daily[[#This Row],[LatestRPE]]*tbl_daily[[#This Row],[LatestDuration]],""),"")</f>
        <v>450</v>
      </c>
      <c r="R247">
        <f>IF(tbl_daily[[#This Row],[CodeName]]&lt;&gt;"",1,"")</f>
        <v>1</v>
      </c>
      <c r="S247" t="str">
        <f>IF(AND(tbl_daily[[#This Row],[Date]]&gt;=DATE(2019,8,1),tbl_daily[[#This Row],[Date]]&lt;=DATE(2020,6,1)),"2019-2020")</f>
        <v>2019-2020</v>
      </c>
      <c r="T247" t="str">
        <f>IFERROR(INDEX(tbl_prof[Cohort of Interest],MATCH(tbl_daily[[#This Row],[CodeName]],tbl_prof[CodeName],0)),"")</f>
        <v>Special</v>
      </c>
      <c r="U247" t="str">
        <f>IFERROR(AVERAGEIFS(tbl_perf[Grade],tbl_perf[CodeName],tbl_daily[[#This Row],[CodeName]],tbl_perf[Date],tbl_daily[[#This Row],[Date]]),"")</f>
        <v/>
      </c>
      <c r="V247">
        <f>IFERROR(IF(AND(tbl_daily[[#This Row],[Attendance (1 = Here, 0 = Not here)]]=1,tbl_daily[[#This Row],[Attended, but did not complete data]]&lt;&gt;1),1,IF(AND(tbl_daily[[#This Row],[Attendance (1 = Here, 0 = Not here)]]=1,tbl_daily[[#This Row],[Attended, but did not complete data]]=1),2,3)),"")</f>
        <v>1</v>
      </c>
      <c r="W247">
        <f>IF(AND(tbl_daily[[#This Row],[Attendance Refined]]=1,tbl_daily[[#This Row],[InjuryStatus]]="Full"),1,IF(AND(tbl_daily[[#This Row],[Attendance Refined]]=1,tbl_daily[[#This Row],[InjuryStatus]]="Limited"),2,IF(AND(tbl_daily[[#This Row],[Attendance Refined]]=1,tbl_daily[[#This Row],[InjuryStatus]]="Out"),3,"")))</f>
        <v>2</v>
      </c>
    </row>
    <row r="248" spans="1:23" ht="15" customHeight="1" x14ac:dyDescent="0.25">
      <c r="A248" s="1">
        <v>43867</v>
      </c>
      <c r="B248" t="s">
        <v>422</v>
      </c>
      <c r="C248">
        <v>1</v>
      </c>
      <c r="E248">
        <v>8</v>
      </c>
      <c r="F248">
        <v>9</v>
      </c>
      <c r="G248">
        <v>8</v>
      </c>
      <c r="H248" t="s">
        <v>15</v>
      </c>
      <c r="I248">
        <v>1</v>
      </c>
      <c r="J248">
        <v>8</v>
      </c>
      <c r="K248">
        <v>60</v>
      </c>
      <c r="M248" t="s">
        <v>139</v>
      </c>
      <c r="N248" t="s">
        <v>97</v>
      </c>
      <c r="P248">
        <f>IFERROR(IF(AND(tbl_daily[[#This Row],[Attendance (1 = Here, 0 = Not here)]]=1,tbl_daily[[#This Row],[Attended, but did not complete data]]&lt;&gt;1),tbl_daily[[#This Row],[Stress]]+tbl_daily[[#This Row],[SleepQuality]]+tbl_daily[[#This Row],[Energy]],""),"")</f>
        <v>25</v>
      </c>
      <c r="Q248">
        <f>IFERROR(IF(AND(tbl_daily[[#This Row],[Attendance (1 = Here, 0 = Not here)]]=1,tbl_daily[[#This Row],[Attended, but did not complete data]]&lt;&gt;1),tbl_daily[[#This Row],[LatestRPE]]*tbl_daily[[#This Row],[LatestDuration]],""),"")</f>
        <v>480</v>
      </c>
      <c r="R248">
        <f>IF(tbl_daily[[#This Row],[CodeName]]&lt;&gt;"",1,"")</f>
        <v>1</v>
      </c>
      <c r="S248" t="str">
        <f>IF(AND(tbl_daily[[#This Row],[Date]]&gt;=DATE(2019,8,1),tbl_daily[[#This Row],[Date]]&lt;=DATE(2020,6,1)),"2019-2020")</f>
        <v>2019-2020</v>
      </c>
      <c r="T248" t="str">
        <f>IFERROR(INDEX(tbl_prof[Cohort of Interest],MATCH(tbl_daily[[#This Row],[CodeName]],tbl_prof[CodeName],0)),"")</f>
        <v>Athletes</v>
      </c>
      <c r="U248" t="str">
        <f>IFERROR(AVERAGEIFS(tbl_perf[Grade],tbl_perf[CodeName],tbl_daily[[#This Row],[CodeName]],tbl_perf[Date],tbl_daily[[#This Row],[Date]]),"")</f>
        <v/>
      </c>
      <c r="V248">
        <f>IFERROR(IF(AND(tbl_daily[[#This Row],[Attendance (1 = Here, 0 = Not here)]]=1,tbl_daily[[#This Row],[Attended, but did not complete data]]&lt;&gt;1),1,IF(AND(tbl_daily[[#This Row],[Attendance (1 = Here, 0 = Not here)]]=1,tbl_daily[[#This Row],[Attended, but did not complete data]]=1),2,3)),"")</f>
        <v>1</v>
      </c>
      <c r="W248">
        <f>IF(AND(tbl_daily[[#This Row],[Attendance Refined]]=1,tbl_daily[[#This Row],[InjuryStatus]]="Full"),1,IF(AND(tbl_daily[[#This Row],[Attendance Refined]]=1,tbl_daily[[#This Row],[InjuryStatus]]="Limited"),2,IF(AND(tbl_daily[[#This Row],[Attendance Refined]]=1,tbl_daily[[#This Row],[InjuryStatus]]="Out"),3,"")))</f>
        <v>1</v>
      </c>
    </row>
    <row r="249" spans="1:23" ht="15" customHeight="1" x14ac:dyDescent="0.25">
      <c r="A249" s="1">
        <v>43867</v>
      </c>
      <c r="B249" t="s">
        <v>427</v>
      </c>
      <c r="C249">
        <v>1</v>
      </c>
      <c r="E249">
        <v>8</v>
      </c>
      <c r="F249">
        <v>8</v>
      </c>
      <c r="G249">
        <v>8</v>
      </c>
      <c r="H249" t="s">
        <v>15</v>
      </c>
      <c r="I249">
        <v>1</v>
      </c>
      <c r="J249">
        <v>8</v>
      </c>
      <c r="K249">
        <v>60</v>
      </c>
      <c r="M249" t="s">
        <v>139</v>
      </c>
      <c r="N249" t="s">
        <v>150</v>
      </c>
      <c r="P249">
        <f>IFERROR(IF(AND(tbl_daily[[#This Row],[Attendance (1 = Here, 0 = Not here)]]=1,tbl_daily[[#This Row],[Attended, but did not complete data]]&lt;&gt;1),tbl_daily[[#This Row],[Stress]]+tbl_daily[[#This Row],[SleepQuality]]+tbl_daily[[#This Row],[Energy]],""),"")</f>
        <v>24</v>
      </c>
      <c r="Q249">
        <f>IFERROR(IF(AND(tbl_daily[[#This Row],[Attendance (1 = Here, 0 = Not here)]]=1,tbl_daily[[#This Row],[Attended, but did not complete data]]&lt;&gt;1),tbl_daily[[#This Row],[LatestRPE]]*tbl_daily[[#This Row],[LatestDuration]],""),"")</f>
        <v>480</v>
      </c>
      <c r="R249">
        <f>IF(tbl_daily[[#This Row],[CodeName]]&lt;&gt;"",1,"")</f>
        <v>1</v>
      </c>
      <c r="S249" t="str">
        <f>IF(AND(tbl_daily[[#This Row],[Date]]&gt;=DATE(2019,8,1),tbl_daily[[#This Row],[Date]]&lt;=DATE(2020,6,1)),"2019-2020")</f>
        <v>2019-2020</v>
      </c>
      <c r="T249" t="str">
        <f>IFERROR(INDEX(tbl_prof[Cohort of Interest],MATCH(tbl_daily[[#This Row],[CodeName]],tbl_prof[CodeName],0)),"")</f>
        <v>Special</v>
      </c>
      <c r="U249" t="str">
        <f>IFERROR(AVERAGEIFS(tbl_perf[Grade],tbl_perf[CodeName],tbl_daily[[#This Row],[CodeName]],tbl_perf[Date],tbl_daily[[#This Row],[Date]]),"")</f>
        <v/>
      </c>
      <c r="V249">
        <f>IFERROR(IF(AND(tbl_daily[[#This Row],[Attendance (1 = Here, 0 = Not here)]]=1,tbl_daily[[#This Row],[Attended, but did not complete data]]&lt;&gt;1),1,IF(AND(tbl_daily[[#This Row],[Attendance (1 = Here, 0 = Not here)]]=1,tbl_daily[[#This Row],[Attended, but did not complete data]]=1),2,3)),"")</f>
        <v>1</v>
      </c>
      <c r="W249">
        <f>IF(AND(tbl_daily[[#This Row],[Attendance Refined]]=1,tbl_daily[[#This Row],[InjuryStatus]]="Full"),1,IF(AND(tbl_daily[[#This Row],[Attendance Refined]]=1,tbl_daily[[#This Row],[InjuryStatus]]="Limited"),2,IF(AND(tbl_daily[[#This Row],[Attendance Refined]]=1,tbl_daily[[#This Row],[InjuryStatus]]="Out"),3,"")))</f>
        <v>1</v>
      </c>
    </row>
    <row r="250" spans="1:23" ht="15" customHeight="1" x14ac:dyDescent="0.25">
      <c r="A250" s="1">
        <v>43867</v>
      </c>
      <c r="B250" t="s">
        <v>428</v>
      </c>
      <c r="C250">
        <v>1</v>
      </c>
      <c r="E250">
        <v>8</v>
      </c>
      <c r="F250">
        <v>8</v>
      </c>
      <c r="G250">
        <v>8</v>
      </c>
      <c r="H250" t="s">
        <v>15</v>
      </c>
      <c r="I250">
        <v>1</v>
      </c>
      <c r="J250">
        <v>8</v>
      </c>
      <c r="K250">
        <v>60</v>
      </c>
      <c r="M250" t="s">
        <v>139</v>
      </c>
      <c r="N250" t="s">
        <v>151</v>
      </c>
      <c r="P250">
        <f>IFERROR(IF(AND(tbl_daily[[#This Row],[Attendance (1 = Here, 0 = Not here)]]=1,tbl_daily[[#This Row],[Attended, but did not complete data]]&lt;&gt;1),tbl_daily[[#This Row],[Stress]]+tbl_daily[[#This Row],[SleepQuality]]+tbl_daily[[#This Row],[Energy]],""),"")</f>
        <v>24</v>
      </c>
      <c r="Q250">
        <f>IFERROR(IF(AND(tbl_daily[[#This Row],[Attendance (1 = Here, 0 = Not here)]]=1,tbl_daily[[#This Row],[Attended, but did not complete data]]&lt;&gt;1),tbl_daily[[#This Row],[LatestRPE]]*tbl_daily[[#This Row],[LatestDuration]],""),"")</f>
        <v>480</v>
      </c>
      <c r="R250">
        <f>IF(tbl_daily[[#This Row],[CodeName]]&lt;&gt;"",1,"")</f>
        <v>1</v>
      </c>
      <c r="S250" t="str">
        <f>IF(AND(tbl_daily[[#This Row],[Date]]&gt;=DATE(2019,8,1),tbl_daily[[#This Row],[Date]]&lt;=DATE(2020,6,1)),"2019-2020")</f>
        <v>2019-2020</v>
      </c>
      <c r="T250" t="str">
        <f>IFERROR(INDEX(tbl_prof[Cohort of Interest],MATCH(tbl_daily[[#This Row],[CodeName]],tbl_prof[CodeName],0)),"")</f>
        <v>Special</v>
      </c>
      <c r="U250" t="str">
        <f>IFERROR(AVERAGEIFS(tbl_perf[Grade],tbl_perf[CodeName],tbl_daily[[#This Row],[CodeName]],tbl_perf[Date],tbl_daily[[#This Row],[Date]]),"")</f>
        <v/>
      </c>
      <c r="V250">
        <f>IFERROR(IF(AND(tbl_daily[[#This Row],[Attendance (1 = Here, 0 = Not here)]]=1,tbl_daily[[#This Row],[Attended, but did not complete data]]&lt;&gt;1),1,IF(AND(tbl_daily[[#This Row],[Attendance (1 = Here, 0 = Not here)]]=1,tbl_daily[[#This Row],[Attended, but did not complete data]]=1),2,3)),"")</f>
        <v>1</v>
      </c>
      <c r="W250">
        <f>IF(AND(tbl_daily[[#This Row],[Attendance Refined]]=1,tbl_daily[[#This Row],[InjuryStatus]]="Full"),1,IF(AND(tbl_daily[[#This Row],[Attendance Refined]]=1,tbl_daily[[#This Row],[InjuryStatus]]="Limited"),2,IF(AND(tbl_daily[[#This Row],[Attendance Refined]]=1,tbl_daily[[#This Row],[InjuryStatus]]="Out"),3,"")))</f>
        <v>1</v>
      </c>
    </row>
    <row r="251" spans="1:23" ht="15" customHeight="1" x14ac:dyDescent="0.25">
      <c r="A251" s="1">
        <v>43867</v>
      </c>
      <c r="B251" t="s">
        <v>425</v>
      </c>
      <c r="C251">
        <v>1</v>
      </c>
      <c r="E251">
        <v>5</v>
      </c>
      <c r="F251">
        <v>7</v>
      </c>
      <c r="G251">
        <v>7</v>
      </c>
      <c r="H251" t="s">
        <v>15</v>
      </c>
      <c r="I251">
        <v>1</v>
      </c>
      <c r="J251">
        <v>6</v>
      </c>
      <c r="K251">
        <v>90</v>
      </c>
      <c r="M251" t="s">
        <v>139</v>
      </c>
      <c r="N251" t="s">
        <v>144</v>
      </c>
      <c r="P251">
        <f>IFERROR(IF(AND(tbl_daily[[#This Row],[Attendance (1 = Here, 0 = Not here)]]=1,tbl_daily[[#This Row],[Attended, but did not complete data]]&lt;&gt;1),tbl_daily[[#This Row],[Stress]]+tbl_daily[[#This Row],[SleepQuality]]+tbl_daily[[#This Row],[Energy]],""),"")</f>
        <v>19</v>
      </c>
      <c r="Q251">
        <f>IFERROR(IF(AND(tbl_daily[[#This Row],[Attendance (1 = Here, 0 = Not here)]]=1,tbl_daily[[#This Row],[Attended, but did not complete data]]&lt;&gt;1),tbl_daily[[#This Row],[LatestRPE]]*tbl_daily[[#This Row],[LatestDuration]],""),"")</f>
        <v>540</v>
      </c>
      <c r="R251">
        <f>IF(tbl_daily[[#This Row],[CodeName]]&lt;&gt;"",1,"")</f>
        <v>1</v>
      </c>
      <c r="S251" t="str">
        <f>IF(AND(tbl_daily[[#This Row],[Date]]&gt;=DATE(2019,8,1),tbl_daily[[#This Row],[Date]]&lt;=DATE(2020,6,1)),"2019-2020")</f>
        <v>2019-2020</v>
      </c>
      <c r="T251" t="str">
        <f>IFERROR(INDEX(tbl_prof[Cohort of Interest],MATCH(tbl_daily[[#This Row],[CodeName]],tbl_prof[CodeName],0)),"")</f>
        <v>Athletes</v>
      </c>
      <c r="U251" t="str">
        <f>IFERROR(AVERAGEIFS(tbl_perf[Grade],tbl_perf[CodeName],tbl_daily[[#This Row],[CodeName]],tbl_perf[Date],tbl_daily[[#This Row],[Date]]),"")</f>
        <v/>
      </c>
      <c r="V251">
        <f>IFERROR(IF(AND(tbl_daily[[#This Row],[Attendance (1 = Here, 0 = Not here)]]=1,tbl_daily[[#This Row],[Attended, but did not complete data]]&lt;&gt;1),1,IF(AND(tbl_daily[[#This Row],[Attendance (1 = Here, 0 = Not here)]]=1,tbl_daily[[#This Row],[Attended, but did not complete data]]=1),2,3)),"")</f>
        <v>1</v>
      </c>
      <c r="W251">
        <f>IF(AND(tbl_daily[[#This Row],[Attendance Refined]]=1,tbl_daily[[#This Row],[InjuryStatus]]="Full"),1,IF(AND(tbl_daily[[#This Row],[Attendance Refined]]=1,tbl_daily[[#This Row],[InjuryStatus]]="Limited"),2,IF(AND(tbl_daily[[#This Row],[Attendance Refined]]=1,tbl_daily[[#This Row],[InjuryStatus]]="Out"),3,"")))</f>
        <v>1</v>
      </c>
    </row>
    <row r="252" spans="1:23" ht="15" customHeight="1" x14ac:dyDescent="0.25">
      <c r="A252" s="1">
        <v>43867</v>
      </c>
      <c r="B252" t="s">
        <v>441</v>
      </c>
      <c r="C252">
        <v>1</v>
      </c>
      <c r="E252">
        <v>5</v>
      </c>
      <c r="F252">
        <v>3</v>
      </c>
      <c r="G252">
        <v>2</v>
      </c>
      <c r="H252" t="s">
        <v>15</v>
      </c>
      <c r="I252">
        <v>1</v>
      </c>
      <c r="J252">
        <v>6</v>
      </c>
      <c r="K252">
        <v>90</v>
      </c>
      <c r="M252" t="s">
        <v>139</v>
      </c>
      <c r="N252" t="s">
        <v>161</v>
      </c>
      <c r="P252">
        <f>IFERROR(IF(AND(tbl_daily[[#This Row],[Attendance (1 = Here, 0 = Not here)]]=1,tbl_daily[[#This Row],[Attended, but did not complete data]]&lt;&gt;1),tbl_daily[[#This Row],[Stress]]+tbl_daily[[#This Row],[SleepQuality]]+tbl_daily[[#This Row],[Energy]],""),"")</f>
        <v>10</v>
      </c>
      <c r="Q252">
        <f>IFERROR(IF(AND(tbl_daily[[#This Row],[Attendance (1 = Here, 0 = Not here)]]=1,tbl_daily[[#This Row],[Attended, but did not complete data]]&lt;&gt;1),tbl_daily[[#This Row],[LatestRPE]]*tbl_daily[[#This Row],[LatestDuration]],""),"")</f>
        <v>540</v>
      </c>
      <c r="R252">
        <f>IF(tbl_daily[[#This Row],[CodeName]]&lt;&gt;"",1,"")</f>
        <v>1</v>
      </c>
      <c r="S252" t="str">
        <f>IF(AND(tbl_daily[[#This Row],[Date]]&gt;=DATE(2019,8,1),tbl_daily[[#This Row],[Date]]&lt;=DATE(2020,6,1)),"2019-2020")</f>
        <v>2019-2020</v>
      </c>
      <c r="T252" t="str">
        <f>IFERROR(INDEX(tbl_prof[Cohort of Interest],MATCH(tbl_daily[[#This Row],[CodeName]],tbl_prof[CodeName],0)),"")</f>
        <v>Athletes</v>
      </c>
      <c r="U252" t="str">
        <f>IFERROR(AVERAGEIFS(tbl_perf[Grade],tbl_perf[CodeName],tbl_daily[[#This Row],[CodeName]],tbl_perf[Date],tbl_daily[[#This Row],[Date]]),"")</f>
        <v/>
      </c>
      <c r="V252">
        <f>IFERROR(IF(AND(tbl_daily[[#This Row],[Attendance (1 = Here, 0 = Not here)]]=1,tbl_daily[[#This Row],[Attended, but did not complete data]]&lt;&gt;1),1,IF(AND(tbl_daily[[#This Row],[Attendance (1 = Here, 0 = Not here)]]=1,tbl_daily[[#This Row],[Attended, but did not complete data]]=1),2,3)),"")</f>
        <v>1</v>
      </c>
      <c r="W252">
        <f>IF(AND(tbl_daily[[#This Row],[Attendance Refined]]=1,tbl_daily[[#This Row],[InjuryStatus]]="Full"),1,IF(AND(tbl_daily[[#This Row],[Attendance Refined]]=1,tbl_daily[[#This Row],[InjuryStatus]]="Limited"),2,IF(AND(tbl_daily[[#This Row],[Attendance Refined]]=1,tbl_daily[[#This Row],[InjuryStatus]]="Out"),3,"")))</f>
        <v>1</v>
      </c>
    </row>
    <row r="253" spans="1:23" ht="15" customHeight="1" x14ac:dyDescent="0.25">
      <c r="A253" s="1">
        <v>43867</v>
      </c>
      <c r="B253" t="s">
        <v>432</v>
      </c>
      <c r="C253">
        <v>1</v>
      </c>
      <c r="E253">
        <v>9</v>
      </c>
      <c r="F253">
        <v>8</v>
      </c>
      <c r="G253">
        <v>6</v>
      </c>
      <c r="H253" t="s">
        <v>222</v>
      </c>
      <c r="I253">
        <v>1</v>
      </c>
      <c r="J253">
        <v>7</v>
      </c>
      <c r="K253">
        <v>100</v>
      </c>
      <c r="M253" t="s">
        <v>139</v>
      </c>
      <c r="N253" t="s">
        <v>157</v>
      </c>
      <c r="P253">
        <f>IFERROR(IF(AND(tbl_daily[[#This Row],[Attendance (1 = Here, 0 = Not here)]]=1,tbl_daily[[#This Row],[Attended, but did not complete data]]&lt;&gt;1),tbl_daily[[#This Row],[Stress]]+tbl_daily[[#This Row],[SleepQuality]]+tbl_daily[[#This Row],[Energy]],""),"")</f>
        <v>23</v>
      </c>
      <c r="Q253">
        <f>IFERROR(IF(AND(tbl_daily[[#This Row],[Attendance (1 = Here, 0 = Not here)]]=1,tbl_daily[[#This Row],[Attended, but did not complete data]]&lt;&gt;1),tbl_daily[[#This Row],[LatestRPE]]*tbl_daily[[#This Row],[LatestDuration]],""),"")</f>
        <v>700</v>
      </c>
      <c r="R253">
        <f>IF(tbl_daily[[#This Row],[CodeName]]&lt;&gt;"",1,"")</f>
        <v>1</v>
      </c>
      <c r="S253" t="str">
        <f>IF(AND(tbl_daily[[#This Row],[Date]]&gt;=DATE(2019,8,1),tbl_daily[[#This Row],[Date]]&lt;=DATE(2020,6,1)),"2019-2020")</f>
        <v>2019-2020</v>
      </c>
      <c r="T253" t="str">
        <f>IFERROR(INDEX(tbl_prof[Cohort of Interest],MATCH(tbl_daily[[#This Row],[CodeName]],tbl_prof[CodeName],0)),"")</f>
        <v>Athletes</v>
      </c>
      <c r="U253" t="str">
        <f>IFERROR(AVERAGEIFS(tbl_perf[Grade],tbl_perf[CodeName],tbl_daily[[#This Row],[CodeName]],tbl_perf[Date],tbl_daily[[#This Row],[Date]]),"")</f>
        <v/>
      </c>
      <c r="V253">
        <f>IFERROR(IF(AND(tbl_daily[[#This Row],[Attendance (1 = Here, 0 = Not here)]]=1,tbl_daily[[#This Row],[Attended, but did not complete data]]&lt;&gt;1),1,IF(AND(tbl_daily[[#This Row],[Attendance (1 = Here, 0 = Not here)]]=1,tbl_daily[[#This Row],[Attended, but did not complete data]]=1),2,3)),"")</f>
        <v>1</v>
      </c>
      <c r="W253">
        <f>IF(AND(tbl_daily[[#This Row],[Attendance Refined]]=1,tbl_daily[[#This Row],[InjuryStatus]]="Full"),1,IF(AND(tbl_daily[[#This Row],[Attendance Refined]]=1,tbl_daily[[#This Row],[InjuryStatus]]="Limited"),2,IF(AND(tbl_daily[[#This Row],[Attendance Refined]]=1,tbl_daily[[#This Row],[InjuryStatus]]="Out"),3,"")))</f>
        <v>3</v>
      </c>
    </row>
    <row r="254" spans="1:23" ht="15" customHeight="1" x14ac:dyDescent="0.25">
      <c r="A254" s="1">
        <v>43867</v>
      </c>
      <c r="B254" t="s">
        <v>434</v>
      </c>
      <c r="C254">
        <v>1</v>
      </c>
      <c r="E254">
        <v>8</v>
      </c>
      <c r="F254">
        <v>7</v>
      </c>
      <c r="G254">
        <v>8</v>
      </c>
      <c r="H254" t="s">
        <v>15</v>
      </c>
      <c r="I254">
        <v>1</v>
      </c>
      <c r="J254">
        <v>8</v>
      </c>
      <c r="K254">
        <v>120</v>
      </c>
      <c r="M254" t="s">
        <v>139</v>
      </c>
      <c r="N254" t="s">
        <v>154</v>
      </c>
      <c r="P254">
        <f>IFERROR(IF(AND(tbl_daily[[#This Row],[Attendance (1 = Here, 0 = Not here)]]=1,tbl_daily[[#This Row],[Attended, but did not complete data]]&lt;&gt;1),tbl_daily[[#This Row],[Stress]]+tbl_daily[[#This Row],[SleepQuality]]+tbl_daily[[#This Row],[Energy]],""),"")</f>
        <v>23</v>
      </c>
      <c r="Q254">
        <f>IFERROR(IF(AND(tbl_daily[[#This Row],[Attendance (1 = Here, 0 = Not here)]]=1,tbl_daily[[#This Row],[Attended, but did not complete data]]&lt;&gt;1),tbl_daily[[#This Row],[LatestRPE]]*tbl_daily[[#This Row],[LatestDuration]],""),"")</f>
        <v>960</v>
      </c>
      <c r="R254">
        <f>IF(tbl_daily[[#This Row],[CodeName]]&lt;&gt;"",1,"")</f>
        <v>1</v>
      </c>
      <c r="S254" t="str">
        <f>IF(AND(tbl_daily[[#This Row],[Date]]&gt;=DATE(2019,8,1),tbl_daily[[#This Row],[Date]]&lt;=DATE(2020,6,1)),"2019-2020")</f>
        <v>2019-2020</v>
      </c>
      <c r="T254" t="str">
        <f>IFERROR(INDEX(tbl_prof[Cohort of Interest],MATCH(tbl_daily[[#This Row],[CodeName]],tbl_prof[CodeName],0)),"")</f>
        <v>Athletes</v>
      </c>
      <c r="U254" t="str">
        <f>IFERROR(AVERAGEIFS(tbl_perf[Grade],tbl_perf[CodeName],tbl_daily[[#This Row],[CodeName]],tbl_perf[Date],tbl_daily[[#This Row],[Date]]),"")</f>
        <v/>
      </c>
      <c r="V254">
        <f>IFERROR(IF(AND(tbl_daily[[#This Row],[Attendance (1 = Here, 0 = Not here)]]=1,tbl_daily[[#This Row],[Attended, but did not complete data]]&lt;&gt;1),1,IF(AND(tbl_daily[[#This Row],[Attendance (1 = Here, 0 = Not here)]]=1,tbl_daily[[#This Row],[Attended, but did not complete data]]=1),2,3)),"")</f>
        <v>1</v>
      </c>
      <c r="W254">
        <f>IF(AND(tbl_daily[[#This Row],[Attendance Refined]]=1,tbl_daily[[#This Row],[InjuryStatus]]="Full"),1,IF(AND(tbl_daily[[#This Row],[Attendance Refined]]=1,tbl_daily[[#This Row],[InjuryStatus]]="Limited"),2,IF(AND(tbl_daily[[#This Row],[Attendance Refined]]=1,tbl_daily[[#This Row],[InjuryStatus]]="Out"),3,"")))</f>
        <v>1</v>
      </c>
    </row>
    <row r="255" spans="1:23" ht="15" customHeight="1" x14ac:dyDescent="0.25">
      <c r="A255" s="1">
        <v>43867</v>
      </c>
      <c r="B255" t="s">
        <v>435</v>
      </c>
      <c r="C255">
        <v>1</v>
      </c>
      <c r="E255">
        <v>8</v>
      </c>
      <c r="F255">
        <v>4</v>
      </c>
      <c r="G255">
        <v>8</v>
      </c>
      <c r="H255" t="s">
        <v>15</v>
      </c>
      <c r="I255">
        <v>1</v>
      </c>
      <c r="J255">
        <v>8</v>
      </c>
      <c r="K255">
        <v>120</v>
      </c>
      <c r="M255" t="s">
        <v>139</v>
      </c>
      <c r="N255" t="s">
        <v>427</v>
      </c>
      <c r="P255">
        <f>IFERROR(IF(AND(tbl_daily[[#This Row],[Attendance (1 = Here, 0 = Not here)]]=1,tbl_daily[[#This Row],[Attended, but did not complete data]]&lt;&gt;1),tbl_daily[[#This Row],[Stress]]+tbl_daily[[#This Row],[SleepQuality]]+tbl_daily[[#This Row],[Energy]],""),"")</f>
        <v>20</v>
      </c>
      <c r="Q255">
        <f>IFERROR(IF(AND(tbl_daily[[#This Row],[Attendance (1 = Here, 0 = Not here)]]=1,tbl_daily[[#This Row],[Attended, but did not complete data]]&lt;&gt;1),tbl_daily[[#This Row],[LatestRPE]]*tbl_daily[[#This Row],[LatestDuration]],""),"")</f>
        <v>960</v>
      </c>
      <c r="R255">
        <f>IF(tbl_daily[[#This Row],[CodeName]]&lt;&gt;"",1,"")</f>
        <v>1</v>
      </c>
      <c r="S255" t="str">
        <f>IF(AND(tbl_daily[[#This Row],[Date]]&gt;=DATE(2019,8,1),tbl_daily[[#This Row],[Date]]&lt;=DATE(2020,6,1)),"2019-2020")</f>
        <v>2019-2020</v>
      </c>
      <c r="T255" t="str">
        <f>IFERROR(INDEX(tbl_prof[Cohort of Interest],MATCH(tbl_daily[[#This Row],[CodeName]],tbl_prof[CodeName],0)),"")</f>
        <v>Athletes</v>
      </c>
      <c r="U255" t="str">
        <f>IFERROR(AVERAGEIFS(tbl_perf[Grade],tbl_perf[CodeName],tbl_daily[[#This Row],[CodeName]],tbl_perf[Date],tbl_daily[[#This Row],[Date]]),"")</f>
        <v/>
      </c>
      <c r="V255">
        <f>IFERROR(IF(AND(tbl_daily[[#This Row],[Attendance (1 = Here, 0 = Not here)]]=1,tbl_daily[[#This Row],[Attended, but did not complete data]]&lt;&gt;1),1,IF(AND(tbl_daily[[#This Row],[Attendance (1 = Here, 0 = Not here)]]=1,tbl_daily[[#This Row],[Attended, but did not complete data]]=1),2,3)),"")</f>
        <v>1</v>
      </c>
      <c r="W255">
        <f>IF(AND(tbl_daily[[#This Row],[Attendance Refined]]=1,tbl_daily[[#This Row],[InjuryStatus]]="Full"),1,IF(AND(tbl_daily[[#This Row],[Attendance Refined]]=1,tbl_daily[[#This Row],[InjuryStatus]]="Limited"),2,IF(AND(tbl_daily[[#This Row],[Attendance Refined]]=1,tbl_daily[[#This Row],[InjuryStatus]]="Out"),3,"")))</f>
        <v>1</v>
      </c>
    </row>
    <row r="256" spans="1:23" ht="15" customHeight="1" x14ac:dyDescent="0.25">
      <c r="A256" s="1">
        <v>43867</v>
      </c>
      <c r="B256" t="s">
        <v>411</v>
      </c>
      <c r="C256">
        <v>0</v>
      </c>
      <c r="D256">
        <v>0</v>
      </c>
      <c r="M256" t="s">
        <v>139</v>
      </c>
      <c r="P256" t="str">
        <f>IFERROR(IF(AND(tbl_daily[[#This Row],[Attendance (1 = Here, 0 = Not here)]]=1,tbl_daily[[#This Row],[Attended, but did not complete data]]&lt;&gt;1),tbl_daily[[#This Row],[Stress]]+tbl_daily[[#This Row],[SleepQuality]]+tbl_daily[[#This Row],[Energy]],""),"")</f>
        <v/>
      </c>
      <c r="Q256" t="str">
        <f>IFERROR(IF(AND(tbl_daily[[#This Row],[Attendance (1 = Here, 0 = Not here)]]=1,tbl_daily[[#This Row],[Attended, but did not complete data]]&lt;&gt;1),tbl_daily[[#This Row],[LatestRPE]]*tbl_daily[[#This Row],[LatestDuration]],""),"")</f>
        <v/>
      </c>
      <c r="R256">
        <f>IF(tbl_daily[[#This Row],[CodeName]]&lt;&gt;"",1,"")</f>
        <v>1</v>
      </c>
      <c r="S256" t="str">
        <f>IF(AND(tbl_daily[[#This Row],[Date]]&gt;=DATE(2019,8,1),tbl_daily[[#This Row],[Date]]&lt;=DATE(2020,6,1)),"2019-2020")</f>
        <v>2019-2020</v>
      </c>
      <c r="T256" t="str">
        <f>IFERROR(INDEX(tbl_prof[Cohort of Interest],MATCH(tbl_daily[[#This Row],[CodeName]],tbl_prof[CodeName],0)),"")</f>
        <v>Athletes</v>
      </c>
      <c r="U256" t="str">
        <f>IFERROR(AVERAGEIFS(tbl_perf[Grade],tbl_perf[CodeName],tbl_daily[[#This Row],[CodeName]],tbl_perf[Date],tbl_daily[[#This Row],[Date]]),"")</f>
        <v/>
      </c>
      <c r="V256">
        <f>IFERROR(IF(AND(tbl_daily[[#This Row],[Attendance (1 = Here, 0 = Not here)]]=1,tbl_daily[[#This Row],[Attended, but did not complete data]]&lt;&gt;1),1,IF(AND(tbl_daily[[#This Row],[Attendance (1 = Here, 0 = Not here)]]=1,tbl_daily[[#This Row],[Attended, but did not complete data]]=1),2,3)),"")</f>
        <v>3</v>
      </c>
      <c r="W256" t="str">
        <f>IF(AND(tbl_daily[[#This Row],[Attendance Refined]]=1,tbl_daily[[#This Row],[InjuryStatus]]="Full"),1,IF(AND(tbl_daily[[#This Row],[Attendance Refined]]=1,tbl_daily[[#This Row],[InjuryStatus]]="Limited"),2,IF(AND(tbl_daily[[#This Row],[Attendance Refined]]=1,tbl_daily[[#This Row],[InjuryStatus]]="Out"),3,"")))</f>
        <v/>
      </c>
    </row>
    <row r="257" spans="1:23" ht="15" customHeight="1" x14ac:dyDescent="0.25">
      <c r="A257" s="1">
        <v>43867</v>
      </c>
      <c r="B257" t="s">
        <v>420</v>
      </c>
      <c r="C257">
        <v>0</v>
      </c>
      <c r="D257">
        <v>0</v>
      </c>
      <c r="M257" t="s">
        <v>139</v>
      </c>
      <c r="P257" t="str">
        <f>IFERROR(IF(AND(tbl_daily[[#This Row],[Attendance (1 = Here, 0 = Not here)]]=1,tbl_daily[[#This Row],[Attended, but did not complete data]]&lt;&gt;1),tbl_daily[[#This Row],[Stress]]+tbl_daily[[#This Row],[SleepQuality]]+tbl_daily[[#This Row],[Energy]],""),"")</f>
        <v/>
      </c>
      <c r="Q257" t="str">
        <f>IFERROR(IF(AND(tbl_daily[[#This Row],[Attendance (1 = Here, 0 = Not here)]]=1,tbl_daily[[#This Row],[Attended, but did not complete data]]&lt;&gt;1),tbl_daily[[#This Row],[LatestRPE]]*tbl_daily[[#This Row],[LatestDuration]],""),"")</f>
        <v/>
      </c>
      <c r="R257">
        <f>IF(tbl_daily[[#This Row],[CodeName]]&lt;&gt;"",1,"")</f>
        <v>1</v>
      </c>
      <c r="S257" t="str">
        <f>IF(AND(tbl_daily[[#This Row],[Date]]&gt;=DATE(2019,8,1),tbl_daily[[#This Row],[Date]]&lt;=DATE(2020,6,1)),"2019-2020")</f>
        <v>2019-2020</v>
      </c>
      <c r="T257" t="str">
        <f>IFERROR(INDEX(tbl_prof[Cohort of Interest],MATCH(tbl_daily[[#This Row],[CodeName]],tbl_prof[CodeName],0)),"")</f>
        <v>Athletes</v>
      </c>
      <c r="U257" t="str">
        <f>IFERROR(AVERAGEIFS(tbl_perf[Grade],tbl_perf[CodeName],tbl_daily[[#This Row],[CodeName]],tbl_perf[Date],tbl_daily[[#This Row],[Date]]),"")</f>
        <v/>
      </c>
      <c r="V257">
        <f>IFERROR(IF(AND(tbl_daily[[#This Row],[Attendance (1 = Here, 0 = Not here)]]=1,tbl_daily[[#This Row],[Attended, but did not complete data]]&lt;&gt;1),1,IF(AND(tbl_daily[[#This Row],[Attendance (1 = Here, 0 = Not here)]]=1,tbl_daily[[#This Row],[Attended, but did not complete data]]=1),2,3)),"")</f>
        <v>3</v>
      </c>
      <c r="W257" t="str">
        <f>IF(AND(tbl_daily[[#This Row],[Attendance Refined]]=1,tbl_daily[[#This Row],[InjuryStatus]]="Full"),1,IF(AND(tbl_daily[[#This Row],[Attendance Refined]]=1,tbl_daily[[#This Row],[InjuryStatus]]="Limited"),2,IF(AND(tbl_daily[[#This Row],[Attendance Refined]]=1,tbl_daily[[#This Row],[InjuryStatus]]="Out"),3,"")))</f>
        <v/>
      </c>
    </row>
    <row r="258" spans="1:23" ht="15" customHeight="1" x14ac:dyDescent="0.25">
      <c r="A258" s="1">
        <v>43867</v>
      </c>
      <c r="B258" t="s">
        <v>430</v>
      </c>
      <c r="C258">
        <v>0</v>
      </c>
      <c r="D258">
        <v>1</v>
      </c>
      <c r="M258" t="s">
        <v>139</v>
      </c>
      <c r="P258" t="str">
        <f>IFERROR(IF(AND(tbl_daily[[#This Row],[Attendance (1 = Here, 0 = Not here)]]=1,tbl_daily[[#This Row],[Attended, but did not complete data]]&lt;&gt;1),tbl_daily[[#This Row],[Stress]]+tbl_daily[[#This Row],[SleepQuality]]+tbl_daily[[#This Row],[Energy]],""),"")</f>
        <v/>
      </c>
      <c r="Q258" t="str">
        <f>IFERROR(IF(AND(tbl_daily[[#This Row],[Attendance (1 = Here, 0 = Not here)]]=1,tbl_daily[[#This Row],[Attended, but did not complete data]]&lt;&gt;1),tbl_daily[[#This Row],[LatestRPE]]*tbl_daily[[#This Row],[LatestDuration]],""),"")</f>
        <v/>
      </c>
      <c r="R258">
        <f>IF(tbl_daily[[#This Row],[CodeName]]&lt;&gt;"",1,"")</f>
        <v>1</v>
      </c>
      <c r="S258" t="str">
        <f>IF(AND(tbl_daily[[#This Row],[Date]]&gt;=DATE(2019,8,1),tbl_daily[[#This Row],[Date]]&lt;=DATE(2020,6,1)),"2019-2020")</f>
        <v>2019-2020</v>
      </c>
      <c r="T258" t="str">
        <f>IFERROR(INDEX(tbl_prof[Cohort of Interest],MATCH(tbl_daily[[#This Row],[CodeName]],tbl_prof[CodeName],0)),"")</f>
        <v>Gen Pop</v>
      </c>
      <c r="U258" t="str">
        <f>IFERROR(AVERAGEIFS(tbl_perf[Grade],tbl_perf[CodeName],tbl_daily[[#This Row],[CodeName]],tbl_perf[Date],tbl_daily[[#This Row],[Date]]),"")</f>
        <v/>
      </c>
      <c r="V258">
        <f>IFERROR(IF(AND(tbl_daily[[#This Row],[Attendance (1 = Here, 0 = Not here)]]=1,tbl_daily[[#This Row],[Attended, but did not complete data]]&lt;&gt;1),1,IF(AND(tbl_daily[[#This Row],[Attendance (1 = Here, 0 = Not here)]]=1,tbl_daily[[#This Row],[Attended, but did not complete data]]=1),2,3)),"")</f>
        <v>3</v>
      </c>
      <c r="W258" t="str">
        <f>IF(AND(tbl_daily[[#This Row],[Attendance Refined]]=1,tbl_daily[[#This Row],[InjuryStatus]]="Full"),1,IF(AND(tbl_daily[[#This Row],[Attendance Refined]]=1,tbl_daily[[#This Row],[InjuryStatus]]="Limited"),2,IF(AND(tbl_daily[[#This Row],[Attendance Refined]]=1,tbl_daily[[#This Row],[InjuryStatus]]="Out"),3,"")))</f>
        <v/>
      </c>
    </row>
    <row r="259" spans="1:23" ht="15" customHeight="1" x14ac:dyDescent="0.25">
      <c r="A259" s="1">
        <v>43867</v>
      </c>
      <c r="B259" t="s">
        <v>436</v>
      </c>
      <c r="C259">
        <v>0</v>
      </c>
      <c r="D259">
        <v>1</v>
      </c>
      <c r="M259" t="s">
        <v>139</v>
      </c>
      <c r="P259" t="str">
        <f>IFERROR(IF(AND(tbl_daily[[#This Row],[Attendance (1 = Here, 0 = Not here)]]=1,tbl_daily[[#This Row],[Attended, but did not complete data]]&lt;&gt;1),tbl_daily[[#This Row],[Stress]]+tbl_daily[[#This Row],[SleepQuality]]+tbl_daily[[#This Row],[Energy]],""),"")</f>
        <v/>
      </c>
      <c r="Q259" t="str">
        <f>IFERROR(IF(AND(tbl_daily[[#This Row],[Attendance (1 = Here, 0 = Not here)]]=1,tbl_daily[[#This Row],[Attended, but did not complete data]]&lt;&gt;1),tbl_daily[[#This Row],[LatestRPE]]*tbl_daily[[#This Row],[LatestDuration]],""),"")</f>
        <v/>
      </c>
      <c r="R259">
        <f>IF(tbl_daily[[#This Row],[CodeName]]&lt;&gt;"",1,"")</f>
        <v>1</v>
      </c>
      <c r="S259" t="str">
        <f>IF(AND(tbl_daily[[#This Row],[Date]]&gt;=DATE(2019,8,1),tbl_daily[[#This Row],[Date]]&lt;=DATE(2020,6,1)),"2019-2020")</f>
        <v>2019-2020</v>
      </c>
      <c r="T259" t="str">
        <f>IFERROR(INDEX(tbl_prof[Cohort of Interest],MATCH(tbl_daily[[#This Row],[CodeName]],tbl_prof[CodeName],0)),"")</f>
        <v>Athletes</v>
      </c>
      <c r="U259" t="str">
        <f>IFERROR(AVERAGEIFS(tbl_perf[Grade],tbl_perf[CodeName],tbl_daily[[#This Row],[CodeName]],tbl_perf[Date],tbl_daily[[#This Row],[Date]]),"")</f>
        <v/>
      </c>
      <c r="V259">
        <f>IFERROR(IF(AND(tbl_daily[[#This Row],[Attendance (1 = Here, 0 = Not here)]]=1,tbl_daily[[#This Row],[Attended, but did not complete data]]&lt;&gt;1),1,IF(AND(tbl_daily[[#This Row],[Attendance (1 = Here, 0 = Not here)]]=1,tbl_daily[[#This Row],[Attended, but did not complete data]]=1),2,3)),"")</f>
        <v>3</v>
      </c>
      <c r="W259" t="str">
        <f>IF(AND(tbl_daily[[#This Row],[Attendance Refined]]=1,tbl_daily[[#This Row],[InjuryStatus]]="Full"),1,IF(AND(tbl_daily[[#This Row],[Attendance Refined]]=1,tbl_daily[[#This Row],[InjuryStatus]]="Limited"),2,IF(AND(tbl_daily[[#This Row],[Attendance Refined]]=1,tbl_daily[[#This Row],[InjuryStatus]]="Out"),3,"")))</f>
        <v/>
      </c>
    </row>
    <row r="260" spans="1:23" ht="15" customHeight="1" x14ac:dyDescent="0.25">
      <c r="A260" s="1">
        <v>43865</v>
      </c>
      <c r="B260" t="s">
        <v>412</v>
      </c>
      <c r="C260">
        <v>1</v>
      </c>
      <c r="E260">
        <v>8</v>
      </c>
      <c r="F260">
        <v>5</v>
      </c>
      <c r="G260">
        <v>5</v>
      </c>
      <c r="H260" t="s">
        <v>15</v>
      </c>
      <c r="I260">
        <v>0</v>
      </c>
      <c r="J260">
        <v>0</v>
      </c>
      <c r="K260">
        <v>0</v>
      </c>
      <c r="M260" t="s">
        <v>112</v>
      </c>
      <c r="N260" t="s">
        <v>114</v>
      </c>
      <c r="P260">
        <f>IFERROR(IF(AND(tbl_daily[[#This Row],[Attendance (1 = Here, 0 = Not here)]]=1,tbl_daily[[#This Row],[Attended, but did not complete data]]&lt;&gt;1),tbl_daily[[#This Row],[Stress]]+tbl_daily[[#This Row],[SleepQuality]]+tbl_daily[[#This Row],[Energy]],""),"")</f>
        <v>18</v>
      </c>
      <c r="Q260">
        <f>IFERROR(IF(AND(tbl_daily[[#This Row],[Attendance (1 = Here, 0 = Not here)]]=1,tbl_daily[[#This Row],[Attended, but did not complete data]]&lt;&gt;1),tbl_daily[[#This Row],[LatestRPE]]*tbl_daily[[#This Row],[LatestDuration]],""),"")</f>
        <v>0</v>
      </c>
      <c r="R260">
        <f>IF(tbl_daily[[#This Row],[CodeName]]&lt;&gt;"",1,"")</f>
        <v>1</v>
      </c>
      <c r="S260" t="str">
        <f>IF(AND(tbl_daily[[#This Row],[Date]]&gt;=DATE(2019,8,1),tbl_daily[[#This Row],[Date]]&lt;=DATE(2020,6,1)),"2019-2020")</f>
        <v>2019-2020</v>
      </c>
      <c r="T260" t="str">
        <f>IFERROR(INDEX(tbl_prof[Cohort of Interest],MATCH(tbl_daily[[#This Row],[CodeName]],tbl_prof[CodeName],0)),"")</f>
        <v>Gen Pop</v>
      </c>
      <c r="U260">
        <f>IFERROR(AVERAGEIFS(tbl_perf[Grade],tbl_perf[CodeName],tbl_daily[[#This Row],[CodeName]],tbl_perf[Date],tbl_daily[[#This Row],[Date]]),"")</f>
        <v>84</v>
      </c>
      <c r="V260">
        <f>IFERROR(IF(AND(tbl_daily[[#This Row],[Attendance (1 = Here, 0 = Not here)]]=1,tbl_daily[[#This Row],[Attended, but did not complete data]]&lt;&gt;1),1,IF(AND(tbl_daily[[#This Row],[Attendance (1 = Here, 0 = Not here)]]=1,tbl_daily[[#This Row],[Attended, but did not complete data]]=1),2,3)),"")</f>
        <v>1</v>
      </c>
      <c r="W260">
        <f>IF(AND(tbl_daily[[#This Row],[Attendance Refined]]=1,tbl_daily[[#This Row],[InjuryStatus]]="Full"),1,IF(AND(tbl_daily[[#This Row],[Attendance Refined]]=1,tbl_daily[[#This Row],[InjuryStatus]]="Limited"),2,IF(AND(tbl_daily[[#This Row],[Attendance Refined]]=1,tbl_daily[[#This Row],[InjuryStatus]]="Out"),3,"")))</f>
        <v>1</v>
      </c>
    </row>
    <row r="261" spans="1:23" ht="15" customHeight="1" x14ac:dyDescent="0.25">
      <c r="A261" s="1">
        <v>43865</v>
      </c>
      <c r="B261" t="s">
        <v>414</v>
      </c>
      <c r="C261">
        <v>1</v>
      </c>
      <c r="E261">
        <v>6</v>
      </c>
      <c r="F261">
        <v>6</v>
      </c>
      <c r="G261">
        <v>5</v>
      </c>
      <c r="H261" t="s">
        <v>15</v>
      </c>
      <c r="I261">
        <v>0</v>
      </c>
      <c r="J261">
        <v>0</v>
      </c>
      <c r="K261">
        <v>0</v>
      </c>
      <c r="M261" t="s">
        <v>112</v>
      </c>
      <c r="N261" s="2" t="s">
        <v>116</v>
      </c>
      <c r="P261">
        <f>IFERROR(IF(AND(tbl_daily[[#This Row],[Attendance (1 = Here, 0 = Not here)]]=1,tbl_daily[[#This Row],[Attended, but did not complete data]]&lt;&gt;1),tbl_daily[[#This Row],[Stress]]+tbl_daily[[#This Row],[SleepQuality]]+tbl_daily[[#This Row],[Energy]],""),"")</f>
        <v>17</v>
      </c>
      <c r="Q261">
        <f>IFERROR(IF(AND(tbl_daily[[#This Row],[Attendance (1 = Here, 0 = Not here)]]=1,tbl_daily[[#This Row],[Attended, but did not complete data]]&lt;&gt;1),tbl_daily[[#This Row],[LatestRPE]]*tbl_daily[[#This Row],[LatestDuration]],""),"")</f>
        <v>0</v>
      </c>
      <c r="R261">
        <f>IF(tbl_daily[[#This Row],[CodeName]]&lt;&gt;"",1,"")</f>
        <v>1</v>
      </c>
      <c r="S261" t="str">
        <f>IF(AND(tbl_daily[[#This Row],[Date]]&gt;=DATE(2019,8,1),tbl_daily[[#This Row],[Date]]&lt;=DATE(2020,6,1)),"2019-2020")</f>
        <v>2019-2020</v>
      </c>
      <c r="T261" t="str">
        <f>IFERROR(INDEX(tbl_prof[Cohort of Interest],MATCH(tbl_daily[[#This Row],[CodeName]],tbl_prof[CodeName],0)),"")</f>
        <v>Gen Pop</v>
      </c>
      <c r="U261">
        <f>IFERROR(AVERAGEIFS(tbl_perf[Grade],tbl_perf[CodeName],tbl_daily[[#This Row],[CodeName]],tbl_perf[Date],tbl_daily[[#This Row],[Date]]),"")</f>
        <v>100</v>
      </c>
      <c r="V261">
        <f>IFERROR(IF(AND(tbl_daily[[#This Row],[Attendance (1 = Here, 0 = Not here)]]=1,tbl_daily[[#This Row],[Attended, but did not complete data]]&lt;&gt;1),1,IF(AND(tbl_daily[[#This Row],[Attendance (1 = Here, 0 = Not here)]]=1,tbl_daily[[#This Row],[Attended, but did not complete data]]=1),2,3)),"")</f>
        <v>1</v>
      </c>
      <c r="W261">
        <f>IF(AND(tbl_daily[[#This Row],[Attendance Refined]]=1,tbl_daily[[#This Row],[InjuryStatus]]="Full"),1,IF(AND(tbl_daily[[#This Row],[Attendance Refined]]=1,tbl_daily[[#This Row],[InjuryStatus]]="Limited"),2,IF(AND(tbl_daily[[#This Row],[Attendance Refined]]=1,tbl_daily[[#This Row],[InjuryStatus]]="Out"),3,"")))</f>
        <v>1</v>
      </c>
    </row>
    <row r="262" spans="1:23" ht="15" customHeight="1" x14ac:dyDescent="0.25">
      <c r="A262" s="1">
        <v>43865</v>
      </c>
      <c r="B262" t="s">
        <v>416</v>
      </c>
      <c r="C262">
        <v>1</v>
      </c>
      <c r="E262">
        <v>5</v>
      </c>
      <c r="F262">
        <v>7</v>
      </c>
      <c r="G262">
        <v>6</v>
      </c>
      <c r="H262" t="s">
        <v>32</v>
      </c>
      <c r="I262">
        <v>0</v>
      </c>
      <c r="K262">
        <v>0</v>
      </c>
      <c r="M262" t="s">
        <v>112</v>
      </c>
      <c r="N262" t="s">
        <v>117</v>
      </c>
      <c r="P262">
        <f>IFERROR(IF(AND(tbl_daily[[#This Row],[Attendance (1 = Here, 0 = Not here)]]=1,tbl_daily[[#This Row],[Attended, but did not complete data]]&lt;&gt;1),tbl_daily[[#This Row],[Stress]]+tbl_daily[[#This Row],[SleepQuality]]+tbl_daily[[#This Row],[Energy]],""),"")</f>
        <v>18</v>
      </c>
      <c r="Q262">
        <f>IFERROR(IF(AND(tbl_daily[[#This Row],[Attendance (1 = Here, 0 = Not here)]]=1,tbl_daily[[#This Row],[Attended, but did not complete data]]&lt;&gt;1),tbl_daily[[#This Row],[LatestRPE]]*tbl_daily[[#This Row],[LatestDuration]],""),"")</f>
        <v>0</v>
      </c>
      <c r="R262">
        <f>IF(tbl_daily[[#This Row],[CodeName]]&lt;&gt;"",1,"")</f>
        <v>1</v>
      </c>
      <c r="S262" t="str">
        <f>IF(AND(tbl_daily[[#This Row],[Date]]&gt;=DATE(2019,8,1),tbl_daily[[#This Row],[Date]]&lt;=DATE(2020,6,1)),"2019-2020")</f>
        <v>2019-2020</v>
      </c>
      <c r="T262" t="str">
        <f>IFERROR(INDEX(tbl_prof[Cohort of Interest],MATCH(tbl_daily[[#This Row],[CodeName]],tbl_prof[CodeName],0)),"")</f>
        <v>Special</v>
      </c>
      <c r="U262">
        <f>IFERROR(AVERAGEIFS(tbl_perf[Grade],tbl_perf[CodeName],tbl_daily[[#This Row],[CodeName]],tbl_perf[Date],tbl_daily[[#This Row],[Date]]),"")</f>
        <v>78</v>
      </c>
      <c r="V262">
        <f>IFERROR(IF(AND(tbl_daily[[#This Row],[Attendance (1 = Here, 0 = Not here)]]=1,tbl_daily[[#This Row],[Attended, but did not complete data]]&lt;&gt;1),1,IF(AND(tbl_daily[[#This Row],[Attendance (1 = Here, 0 = Not here)]]=1,tbl_daily[[#This Row],[Attended, but did not complete data]]=1),2,3)),"")</f>
        <v>1</v>
      </c>
      <c r="W262">
        <f>IF(AND(tbl_daily[[#This Row],[Attendance Refined]]=1,tbl_daily[[#This Row],[InjuryStatus]]="Full"),1,IF(AND(tbl_daily[[#This Row],[Attendance Refined]]=1,tbl_daily[[#This Row],[InjuryStatus]]="Limited"),2,IF(AND(tbl_daily[[#This Row],[Attendance Refined]]=1,tbl_daily[[#This Row],[InjuryStatus]]="Out"),3,"")))</f>
        <v>2</v>
      </c>
    </row>
    <row r="263" spans="1:23" ht="15" customHeight="1" x14ac:dyDescent="0.25">
      <c r="A263" s="1">
        <v>43865</v>
      </c>
      <c r="B263" t="s">
        <v>422</v>
      </c>
      <c r="C263">
        <v>1</v>
      </c>
      <c r="E263">
        <v>6</v>
      </c>
      <c r="F263">
        <v>6</v>
      </c>
      <c r="G263">
        <v>7</v>
      </c>
      <c r="H263" t="s">
        <v>15</v>
      </c>
      <c r="I263">
        <v>1</v>
      </c>
      <c r="J263">
        <v>6</v>
      </c>
      <c r="M263" t="s">
        <v>112</v>
      </c>
      <c r="N263" t="s">
        <v>121</v>
      </c>
      <c r="P263">
        <f>IFERROR(IF(AND(tbl_daily[[#This Row],[Attendance (1 = Here, 0 = Not here)]]=1,tbl_daily[[#This Row],[Attended, but did not complete data]]&lt;&gt;1),tbl_daily[[#This Row],[Stress]]+tbl_daily[[#This Row],[SleepQuality]]+tbl_daily[[#This Row],[Energy]],""),"")</f>
        <v>19</v>
      </c>
      <c r="Q263">
        <f>IFERROR(IF(AND(tbl_daily[[#This Row],[Attendance (1 = Here, 0 = Not here)]]=1,tbl_daily[[#This Row],[Attended, but did not complete data]]&lt;&gt;1),tbl_daily[[#This Row],[LatestRPE]]*tbl_daily[[#This Row],[LatestDuration]],""),"")</f>
        <v>0</v>
      </c>
      <c r="R263">
        <f>IF(tbl_daily[[#This Row],[CodeName]]&lt;&gt;"",1,"")</f>
        <v>1</v>
      </c>
      <c r="S263" t="str">
        <f>IF(AND(tbl_daily[[#This Row],[Date]]&gt;=DATE(2019,8,1),tbl_daily[[#This Row],[Date]]&lt;=DATE(2020,6,1)),"2019-2020")</f>
        <v>2019-2020</v>
      </c>
      <c r="T263" t="str">
        <f>IFERROR(INDEX(tbl_prof[Cohort of Interest],MATCH(tbl_daily[[#This Row],[CodeName]],tbl_prof[CodeName],0)),"")</f>
        <v>Athletes</v>
      </c>
      <c r="U263">
        <f>IFERROR(AVERAGEIFS(tbl_perf[Grade],tbl_perf[CodeName],tbl_daily[[#This Row],[CodeName]],tbl_perf[Date],tbl_daily[[#This Row],[Date]]),"")</f>
        <v>75</v>
      </c>
      <c r="V263">
        <f>IFERROR(IF(AND(tbl_daily[[#This Row],[Attendance (1 = Here, 0 = Not here)]]=1,tbl_daily[[#This Row],[Attended, but did not complete data]]&lt;&gt;1),1,IF(AND(tbl_daily[[#This Row],[Attendance (1 = Here, 0 = Not here)]]=1,tbl_daily[[#This Row],[Attended, but did not complete data]]=1),2,3)),"")</f>
        <v>1</v>
      </c>
      <c r="W263">
        <f>IF(AND(tbl_daily[[#This Row],[Attendance Refined]]=1,tbl_daily[[#This Row],[InjuryStatus]]="Full"),1,IF(AND(tbl_daily[[#This Row],[Attendance Refined]]=1,tbl_daily[[#This Row],[InjuryStatus]]="Limited"),2,IF(AND(tbl_daily[[#This Row],[Attendance Refined]]=1,tbl_daily[[#This Row],[InjuryStatus]]="Out"),3,"")))</f>
        <v>1</v>
      </c>
    </row>
    <row r="264" spans="1:23" ht="15" customHeight="1" x14ac:dyDescent="0.25">
      <c r="A264" s="1">
        <v>43865</v>
      </c>
      <c r="B264" t="s">
        <v>424</v>
      </c>
      <c r="C264">
        <v>1</v>
      </c>
      <c r="E264">
        <v>6</v>
      </c>
      <c r="F264">
        <v>6</v>
      </c>
      <c r="G264">
        <v>4</v>
      </c>
      <c r="H264" t="s">
        <v>15</v>
      </c>
      <c r="I264">
        <v>0</v>
      </c>
      <c r="J264">
        <v>0</v>
      </c>
      <c r="K264">
        <v>0</v>
      </c>
      <c r="M264" t="s">
        <v>112</v>
      </c>
      <c r="N264" t="s">
        <v>123</v>
      </c>
      <c r="P264">
        <f>IFERROR(IF(AND(tbl_daily[[#This Row],[Attendance (1 = Here, 0 = Not here)]]=1,tbl_daily[[#This Row],[Attended, but did not complete data]]&lt;&gt;1),tbl_daily[[#This Row],[Stress]]+tbl_daily[[#This Row],[SleepQuality]]+tbl_daily[[#This Row],[Energy]],""),"")</f>
        <v>16</v>
      </c>
      <c r="Q264">
        <f>IFERROR(IF(AND(tbl_daily[[#This Row],[Attendance (1 = Here, 0 = Not here)]]=1,tbl_daily[[#This Row],[Attended, but did not complete data]]&lt;&gt;1),tbl_daily[[#This Row],[LatestRPE]]*tbl_daily[[#This Row],[LatestDuration]],""),"")</f>
        <v>0</v>
      </c>
      <c r="R264">
        <f>IF(tbl_daily[[#This Row],[CodeName]]&lt;&gt;"",1,"")</f>
        <v>1</v>
      </c>
      <c r="S264" t="str">
        <f>IF(AND(tbl_daily[[#This Row],[Date]]&gt;=DATE(2019,8,1),tbl_daily[[#This Row],[Date]]&lt;=DATE(2020,6,1)),"2019-2020")</f>
        <v>2019-2020</v>
      </c>
      <c r="T264" t="str">
        <f>IFERROR(INDEX(tbl_prof[Cohort of Interest],MATCH(tbl_daily[[#This Row],[CodeName]],tbl_prof[CodeName],0)),"")</f>
        <v>Special</v>
      </c>
      <c r="U264">
        <f>IFERROR(AVERAGEIFS(tbl_perf[Grade],tbl_perf[CodeName],tbl_daily[[#This Row],[CodeName]],tbl_perf[Date],tbl_daily[[#This Row],[Date]]),"")</f>
        <v>92</v>
      </c>
      <c r="V264">
        <f>IFERROR(IF(AND(tbl_daily[[#This Row],[Attendance (1 = Here, 0 = Not here)]]=1,tbl_daily[[#This Row],[Attended, but did not complete data]]&lt;&gt;1),1,IF(AND(tbl_daily[[#This Row],[Attendance (1 = Here, 0 = Not here)]]=1,tbl_daily[[#This Row],[Attended, but did not complete data]]=1),2,3)),"")</f>
        <v>1</v>
      </c>
      <c r="W264">
        <f>IF(AND(tbl_daily[[#This Row],[Attendance Refined]]=1,tbl_daily[[#This Row],[InjuryStatus]]="Full"),1,IF(AND(tbl_daily[[#This Row],[Attendance Refined]]=1,tbl_daily[[#This Row],[InjuryStatus]]="Limited"),2,IF(AND(tbl_daily[[#This Row],[Attendance Refined]]=1,tbl_daily[[#This Row],[InjuryStatus]]="Out"),3,"")))</f>
        <v>1</v>
      </c>
    </row>
    <row r="265" spans="1:23" ht="15" customHeight="1" x14ac:dyDescent="0.25">
      <c r="A265" s="1">
        <v>43865</v>
      </c>
      <c r="B265" t="s">
        <v>425</v>
      </c>
      <c r="C265">
        <v>1</v>
      </c>
      <c r="E265">
        <v>4</v>
      </c>
      <c r="F265">
        <v>9</v>
      </c>
      <c r="G265">
        <v>7</v>
      </c>
      <c r="H265" t="s">
        <v>15</v>
      </c>
      <c r="I265">
        <v>0</v>
      </c>
      <c r="J265">
        <v>0</v>
      </c>
      <c r="K265">
        <v>0</v>
      </c>
      <c r="M265" t="s">
        <v>112</v>
      </c>
      <c r="N265" t="s">
        <v>124</v>
      </c>
      <c r="P265">
        <f>IFERROR(IF(AND(tbl_daily[[#This Row],[Attendance (1 = Here, 0 = Not here)]]=1,tbl_daily[[#This Row],[Attended, but did not complete data]]&lt;&gt;1),tbl_daily[[#This Row],[Stress]]+tbl_daily[[#This Row],[SleepQuality]]+tbl_daily[[#This Row],[Energy]],""),"")</f>
        <v>20</v>
      </c>
      <c r="Q265">
        <f>IFERROR(IF(AND(tbl_daily[[#This Row],[Attendance (1 = Here, 0 = Not here)]]=1,tbl_daily[[#This Row],[Attended, but did not complete data]]&lt;&gt;1),tbl_daily[[#This Row],[LatestRPE]]*tbl_daily[[#This Row],[LatestDuration]],""),"")</f>
        <v>0</v>
      </c>
      <c r="R265">
        <f>IF(tbl_daily[[#This Row],[CodeName]]&lt;&gt;"",1,"")</f>
        <v>1</v>
      </c>
      <c r="S265" t="str">
        <f>IF(AND(tbl_daily[[#This Row],[Date]]&gt;=DATE(2019,8,1),tbl_daily[[#This Row],[Date]]&lt;=DATE(2020,6,1)),"2019-2020")</f>
        <v>2019-2020</v>
      </c>
      <c r="T265" t="str">
        <f>IFERROR(INDEX(tbl_prof[Cohort of Interest],MATCH(tbl_daily[[#This Row],[CodeName]],tbl_prof[CodeName],0)),"")</f>
        <v>Athletes</v>
      </c>
      <c r="U265">
        <f>IFERROR(AVERAGEIFS(tbl_perf[Grade],tbl_perf[CodeName],tbl_daily[[#This Row],[CodeName]],tbl_perf[Date],tbl_daily[[#This Row],[Date]]),"")</f>
        <v>87</v>
      </c>
      <c r="V265">
        <f>IFERROR(IF(AND(tbl_daily[[#This Row],[Attendance (1 = Here, 0 = Not here)]]=1,tbl_daily[[#This Row],[Attended, but did not complete data]]&lt;&gt;1),1,IF(AND(tbl_daily[[#This Row],[Attendance (1 = Here, 0 = Not here)]]=1,tbl_daily[[#This Row],[Attended, but did not complete data]]=1),2,3)),"")</f>
        <v>1</v>
      </c>
      <c r="W265">
        <f>IF(AND(tbl_daily[[#This Row],[Attendance Refined]]=1,tbl_daily[[#This Row],[InjuryStatus]]="Full"),1,IF(AND(tbl_daily[[#This Row],[Attendance Refined]]=1,tbl_daily[[#This Row],[InjuryStatus]]="Limited"),2,IF(AND(tbl_daily[[#This Row],[Attendance Refined]]=1,tbl_daily[[#This Row],[InjuryStatus]]="Out"),3,"")))</f>
        <v>1</v>
      </c>
    </row>
    <row r="266" spans="1:23" ht="15" customHeight="1" x14ac:dyDescent="0.25">
      <c r="A266" s="1">
        <v>43865</v>
      </c>
      <c r="B266" t="s">
        <v>427</v>
      </c>
      <c r="C266">
        <v>1</v>
      </c>
      <c r="E266">
        <v>8</v>
      </c>
      <c r="F266">
        <v>8</v>
      </c>
      <c r="G266">
        <v>8</v>
      </c>
      <c r="H266" t="s">
        <v>15</v>
      </c>
      <c r="I266">
        <v>1</v>
      </c>
      <c r="J266">
        <v>6</v>
      </c>
      <c r="M266" t="s">
        <v>112</v>
      </c>
      <c r="N266" t="s">
        <v>126</v>
      </c>
      <c r="P266">
        <f>IFERROR(IF(AND(tbl_daily[[#This Row],[Attendance (1 = Here, 0 = Not here)]]=1,tbl_daily[[#This Row],[Attended, but did not complete data]]&lt;&gt;1),tbl_daily[[#This Row],[Stress]]+tbl_daily[[#This Row],[SleepQuality]]+tbl_daily[[#This Row],[Energy]],""),"")</f>
        <v>24</v>
      </c>
      <c r="Q266">
        <f>IFERROR(IF(AND(tbl_daily[[#This Row],[Attendance (1 = Here, 0 = Not here)]]=1,tbl_daily[[#This Row],[Attended, but did not complete data]]&lt;&gt;1),tbl_daily[[#This Row],[LatestRPE]]*tbl_daily[[#This Row],[LatestDuration]],""),"")</f>
        <v>0</v>
      </c>
      <c r="R266">
        <f>IF(tbl_daily[[#This Row],[CodeName]]&lt;&gt;"",1,"")</f>
        <v>1</v>
      </c>
      <c r="S266" t="str">
        <f>IF(AND(tbl_daily[[#This Row],[Date]]&gt;=DATE(2019,8,1),tbl_daily[[#This Row],[Date]]&lt;=DATE(2020,6,1)),"2019-2020")</f>
        <v>2019-2020</v>
      </c>
      <c r="T266" t="str">
        <f>IFERROR(INDEX(tbl_prof[Cohort of Interest],MATCH(tbl_daily[[#This Row],[CodeName]],tbl_prof[CodeName],0)),"")</f>
        <v>Special</v>
      </c>
      <c r="U266">
        <f>IFERROR(AVERAGEIFS(tbl_perf[Grade],tbl_perf[CodeName],tbl_daily[[#This Row],[CodeName]],tbl_perf[Date],tbl_daily[[#This Row],[Date]]),"")</f>
        <v>78</v>
      </c>
      <c r="V266">
        <f>IFERROR(IF(AND(tbl_daily[[#This Row],[Attendance (1 = Here, 0 = Not here)]]=1,tbl_daily[[#This Row],[Attended, but did not complete data]]&lt;&gt;1),1,IF(AND(tbl_daily[[#This Row],[Attendance (1 = Here, 0 = Not here)]]=1,tbl_daily[[#This Row],[Attended, but did not complete data]]=1),2,3)),"")</f>
        <v>1</v>
      </c>
      <c r="W266">
        <f>IF(AND(tbl_daily[[#This Row],[Attendance Refined]]=1,tbl_daily[[#This Row],[InjuryStatus]]="Full"),1,IF(AND(tbl_daily[[#This Row],[Attendance Refined]]=1,tbl_daily[[#This Row],[InjuryStatus]]="Limited"),2,IF(AND(tbl_daily[[#This Row],[Attendance Refined]]=1,tbl_daily[[#This Row],[InjuryStatus]]="Out"),3,"")))</f>
        <v>1</v>
      </c>
    </row>
    <row r="267" spans="1:23" ht="15" customHeight="1" x14ac:dyDescent="0.25">
      <c r="A267" s="1">
        <v>43865</v>
      </c>
      <c r="B267" t="s">
        <v>435</v>
      </c>
      <c r="C267">
        <v>1</v>
      </c>
      <c r="E267">
        <v>8</v>
      </c>
      <c r="F267">
        <v>4</v>
      </c>
      <c r="G267">
        <v>7</v>
      </c>
      <c r="H267" t="s">
        <v>15</v>
      </c>
      <c r="I267">
        <v>0</v>
      </c>
      <c r="J267">
        <v>0</v>
      </c>
      <c r="K267">
        <v>0</v>
      </c>
      <c r="M267" t="s">
        <v>112</v>
      </c>
      <c r="N267" t="s">
        <v>130</v>
      </c>
      <c r="P267">
        <f>IFERROR(IF(AND(tbl_daily[[#This Row],[Attendance (1 = Here, 0 = Not here)]]=1,tbl_daily[[#This Row],[Attended, but did not complete data]]&lt;&gt;1),tbl_daily[[#This Row],[Stress]]+tbl_daily[[#This Row],[SleepQuality]]+tbl_daily[[#This Row],[Energy]],""),"")</f>
        <v>19</v>
      </c>
      <c r="Q267">
        <f>IFERROR(IF(AND(tbl_daily[[#This Row],[Attendance (1 = Here, 0 = Not here)]]=1,tbl_daily[[#This Row],[Attended, but did not complete data]]&lt;&gt;1),tbl_daily[[#This Row],[LatestRPE]]*tbl_daily[[#This Row],[LatestDuration]],""),"")</f>
        <v>0</v>
      </c>
      <c r="R267">
        <f>IF(tbl_daily[[#This Row],[CodeName]]&lt;&gt;"",1,"")</f>
        <v>1</v>
      </c>
      <c r="S267" t="str">
        <f>IF(AND(tbl_daily[[#This Row],[Date]]&gt;=DATE(2019,8,1),tbl_daily[[#This Row],[Date]]&lt;=DATE(2020,6,1)),"2019-2020")</f>
        <v>2019-2020</v>
      </c>
      <c r="T267" t="str">
        <f>IFERROR(INDEX(tbl_prof[Cohort of Interest],MATCH(tbl_daily[[#This Row],[CodeName]],tbl_prof[CodeName],0)),"")</f>
        <v>Athletes</v>
      </c>
      <c r="U267">
        <f>IFERROR(AVERAGEIFS(tbl_perf[Grade],tbl_perf[CodeName],tbl_daily[[#This Row],[CodeName]],tbl_perf[Date],tbl_daily[[#This Row],[Date]]),"")</f>
        <v>83</v>
      </c>
      <c r="V267">
        <f>IFERROR(IF(AND(tbl_daily[[#This Row],[Attendance (1 = Here, 0 = Not here)]]=1,tbl_daily[[#This Row],[Attended, but did not complete data]]&lt;&gt;1),1,IF(AND(tbl_daily[[#This Row],[Attendance (1 = Here, 0 = Not here)]]=1,tbl_daily[[#This Row],[Attended, but did not complete data]]=1),2,3)),"")</f>
        <v>1</v>
      </c>
      <c r="W267">
        <f>IF(AND(tbl_daily[[#This Row],[Attendance Refined]]=1,tbl_daily[[#This Row],[InjuryStatus]]="Full"),1,IF(AND(tbl_daily[[#This Row],[Attendance Refined]]=1,tbl_daily[[#This Row],[InjuryStatus]]="Limited"),2,IF(AND(tbl_daily[[#This Row],[Attendance Refined]]=1,tbl_daily[[#This Row],[InjuryStatus]]="Out"),3,"")))</f>
        <v>1</v>
      </c>
    </row>
    <row r="268" spans="1:23" ht="15" customHeight="1" x14ac:dyDescent="0.25">
      <c r="A268" s="1">
        <v>43865</v>
      </c>
      <c r="B268" t="s">
        <v>438</v>
      </c>
      <c r="C268">
        <v>1</v>
      </c>
      <c r="E268">
        <v>4</v>
      </c>
      <c r="F268">
        <v>4</v>
      </c>
      <c r="G268">
        <v>6</v>
      </c>
      <c r="H268" t="s">
        <v>15</v>
      </c>
      <c r="I268">
        <v>0</v>
      </c>
      <c r="J268">
        <v>0</v>
      </c>
      <c r="K268">
        <v>0</v>
      </c>
      <c r="M268" t="s">
        <v>112</v>
      </c>
      <c r="N268" t="s">
        <v>132</v>
      </c>
      <c r="P268">
        <f>IFERROR(IF(AND(tbl_daily[[#This Row],[Attendance (1 = Here, 0 = Not here)]]=1,tbl_daily[[#This Row],[Attended, but did not complete data]]&lt;&gt;1),tbl_daily[[#This Row],[Stress]]+tbl_daily[[#This Row],[SleepQuality]]+tbl_daily[[#This Row],[Energy]],""),"")</f>
        <v>14</v>
      </c>
      <c r="Q268">
        <f>IFERROR(IF(AND(tbl_daily[[#This Row],[Attendance (1 = Here, 0 = Not here)]]=1,tbl_daily[[#This Row],[Attended, but did not complete data]]&lt;&gt;1),tbl_daily[[#This Row],[LatestRPE]]*tbl_daily[[#This Row],[LatestDuration]],""),"")</f>
        <v>0</v>
      </c>
      <c r="R268">
        <f>IF(tbl_daily[[#This Row],[CodeName]]&lt;&gt;"",1,"")</f>
        <v>1</v>
      </c>
      <c r="S268" t="str">
        <f>IF(AND(tbl_daily[[#This Row],[Date]]&gt;=DATE(2019,8,1),tbl_daily[[#This Row],[Date]]&lt;=DATE(2020,6,1)),"2019-2020")</f>
        <v>2019-2020</v>
      </c>
      <c r="T268" t="str">
        <f>IFERROR(INDEX(tbl_prof[Cohort of Interest],MATCH(tbl_daily[[#This Row],[CodeName]],tbl_prof[CodeName],0)),"")</f>
        <v>Youth</v>
      </c>
      <c r="U268">
        <f>IFERROR(AVERAGEIFS(tbl_perf[Grade],tbl_perf[CodeName],tbl_daily[[#This Row],[CodeName]],tbl_perf[Date],tbl_daily[[#This Row],[Date]]),"")</f>
        <v>94</v>
      </c>
      <c r="V268">
        <f>IFERROR(IF(AND(tbl_daily[[#This Row],[Attendance (1 = Here, 0 = Not here)]]=1,tbl_daily[[#This Row],[Attended, but did not complete data]]&lt;&gt;1),1,IF(AND(tbl_daily[[#This Row],[Attendance (1 = Here, 0 = Not here)]]=1,tbl_daily[[#This Row],[Attended, but did not complete data]]=1),2,3)),"")</f>
        <v>1</v>
      </c>
      <c r="W268">
        <f>IF(AND(tbl_daily[[#This Row],[Attendance Refined]]=1,tbl_daily[[#This Row],[InjuryStatus]]="Full"),1,IF(AND(tbl_daily[[#This Row],[Attendance Refined]]=1,tbl_daily[[#This Row],[InjuryStatus]]="Limited"),2,IF(AND(tbl_daily[[#This Row],[Attendance Refined]]=1,tbl_daily[[#This Row],[InjuryStatus]]="Out"),3,"")))</f>
        <v>1</v>
      </c>
    </row>
    <row r="269" spans="1:23" ht="15" customHeight="1" x14ac:dyDescent="0.25">
      <c r="A269" s="1">
        <v>43865</v>
      </c>
      <c r="B269" t="s">
        <v>440</v>
      </c>
      <c r="C269">
        <v>1</v>
      </c>
      <c r="E269">
        <v>7</v>
      </c>
      <c r="F269">
        <v>5</v>
      </c>
      <c r="G269">
        <v>5</v>
      </c>
      <c r="H269" t="s">
        <v>32</v>
      </c>
      <c r="I269">
        <v>0</v>
      </c>
      <c r="J269">
        <v>0</v>
      </c>
      <c r="K269">
        <v>0</v>
      </c>
      <c r="M269" t="s">
        <v>112</v>
      </c>
      <c r="N269" t="s">
        <v>137</v>
      </c>
      <c r="P269">
        <f>IFERROR(IF(AND(tbl_daily[[#This Row],[Attendance (1 = Here, 0 = Not here)]]=1,tbl_daily[[#This Row],[Attended, but did not complete data]]&lt;&gt;1),tbl_daily[[#This Row],[Stress]]+tbl_daily[[#This Row],[SleepQuality]]+tbl_daily[[#This Row],[Energy]],""),"")</f>
        <v>17</v>
      </c>
      <c r="Q269">
        <f>IFERROR(IF(AND(tbl_daily[[#This Row],[Attendance (1 = Here, 0 = Not here)]]=1,tbl_daily[[#This Row],[Attended, but did not complete data]]&lt;&gt;1),tbl_daily[[#This Row],[LatestRPE]]*tbl_daily[[#This Row],[LatestDuration]],""),"")</f>
        <v>0</v>
      </c>
      <c r="R269">
        <f>IF(tbl_daily[[#This Row],[CodeName]]&lt;&gt;"",1,"")</f>
        <v>1</v>
      </c>
      <c r="S269" t="str">
        <f>IF(AND(tbl_daily[[#This Row],[Date]]&gt;=DATE(2019,8,1),tbl_daily[[#This Row],[Date]]&lt;=DATE(2020,6,1)),"2019-2020")</f>
        <v>2019-2020</v>
      </c>
      <c r="T269" t="str">
        <f>IFERROR(INDEX(tbl_prof[Cohort of Interest],MATCH(tbl_daily[[#This Row],[CodeName]],tbl_prof[CodeName],0)),"")</f>
        <v>Youth</v>
      </c>
      <c r="U269">
        <f>IFERROR(AVERAGEIFS(tbl_perf[Grade],tbl_perf[CodeName],tbl_daily[[#This Row],[CodeName]],tbl_perf[Date],tbl_daily[[#This Row],[Date]]),"")</f>
        <v>75</v>
      </c>
      <c r="V269">
        <f>IFERROR(IF(AND(tbl_daily[[#This Row],[Attendance (1 = Here, 0 = Not here)]]=1,tbl_daily[[#This Row],[Attended, but did not complete data]]&lt;&gt;1),1,IF(AND(tbl_daily[[#This Row],[Attendance (1 = Here, 0 = Not here)]]=1,tbl_daily[[#This Row],[Attended, but did not complete data]]=1),2,3)),"")</f>
        <v>1</v>
      </c>
      <c r="W269">
        <f>IF(AND(tbl_daily[[#This Row],[Attendance Refined]]=1,tbl_daily[[#This Row],[InjuryStatus]]="Full"),1,IF(AND(tbl_daily[[#This Row],[Attendance Refined]]=1,tbl_daily[[#This Row],[InjuryStatus]]="Limited"),2,IF(AND(tbl_daily[[#This Row],[Attendance Refined]]=1,tbl_daily[[#This Row],[InjuryStatus]]="Out"),3,"")))</f>
        <v>2</v>
      </c>
    </row>
    <row r="270" spans="1:23" ht="15" customHeight="1" x14ac:dyDescent="0.25">
      <c r="A270" s="1">
        <v>43865</v>
      </c>
      <c r="B270" t="s">
        <v>433</v>
      </c>
      <c r="C270">
        <v>1</v>
      </c>
      <c r="E270">
        <v>6</v>
      </c>
      <c r="F270">
        <v>7</v>
      </c>
      <c r="G270">
        <v>5</v>
      </c>
      <c r="H270" t="s">
        <v>32</v>
      </c>
      <c r="I270">
        <v>1</v>
      </c>
      <c r="J270">
        <v>4</v>
      </c>
      <c r="K270">
        <v>40</v>
      </c>
      <c r="M270" t="s">
        <v>112</v>
      </c>
      <c r="N270" t="s">
        <v>136</v>
      </c>
      <c r="P270">
        <f>IFERROR(IF(AND(tbl_daily[[#This Row],[Attendance (1 = Here, 0 = Not here)]]=1,tbl_daily[[#This Row],[Attended, but did not complete data]]&lt;&gt;1),tbl_daily[[#This Row],[Stress]]+tbl_daily[[#This Row],[SleepQuality]]+tbl_daily[[#This Row],[Energy]],""),"")</f>
        <v>18</v>
      </c>
      <c r="Q270">
        <f>IFERROR(IF(AND(tbl_daily[[#This Row],[Attendance (1 = Here, 0 = Not here)]]=1,tbl_daily[[#This Row],[Attended, but did not complete data]]&lt;&gt;1),tbl_daily[[#This Row],[LatestRPE]]*tbl_daily[[#This Row],[LatestDuration]],""),"")</f>
        <v>160</v>
      </c>
      <c r="R270">
        <f>IF(tbl_daily[[#This Row],[CodeName]]&lt;&gt;"",1,"")</f>
        <v>1</v>
      </c>
      <c r="S270" t="str">
        <f>IF(AND(tbl_daily[[#This Row],[Date]]&gt;=DATE(2019,8,1),tbl_daily[[#This Row],[Date]]&lt;=DATE(2020,6,1)),"2019-2020")</f>
        <v>2019-2020</v>
      </c>
      <c r="T270" t="str">
        <f>IFERROR(INDEX(tbl_prof[Cohort of Interest],MATCH(tbl_daily[[#This Row],[CodeName]],tbl_prof[CodeName],0)),"")</f>
        <v>Athletes</v>
      </c>
      <c r="U270">
        <f>IFERROR(AVERAGEIFS(tbl_perf[Grade],tbl_perf[CodeName],tbl_daily[[#This Row],[CodeName]],tbl_perf[Date],tbl_daily[[#This Row],[Date]]),"")</f>
        <v>89</v>
      </c>
      <c r="V270">
        <f>IFERROR(IF(AND(tbl_daily[[#This Row],[Attendance (1 = Here, 0 = Not here)]]=1,tbl_daily[[#This Row],[Attended, but did not complete data]]&lt;&gt;1),1,IF(AND(tbl_daily[[#This Row],[Attendance (1 = Here, 0 = Not here)]]=1,tbl_daily[[#This Row],[Attended, but did not complete data]]=1),2,3)),"")</f>
        <v>1</v>
      </c>
      <c r="W270">
        <f>IF(AND(tbl_daily[[#This Row],[Attendance Refined]]=1,tbl_daily[[#This Row],[InjuryStatus]]="Full"),1,IF(AND(tbl_daily[[#This Row],[Attendance Refined]]=1,tbl_daily[[#This Row],[InjuryStatus]]="Limited"),2,IF(AND(tbl_daily[[#This Row],[Attendance Refined]]=1,tbl_daily[[#This Row],[InjuryStatus]]="Out"),3,"")))</f>
        <v>2</v>
      </c>
    </row>
    <row r="271" spans="1:23" ht="15" customHeight="1" x14ac:dyDescent="0.25">
      <c r="A271" s="1">
        <v>43865</v>
      </c>
      <c r="B271" t="s">
        <v>421</v>
      </c>
      <c r="C271">
        <v>1</v>
      </c>
      <c r="E271">
        <v>7</v>
      </c>
      <c r="F271">
        <v>7</v>
      </c>
      <c r="G271">
        <v>7</v>
      </c>
      <c r="H271" t="s">
        <v>15</v>
      </c>
      <c r="I271">
        <v>1</v>
      </c>
      <c r="J271">
        <v>6</v>
      </c>
      <c r="K271">
        <v>30</v>
      </c>
      <c r="M271" t="s">
        <v>112</v>
      </c>
      <c r="N271" s="2" t="s">
        <v>120</v>
      </c>
      <c r="O271" s="2"/>
      <c r="P271" s="2">
        <f>IFERROR(IF(AND(tbl_daily[[#This Row],[Attendance (1 = Here, 0 = Not here)]]=1,tbl_daily[[#This Row],[Attended, but did not complete data]]&lt;&gt;1),tbl_daily[[#This Row],[Stress]]+tbl_daily[[#This Row],[SleepQuality]]+tbl_daily[[#This Row],[Energy]],""),"")</f>
        <v>21</v>
      </c>
      <c r="Q271">
        <f>IFERROR(IF(AND(tbl_daily[[#This Row],[Attendance (1 = Here, 0 = Not here)]]=1,tbl_daily[[#This Row],[Attended, but did not complete data]]&lt;&gt;1),tbl_daily[[#This Row],[LatestRPE]]*tbl_daily[[#This Row],[LatestDuration]],""),"")</f>
        <v>180</v>
      </c>
      <c r="R271" s="2">
        <f>IF(tbl_daily[[#This Row],[CodeName]]&lt;&gt;"",1,"")</f>
        <v>1</v>
      </c>
      <c r="S271" t="str">
        <f>IF(AND(tbl_daily[[#This Row],[Date]]&gt;=DATE(2019,8,1),tbl_daily[[#This Row],[Date]]&lt;=DATE(2020,6,1)),"2019-2020")</f>
        <v>2019-2020</v>
      </c>
      <c r="T271" s="2" t="str">
        <f>IFERROR(INDEX(tbl_prof[Cohort of Interest],MATCH(tbl_daily[[#This Row],[CodeName]],tbl_prof[CodeName],0)),"")</f>
        <v>Athletes</v>
      </c>
      <c r="U271" s="2">
        <f>IFERROR(AVERAGEIFS(tbl_perf[Grade],tbl_perf[CodeName],tbl_daily[[#This Row],[CodeName]],tbl_perf[Date],tbl_daily[[#This Row],[Date]]),"")</f>
        <v>85</v>
      </c>
      <c r="V271" s="2">
        <f>IFERROR(IF(AND(tbl_daily[[#This Row],[Attendance (1 = Here, 0 = Not here)]]=1,tbl_daily[[#This Row],[Attended, but did not complete data]]&lt;&gt;1),1,IF(AND(tbl_daily[[#This Row],[Attendance (1 = Here, 0 = Not here)]]=1,tbl_daily[[#This Row],[Attended, but did not complete data]]=1),2,3)),"")</f>
        <v>1</v>
      </c>
      <c r="W271" s="2">
        <f>IF(AND(tbl_daily[[#This Row],[Attendance Refined]]=1,tbl_daily[[#This Row],[InjuryStatus]]="Full"),1,IF(AND(tbl_daily[[#This Row],[Attendance Refined]]=1,tbl_daily[[#This Row],[InjuryStatus]]="Limited"),2,IF(AND(tbl_daily[[#This Row],[Attendance Refined]]=1,tbl_daily[[#This Row],[InjuryStatus]]="Out"),3,"")))</f>
        <v>1</v>
      </c>
    </row>
    <row r="272" spans="1:23" ht="15" customHeight="1" x14ac:dyDescent="0.25">
      <c r="A272" s="1">
        <v>43865</v>
      </c>
      <c r="B272" t="s">
        <v>426</v>
      </c>
      <c r="C272">
        <v>1</v>
      </c>
      <c r="E272">
        <v>8</v>
      </c>
      <c r="F272">
        <v>8</v>
      </c>
      <c r="G272">
        <v>8</v>
      </c>
      <c r="H272" t="s">
        <v>15</v>
      </c>
      <c r="I272">
        <v>1</v>
      </c>
      <c r="J272">
        <v>6</v>
      </c>
      <c r="K272">
        <v>35</v>
      </c>
      <c r="M272" t="s">
        <v>112</v>
      </c>
      <c r="N272" t="s">
        <v>125</v>
      </c>
      <c r="P272">
        <f>IFERROR(IF(AND(tbl_daily[[#This Row],[Attendance (1 = Here, 0 = Not here)]]=1,tbl_daily[[#This Row],[Attended, but did not complete data]]&lt;&gt;1),tbl_daily[[#This Row],[Stress]]+tbl_daily[[#This Row],[SleepQuality]]+tbl_daily[[#This Row],[Energy]],""),"")</f>
        <v>24</v>
      </c>
      <c r="Q272">
        <f>IFERROR(IF(AND(tbl_daily[[#This Row],[Attendance (1 = Here, 0 = Not here)]]=1,tbl_daily[[#This Row],[Attended, but did not complete data]]&lt;&gt;1),tbl_daily[[#This Row],[LatestRPE]]*tbl_daily[[#This Row],[LatestDuration]],""),"")</f>
        <v>210</v>
      </c>
      <c r="R272">
        <f>IF(tbl_daily[[#This Row],[CodeName]]&lt;&gt;"",1,"")</f>
        <v>1</v>
      </c>
      <c r="S272" t="str">
        <f>IF(AND(tbl_daily[[#This Row],[Date]]&gt;=DATE(2019,8,1),tbl_daily[[#This Row],[Date]]&lt;=DATE(2020,6,1)),"2019-2020")</f>
        <v>2019-2020</v>
      </c>
      <c r="T272" t="str">
        <f>IFERROR(INDEX(tbl_prof[Cohort of Interest],MATCH(tbl_daily[[#This Row],[CodeName]],tbl_prof[CodeName],0)),"")</f>
        <v>Special</v>
      </c>
      <c r="U272">
        <f>IFERROR(AVERAGEIFS(tbl_perf[Grade],tbl_perf[CodeName],tbl_daily[[#This Row],[CodeName]],tbl_perf[Date],tbl_daily[[#This Row],[Date]]),"")</f>
        <v>96</v>
      </c>
      <c r="V272">
        <f>IFERROR(IF(AND(tbl_daily[[#This Row],[Attendance (1 = Here, 0 = Not here)]]=1,tbl_daily[[#This Row],[Attended, but did not complete data]]&lt;&gt;1),1,IF(AND(tbl_daily[[#This Row],[Attendance (1 = Here, 0 = Not here)]]=1,tbl_daily[[#This Row],[Attended, but did not complete data]]=1),2,3)),"")</f>
        <v>1</v>
      </c>
      <c r="W272">
        <f>IF(AND(tbl_daily[[#This Row],[Attendance Refined]]=1,tbl_daily[[#This Row],[InjuryStatus]]="Full"),1,IF(AND(tbl_daily[[#This Row],[Attendance Refined]]=1,tbl_daily[[#This Row],[InjuryStatus]]="Limited"),2,IF(AND(tbl_daily[[#This Row],[Attendance Refined]]=1,tbl_daily[[#This Row],[InjuryStatus]]="Out"),3,"")))</f>
        <v>1</v>
      </c>
    </row>
    <row r="273" spans="1:23" ht="15" customHeight="1" x14ac:dyDescent="0.25">
      <c r="A273" s="1">
        <v>43865</v>
      </c>
      <c r="B273" t="s">
        <v>431</v>
      </c>
      <c r="C273">
        <v>1</v>
      </c>
      <c r="E273">
        <v>8</v>
      </c>
      <c r="F273">
        <v>8</v>
      </c>
      <c r="G273">
        <v>7</v>
      </c>
      <c r="H273" t="s">
        <v>15</v>
      </c>
      <c r="I273">
        <v>1</v>
      </c>
      <c r="J273">
        <v>5</v>
      </c>
      <c r="K273">
        <v>45</v>
      </c>
      <c r="M273" t="s">
        <v>112</v>
      </c>
      <c r="N273" t="s">
        <v>133</v>
      </c>
      <c r="P273">
        <f>IFERROR(IF(AND(tbl_daily[[#This Row],[Attendance (1 = Here, 0 = Not here)]]=1,tbl_daily[[#This Row],[Attended, but did not complete data]]&lt;&gt;1),tbl_daily[[#This Row],[Stress]]+tbl_daily[[#This Row],[SleepQuality]]+tbl_daily[[#This Row],[Energy]],""),"")</f>
        <v>23</v>
      </c>
      <c r="Q273">
        <f>IFERROR(IF(AND(tbl_daily[[#This Row],[Attendance (1 = Here, 0 = Not here)]]=1,tbl_daily[[#This Row],[Attended, but did not complete data]]&lt;&gt;1),tbl_daily[[#This Row],[LatestRPE]]*tbl_daily[[#This Row],[LatestDuration]],""),"")</f>
        <v>225</v>
      </c>
      <c r="R273">
        <f>IF(tbl_daily[[#This Row],[CodeName]]&lt;&gt;"",1,"")</f>
        <v>1</v>
      </c>
      <c r="S273" t="str">
        <f>IF(AND(tbl_daily[[#This Row],[Date]]&gt;=DATE(2019,8,1),tbl_daily[[#This Row],[Date]]&lt;=DATE(2020,6,1)),"2019-2020")</f>
        <v>2019-2020</v>
      </c>
      <c r="T273" t="str">
        <f>IFERROR(INDEX(tbl_prof[Cohort of Interest],MATCH(tbl_daily[[#This Row],[CodeName]],tbl_prof[CodeName],0)),"")</f>
        <v>Special</v>
      </c>
      <c r="U273">
        <f>IFERROR(AVERAGEIFS(tbl_perf[Grade],tbl_perf[CodeName],tbl_daily[[#This Row],[CodeName]],tbl_perf[Date],tbl_daily[[#This Row],[Date]]),"")</f>
        <v>96</v>
      </c>
      <c r="V273">
        <f>IFERROR(IF(AND(tbl_daily[[#This Row],[Attendance (1 = Here, 0 = Not here)]]=1,tbl_daily[[#This Row],[Attended, but did not complete data]]&lt;&gt;1),1,IF(AND(tbl_daily[[#This Row],[Attendance (1 = Here, 0 = Not here)]]=1,tbl_daily[[#This Row],[Attended, but did not complete data]]=1),2,3)),"")</f>
        <v>1</v>
      </c>
      <c r="W273">
        <f>IF(AND(tbl_daily[[#This Row],[Attendance Refined]]=1,tbl_daily[[#This Row],[InjuryStatus]]="Full"),1,IF(AND(tbl_daily[[#This Row],[Attendance Refined]]=1,tbl_daily[[#This Row],[InjuryStatus]]="Limited"),2,IF(AND(tbl_daily[[#This Row],[Attendance Refined]]=1,tbl_daily[[#This Row],[InjuryStatus]]="Out"),3,"")))</f>
        <v>1</v>
      </c>
    </row>
    <row r="274" spans="1:23" ht="15" customHeight="1" x14ac:dyDescent="0.25">
      <c r="A274" s="1">
        <v>43865</v>
      </c>
      <c r="B274" t="s">
        <v>439</v>
      </c>
      <c r="C274">
        <v>1</v>
      </c>
      <c r="E274">
        <v>7</v>
      </c>
      <c r="F274">
        <v>5</v>
      </c>
      <c r="G274">
        <v>5</v>
      </c>
      <c r="H274" t="s">
        <v>32</v>
      </c>
      <c r="I274">
        <v>1</v>
      </c>
      <c r="J274">
        <v>5</v>
      </c>
      <c r="K274">
        <v>45</v>
      </c>
      <c r="M274" t="s">
        <v>112</v>
      </c>
      <c r="N274" t="s">
        <v>135</v>
      </c>
      <c r="P274">
        <f>IFERROR(IF(AND(tbl_daily[[#This Row],[Attendance (1 = Here, 0 = Not here)]]=1,tbl_daily[[#This Row],[Attended, but did not complete data]]&lt;&gt;1),tbl_daily[[#This Row],[Stress]]+tbl_daily[[#This Row],[SleepQuality]]+tbl_daily[[#This Row],[Energy]],""),"")</f>
        <v>17</v>
      </c>
      <c r="Q274">
        <f>IFERROR(IF(AND(tbl_daily[[#This Row],[Attendance (1 = Here, 0 = Not here)]]=1,tbl_daily[[#This Row],[Attended, but did not complete data]]&lt;&gt;1),tbl_daily[[#This Row],[LatestRPE]]*tbl_daily[[#This Row],[LatestDuration]],""),"")</f>
        <v>225</v>
      </c>
      <c r="R274">
        <f>IF(tbl_daily[[#This Row],[CodeName]]&lt;&gt;"",1,"")</f>
        <v>1</v>
      </c>
      <c r="S274" t="str">
        <f>IF(AND(tbl_daily[[#This Row],[Date]]&gt;=DATE(2019,8,1),tbl_daily[[#This Row],[Date]]&lt;=DATE(2020,6,1)),"2019-2020")</f>
        <v>2019-2020</v>
      </c>
      <c r="T274" t="str">
        <f>IFERROR(INDEX(tbl_prof[Cohort of Interest],MATCH(tbl_daily[[#This Row],[CodeName]],tbl_prof[CodeName],0)),"")</f>
        <v>Special</v>
      </c>
      <c r="U274">
        <f>IFERROR(AVERAGEIFS(tbl_perf[Grade],tbl_perf[CodeName],tbl_daily[[#This Row],[CodeName]],tbl_perf[Date],tbl_daily[[#This Row],[Date]]),"")</f>
        <v>96</v>
      </c>
      <c r="V274">
        <f>IFERROR(IF(AND(tbl_daily[[#This Row],[Attendance (1 = Here, 0 = Not here)]]=1,tbl_daily[[#This Row],[Attended, but did not complete data]]&lt;&gt;1),1,IF(AND(tbl_daily[[#This Row],[Attendance (1 = Here, 0 = Not here)]]=1,tbl_daily[[#This Row],[Attended, but did not complete data]]=1),2,3)),"")</f>
        <v>1</v>
      </c>
      <c r="W274">
        <f>IF(AND(tbl_daily[[#This Row],[Attendance Refined]]=1,tbl_daily[[#This Row],[InjuryStatus]]="Full"),1,IF(AND(tbl_daily[[#This Row],[Attendance Refined]]=1,tbl_daily[[#This Row],[InjuryStatus]]="Limited"),2,IF(AND(tbl_daily[[#This Row],[Attendance Refined]]=1,tbl_daily[[#This Row],[InjuryStatus]]="Out"),3,"")))</f>
        <v>2</v>
      </c>
    </row>
    <row r="275" spans="1:23" ht="15" customHeight="1" x14ac:dyDescent="0.25">
      <c r="A275" s="1">
        <v>43865</v>
      </c>
      <c r="B275" t="s">
        <v>437</v>
      </c>
      <c r="C275">
        <v>1</v>
      </c>
      <c r="E275">
        <v>8</v>
      </c>
      <c r="F275">
        <v>7</v>
      </c>
      <c r="G275">
        <v>7</v>
      </c>
      <c r="H275" t="s">
        <v>15</v>
      </c>
      <c r="I275">
        <v>1</v>
      </c>
      <c r="J275">
        <v>4</v>
      </c>
      <c r="K275">
        <v>60</v>
      </c>
      <c r="M275" t="s">
        <v>112</v>
      </c>
      <c r="N275" t="s">
        <v>123</v>
      </c>
      <c r="P275">
        <f>IFERROR(IF(AND(tbl_daily[[#This Row],[Attendance (1 = Here, 0 = Not here)]]=1,tbl_daily[[#This Row],[Attended, but did not complete data]]&lt;&gt;1),tbl_daily[[#This Row],[Stress]]+tbl_daily[[#This Row],[SleepQuality]]+tbl_daily[[#This Row],[Energy]],""),"")</f>
        <v>22</v>
      </c>
      <c r="Q275">
        <f>IFERROR(IF(AND(tbl_daily[[#This Row],[Attendance (1 = Here, 0 = Not here)]]=1,tbl_daily[[#This Row],[Attended, but did not complete data]]&lt;&gt;1),tbl_daily[[#This Row],[LatestRPE]]*tbl_daily[[#This Row],[LatestDuration]],""),"")</f>
        <v>240</v>
      </c>
      <c r="R275">
        <f>IF(tbl_daily[[#This Row],[CodeName]]&lt;&gt;"",1,"")</f>
        <v>1</v>
      </c>
      <c r="S275" t="str">
        <f>IF(AND(tbl_daily[[#This Row],[Date]]&gt;=DATE(2019,8,1),tbl_daily[[#This Row],[Date]]&lt;=DATE(2020,6,1)),"2019-2020")</f>
        <v>2019-2020</v>
      </c>
      <c r="T275" t="str">
        <f>IFERROR(INDEX(tbl_prof[Cohort of Interest],MATCH(tbl_daily[[#This Row],[CodeName]],tbl_prof[CodeName],0)),"")</f>
        <v>Athletes</v>
      </c>
      <c r="U275">
        <f>IFERROR(AVERAGEIFS(tbl_perf[Grade],tbl_perf[CodeName],tbl_daily[[#This Row],[CodeName]],tbl_perf[Date],tbl_daily[[#This Row],[Date]]),"")</f>
        <v>87</v>
      </c>
      <c r="V275">
        <f>IFERROR(IF(AND(tbl_daily[[#This Row],[Attendance (1 = Here, 0 = Not here)]]=1,tbl_daily[[#This Row],[Attended, but did not complete data]]&lt;&gt;1),1,IF(AND(tbl_daily[[#This Row],[Attendance (1 = Here, 0 = Not here)]]=1,tbl_daily[[#This Row],[Attended, but did not complete data]]=1),2,3)),"")</f>
        <v>1</v>
      </c>
      <c r="W275">
        <f>IF(AND(tbl_daily[[#This Row],[Attendance Refined]]=1,tbl_daily[[#This Row],[InjuryStatus]]="Full"),1,IF(AND(tbl_daily[[#This Row],[Attendance Refined]]=1,tbl_daily[[#This Row],[InjuryStatus]]="Limited"),2,IF(AND(tbl_daily[[#This Row],[Attendance Refined]]=1,tbl_daily[[#This Row],[InjuryStatus]]="Out"),3,"")))</f>
        <v>1</v>
      </c>
    </row>
    <row r="276" spans="1:23" ht="15" customHeight="1" x14ac:dyDescent="0.25">
      <c r="A276" s="1">
        <v>43865</v>
      </c>
      <c r="B276" t="s">
        <v>428</v>
      </c>
      <c r="C276">
        <v>1</v>
      </c>
      <c r="E276">
        <v>8</v>
      </c>
      <c r="F276">
        <v>8</v>
      </c>
      <c r="G276">
        <v>6</v>
      </c>
      <c r="H276" t="s">
        <v>32</v>
      </c>
      <c r="I276">
        <v>1</v>
      </c>
      <c r="J276">
        <v>5</v>
      </c>
      <c r="K276">
        <v>60</v>
      </c>
      <c r="M276" t="s">
        <v>112</v>
      </c>
      <c r="N276" t="s">
        <v>127</v>
      </c>
      <c r="P276">
        <f>IFERROR(IF(AND(tbl_daily[[#This Row],[Attendance (1 = Here, 0 = Not here)]]=1,tbl_daily[[#This Row],[Attended, but did not complete data]]&lt;&gt;1),tbl_daily[[#This Row],[Stress]]+tbl_daily[[#This Row],[SleepQuality]]+tbl_daily[[#This Row],[Energy]],""),"")</f>
        <v>22</v>
      </c>
      <c r="Q276">
        <f>IFERROR(IF(AND(tbl_daily[[#This Row],[Attendance (1 = Here, 0 = Not here)]]=1,tbl_daily[[#This Row],[Attended, but did not complete data]]&lt;&gt;1),tbl_daily[[#This Row],[LatestRPE]]*tbl_daily[[#This Row],[LatestDuration]],""),"")</f>
        <v>300</v>
      </c>
      <c r="R276">
        <f>IF(tbl_daily[[#This Row],[CodeName]]&lt;&gt;"",1,"")</f>
        <v>1</v>
      </c>
      <c r="S276" t="str">
        <f>IF(AND(tbl_daily[[#This Row],[Date]]&gt;=DATE(2019,8,1),tbl_daily[[#This Row],[Date]]&lt;=DATE(2020,6,1)),"2019-2020")</f>
        <v>2019-2020</v>
      </c>
      <c r="T276" t="str">
        <f>IFERROR(INDEX(tbl_prof[Cohort of Interest],MATCH(tbl_daily[[#This Row],[CodeName]],tbl_prof[CodeName],0)),"")</f>
        <v>Special</v>
      </c>
      <c r="U276">
        <f>IFERROR(AVERAGEIFS(tbl_perf[Grade],tbl_perf[CodeName],tbl_daily[[#This Row],[CodeName]],tbl_perf[Date],tbl_daily[[#This Row],[Date]]),"")</f>
        <v>82</v>
      </c>
      <c r="V276">
        <f>IFERROR(IF(AND(tbl_daily[[#This Row],[Attendance (1 = Here, 0 = Not here)]]=1,tbl_daily[[#This Row],[Attended, but did not complete data]]&lt;&gt;1),1,IF(AND(tbl_daily[[#This Row],[Attendance (1 = Here, 0 = Not here)]]=1,tbl_daily[[#This Row],[Attended, but did not complete data]]=1),2,3)),"")</f>
        <v>1</v>
      </c>
      <c r="W276">
        <f>IF(AND(tbl_daily[[#This Row],[Attendance Refined]]=1,tbl_daily[[#This Row],[InjuryStatus]]="Full"),1,IF(AND(tbl_daily[[#This Row],[Attendance Refined]]=1,tbl_daily[[#This Row],[InjuryStatus]]="Limited"),2,IF(AND(tbl_daily[[#This Row],[Attendance Refined]]=1,tbl_daily[[#This Row],[InjuryStatus]]="Out"),3,"")))</f>
        <v>2</v>
      </c>
    </row>
    <row r="277" spans="1:23" ht="15" customHeight="1" x14ac:dyDescent="0.25">
      <c r="A277" s="1">
        <v>43865</v>
      </c>
      <c r="B277" t="s">
        <v>413</v>
      </c>
      <c r="C277">
        <v>1</v>
      </c>
      <c r="E277">
        <v>5</v>
      </c>
      <c r="F277">
        <v>5</v>
      </c>
      <c r="G277">
        <v>4</v>
      </c>
      <c r="H277" t="s">
        <v>15</v>
      </c>
      <c r="I277">
        <v>1</v>
      </c>
      <c r="J277">
        <v>7</v>
      </c>
      <c r="K277">
        <v>45</v>
      </c>
      <c r="M277" t="s">
        <v>112</v>
      </c>
      <c r="N277" t="s">
        <v>115</v>
      </c>
      <c r="P277">
        <f>IFERROR(IF(AND(tbl_daily[[#This Row],[Attendance (1 = Here, 0 = Not here)]]=1,tbl_daily[[#This Row],[Attended, but did not complete data]]&lt;&gt;1),tbl_daily[[#This Row],[Stress]]+tbl_daily[[#This Row],[SleepQuality]]+tbl_daily[[#This Row],[Energy]],""),"")</f>
        <v>14</v>
      </c>
      <c r="Q277">
        <f>IFERROR(IF(AND(tbl_daily[[#This Row],[Attendance (1 = Here, 0 = Not here)]]=1,tbl_daily[[#This Row],[Attended, but did not complete data]]&lt;&gt;1),tbl_daily[[#This Row],[LatestRPE]]*tbl_daily[[#This Row],[LatestDuration]],""),"")</f>
        <v>315</v>
      </c>
      <c r="R277">
        <f>IF(tbl_daily[[#This Row],[CodeName]]&lt;&gt;"",1,"")</f>
        <v>1</v>
      </c>
      <c r="S277" t="str">
        <f>IF(AND(tbl_daily[[#This Row],[Date]]&gt;=DATE(2019,8,1),tbl_daily[[#This Row],[Date]]&lt;=DATE(2020,6,1)),"2019-2020")</f>
        <v>2019-2020</v>
      </c>
      <c r="T277" t="str">
        <f>IFERROR(INDEX(tbl_prof[Cohort of Interest],MATCH(tbl_daily[[#This Row],[CodeName]],tbl_prof[CodeName],0)),"")</f>
        <v>Youth</v>
      </c>
      <c r="U277">
        <f>IFERROR(AVERAGEIFS(tbl_perf[Grade],tbl_perf[CodeName],tbl_daily[[#This Row],[CodeName]],tbl_perf[Date],tbl_daily[[#This Row],[Date]]),"")</f>
        <v>97</v>
      </c>
      <c r="V277">
        <f>IFERROR(IF(AND(tbl_daily[[#This Row],[Attendance (1 = Here, 0 = Not here)]]=1,tbl_daily[[#This Row],[Attended, but did not complete data]]&lt;&gt;1),1,IF(AND(tbl_daily[[#This Row],[Attendance (1 = Here, 0 = Not here)]]=1,tbl_daily[[#This Row],[Attended, but did not complete data]]=1),2,3)),"")</f>
        <v>1</v>
      </c>
      <c r="W277">
        <f>IF(AND(tbl_daily[[#This Row],[Attendance Refined]]=1,tbl_daily[[#This Row],[InjuryStatus]]="Full"),1,IF(AND(tbl_daily[[#This Row],[Attendance Refined]]=1,tbl_daily[[#This Row],[InjuryStatus]]="Limited"),2,IF(AND(tbl_daily[[#This Row],[Attendance Refined]]=1,tbl_daily[[#This Row],[InjuryStatus]]="Out"),3,"")))</f>
        <v>1</v>
      </c>
    </row>
    <row r="278" spans="1:23" ht="15" customHeight="1" x14ac:dyDescent="0.25">
      <c r="A278" s="1">
        <v>43865</v>
      </c>
      <c r="B278" t="s">
        <v>430</v>
      </c>
      <c r="C278">
        <v>1</v>
      </c>
      <c r="E278">
        <v>5</v>
      </c>
      <c r="F278">
        <v>8</v>
      </c>
      <c r="G278">
        <v>3</v>
      </c>
      <c r="H278" t="s">
        <v>15</v>
      </c>
      <c r="I278">
        <v>1</v>
      </c>
      <c r="J278">
        <v>7</v>
      </c>
      <c r="K278">
        <v>45</v>
      </c>
      <c r="M278" t="s">
        <v>112</v>
      </c>
      <c r="N278" t="s">
        <v>129</v>
      </c>
      <c r="P278">
        <f>IFERROR(IF(AND(tbl_daily[[#This Row],[Attendance (1 = Here, 0 = Not here)]]=1,tbl_daily[[#This Row],[Attended, but did not complete data]]&lt;&gt;1),tbl_daily[[#This Row],[Stress]]+tbl_daily[[#This Row],[SleepQuality]]+tbl_daily[[#This Row],[Energy]],""),"")</f>
        <v>16</v>
      </c>
      <c r="Q278">
        <f>IFERROR(IF(AND(tbl_daily[[#This Row],[Attendance (1 = Here, 0 = Not here)]]=1,tbl_daily[[#This Row],[Attended, but did not complete data]]&lt;&gt;1),tbl_daily[[#This Row],[LatestRPE]]*tbl_daily[[#This Row],[LatestDuration]],""),"")</f>
        <v>315</v>
      </c>
      <c r="R278">
        <f>IF(tbl_daily[[#This Row],[CodeName]]&lt;&gt;"",1,"")</f>
        <v>1</v>
      </c>
      <c r="S278" t="str">
        <f>IF(AND(tbl_daily[[#This Row],[Date]]&gt;=DATE(2019,8,1),tbl_daily[[#This Row],[Date]]&lt;=DATE(2020,6,1)),"2019-2020")</f>
        <v>2019-2020</v>
      </c>
      <c r="T278" t="str">
        <f>IFERROR(INDEX(tbl_prof[Cohort of Interest],MATCH(tbl_daily[[#This Row],[CodeName]],tbl_prof[CodeName],0)),"")</f>
        <v>Gen Pop</v>
      </c>
      <c r="U278">
        <f>IFERROR(AVERAGEIFS(tbl_perf[Grade],tbl_perf[CodeName],tbl_daily[[#This Row],[CodeName]],tbl_perf[Date],tbl_daily[[#This Row],[Date]]),"")</f>
        <v>82</v>
      </c>
      <c r="V278">
        <f>IFERROR(IF(AND(tbl_daily[[#This Row],[Attendance (1 = Here, 0 = Not here)]]=1,tbl_daily[[#This Row],[Attended, but did not complete data]]&lt;&gt;1),1,IF(AND(tbl_daily[[#This Row],[Attendance (1 = Here, 0 = Not here)]]=1,tbl_daily[[#This Row],[Attended, but did not complete data]]=1),2,3)),"")</f>
        <v>1</v>
      </c>
      <c r="W278">
        <f>IF(AND(tbl_daily[[#This Row],[Attendance Refined]]=1,tbl_daily[[#This Row],[InjuryStatus]]="Full"),1,IF(AND(tbl_daily[[#This Row],[Attendance Refined]]=1,tbl_daily[[#This Row],[InjuryStatus]]="Limited"),2,IF(AND(tbl_daily[[#This Row],[Attendance Refined]]=1,tbl_daily[[#This Row],[InjuryStatus]]="Out"),3,"")))</f>
        <v>1</v>
      </c>
    </row>
    <row r="279" spans="1:23" ht="15" customHeight="1" x14ac:dyDescent="0.25">
      <c r="A279" s="1">
        <v>43865</v>
      </c>
      <c r="B279" t="s">
        <v>436</v>
      </c>
      <c r="C279">
        <v>1</v>
      </c>
      <c r="E279">
        <v>7</v>
      </c>
      <c r="F279">
        <v>2</v>
      </c>
      <c r="G279">
        <v>4</v>
      </c>
      <c r="H279" t="s">
        <v>15</v>
      </c>
      <c r="I279">
        <v>1</v>
      </c>
      <c r="J279">
        <v>7</v>
      </c>
      <c r="K279">
        <v>45</v>
      </c>
      <c r="M279" t="s">
        <v>112</v>
      </c>
      <c r="N279" t="s">
        <v>131</v>
      </c>
      <c r="P279">
        <f>IFERROR(IF(AND(tbl_daily[[#This Row],[Attendance (1 = Here, 0 = Not here)]]=1,tbl_daily[[#This Row],[Attended, but did not complete data]]&lt;&gt;1),tbl_daily[[#This Row],[Stress]]+tbl_daily[[#This Row],[SleepQuality]]+tbl_daily[[#This Row],[Energy]],""),"")</f>
        <v>13</v>
      </c>
      <c r="Q279">
        <f>IFERROR(IF(AND(tbl_daily[[#This Row],[Attendance (1 = Here, 0 = Not here)]]=1,tbl_daily[[#This Row],[Attended, but did not complete data]]&lt;&gt;1),tbl_daily[[#This Row],[LatestRPE]]*tbl_daily[[#This Row],[LatestDuration]],""),"")</f>
        <v>315</v>
      </c>
      <c r="R279">
        <f>IF(tbl_daily[[#This Row],[CodeName]]&lt;&gt;"",1,"")</f>
        <v>1</v>
      </c>
      <c r="S279" t="str">
        <f>IF(AND(tbl_daily[[#This Row],[Date]]&gt;=DATE(2019,8,1),tbl_daily[[#This Row],[Date]]&lt;=DATE(2020,6,1)),"2019-2020")</f>
        <v>2019-2020</v>
      </c>
      <c r="T279" t="str">
        <f>IFERROR(INDEX(tbl_prof[Cohort of Interest],MATCH(tbl_daily[[#This Row],[CodeName]],tbl_prof[CodeName],0)),"")</f>
        <v>Athletes</v>
      </c>
      <c r="U279">
        <f>IFERROR(AVERAGEIFS(tbl_perf[Grade],tbl_perf[CodeName],tbl_daily[[#This Row],[CodeName]],tbl_perf[Date],tbl_daily[[#This Row],[Date]]),"")</f>
        <v>87</v>
      </c>
      <c r="V279">
        <f>IFERROR(IF(AND(tbl_daily[[#This Row],[Attendance (1 = Here, 0 = Not here)]]=1,tbl_daily[[#This Row],[Attended, but did not complete data]]&lt;&gt;1),1,IF(AND(tbl_daily[[#This Row],[Attendance (1 = Here, 0 = Not here)]]=1,tbl_daily[[#This Row],[Attended, but did not complete data]]=1),2,3)),"")</f>
        <v>1</v>
      </c>
      <c r="W279">
        <f>IF(AND(tbl_daily[[#This Row],[Attendance Refined]]=1,tbl_daily[[#This Row],[InjuryStatus]]="Full"),1,IF(AND(tbl_daily[[#This Row],[Attendance Refined]]=1,tbl_daily[[#This Row],[InjuryStatus]]="Limited"),2,IF(AND(tbl_daily[[#This Row],[Attendance Refined]]=1,tbl_daily[[#This Row],[InjuryStatus]]="Out"),3,"")))</f>
        <v>1</v>
      </c>
    </row>
    <row r="280" spans="1:23" ht="15" customHeight="1" x14ac:dyDescent="0.25">
      <c r="A280" s="1">
        <v>43865</v>
      </c>
      <c r="B280" t="s">
        <v>441</v>
      </c>
      <c r="C280">
        <v>1</v>
      </c>
      <c r="E280">
        <v>3</v>
      </c>
      <c r="F280">
        <v>2</v>
      </c>
      <c r="G280">
        <v>4</v>
      </c>
      <c r="H280" t="s">
        <v>15</v>
      </c>
      <c r="I280">
        <v>1</v>
      </c>
      <c r="J280">
        <v>5</v>
      </c>
      <c r="K280">
        <v>70</v>
      </c>
      <c r="M280" t="s">
        <v>112</v>
      </c>
      <c r="N280" t="s">
        <v>138</v>
      </c>
      <c r="P280">
        <f>IFERROR(IF(AND(tbl_daily[[#This Row],[Attendance (1 = Here, 0 = Not here)]]=1,tbl_daily[[#This Row],[Attended, but did not complete data]]&lt;&gt;1),tbl_daily[[#This Row],[Stress]]+tbl_daily[[#This Row],[SleepQuality]]+tbl_daily[[#This Row],[Energy]],""),"")</f>
        <v>9</v>
      </c>
      <c r="Q280">
        <f>IFERROR(IF(AND(tbl_daily[[#This Row],[Attendance (1 = Here, 0 = Not here)]]=1,tbl_daily[[#This Row],[Attended, but did not complete data]]&lt;&gt;1),tbl_daily[[#This Row],[LatestRPE]]*tbl_daily[[#This Row],[LatestDuration]],""),"")</f>
        <v>350</v>
      </c>
      <c r="R280">
        <f>IF(tbl_daily[[#This Row],[CodeName]]&lt;&gt;"",1,"")</f>
        <v>1</v>
      </c>
      <c r="S280" t="str">
        <f>IF(AND(tbl_daily[[#This Row],[Date]]&gt;=DATE(2019,8,1),tbl_daily[[#This Row],[Date]]&lt;=DATE(2020,6,1)),"2019-2020")</f>
        <v>2019-2020</v>
      </c>
      <c r="T280" t="str">
        <f>IFERROR(INDEX(tbl_prof[Cohort of Interest],MATCH(tbl_daily[[#This Row],[CodeName]],tbl_prof[CodeName],0)),"")</f>
        <v>Athletes</v>
      </c>
      <c r="U280">
        <f>IFERROR(AVERAGEIFS(tbl_perf[Grade],tbl_perf[CodeName],tbl_daily[[#This Row],[CodeName]],tbl_perf[Date],tbl_daily[[#This Row],[Date]]),"")</f>
        <v>98</v>
      </c>
      <c r="V280">
        <f>IFERROR(IF(AND(tbl_daily[[#This Row],[Attendance (1 = Here, 0 = Not here)]]=1,tbl_daily[[#This Row],[Attended, but did not complete data]]&lt;&gt;1),1,IF(AND(tbl_daily[[#This Row],[Attendance (1 = Here, 0 = Not here)]]=1,tbl_daily[[#This Row],[Attended, but did not complete data]]=1),2,3)),"")</f>
        <v>1</v>
      </c>
      <c r="W280">
        <f>IF(AND(tbl_daily[[#This Row],[Attendance Refined]]=1,tbl_daily[[#This Row],[InjuryStatus]]="Full"),1,IF(AND(tbl_daily[[#This Row],[Attendance Refined]]=1,tbl_daily[[#This Row],[InjuryStatus]]="Limited"),2,IF(AND(tbl_daily[[#This Row],[Attendance Refined]]=1,tbl_daily[[#This Row],[InjuryStatus]]="Out"),3,"")))</f>
        <v>1</v>
      </c>
    </row>
    <row r="281" spans="1:23" ht="15" customHeight="1" x14ac:dyDescent="0.25">
      <c r="A281" s="1">
        <v>43865</v>
      </c>
      <c r="B281" t="s">
        <v>410</v>
      </c>
      <c r="C281">
        <v>1</v>
      </c>
      <c r="E281">
        <v>5</v>
      </c>
      <c r="F281">
        <v>7</v>
      </c>
      <c r="G281">
        <v>5</v>
      </c>
      <c r="H281" t="s">
        <v>15</v>
      </c>
      <c r="I281">
        <v>1</v>
      </c>
      <c r="J281">
        <v>6</v>
      </c>
      <c r="K281">
        <v>60</v>
      </c>
      <c r="M281" t="s">
        <v>112</v>
      </c>
      <c r="N281" t="s">
        <v>128</v>
      </c>
      <c r="P281">
        <f>IFERROR(IF(AND(tbl_daily[[#This Row],[Attendance (1 = Here, 0 = Not here)]]=1,tbl_daily[[#This Row],[Attended, but did not complete data]]&lt;&gt;1),tbl_daily[[#This Row],[Stress]]+tbl_daily[[#This Row],[SleepQuality]]+tbl_daily[[#This Row],[Energy]],""),"")</f>
        <v>17</v>
      </c>
      <c r="Q281">
        <f>IFERROR(IF(AND(tbl_daily[[#This Row],[Attendance (1 = Here, 0 = Not here)]]=1,tbl_daily[[#This Row],[Attended, but did not complete data]]&lt;&gt;1),tbl_daily[[#This Row],[LatestRPE]]*tbl_daily[[#This Row],[LatestDuration]],""),"")</f>
        <v>360</v>
      </c>
      <c r="R281">
        <f>IF(tbl_daily[[#This Row],[CodeName]]&lt;&gt;"",1,"")</f>
        <v>1</v>
      </c>
      <c r="S281" t="str">
        <f>IF(AND(tbl_daily[[#This Row],[Date]]&gt;=DATE(2019,8,1),tbl_daily[[#This Row],[Date]]&lt;=DATE(2020,6,1)),"2019-2020")</f>
        <v>2019-2020</v>
      </c>
      <c r="T281" t="str">
        <f>IFERROR(INDEX(tbl_prof[Cohort of Interest],MATCH(tbl_daily[[#This Row],[CodeName]],tbl_prof[CodeName],0)),"")</f>
        <v>Gen Pop</v>
      </c>
      <c r="U281">
        <f>IFERROR(AVERAGEIFS(tbl_perf[Grade],tbl_perf[CodeName],tbl_daily[[#This Row],[CodeName]],tbl_perf[Date],tbl_daily[[#This Row],[Date]]),"")</f>
        <v>84</v>
      </c>
      <c r="V281">
        <f>IFERROR(IF(AND(tbl_daily[[#This Row],[Attendance (1 = Here, 0 = Not here)]]=1,tbl_daily[[#This Row],[Attended, but did not complete data]]&lt;&gt;1),1,IF(AND(tbl_daily[[#This Row],[Attendance (1 = Here, 0 = Not here)]]=1,tbl_daily[[#This Row],[Attended, but did not complete data]]=1),2,3)),"")</f>
        <v>1</v>
      </c>
      <c r="W281">
        <f>IF(AND(tbl_daily[[#This Row],[Attendance Refined]]=1,tbl_daily[[#This Row],[InjuryStatus]]="Full"),1,IF(AND(tbl_daily[[#This Row],[Attendance Refined]]=1,tbl_daily[[#This Row],[InjuryStatus]]="Limited"),2,IF(AND(tbl_daily[[#This Row],[Attendance Refined]]=1,tbl_daily[[#This Row],[InjuryStatus]]="Out"),3,"")))</f>
        <v>1</v>
      </c>
    </row>
    <row r="282" spans="1:23" ht="15" customHeight="1" x14ac:dyDescent="0.25">
      <c r="A282" s="1">
        <v>43865</v>
      </c>
      <c r="B282" t="s">
        <v>411</v>
      </c>
      <c r="C282">
        <v>1</v>
      </c>
      <c r="E282">
        <v>4</v>
      </c>
      <c r="F282">
        <v>8</v>
      </c>
      <c r="G282">
        <v>8</v>
      </c>
      <c r="H282" t="s">
        <v>32</v>
      </c>
      <c r="I282">
        <v>1</v>
      </c>
      <c r="J282">
        <v>7</v>
      </c>
      <c r="K282">
        <v>60</v>
      </c>
      <c r="M282" t="s">
        <v>112</v>
      </c>
      <c r="N282" t="s">
        <v>113</v>
      </c>
      <c r="P282">
        <f>IFERROR(IF(AND(tbl_daily[[#This Row],[Attendance (1 = Here, 0 = Not here)]]=1,tbl_daily[[#This Row],[Attended, but did not complete data]]&lt;&gt;1),tbl_daily[[#This Row],[Stress]]+tbl_daily[[#This Row],[SleepQuality]]+tbl_daily[[#This Row],[Energy]],""),"")</f>
        <v>20</v>
      </c>
      <c r="Q282">
        <f>IFERROR(IF(AND(tbl_daily[[#This Row],[Attendance (1 = Here, 0 = Not here)]]=1,tbl_daily[[#This Row],[Attended, but did not complete data]]&lt;&gt;1),tbl_daily[[#This Row],[LatestRPE]]*tbl_daily[[#This Row],[LatestDuration]],""),"")</f>
        <v>420</v>
      </c>
      <c r="R282">
        <f>IF(tbl_daily[[#This Row],[CodeName]]&lt;&gt;"",1,"")</f>
        <v>1</v>
      </c>
      <c r="S282" t="str">
        <f>IF(AND(tbl_daily[[#This Row],[Date]]&gt;=DATE(2019,8,1),tbl_daily[[#This Row],[Date]]&lt;=DATE(2020,6,1)),"2019-2020")</f>
        <v>2019-2020</v>
      </c>
      <c r="T282" t="str">
        <f>IFERROR(INDEX(tbl_prof[Cohort of Interest],MATCH(tbl_daily[[#This Row],[CodeName]],tbl_prof[CodeName],0)),"")</f>
        <v>Athletes</v>
      </c>
      <c r="U282">
        <f>IFERROR(AVERAGEIFS(tbl_perf[Grade],tbl_perf[CodeName],tbl_daily[[#This Row],[CodeName]],tbl_perf[Date],tbl_daily[[#This Row],[Date]]),"")</f>
        <v>87</v>
      </c>
      <c r="V282">
        <f>IFERROR(IF(AND(tbl_daily[[#This Row],[Attendance (1 = Here, 0 = Not here)]]=1,tbl_daily[[#This Row],[Attended, but did not complete data]]&lt;&gt;1),1,IF(AND(tbl_daily[[#This Row],[Attendance (1 = Here, 0 = Not here)]]=1,tbl_daily[[#This Row],[Attended, but did not complete data]]=1),2,3)),"")</f>
        <v>1</v>
      </c>
      <c r="W282">
        <f>IF(AND(tbl_daily[[#This Row],[Attendance Refined]]=1,tbl_daily[[#This Row],[InjuryStatus]]="Full"),1,IF(AND(tbl_daily[[#This Row],[Attendance Refined]]=1,tbl_daily[[#This Row],[InjuryStatus]]="Limited"),2,IF(AND(tbl_daily[[#This Row],[Attendance Refined]]=1,tbl_daily[[#This Row],[InjuryStatus]]="Out"),3,"")))</f>
        <v>2</v>
      </c>
    </row>
    <row r="283" spans="1:23" ht="15" customHeight="1" x14ac:dyDescent="0.25">
      <c r="A283" s="1">
        <v>43865</v>
      </c>
      <c r="B283" t="s">
        <v>419</v>
      </c>
      <c r="C283">
        <v>1</v>
      </c>
      <c r="E283">
        <v>7</v>
      </c>
      <c r="F283">
        <v>5</v>
      </c>
      <c r="G283">
        <v>3</v>
      </c>
      <c r="H283" t="s">
        <v>15</v>
      </c>
      <c r="I283">
        <v>1</v>
      </c>
      <c r="J283">
        <v>8</v>
      </c>
      <c r="K283">
        <v>60</v>
      </c>
      <c r="M283" t="s">
        <v>112</v>
      </c>
      <c r="N283" t="s">
        <v>119</v>
      </c>
      <c r="P283">
        <f>IFERROR(IF(AND(tbl_daily[[#This Row],[Attendance (1 = Here, 0 = Not here)]]=1,tbl_daily[[#This Row],[Attended, but did not complete data]]&lt;&gt;1),tbl_daily[[#This Row],[Stress]]+tbl_daily[[#This Row],[SleepQuality]]+tbl_daily[[#This Row],[Energy]],""),"")</f>
        <v>15</v>
      </c>
      <c r="Q283">
        <f>IFERROR(IF(AND(tbl_daily[[#This Row],[Attendance (1 = Here, 0 = Not here)]]=1,tbl_daily[[#This Row],[Attended, but did not complete data]]&lt;&gt;1),tbl_daily[[#This Row],[LatestRPE]]*tbl_daily[[#This Row],[LatestDuration]],""),"")</f>
        <v>480</v>
      </c>
      <c r="R283">
        <f>IF(tbl_daily[[#This Row],[CodeName]]&lt;&gt;"",1,"")</f>
        <v>1</v>
      </c>
      <c r="S283" t="str">
        <f>IF(AND(tbl_daily[[#This Row],[Date]]&gt;=DATE(2019,8,1),tbl_daily[[#This Row],[Date]]&lt;=DATE(2020,6,1)),"2019-2020")</f>
        <v>2019-2020</v>
      </c>
      <c r="T283" t="str">
        <f>IFERROR(INDEX(tbl_prof[Cohort of Interest],MATCH(tbl_daily[[#This Row],[CodeName]],tbl_prof[CodeName],0)),"")</f>
        <v>Youth</v>
      </c>
      <c r="U283">
        <f>IFERROR(AVERAGEIFS(tbl_perf[Grade],tbl_perf[CodeName],tbl_daily[[#This Row],[CodeName]],tbl_perf[Date],tbl_daily[[#This Row],[Date]]),"")</f>
        <v>98</v>
      </c>
      <c r="V283">
        <f>IFERROR(IF(AND(tbl_daily[[#This Row],[Attendance (1 = Here, 0 = Not here)]]=1,tbl_daily[[#This Row],[Attended, but did not complete data]]&lt;&gt;1),1,IF(AND(tbl_daily[[#This Row],[Attendance (1 = Here, 0 = Not here)]]=1,tbl_daily[[#This Row],[Attended, but did not complete data]]=1),2,3)),"")</f>
        <v>1</v>
      </c>
      <c r="W283">
        <f>IF(AND(tbl_daily[[#This Row],[Attendance Refined]]=1,tbl_daily[[#This Row],[InjuryStatus]]="Full"),1,IF(AND(tbl_daily[[#This Row],[Attendance Refined]]=1,tbl_daily[[#This Row],[InjuryStatus]]="Limited"),2,IF(AND(tbl_daily[[#This Row],[Attendance Refined]]=1,tbl_daily[[#This Row],[InjuryStatus]]="Out"),3,"")))</f>
        <v>1</v>
      </c>
    </row>
    <row r="284" spans="1:23" ht="15" customHeight="1" x14ac:dyDescent="0.25">
      <c r="A284" s="1">
        <v>43865</v>
      </c>
      <c r="B284" t="s">
        <v>418</v>
      </c>
      <c r="C284">
        <v>1</v>
      </c>
      <c r="E284">
        <v>7</v>
      </c>
      <c r="F284">
        <v>8</v>
      </c>
      <c r="G284">
        <v>9</v>
      </c>
      <c r="H284" t="s">
        <v>15</v>
      </c>
      <c r="I284">
        <v>1</v>
      </c>
      <c r="J284">
        <v>7</v>
      </c>
      <c r="K284">
        <v>90</v>
      </c>
      <c r="M284" t="s">
        <v>112</v>
      </c>
      <c r="N284" t="s">
        <v>118</v>
      </c>
      <c r="P284">
        <f>IFERROR(IF(AND(tbl_daily[[#This Row],[Attendance (1 = Here, 0 = Not here)]]=1,tbl_daily[[#This Row],[Attended, but did not complete data]]&lt;&gt;1),tbl_daily[[#This Row],[Stress]]+tbl_daily[[#This Row],[SleepQuality]]+tbl_daily[[#This Row],[Energy]],""),"")</f>
        <v>24</v>
      </c>
      <c r="Q284">
        <f>IFERROR(IF(AND(tbl_daily[[#This Row],[Attendance (1 = Here, 0 = Not here)]]=1,tbl_daily[[#This Row],[Attended, but did not complete data]]&lt;&gt;1),tbl_daily[[#This Row],[LatestRPE]]*tbl_daily[[#This Row],[LatestDuration]],""),"")</f>
        <v>630</v>
      </c>
      <c r="R284">
        <f>IF(tbl_daily[[#This Row],[CodeName]]&lt;&gt;"",1,"")</f>
        <v>1</v>
      </c>
      <c r="S284" t="str">
        <f>IF(AND(tbl_daily[[#This Row],[Date]]&gt;=DATE(2019,8,1),tbl_daily[[#This Row],[Date]]&lt;=DATE(2020,6,1)),"2019-2020")</f>
        <v>2019-2020</v>
      </c>
      <c r="T284" t="str">
        <f>IFERROR(INDEX(tbl_prof[Cohort of Interest],MATCH(tbl_daily[[#This Row],[CodeName]],tbl_prof[CodeName],0)),"")</f>
        <v>Special</v>
      </c>
      <c r="U284">
        <f>IFERROR(AVERAGEIFS(tbl_perf[Grade],tbl_perf[CodeName],tbl_daily[[#This Row],[CodeName]],tbl_perf[Date],tbl_daily[[#This Row],[Date]]),"")</f>
        <v>96</v>
      </c>
      <c r="V284">
        <f>IFERROR(IF(AND(tbl_daily[[#This Row],[Attendance (1 = Here, 0 = Not here)]]=1,tbl_daily[[#This Row],[Attended, but did not complete data]]&lt;&gt;1),1,IF(AND(tbl_daily[[#This Row],[Attendance (1 = Here, 0 = Not here)]]=1,tbl_daily[[#This Row],[Attended, but did not complete data]]=1),2,3)),"")</f>
        <v>1</v>
      </c>
      <c r="W284">
        <f>IF(AND(tbl_daily[[#This Row],[Attendance Refined]]=1,tbl_daily[[#This Row],[InjuryStatus]]="Full"),1,IF(AND(tbl_daily[[#This Row],[Attendance Refined]]=1,tbl_daily[[#This Row],[InjuryStatus]]="Limited"),2,IF(AND(tbl_daily[[#This Row],[Attendance Refined]]=1,tbl_daily[[#This Row],[InjuryStatus]]="Out"),3,"")))</f>
        <v>1</v>
      </c>
    </row>
    <row r="285" spans="1:23" ht="15" customHeight="1" x14ac:dyDescent="0.25">
      <c r="A285" s="1">
        <v>43865</v>
      </c>
      <c r="B285" t="s">
        <v>432</v>
      </c>
      <c r="C285">
        <v>1</v>
      </c>
      <c r="E285">
        <v>9</v>
      </c>
      <c r="F285">
        <v>5</v>
      </c>
      <c r="G285">
        <v>5</v>
      </c>
      <c r="H285" t="s">
        <v>32</v>
      </c>
      <c r="I285">
        <v>1</v>
      </c>
      <c r="J285">
        <v>7</v>
      </c>
      <c r="K285">
        <v>100</v>
      </c>
      <c r="M285" t="s">
        <v>112</v>
      </c>
      <c r="N285" t="s">
        <v>134</v>
      </c>
      <c r="P285">
        <f>IFERROR(IF(AND(tbl_daily[[#This Row],[Attendance (1 = Here, 0 = Not here)]]=1,tbl_daily[[#This Row],[Attended, but did not complete data]]&lt;&gt;1),tbl_daily[[#This Row],[Stress]]+tbl_daily[[#This Row],[SleepQuality]]+tbl_daily[[#This Row],[Energy]],""),"")</f>
        <v>19</v>
      </c>
      <c r="Q285">
        <f>IFERROR(IF(AND(tbl_daily[[#This Row],[Attendance (1 = Here, 0 = Not here)]]=1,tbl_daily[[#This Row],[Attended, but did not complete data]]&lt;&gt;1),tbl_daily[[#This Row],[LatestRPE]]*tbl_daily[[#This Row],[LatestDuration]],""),"")</f>
        <v>700</v>
      </c>
      <c r="R285">
        <f>IF(tbl_daily[[#This Row],[CodeName]]&lt;&gt;"",1,"")</f>
        <v>1</v>
      </c>
      <c r="S285" t="str">
        <f>IF(AND(tbl_daily[[#This Row],[Date]]&gt;=DATE(2019,8,1),tbl_daily[[#This Row],[Date]]&lt;=DATE(2020,6,1)),"2019-2020")</f>
        <v>2019-2020</v>
      </c>
      <c r="T285" t="str">
        <f>IFERROR(INDEX(tbl_prof[Cohort of Interest],MATCH(tbl_daily[[#This Row],[CodeName]],tbl_prof[CodeName],0)),"")</f>
        <v>Athletes</v>
      </c>
      <c r="U285">
        <f>IFERROR(AVERAGEIFS(tbl_perf[Grade],tbl_perf[CodeName],tbl_daily[[#This Row],[CodeName]],tbl_perf[Date],tbl_daily[[#This Row],[Date]]),"")</f>
        <v>84</v>
      </c>
      <c r="V285">
        <f>IFERROR(IF(AND(tbl_daily[[#This Row],[Attendance (1 = Here, 0 = Not here)]]=1,tbl_daily[[#This Row],[Attended, but did not complete data]]&lt;&gt;1),1,IF(AND(tbl_daily[[#This Row],[Attendance (1 = Here, 0 = Not here)]]=1,tbl_daily[[#This Row],[Attended, but did not complete data]]=1),2,3)),"")</f>
        <v>1</v>
      </c>
      <c r="W285">
        <f>IF(AND(tbl_daily[[#This Row],[Attendance Refined]]=1,tbl_daily[[#This Row],[InjuryStatus]]="Full"),1,IF(AND(tbl_daily[[#This Row],[Attendance Refined]]=1,tbl_daily[[#This Row],[InjuryStatus]]="Limited"),2,IF(AND(tbl_daily[[#This Row],[Attendance Refined]]=1,tbl_daily[[#This Row],[InjuryStatus]]="Out"),3,"")))</f>
        <v>2</v>
      </c>
    </row>
    <row r="286" spans="1:23" ht="15" customHeight="1" x14ac:dyDescent="0.25">
      <c r="A286" s="1">
        <v>43865</v>
      </c>
      <c r="B286" t="s">
        <v>423</v>
      </c>
      <c r="C286">
        <v>1</v>
      </c>
      <c r="E286">
        <v>5</v>
      </c>
      <c r="F286">
        <v>7</v>
      </c>
      <c r="G286">
        <v>7</v>
      </c>
      <c r="H286" t="s">
        <v>15</v>
      </c>
      <c r="I286">
        <v>1</v>
      </c>
      <c r="J286">
        <v>10</v>
      </c>
      <c r="K286">
        <v>75</v>
      </c>
      <c r="M286" t="s">
        <v>112</v>
      </c>
      <c r="N286" t="s">
        <v>122</v>
      </c>
      <c r="P286">
        <f>IFERROR(IF(AND(tbl_daily[[#This Row],[Attendance (1 = Here, 0 = Not here)]]=1,tbl_daily[[#This Row],[Attended, but did not complete data]]&lt;&gt;1),tbl_daily[[#This Row],[Stress]]+tbl_daily[[#This Row],[SleepQuality]]+tbl_daily[[#This Row],[Energy]],""),"")</f>
        <v>19</v>
      </c>
      <c r="Q286">
        <f>IFERROR(IF(AND(tbl_daily[[#This Row],[Attendance (1 = Here, 0 = Not here)]]=1,tbl_daily[[#This Row],[Attended, but did not complete data]]&lt;&gt;1),tbl_daily[[#This Row],[LatestRPE]]*tbl_daily[[#This Row],[LatestDuration]],""),"")</f>
        <v>750</v>
      </c>
      <c r="R286">
        <f>IF(tbl_daily[[#This Row],[CodeName]]&lt;&gt;"",1,"")</f>
        <v>1</v>
      </c>
      <c r="S286" t="str">
        <f>IF(AND(tbl_daily[[#This Row],[Date]]&gt;=DATE(2019,8,1),tbl_daily[[#This Row],[Date]]&lt;=DATE(2020,6,1)),"2019-2020")</f>
        <v>2019-2020</v>
      </c>
      <c r="T286" t="str">
        <f>IFERROR(INDEX(tbl_prof[Cohort of Interest],MATCH(tbl_daily[[#This Row],[CodeName]],tbl_prof[CodeName],0)),"")</f>
        <v>Youth</v>
      </c>
      <c r="U286">
        <f>IFERROR(AVERAGEIFS(tbl_perf[Grade],tbl_perf[CodeName],tbl_daily[[#This Row],[CodeName]],tbl_perf[Date],tbl_daily[[#This Row],[Date]]),"")</f>
        <v>78</v>
      </c>
      <c r="V286">
        <f>IFERROR(IF(AND(tbl_daily[[#This Row],[Attendance (1 = Here, 0 = Not here)]]=1,tbl_daily[[#This Row],[Attended, but did not complete data]]&lt;&gt;1),1,IF(AND(tbl_daily[[#This Row],[Attendance (1 = Here, 0 = Not here)]]=1,tbl_daily[[#This Row],[Attended, but did not complete data]]=1),2,3)),"")</f>
        <v>1</v>
      </c>
      <c r="W286">
        <f>IF(AND(tbl_daily[[#This Row],[Attendance Refined]]=1,tbl_daily[[#This Row],[InjuryStatus]]="Full"),1,IF(AND(tbl_daily[[#This Row],[Attendance Refined]]=1,tbl_daily[[#This Row],[InjuryStatus]]="Limited"),2,IF(AND(tbl_daily[[#This Row],[Attendance Refined]]=1,tbl_daily[[#This Row],[InjuryStatus]]="Out"),3,"")))</f>
        <v>1</v>
      </c>
    </row>
    <row r="287" spans="1:23" ht="15" customHeight="1" x14ac:dyDescent="0.25">
      <c r="A287" s="1">
        <v>43865</v>
      </c>
      <c r="B287" t="s">
        <v>434</v>
      </c>
      <c r="C287">
        <v>1</v>
      </c>
      <c r="E287">
        <v>5</v>
      </c>
      <c r="F287">
        <v>6</v>
      </c>
      <c r="G287">
        <v>5</v>
      </c>
      <c r="H287" t="s">
        <v>15</v>
      </c>
      <c r="I287">
        <v>1</v>
      </c>
      <c r="J287">
        <v>10</v>
      </c>
      <c r="K287">
        <v>120</v>
      </c>
      <c r="M287" t="s">
        <v>112</v>
      </c>
      <c r="N287" t="s">
        <v>118</v>
      </c>
      <c r="P287">
        <f>IFERROR(IF(AND(tbl_daily[[#This Row],[Attendance (1 = Here, 0 = Not here)]]=1,tbl_daily[[#This Row],[Attended, but did not complete data]]&lt;&gt;1),tbl_daily[[#This Row],[Stress]]+tbl_daily[[#This Row],[SleepQuality]]+tbl_daily[[#This Row],[Energy]],""),"")</f>
        <v>16</v>
      </c>
      <c r="Q287">
        <f>IFERROR(IF(AND(tbl_daily[[#This Row],[Attendance (1 = Here, 0 = Not here)]]=1,tbl_daily[[#This Row],[Attended, but did not complete data]]&lt;&gt;1),tbl_daily[[#This Row],[LatestRPE]]*tbl_daily[[#This Row],[LatestDuration]],""),"")</f>
        <v>1200</v>
      </c>
      <c r="R287">
        <f>IF(tbl_daily[[#This Row],[CodeName]]&lt;&gt;"",1,"")</f>
        <v>1</v>
      </c>
      <c r="S287" t="str">
        <f>IF(AND(tbl_daily[[#This Row],[Date]]&gt;=DATE(2019,8,1),tbl_daily[[#This Row],[Date]]&lt;=DATE(2020,6,1)),"2019-2020")</f>
        <v>2019-2020</v>
      </c>
      <c r="T287" t="str">
        <f>IFERROR(INDEX(tbl_prof[Cohort of Interest],MATCH(tbl_daily[[#This Row],[CodeName]],tbl_prof[CodeName],0)),"")</f>
        <v>Athletes</v>
      </c>
      <c r="U287">
        <f>IFERROR(AVERAGEIFS(tbl_perf[Grade],tbl_perf[CodeName],tbl_daily[[#This Row],[CodeName]],tbl_perf[Date],tbl_daily[[#This Row],[Date]]),"")</f>
        <v>80</v>
      </c>
      <c r="V287">
        <f>IFERROR(IF(AND(tbl_daily[[#This Row],[Attendance (1 = Here, 0 = Not here)]]=1,tbl_daily[[#This Row],[Attended, but did not complete data]]&lt;&gt;1),1,IF(AND(tbl_daily[[#This Row],[Attendance (1 = Here, 0 = Not here)]]=1,tbl_daily[[#This Row],[Attended, but did not complete data]]=1),2,3)),"")</f>
        <v>1</v>
      </c>
      <c r="W287">
        <f>IF(AND(tbl_daily[[#This Row],[Attendance Refined]]=1,tbl_daily[[#This Row],[InjuryStatus]]="Full"),1,IF(AND(tbl_daily[[#This Row],[Attendance Refined]]=1,tbl_daily[[#This Row],[InjuryStatus]]="Limited"),2,IF(AND(tbl_daily[[#This Row],[Attendance Refined]]=1,tbl_daily[[#This Row],[InjuryStatus]]="Out"),3,"")))</f>
        <v>1</v>
      </c>
    </row>
    <row r="288" spans="1:23" ht="15" customHeight="1" x14ac:dyDescent="0.25">
      <c r="A288" s="1">
        <v>43865</v>
      </c>
      <c r="B288" t="s">
        <v>415</v>
      </c>
      <c r="C288">
        <v>0</v>
      </c>
      <c r="D288">
        <v>1</v>
      </c>
      <c r="M288" t="s">
        <v>112</v>
      </c>
      <c r="P288" t="str">
        <f>IFERROR(IF(AND(tbl_daily[[#This Row],[Attendance (1 = Here, 0 = Not here)]]=1,tbl_daily[[#This Row],[Attended, but did not complete data]]&lt;&gt;1),tbl_daily[[#This Row],[Stress]]+tbl_daily[[#This Row],[SleepQuality]]+tbl_daily[[#This Row],[Energy]],""),"")</f>
        <v/>
      </c>
      <c r="Q288" t="str">
        <f>IFERROR(IF(AND(tbl_daily[[#This Row],[Attendance (1 = Here, 0 = Not here)]]=1,tbl_daily[[#This Row],[Attended, but did not complete data]]&lt;&gt;1),tbl_daily[[#This Row],[LatestRPE]]*tbl_daily[[#This Row],[LatestDuration]],""),"")</f>
        <v/>
      </c>
      <c r="R288">
        <f>IF(tbl_daily[[#This Row],[CodeName]]&lt;&gt;"",1,"")</f>
        <v>1</v>
      </c>
      <c r="S288" t="str">
        <f>IF(AND(tbl_daily[[#This Row],[Date]]&gt;=DATE(2019,8,1),tbl_daily[[#This Row],[Date]]&lt;=DATE(2020,6,1)),"2019-2020")</f>
        <v>2019-2020</v>
      </c>
      <c r="T288" t="str">
        <f>IFERROR(INDEX(tbl_prof[Cohort of Interest],MATCH(tbl_daily[[#This Row],[CodeName]],tbl_prof[CodeName],0)),"")</f>
        <v>Youth</v>
      </c>
      <c r="U288">
        <f>IFERROR(AVERAGEIFS(tbl_perf[Grade],tbl_perf[CodeName],tbl_daily[[#This Row],[CodeName]],tbl_perf[Date],tbl_daily[[#This Row],[Date]]),"")</f>
        <v>98</v>
      </c>
      <c r="V288">
        <f>IFERROR(IF(AND(tbl_daily[[#This Row],[Attendance (1 = Here, 0 = Not here)]]=1,tbl_daily[[#This Row],[Attended, but did not complete data]]&lt;&gt;1),1,IF(AND(tbl_daily[[#This Row],[Attendance (1 = Here, 0 = Not here)]]=1,tbl_daily[[#This Row],[Attended, but did not complete data]]=1),2,3)),"")</f>
        <v>3</v>
      </c>
      <c r="W288" t="str">
        <f>IF(AND(tbl_daily[[#This Row],[Attendance Refined]]=1,tbl_daily[[#This Row],[InjuryStatus]]="Full"),1,IF(AND(tbl_daily[[#This Row],[Attendance Refined]]=1,tbl_daily[[#This Row],[InjuryStatus]]="Limited"),2,IF(AND(tbl_daily[[#This Row],[Attendance Refined]]=1,tbl_daily[[#This Row],[InjuryStatus]]="Out"),3,"")))</f>
        <v/>
      </c>
    </row>
    <row r="289" spans="1:23" ht="15" customHeight="1" x14ac:dyDescent="0.25">
      <c r="A289" s="1">
        <v>43865</v>
      </c>
      <c r="B289" t="s">
        <v>417</v>
      </c>
      <c r="C289">
        <v>0</v>
      </c>
      <c r="D289">
        <v>1</v>
      </c>
      <c r="M289" t="s">
        <v>112</v>
      </c>
      <c r="P289" t="str">
        <f>IFERROR(IF(AND(tbl_daily[[#This Row],[Attendance (1 = Here, 0 = Not here)]]=1,tbl_daily[[#This Row],[Attended, but did not complete data]]&lt;&gt;1),tbl_daily[[#This Row],[Stress]]+tbl_daily[[#This Row],[SleepQuality]]+tbl_daily[[#This Row],[Energy]],""),"")</f>
        <v/>
      </c>
      <c r="Q289" t="str">
        <f>IFERROR(IF(AND(tbl_daily[[#This Row],[Attendance (1 = Here, 0 = Not here)]]=1,tbl_daily[[#This Row],[Attended, but did not complete data]]&lt;&gt;1),tbl_daily[[#This Row],[LatestRPE]]*tbl_daily[[#This Row],[LatestDuration]],""),"")</f>
        <v/>
      </c>
      <c r="R289">
        <f>IF(tbl_daily[[#This Row],[CodeName]]&lt;&gt;"",1,"")</f>
        <v>1</v>
      </c>
      <c r="S289" t="str">
        <f>IF(AND(tbl_daily[[#This Row],[Date]]&gt;=DATE(2019,8,1),tbl_daily[[#This Row],[Date]]&lt;=DATE(2020,6,1)),"2019-2020")</f>
        <v>2019-2020</v>
      </c>
      <c r="T289" t="str">
        <f>IFERROR(INDEX(tbl_prof[Cohort of Interest],MATCH(tbl_daily[[#This Row],[CodeName]],tbl_prof[CodeName],0)),"")</f>
        <v>Gen Pop</v>
      </c>
      <c r="U289">
        <f>IFERROR(AVERAGEIFS(tbl_perf[Grade],tbl_perf[CodeName],tbl_daily[[#This Row],[CodeName]],tbl_perf[Date],tbl_daily[[#This Row],[Date]]),"")</f>
        <v>90</v>
      </c>
      <c r="V289">
        <f>IFERROR(IF(AND(tbl_daily[[#This Row],[Attendance (1 = Here, 0 = Not here)]]=1,tbl_daily[[#This Row],[Attended, but did not complete data]]&lt;&gt;1),1,IF(AND(tbl_daily[[#This Row],[Attendance (1 = Here, 0 = Not here)]]=1,tbl_daily[[#This Row],[Attended, but did not complete data]]=1),2,3)),"")</f>
        <v>3</v>
      </c>
      <c r="W289" t="str">
        <f>IF(AND(tbl_daily[[#This Row],[Attendance Refined]]=1,tbl_daily[[#This Row],[InjuryStatus]]="Full"),1,IF(AND(tbl_daily[[#This Row],[Attendance Refined]]=1,tbl_daily[[#This Row],[InjuryStatus]]="Limited"),2,IF(AND(tbl_daily[[#This Row],[Attendance Refined]]=1,tbl_daily[[#This Row],[InjuryStatus]]="Out"),3,"")))</f>
        <v/>
      </c>
    </row>
    <row r="290" spans="1:23" ht="15" customHeight="1" x14ac:dyDescent="0.25">
      <c r="A290" s="1">
        <v>43865</v>
      </c>
      <c r="B290" t="s">
        <v>420</v>
      </c>
      <c r="C290">
        <v>0</v>
      </c>
      <c r="D290">
        <v>1</v>
      </c>
      <c r="M290" t="s">
        <v>112</v>
      </c>
      <c r="P290" t="str">
        <f>IFERROR(IF(AND(tbl_daily[[#This Row],[Attendance (1 = Here, 0 = Not here)]]=1,tbl_daily[[#This Row],[Attended, but did not complete data]]&lt;&gt;1),tbl_daily[[#This Row],[Stress]]+tbl_daily[[#This Row],[SleepQuality]]+tbl_daily[[#This Row],[Energy]],""),"")</f>
        <v/>
      </c>
      <c r="Q290" t="str">
        <f>IFERROR(IF(AND(tbl_daily[[#This Row],[Attendance (1 = Here, 0 = Not here)]]=1,tbl_daily[[#This Row],[Attended, but did not complete data]]&lt;&gt;1),tbl_daily[[#This Row],[LatestRPE]]*tbl_daily[[#This Row],[LatestDuration]],""),"")</f>
        <v/>
      </c>
      <c r="R290">
        <f>IF(tbl_daily[[#This Row],[CodeName]]&lt;&gt;"",1,"")</f>
        <v>1</v>
      </c>
      <c r="S290" t="str">
        <f>IF(AND(tbl_daily[[#This Row],[Date]]&gt;=DATE(2019,8,1),tbl_daily[[#This Row],[Date]]&lt;=DATE(2020,6,1)),"2019-2020")</f>
        <v>2019-2020</v>
      </c>
      <c r="T290" t="str">
        <f>IFERROR(INDEX(tbl_prof[Cohort of Interest],MATCH(tbl_daily[[#This Row],[CodeName]],tbl_prof[CodeName],0)),"")</f>
        <v>Athletes</v>
      </c>
      <c r="U290">
        <f>IFERROR(AVERAGEIFS(tbl_perf[Grade],tbl_perf[CodeName],tbl_daily[[#This Row],[CodeName]],tbl_perf[Date],tbl_daily[[#This Row],[Date]]),"")</f>
        <v>91</v>
      </c>
      <c r="V290">
        <f>IFERROR(IF(AND(tbl_daily[[#This Row],[Attendance (1 = Here, 0 = Not here)]]=1,tbl_daily[[#This Row],[Attended, but did not complete data]]&lt;&gt;1),1,IF(AND(tbl_daily[[#This Row],[Attendance (1 = Here, 0 = Not here)]]=1,tbl_daily[[#This Row],[Attended, but did not complete data]]=1),2,3)),"")</f>
        <v>3</v>
      </c>
      <c r="W290" t="str">
        <f>IF(AND(tbl_daily[[#This Row],[Attendance Refined]]=1,tbl_daily[[#This Row],[InjuryStatus]]="Full"),1,IF(AND(tbl_daily[[#This Row],[Attendance Refined]]=1,tbl_daily[[#This Row],[InjuryStatus]]="Limited"),2,IF(AND(tbl_daily[[#This Row],[Attendance Refined]]=1,tbl_daily[[#This Row],[InjuryStatus]]="Out"),3,"")))</f>
        <v/>
      </c>
    </row>
    <row r="291" spans="1:23" ht="15" customHeight="1" x14ac:dyDescent="0.25">
      <c r="A291" s="1">
        <v>43865</v>
      </c>
      <c r="B291" t="s">
        <v>429</v>
      </c>
      <c r="C291">
        <v>0</v>
      </c>
      <c r="D291">
        <v>1</v>
      </c>
      <c r="M291" t="s">
        <v>112</v>
      </c>
      <c r="P291" t="str">
        <f>IFERROR(IF(AND(tbl_daily[[#This Row],[Attendance (1 = Here, 0 = Not here)]]=1,tbl_daily[[#This Row],[Attended, but did not complete data]]&lt;&gt;1),tbl_daily[[#This Row],[Stress]]+tbl_daily[[#This Row],[SleepQuality]]+tbl_daily[[#This Row],[Energy]],""),"")</f>
        <v/>
      </c>
      <c r="Q291" t="str">
        <f>IFERROR(IF(AND(tbl_daily[[#This Row],[Attendance (1 = Here, 0 = Not here)]]=1,tbl_daily[[#This Row],[Attended, but did not complete data]]&lt;&gt;1),tbl_daily[[#This Row],[LatestRPE]]*tbl_daily[[#This Row],[LatestDuration]],""),"")</f>
        <v/>
      </c>
      <c r="R291">
        <f>IF(tbl_daily[[#This Row],[CodeName]]&lt;&gt;"",1,"")</f>
        <v>1</v>
      </c>
      <c r="S291" t="str">
        <f>IF(AND(tbl_daily[[#This Row],[Date]]&gt;=DATE(2019,8,1),tbl_daily[[#This Row],[Date]]&lt;=DATE(2020,6,1)),"2019-2020")</f>
        <v>2019-2020</v>
      </c>
      <c r="T291" t="str">
        <f>IFERROR(INDEX(tbl_prof[Cohort of Interest],MATCH(tbl_daily[[#This Row],[CodeName]],tbl_prof[CodeName],0)),"")</f>
        <v>Gen Pop</v>
      </c>
      <c r="U291">
        <f>IFERROR(AVERAGEIFS(tbl_perf[Grade],tbl_perf[CodeName],tbl_daily[[#This Row],[CodeName]],tbl_perf[Date],tbl_daily[[#This Row],[Date]]),"")</f>
        <v>81</v>
      </c>
      <c r="V291">
        <f>IFERROR(IF(AND(tbl_daily[[#This Row],[Attendance (1 = Here, 0 = Not here)]]=1,tbl_daily[[#This Row],[Attended, but did not complete data]]&lt;&gt;1),1,IF(AND(tbl_daily[[#This Row],[Attendance (1 = Here, 0 = Not here)]]=1,tbl_daily[[#This Row],[Attended, but did not complete data]]=1),2,3)),"")</f>
        <v>3</v>
      </c>
      <c r="W291" t="str">
        <f>IF(AND(tbl_daily[[#This Row],[Attendance Refined]]=1,tbl_daily[[#This Row],[InjuryStatus]]="Full"),1,IF(AND(tbl_daily[[#This Row],[Attendance Refined]]=1,tbl_daily[[#This Row],[InjuryStatus]]="Limited"),2,IF(AND(tbl_daily[[#This Row],[Attendance Refined]]=1,tbl_daily[[#This Row],[InjuryStatus]]="Out"),3,"")))</f>
        <v/>
      </c>
    </row>
    <row r="292" spans="1:23" ht="15" customHeight="1" x14ac:dyDescent="0.25">
      <c r="A292" s="1">
        <v>43860</v>
      </c>
      <c r="B292" t="s">
        <v>412</v>
      </c>
      <c r="C292">
        <v>1</v>
      </c>
      <c r="E292">
        <v>8</v>
      </c>
      <c r="F292">
        <v>1</v>
      </c>
      <c r="G292">
        <v>7</v>
      </c>
      <c r="H292" t="s">
        <v>15</v>
      </c>
      <c r="I292">
        <v>0</v>
      </c>
      <c r="J292">
        <v>0</v>
      </c>
      <c r="K292">
        <v>0</v>
      </c>
      <c r="M292" t="s">
        <v>223</v>
      </c>
      <c r="N292" t="s">
        <v>88</v>
      </c>
      <c r="P292">
        <f>IFERROR(IF(AND(tbl_daily[[#This Row],[Attendance (1 = Here, 0 = Not here)]]=1,tbl_daily[[#This Row],[Attended, but did not complete data]]&lt;&gt;1),tbl_daily[[#This Row],[Stress]]+tbl_daily[[#This Row],[SleepQuality]]+tbl_daily[[#This Row],[Energy]],""),"")</f>
        <v>16</v>
      </c>
      <c r="Q292">
        <f>IFERROR(IF(AND(tbl_daily[[#This Row],[Attendance (1 = Here, 0 = Not here)]]=1,tbl_daily[[#This Row],[Attended, but did not complete data]]&lt;&gt;1),tbl_daily[[#This Row],[LatestRPE]]*tbl_daily[[#This Row],[LatestDuration]],""),"")</f>
        <v>0</v>
      </c>
      <c r="R292">
        <f>IF(tbl_daily[[#This Row],[CodeName]]&lt;&gt;"",1,"")</f>
        <v>1</v>
      </c>
      <c r="S292" t="str">
        <f>IF(AND(tbl_daily[[#This Row],[Date]]&gt;=DATE(2019,8,1),tbl_daily[[#This Row],[Date]]&lt;=DATE(2020,6,1)),"2019-2020")</f>
        <v>2019-2020</v>
      </c>
      <c r="T292" t="str">
        <f>IFERROR(INDEX(tbl_prof[Cohort of Interest],MATCH(tbl_daily[[#This Row],[CodeName]],tbl_prof[CodeName],0)),"")</f>
        <v>Gen Pop</v>
      </c>
      <c r="U292" t="str">
        <f>IFERROR(AVERAGEIFS(tbl_perf[Grade],tbl_perf[CodeName],tbl_daily[[#This Row],[CodeName]],tbl_perf[Date],tbl_daily[[#This Row],[Date]]),"")</f>
        <v/>
      </c>
      <c r="V292">
        <f>IFERROR(IF(AND(tbl_daily[[#This Row],[Attendance (1 = Here, 0 = Not here)]]=1,tbl_daily[[#This Row],[Attended, but did not complete data]]&lt;&gt;1),1,IF(AND(tbl_daily[[#This Row],[Attendance (1 = Here, 0 = Not here)]]=1,tbl_daily[[#This Row],[Attended, but did not complete data]]=1),2,3)),"")</f>
        <v>1</v>
      </c>
      <c r="W292">
        <f>IF(AND(tbl_daily[[#This Row],[Attendance Refined]]=1,tbl_daily[[#This Row],[InjuryStatus]]="Full"),1,IF(AND(tbl_daily[[#This Row],[Attendance Refined]]=1,tbl_daily[[#This Row],[InjuryStatus]]="Limited"),2,IF(AND(tbl_daily[[#This Row],[Attendance Refined]]=1,tbl_daily[[#This Row],[InjuryStatus]]="Out"),3,"")))</f>
        <v>1</v>
      </c>
    </row>
    <row r="293" spans="1:23" ht="15" customHeight="1" x14ac:dyDescent="0.25">
      <c r="A293" s="1">
        <v>43860</v>
      </c>
      <c r="B293" t="s">
        <v>414</v>
      </c>
      <c r="C293">
        <v>1</v>
      </c>
      <c r="E293">
        <v>5</v>
      </c>
      <c r="F293">
        <v>7</v>
      </c>
      <c r="G293">
        <v>7</v>
      </c>
      <c r="H293" t="s">
        <v>15</v>
      </c>
      <c r="I293">
        <v>0</v>
      </c>
      <c r="J293">
        <v>0</v>
      </c>
      <c r="K293">
        <v>0</v>
      </c>
      <c r="M293" t="s">
        <v>223</v>
      </c>
      <c r="N293" t="s">
        <v>90</v>
      </c>
      <c r="P293">
        <f>IFERROR(IF(AND(tbl_daily[[#This Row],[Attendance (1 = Here, 0 = Not here)]]=1,tbl_daily[[#This Row],[Attended, but did not complete data]]&lt;&gt;1),tbl_daily[[#This Row],[Stress]]+tbl_daily[[#This Row],[SleepQuality]]+tbl_daily[[#This Row],[Energy]],""),"")</f>
        <v>19</v>
      </c>
      <c r="Q293">
        <f>IFERROR(IF(AND(tbl_daily[[#This Row],[Attendance (1 = Here, 0 = Not here)]]=1,tbl_daily[[#This Row],[Attended, but did not complete data]]&lt;&gt;1),tbl_daily[[#This Row],[LatestRPE]]*tbl_daily[[#This Row],[LatestDuration]],""),"")</f>
        <v>0</v>
      </c>
      <c r="R293">
        <f>IF(tbl_daily[[#This Row],[CodeName]]&lt;&gt;"",1,"")</f>
        <v>1</v>
      </c>
      <c r="S293" t="str">
        <f>IF(AND(tbl_daily[[#This Row],[Date]]&gt;=DATE(2019,8,1),tbl_daily[[#This Row],[Date]]&lt;=DATE(2020,6,1)),"2019-2020")</f>
        <v>2019-2020</v>
      </c>
      <c r="T293" t="str">
        <f>IFERROR(INDEX(tbl_prof[Cohort of Interest],MATCH(tbl_daily[[#This Row],[CodeName]],tbl_prof[CodeName],0)),"")</f>
        <v>Gen Pop</v>
      </c>
      <c r="U293" t="str">
        <f>IFERROR(AVERAGEIFS(tbl_perf[Grade],tbl_perf[CodeName],tbl_daily[[#This Row],[CodeName]],tbl_perf[Date],tbl_daily[[#This Row],[Date]]),"")</f>
        <v/>
      </c>
      <c r="V293">
        <f>IFERROR(IF(AND(tbl_daily[[#This Row],[Attendance (1 = Here, 0 = Not here)]]=1,tbl_daily[[#This Row],[Attended, but did not complete data]]&lt;&gt;1),1,IF(AND(tbl_daily[[#This Row],[Attendance (1 = Here, 0 = Not here)]]=1,tbl_daily[[#This Row],[Attended, but did not complete data]]=1),2,3)),"")</f>
        <v>1</v>
      </c>
      <c r="W293">
        <f>IF(AND(tbl_daily[[#This Row],[Attendance Refined]]=1,tbl_daily[[#This Row],[InjuryStatus]]="Full"),1,IF(AND(tbl_daily[[#This Row],[Attendance Refined]]=1,tbl_daily[[#This Row],[InjuryStatus]]="Limited"),2,IF(AND(tbl_daily[[#This Row],[Attendance Refined]]=1,tbl_daily[[#This Row],[InjuryStatus]]="Out"),3,"")))</f>
        <v>1</v>
      </c>
    </row>
    <row r="294" spans="1:23" ht="15" customHeight="1" x14ac:dyDescent="0.25">
      <c r="A294" s="1">
        <v>43860</v>
      </c>
      <c r="B294" t="s">
        <v>416</v>
      </c>
      <c r="C294">
        <v>1</v>
      </c>
      <c r="E294">
        <v>5</v>
      </c>
      <c r="F294">
        <v>5</v>
      </c>
      <c r="G294">
        <v>4</v>
      </c>
      <c r="H294" t="s">
        <v>32</v>
      </c>
      <c r="I294">
        <v>0</v>
      </c>
      <c r="J294">
        <v>0</v>
      </c>
      <c r="K294">
        <v>0</v>
      </c>
      <c r="M294" t="s">
        <v>223</v>
      </c>
      <c r="N294" t="s">
        <v>91</v>
      </c>
      <c r="P294">
        <f>IFERROR(IF(AND(tbl_daily[[#This Row],[Attendance (1 = Here, 0 = Not here)]]=1,tbl_daily[[#This Row],[Attended, but did not complete data]]&lt;&gt;1),tbl_daily[[#This Row],[Stress]]+tbl_daily[[#This Row],[SleepQuality]]+tbl_daily[[#This Row],[Energy]],""),"")</f>
        <v>14</v>
      </c>
      <c r="Q294">
        <f>IFERROR(IF(AND(tbl_daily[[#This Row],[Attendance (1 = Here, 0 = Not here)]]=1,tbl_daily[[#This Row],[Attended, but did not complete data]]&lt;&gt;1),tbl_daily[[#This Row],[LatestRPE]]*tbl_daily[[#This Row],[LatestDuration]],""),"")</f>
        <v>0</v>
      </c>
      <c r="R294">
        <f>IF(tbl_daily[[#This Row],[CodeName]]&lt;&gt;"",1,"")</f>
        <v>1</v>
      </c>
      <c r="S294" t="str">
        <f>IF(AND(tbl_daily[[#This Row],[Date]]&gt;=DATE(2019,8,1),tbl_daily[[#This Row],[Date]]&lt;=DATE(2020,6,1)),"2019-2020")</f>
        <v>2019-2020</v>
      </c>
      <c r="T294" t="str">
        <f>IFERROR(INDEX(tbl_prof[Cohort of Interest],MATCH(tbl_daily[[#This Row],[CodeName]],tbl_prof[CodeName],0)),"")</f>
        <v>Special</v>
      </c>
      <c r="U294" t="str">
        <f>IFERROR(AVERAGEIFS(tbl_perf[Grade],tbl_perf[CodeName],tbl_daily[[#This Row],[CodeName]],tbl_perf[Date],tbl_daily[[#This Row],[Date]]),"")</f>
        <v/>
      </c>
      <c r="V294">
        <f>IFERROR(IF(AND(tbl_daily[[#This Row],[Attendance (1 = Here, 0 = Not here)]]=1,tbl_daily[[#This Row],[Attended, but did not complete data]]&lt;&gt;1),1,IF(AND(tbl_daily[[#This Row],[Attendance (1 = Here, 0 = Not here)]]=1,tbl_daily[[#This Row],[Attended, but did not complete data]]=1),2,3)),"")</f>
        <v>1</v>
      </c>
      <c r="W294">
        <f>IF(AND(tbl_daily[[#This Row],[Attendance Refined]]=1,tbl_daily[[#This Row],[InjuryStatus]]="Full"),1,IF(AND(tbl_daily[[#This Row],[Attendance Refined]]=1,tbl_daily[[#This Row],[InjuryStatus]]="Limited"),2,IF(AND(tbl_daily[[#This Row],[Attendance Refined]]=1,tbl_daily[[#This Row],[InjuryStatus]]="Out"),3,"")))</f>
        <v>2</v>
      </c>
    </row>
    <row r="295" spans="1:23" ht="15" customHeight="1" x14ac:dyDescent="0.25">
      <c r="A295" s="1">
        <v>43860</v>
      </c>
      <c r="B295" t="s">
        <v>417</v>
      </c>
      <c r="C295">
        <v>1</v>
      </c>
      <c r="E295">
        <v>8</v>
      </c>
      <c r="F295">
        <v>5</v>
      </c>
      <c r="G295">
        <v>4</v>
      </c>
      <c r="H295" t="s">
        <v>15</v>
      </c>
      <c r="I295">
        <v>0</v>
      </c>
      <c r="J295">
        <v>0</v>
      </c>
      <c r="K295">
        <v>0</v>
      </c>
      <c r="M295" t="s">
        <v>223</v>
      </c>
      <c r="N295" t="s">
        <v>92</v>
      </c>
      <c r="P295">
        <f>IFERROR(IF(AND(tbl_daily[[#This Row],[Attendance (1 = Here, 0 = Not here)]]=1,tbl_daily[[#This Row],[Attended, but did not complete data]]&lt;&gt;1),tbl_daily[[#This Row],[Stress]]+tbl_daily[[#This Row],[SleepQuality]]+tbl_daily[[#This Row],[Energy]],""),"")</f>
        <v>17</v>
      </c>
      <c r="Q295">
        <f>IFERROR(IF(AND(tbl_daily[[#This Row],[Attendance (1 = Here, 0 = Not here)]]=1,tbl_daily[[#This Row],[Attended, but did not complete data]]&lt;&gt;1),tbl_daily[[#This Row],[LatestRPE]]*tbl_daily[[#This Row],[LatestDuration]],""),"")</f>
        <v>0</v>
      </c>
      <c r="R295">
        <f>IF(tbl_daily[[#This Row],[CodeName]]&lt;&gt;"",1,"")</f>
        <v>1</v>
      </c>
      <c r="S295" t="str">
        <f>IF(AND(tbl_daily[[#This Row],[Date]]&gt;=DATE(2019,8,1),tbl_daily[[#This Row],[Date]]&lt;=DATE(2020,6,1)),"2019-2020")</f>
        <v>2019-2020</v>
      </c>
      <c r="T295" t="str">
        <f>IFERROR(INDEX(tbl_prof[Cohort of Interest],MATCH(tbl_daily[[#This Row],[CodeName]],tbl_prof[CodeName],0)),"")</f>
        <v>Gen Pop</v>
      </c>
      <c r="U295" t="str">
        <f>IFERROR(AVERAGEIFS(tbl_perf[Grade],tbl_perf[CodeName],tbl_daily[[#This Row],[CodeName]],tbl_perf[Date],tbl_daily[[#This Row],[Date]]),"")</f>
        <v/>
      </c>
      <c r="V295">
        <f>IFERROR(IF(AND(tbl_daily[[#This Row],[Attendance (1 = Here, 0 = Not here)]]=1,tbl_daily[[#This Row],[Attended, but did not complete data]]&lt;&gt;1),1,IF(AND(tbl_daily[[#This Row],[Attendance (1 = Here, 0 = Not here)]]=1,tbl_daily[[#This Row],[Attended, but did not complete data]]=1),2,3)),"")</f>
        <v>1</v>
      </c>
      <c r="W295">
        <f>IF(AND(tbl_daily[[#This Row],[Attendance Refined]]=1,tbl_daily[[#This Row],[InjuryStatus]]="Full"),1,IF(AND(tbl_daily[[#This Row],[Attendance Refined]]=1,tbl_daily[[#This Row],[InjuryStatus]]="Limited"),2,IF(AND(tbl_daily[[#This Row],[Attendance Refined]]=1,tbl_daily[[#This Row],[InjuryStatus]]="Out"),3,"")))</f>
        <v>1</v>
      </c>
    </row>
    <row r="296" spans="1:23" ht="15" customHeight="1" x14ac:dyDescent="0.25">
      <c r="A296" s="1">
        <v>43860</v>
      </c>
      <c r="B296" t="s">
        <v>420</v>
      </c>
      <c r="C296">
        <v>1</v>
      </c>
      <c r="E296">
        <v>2</v>
      </c>
      <c r="F296">
        <v>7</v>
      </c>
      <c r="G296">
        <v>8</v>
      </c>
      <c r="H296" t="s">
        <v>15</v>
      </c>
      <c r="I296">
        <v>0</v>
      </c>
      <c r="J296">
        <v>0</v>
      </c>
      <c r="K296">
        <v>0</v>
      </c>
      <c r="M296" t="s">
        <v>223</v>
      </c>
      <c r="N296" t="s">
        <v>95</v>
      </c>
      <c r="P296">
        <f>IFERROR(IF(AND(tbl_daily[[#This Row],[Attendance (1 = Here, 0 = Not here)]]=1,tbl_daily[[#This Row],[Attended, but did not complete data]]&lt;&gt;1),tbl_daily[[#This Row],[Stress]]+tbl_daily[[#This Row],[SleepQuality]]+tbl_daily[[#This Row],[Energy]],""),"")</f>
        <v>17</v>
      </c>
      <c r="Q296">
        <f>IFERROR(IF(AND(tbl_daily[[#This Row],[Attendance (1 = Here, 0 = Not here)]]=1,tbl_daily[[#This Row],[Attended, but did not complete data]]&lt;&gt;1),tbl_daily[[#This Row],[LatestRPE]]*tbl_daily[[#This Row],[LatestDuration]],""),"")</f>
        <v>0</v>
      </c>
      <c r="R296">
        <f>IF(tbl_daily[[#This Row],[CodeName]]&lt;&gt;"",1,"")</f>
        <v>1</v>
      </c>
      <c r="S296" t="str">
        <f>IF(AND(tbl_daily[[#This Row],[Date]]&gt;=DATE(2019,8,1),tbl_daily[[#This Row],[Date]]&lt;=DATE(2020,6,1)),"2019-2020")</f>
        <v>2019-2020</v>
      </c>
      <c r="T296" t="str">
        <f>IFERROR(INDEX(tbl_prof[Cohort of Interest],MATCH(tbl_daily[[#This Row],[CodeName]],tbl_prof[CodeName],0)),"")</f>
        <v>Athletes</v>
      </c>
      <c r="U296" t="str">
        <f>IFERROR(AVERAGEIFS(tbl_perf[Grade],tbl_perf[CodeName],tbl_daily[[#This Row],[CodeName]],tbl_perf[Date],tbl_daily[[#This Row],[Date]]),"")</f>
        <v/>
      </c>
      <c r="V296">
        <f>IFERROR(IF(AND(tbl_daily[[#This Row],[Attendance (1 = Here, 0 = Not here)]]=1,tbl_daily[[#This Row],[Attended, but did not complete data]]&lt;&gt;1),1,IF(AND(tbl_daily[[#This Row],[Attendance (1 = Here, 0 = Not here)]]=1,tbl_daily[[#This Row],[Attended, but did not complete data]]=1),2,3)),"")</f>
        <v>1</v>
      </c>
      <c r="W296">
        <f>IF(AND(tbl_daily[[#This Row],[Attendance Refined]]=1,tbl_daily[[#This Row],[InjuryStatus]]="Full"),1,IF(AND(tbl_daily[[#This Row],[Attendance Refined]]=1,tbl_daily[[#This Row],[InjuryStatus]]="Limited"),2,IF(AND(tbl_daily[[#This Row],[Attendance Refined]]=1,tbl_daily[[#This Row],[InjuryStatus]]="Out"),3,"")))</f>
        <v>1</v>
      </c>
    </row>
    <row r="297" spans="1:23" ht="15" customHeight="1" x14ac:dyDescent="0.25">
      <c r="A297" s="1">
        <v>43860</v>
      </c>
      <c r="B297" t="s">
        <v>421</v>
      </c>
      <c r="C297">
        <v>1</v>
      </c>
      <c r="E297">
        <v>7</v>
      </c>
      <c r="F297">
        <v>5</v>
      </c>
      <c r="G297">
        <v>6</v>
      </c>
      <c r="H297" t="s">
        <v>15</v>
      </c>
      <c r="I297">
        <v>0</v>
      </c>
      <c r="J297">
        <v>0</v>
      </c>
      <c r="K297">
        <v>0</v>
      </c>
      <c r="M297" t="s">
        <v>223</v>
      </c>
      <c r="N297" t="s">
        <v>96</v>
      </c>
      <c r="P297">
        <f>IFERROR(IF(AND(tbl_daily[[#This Row],[Attendance (1 = Here, 0 = Not here)]]=1,tbl_daily[[#This Row],[Attended, but did not complete data]]&lt;&gt;1),tbl_daily[[#This Row],[Stress]]+tbl_daily[[#This Row],[SleepQuality]]+tbl_daily[[#This Row],[Energy]],""),"")</f>
        <v>18</v>
      </c>
      <c r="Q297">
        <f>IFERROR(IF(AND(tbl_daily[[#This Row],[Attendance (1 = Here, 0 = Not here)]]=1,tbl_daily[[#This Row],[Attended, but did not complete data]]&lt;&gt;1),tbl_daily[[#This Row],[LatestRPE]]*tbl_daily[[#This Row],[LatestDuration]],""),"")</f>
        <v>0</v>
      </c>
      <c r="R297">
        <f>IF(tbl_daily[[#This Row],[CodeName]]&lt;&gt;"",1,"")</f>
        <v>1</v>
      </c>
      <c r="S297" t="str">
        <f>IF(AND(tbl_daily[[#This Row],[Date]]&gt;=DATE(2019,8,1),tbl_daily[[#This Row],[Date]]&lt;=DATE(2020,6,1)),"2019-2020")</f>
        <v>2019-2020</v>
      </c>
      <c r="T297" t="str">
        <f>IFERROR(INDEX(tbl_prof[Cohort of Interest],MATCH(tbl_daily[[#This Row],[CodeName]],tbl_prof[CodeName],0)),"")</f>
        <v>Athletes</v>
      </c>
      <c r="U297" t="str">
        <f>IFERROR(AVERAGEIFS(tbl_perf[Grade],tbl_perf[CodeName],tbl_daily[[#This Row],[CodeName]],tbl_perf[Date],tbl_daily[[#This Row],[Date]]),"")</f>
        <v/>
      </c>
      <c r="V297">
        <f>IFERROR(IF(AND(tbl_daily[[#This Row],[Attendance (1 = Here, 0 = Not here)]]=1,tbl_daily[[#This Row],[Attended, but did not complete data]]&lt;&gt;1),1,IF(AND(tbl_daily[[#This Row],[Attendance (1 = Here, 0 = Not here)]]=1,tbl_daily[[#This Row],[Attended, but did not complete data]]=1),2,3)),"")</f>
        <v>1</v>
      </c>
      <c r="W297">
        <f>IF(AND(tbl_daily[[#This Row],[Attendance Refined]]=1,tbl_daily[[#This Row],[InjuryStatus]]="Full"),1,IF(AND(tbl_daily[[#This Row],[Attendance Refined]]=1,tbl_daily[[#This Row],[InjuryStatus]]="Limited"),2,IF(AND(tbl_daily[[#This Row],[Attendance Refined]]=1,tbl_daily[[#This Row],[InjuryStatus]]="Out"),3,"")))</f>
        <v>1</v>
      </c>
    </row>
    <row r="298" spans="1:23" ht="15" customHeight="1" x14ac:dyDescent="0.25">
      <c r="A298" s="1">
        <v>43860</v>
      </c>
      <c r="B298" t="s">
        <v>423</v>
      </c>
      <c r="C298">
        <v>1</v>
      </c>
      <c r="E298">
        <v>5</v>
      </c>
      <c r="F298">
        <v>6</v>
      </c>
      <c r="G298">
        <v>6</v>
      </c>
      <c r="H298" t="s">
        <v>15</v>
      </c>
      <c r="I298">
        <v>0</v>
      </c>
      <c r="J298">
        <v>0</v>
      </c>
      <c r="K298">
        <v>0</v>
      </c>
      <c r="M298" t="s">
        <v>223</v>
      </c>
      <c r="N298" t="s">
        <v>98</v>
      </c>
      <c r="P298">
        <f>IFERROR(IF(AND(tbl_daily[[#This Row],[Attendance (1 = Here, 0 = Not here)]]=1,tbl_daily[[#This Row],[Attended, but did not complete data]]&lt;&gt;1),tbl_daily[[#This Row],[Stress]]+tbl_daily[[#This Row],[SleepQuality]]+tbl_daily[[#This Row],[Energy]],""),"")</f>
        <v>17</v>
      </c>
      <c r="Q298">
        <f>IFERROR(IF(AND(tbl_daily[[#This Row],[Attendance (1 = Here, 0 = Not here)]]=1,tbl_daily[[#This Row],[Attended, but did not complete data]]&lt;&gt;1),tbl_daily[[#This Row],[LatestRPE]]*tbl_daily[[#This Row],[LatestDuration]],""),"")</f>
        <v>0</v>
      </c>
      <c r="R298">
        <f>IF(tbl_daily[[#This Row],[CodeName]]&lt;&gt;"",1,"")</f>
        <v>1</v>
      </c>
      <c r="S298" t="str">
        <f>IF(AND(tbl_daily[[#This Row],[Date]]&gt;=DATE(2019,8,1),tbl_daily[[#This Row],[Date]]&lt;=DATE(2020,6,1)),"2019-2020")</f>
        <v>2019-2020</v>
      </c>
      <c r="T298" t="str">
        <f>IFERROR(INDEX(tbl_prof[Cohort of Interest],MATCH(tbl_daily[[#This Row],[CodeName]],tbl_prof[CodeName],0)),"")</f>
        <v>Youth</v>
      </c>
      <c r="U298" t="str">
        <f>IFERROR(AVERAGEIFS(tbl_perf[Grade],tbl_perf[CodeName],tbl_daily[[#This Row],[CodeName]],tbl_perf[Date],tbl_daily[[#This Row],[Date]]),"")</f>
        <v/>
      </c>
      <c r="V298">
        <f>IFERROR(IF(AND(tbl_daily[[#This Row],[Attendance (1 = Here, 0 = Not here)]]=1,tbl_daily[[#This Row],[Attended, but did not complete data]]&lt;&gt;1),1,IF(AND(tbl_daily[[#This Row],[Attendance (1 = Here, 0 = Not here)]]=1,tbl_daily[[#This Row],[Attended, but did not complete data]]=1),2,3)),"")</f>
        <v>1</v>
      </c>
      <c r="W298">
        <f>IF(AND(tbl_daily[[#This Row],[Attendance Refined]]=1,tbl_daily[[#This Row],[InjuryStatus]]="Full"),1,IF(AND(tbl_daily[[#This Row],[Attendance Refined]]=1,tbl_daily[[#This Row],[InjuryStatus]]="Limited"),2,IF(AND(tbl_daily[[#This Row],[Attendance Refined]]=1,tbl_daily[[#This Row],[InjuryStatus]]="Out"),3,"")))</f>
        <v>1</v>
      </c>
    </row>
    <row r="299" spans="1:23" ht="15" customHeight="1" x14ac:dyDescent="0.25">
      <c r="A299" s="1">
        <v>43860</v>
      </c>
      <c r="B299" t="s">
        <v>427</v>
      </c>
      <c r="C299">
        <v>1</v>
      </c>
      <c r="E299">
        <v>8</v>
      </c>
      <c r="F299">
        <v>8</v>
      </c>
      <c r="G299">
        <v>7</v>
      </c>
      <c r="H299" t="s">
        <v>32</v>
      </c>
      <c r="I299">
        <v>0</v>
      </c>
      <c r="J299">
        <v>0</v>
      </c>
      <c r="K299">
        <v>0</v>
      </c>
      <c r="M299" t="s">
        <v>223</v>
      </c>
      <c r="N299" t="s">
        <v>102</v>
      </c>
      <c r="P299">
        <f>IFERROR(IF(AND(tbl_daily[[#This Row],[Attendance (1 = Here, 0 = Not here)]]=1,tbl_daily[[#This Row],[Attended, but did not complete data]]&lt;&gt;1),tbl_daily[[#This Row],[Stress]]+tbl_daily[[#This Row],[SleepQuality]]+tbl_daily[[#This Row],[Energy]],""),"")</f>
        <v>23</v>
      </c>
      <c r="Q299">
        <f>IFERROR(IF(AND(tbl_daily[[#This Row],[Attendance (1 = Here, 0 = Not here)]]=1,tbl_daily[[#This Row],[Attended, but did not complete data]]&lt;&gt;1),tbl_daily[[#This Row],[LatestRPE]]*tbl_daily[[#This Row],[LatestDuration]],""),"")</f>
        <v>0</v>
      </c>
      <c r="R299">
        <f>IF(tbl_daily[[#This Row],[CodeName]]&lt;&gt;"",1,"")</f>
        <v>1</v>
      </c>
      <c r="S299" t="str">
        <f>IF(AND(tbl_daily[[#This Row],[Date]]&gt;=DATE(2019,8,1),tbl_daily[[#This Row],[Date]]&lt;=DATE(2020,6,1)),"2019-2020")</f>
        <v>2019-2020</v>
      </c>
      <c r="T299" t="str">
        <f>IFERROR(INDEX(tbl_prof[Cohort of Interest],MATCH(tbl_daily[[#This Row],[CodeName]],tbl_prof[CodeName],0)),"")</f>
        <v>Special</v>
      </c>
      <c r="U299" t="str">
        <f>IFERROR(AVERAGEIFS(tbl_perf[Grade],tbl_perf[CodeName],tbl_daily[[#This Row],[CodeName]],tbl_perf[Date],tbl_daily[[#This Row],[Date]]),"")</f>
        <v/>
      </c>
      <c r="V299">
        <f>IFERROR(IF(AND(tbl_daily[[#This Row],[Attendance (1 = Here, 0 = Not here)]]=1,tbl_daily[[#This Row],[Attended, but did not complete data]]&lt;&gt;1),1,IF(AND(tbl_daily[[#This Row],[Attendance (1 = Here, 0 = Not here)]]=1,tbl_daily[[#This Row],[Attended, but did not complete data]]=1),2,3)),"")</f>
        <v>1</v>
      </c>
      <c r="W299">
        <f>IF(AND(tbl_daily[[#This Row],[Attendance Refined]]=1,tbl_daily[[#This Row],[InjuryStatus]]="Full"),1,IF(AND(tbl_daily[[#This Row],[Attendance Refined]]=1,tbl_daily[[#This Row],[InjuryStatus]]="Limited"),2,IF(AND(tbl_daily[[#This Row],[Attendance Refined]]=1,tbl_daily[[#This Row],[InjuryStatus]]="Out"),3,"")))</f>
        <v>2</v>
      </c>
    </row>
    <row r="300" spans="1:23" ht="15" customHeight="1" x14ac:dyDescent="0.25">
      <c r="A300" s="1">
        <v>43860</v>
      </c>
      <c r="B300" t="s">
        <v>428</v>
      </c>
      <c r="C300">
        <v>1</v>
      </c>
      <c r="E300">
        <v>9</v>
      </c>
      <c r="F300">
        <v>6</v>
      </c>
      <c r="G300">
        <v>8</v>
      </c>
      <c r="H300" t="s">
        <v>15</v>
      </c>
      <c r="I300">
        <v>0</v>
      </c>
      <c r="J300">
        <v>0</v>
      </c>
      <c r="K300">
        <v>0</v>
      </c>
      <c r="M300" t="s">
        <v>223</v>
      </c>
      <c r="N300" t="s">
        <v>103</v>
      </c>
      <c r="P300">
        <f>IFERROR(IF(AND(tbl_daily[[#This Row],[Attendance (1 = Here, 0 = Not here)]]=1,tbl_daily[[#This Row],[Attended, but did not complete data]]&lt;&gt;1),tbl_daily[[#This Row],[Stress]]+tbl_daily[[#This Row],[SleepQuality]]+tbl_daily[[#This Row],[Energy]],""),"")</f>
        <v>23</v>
      </c>
      <c r="Q300">
        <f>IFERROR(IF(AND(tbl_daily[[#This Row],[Attendance (1 = Here, 0 = Not here)]]=1,tbl_daily[[#This Row],[Attended, but did not complete data]]&lt;&gt;1),tbl_daily[[#This Row],[LatestRPE]]*tbl_daily[[#This Row],[LatestDuration]],""),"")</f>
        <v>0</v>
      </c>
      <c r="R300">
        <f>IF(tbl_daily[[#This Row],[CodeName]]&lt;&gt;"",1,"")</f>
        <v>1</v>
      </c>
      <c r="S300" t="str">
        <f>IF(AND(tbl_daily[[#This Row],[Date]]&gt;=DATE(2019,8,1),tbl_daily[[#This Row],[Date]]&lt;=DATE(2020,6,1)),"2019-2020")</f>
        <v>2019-2020</v>
      </c>
      <c r="T300" t="str">
        <f>IFERROR(INDEX(tbl_prof[Cohort of Interest],MATCH(tbl_daily[[#This Row],[CodeName]],tbl_prof[CodeName],0)),"")</f>
        <v>Special</v>
      </c>
      <c r="U300" t="str">
        <f>IFERROR(AVERAGEIFS(tbl_perf[Grade],tbl_perf[CodeName],tbl_daily[[#This Row],[CodeName]],tbl_perf[Date],tbl_daily[[#This Row],[Date]]),"")</f>
        <v/>
      </c>
      <c r="V300">
        <f>IFERROR(IF(AND(tbl_daily[[#This Row],[Attendance (1 = Here, 0 = Not here)]]=1,tbl_daily[[#This Row],[Attended, but did not complete data]]&lt;&gt;1),1,IF(AND(tbl_daily[[#This Row],[Attendance (1 = Here, 0 = Not here)]]=1,tbl_daily[[#This Row],[Attended, but did not complete data]]=1),2,3)),"")</f>
        <v>1</v>
      </c>
      <c r="W300">
        <f>IF(AND(tbl_daily[[#This Row],[Attendance Refined]]=1,tbl_daily[[#This Row],[InjuryStatus]]="Full"),1,IF(AND(tbl_daily[[#This Row],[Attendance Refined]]=1,tbl_daily[[#This Row],[InjuryStatus]]="Limited"),2,IF(AND(tbl_daily[[#This Row],[Attendance Refined]]=1,tbl_daily[[#This Row],[InjuryStatus]]="Out"),3,"")))</f>
        <v>1</v>
      </c>
    </row>
    <row r="301" spans="1:23" ht="15" customHeight="1" x14ac:dyDescent="0.25">
      <c r="A301" s="1">
        <v>43860</v>
      </c>
      <c r="B301" t="s">
        <v>410</v>
      </c>
      <c r="C301">
        <v>1</v>
      </c>
      <c r="E301">
        <v>3</v>
      </c>
      <c r="F301">
        <v>5</v>
      </c>
      <c r="G301">
        <v>6</v>
      </c>
      <c r="H301" t="s">
        <v>15</v>
      </c>
      <c r="I301">
        <v>0</v>
      </c>
      <c r="J301">
        <v>0</v>
      </c>
      <c r="K301">
        <v>0</v>
      </c>
      <c r="M301" t="s">
        <v>223</v>
      </c>
      <c r="N301" t="s">
        <v>103</v>
      </c>
      <c r="P301">
        <f>IFERROR(IF(AND(tbl_daily[[#This Row],[Attendance (1 = Here, 0 = Not here)]]=1,tbl_daily[[#This Row],[Attended, but did not complete data]]&lt;&gt;1),tbl_daily[[#This Row],[Stress]]+tbl_daily[[#This Row],[SleepQuality]]+tbl_daily[[#This Row],[Energy]],""),"")</f>
        <v>14</v>
      </c>
      <c r="Q301">
        <f>IFERROR(IF(AND(tbl_daily[[#This Row],[Attendance (1 = Here, 0 = Not here)]]=1,tbl_daily[[#This Row],[Attended, but did not complete data]]&lt;&gt;1),tbl_daily[[#This Row],[LatestRPE]]*tbl_daily[[#This Row],[LatestDuration]],""),"")</f>
        <v>0</v>
      </c>
      <c r="R301">
        <f>IF(tbl_daily[[#This Row],[CodeName]]&lt;&gt;"",1,"")</f>
        <v>1</v>
      </c>
      <c r="S301" t="str">
        <f>IF(AND(tbl_daily[[#This Row],[Date]]&gt;=DATE(2019,8,1),tbl_daily[[#This Row],[Date]]&lt;=DATE(2020,6,1)),"2019-2020")</f>
        <v>2019-2020</v>
      </c>
      <c r="T301" t="str">
        <f>IFERROR(INDEX(tbl_prof[Cohort of Interest],MATCH(tbl_daily[[#This Row],[CodeName]],tbl_prof[CodeName],0)),"")</f>
        <v>Gen Pop</v>
      </c>
      <c r="U301" t="str">
        <f>IFERROR(AVERAGEIFS(tbl_perf[Grade],tbl_perf[CodeName],tbl_daily[[#This Row],[CodeName]],tbl_perf[Date],tbl_daily[[#This Row],[Date]]),"")</f>
        <v/>
      </c>
      <c r="V301">
        <f>IFERROR(IF(AND(tbl_daily[[#This Row],[Attendance (1 = Here, 0 = Not here)]]=1,tbl_daily[[#This Row],[Attended, but did not complete data]]&lt;&gt;1),1,IF(AND(tbl_daily[[#This Row],[Attendance (1 = Here, 0 = Not here)]]=1,tbl_daily[[#This Row],[Attended, but did not complete data]]=1),2,3)),"")</f>
        <v>1</v>
      </c>
      <c r="W301">
        <f>IF(AND(tbl_daily[[#This Row],[Attendance Refined]]=1,tbl_daily[[#This Row],[InjuryStatus]]="Full"),1,IF(AND(tbl_daily[[#This Row],[Attendance Refined]]=1,tbl_daily[[#This Row],[InjuryStatus]]="Limited"),2,IF(AND(tbl_daily[[#This Row],[Attendance Refined]]=1,tbl_daily[[#This Row],[InjuryStatus]]="Out"),3,"")))</f>
        <v>1</v>
      </c>
    </row>
    <row r="302" spans="1:23" ht="15" customHeight="1" x14ac:dyDescent="0.25">
      <c r="A302" s="1">
        <v>43860</v>
      </c>
      <c r="B302" t="s">
        <v>429</v>
      </c>
      <c r="C302">
        <v>1</v>
      </c>
      <c r="E302">
        <v>7</v>
      </c>
      <c r="F302">
        <v>7</v>
      </c>
      <c r="G302">
        <v>6</v>
      </c>
      <c r="H302" t="s">
        <v>15</v>
      </c>
      <c r="I302">
        <v>0</v>
      </c>
      <c r="J302">
        <v>0</v>
      </c>
      <c r="K302">
        <v>0</v>
      </c>
      <c r="M302" t="s">
        <v>223</v>
      </c>
      <c r="N302" t="s">
        <v>104</v>
      </c>
      <c r="P302">
        <f>IFERROR(IF(AND(tbl_daily[[#This Row],[Attendance (1 = Here, 0 = Not here)]]=1,tbl_daily[[#This Row],[Attended, but did not complete data]]&lt;&gt;1),tbl_daily[[#This Row],[Stress]]+tbl_daily[[#This Row],[SleepQuality]]+tbl_daily[[#This Row],[Energy]],""),"")</f>
        <v>20</v>
      </c>
      <c r="Q302">
        <f>IFERROR(IF(AND(tbl_daily[[#This Row],[Attendance (1 = Here, 0 = Not here)]]=1,tbl_daily[[#This Row],[Attended, but did not complete data]]&lt;&gt;1),tbl_daily[[#This Row],[LatestRPE]]*tbl_daily[[#This Row],[LatestDuration]],""),"")</f>
        <v>0</v>
      </c>
      <c r="R302">
        <f>IF(tbl_daily[[#This Row],[CodeName]]&lt;&gt;"",1,"")</f>
        <v>1</v>
      </c>
      <c r="S302" t="str">
        <f>IF(AND(tbl_daily[[#This Row],[Date]]&gt;=DATE(2019,8,1),tbl_daily[[#This Row],[Date]]&lt;=DATE(2020,6,1)),"2019-2020")</f>
        <v>2019-2020</v>
      </c>
      <c r="T302" t="str">
        <f>IFERROR(INDEX(tbl_prof[Cohort of Interest],MATCH(tbl_daily[[#This Row],[CodeName]],tbl_prof[CodeName],0)),"")</f>
        <v>Gen Pop</v>
      </c>
      <c r="U302" t="str">
        <f>IFERROR(AVERAGEIFS(tbl_perf[Grade],tbl_perf[CodeName],tbl_daily[[#This Row],[CodeName]],tbl_perf[Date],tbl_daily[[#This Row],[Date]]),"")</f>
        <v/>
      </c>
      <c r="V302">
        <f>IFERROR(IF(AND(tbl_daily[[#This Row],[Attendance (1 = Here, 0 = Not here)]]=1,tbl_daily[[#This Row],[Attended, but did not complete data]]&lt;&gt;1),1,IF(AND(tbl_daily[[#This Row],[Attendance (1 = Here, 0 = Not here)]]=1,tbl_daily[[#This Row],[Attended, but did not complete data]]=1),2,3)),"")</f>
        <v>1</v>
      </c>
      <c r="W302">
        <f>IF(AND(tbl_daily[[#This Row],[Attendance Refined]]=1,tbl_daily[[#This Row],[InjuryStatus]]="Full"),1,IF(AND(tbl_daily[[#This Row],[Attendance Refined]]=1,tbl_daily[[#This Row],[InjuryStatus]]="Limited"),2,IF(AND(tbl_daily[[#This Row],[Attendance Refined]]=1,tbl_daily[[#This Row],[InjuryStatus]]="Out"),3,"")))</f>
        <v>1</v>
      </c>
    </row>
    <row r="303" spans="1:23" ht="15" customHeight="1" x14ac:dyDescent="0.25">
      <c r="A303" s="1">
        <v>43860</v>
      </c>
      <c r="B303" t="s">
        <v>430</v>
      </c>
      <c r="C303">
        <v>1</v>
      </c>
      <c r="E303">
        <v>8</v>
      </c>
      <c r="F303">
        <v>5</v>
      </c>
      <c r="G303">
        <v>6</v>
      </c>
      <c r="H303" t="s">
        <v>15</v>
      </c>
      <c r="I303">
        <v>0</v>
      </c>
      <c r="J303">
        <v>0</v>
      </c>
      <c r="K303">
        <v>0</v>
      </c>
      <c r="M303" t="s">
        <v>223</v>
      </c>
      <c r="N303" t="s">
        <v>106</v>
      </c>
      <c r="P303">
        <f>IFERROR(IF(AND(tbl_daily[[#This Row],[Attendance (1 = Here, 0 = Not here)]]=1,tbl_daily[[#This Row],[Attended, but did not complete data]]&lt;&gt;1),tbl_daily[[#This Row],[Stress]]+tbl_daily[[#This Row],[SleepQuality]]+tbl_daily[[#This Row],[Energy]],""),"")</f>
        <v>19</v>
      </c>
      <c r="Q303">
        <f>IFERROR(IF(AND(tbl_daily[[#This Row],[Attendance (1 = Here, 0 = Not here)]]=1,tbl_daily[[#This Row],[Attended, but did not complete data]]&lt;&gt;1),tbl_daily[[#This Row],[LatestRPE]]*tbl_daily[[#This Row],[LatestDuration]],""),"")</f>
        <v>0</v>
      </c>
      <c r="R303">
        <f>IF(tbl_daily[[#This Row],[CodeName]]&lt;&gt;"",1,"")</f>
        <v>1</v>
      </c>
      <c r="S303" t="str">
        <f>IF(AND(tbl_daily[[#This Row],[Date]]&gt;=DATE(2019,8,1),tbl_daily[[#This Row],[Date]]&lt;=DATE(2020,6,1)),"2019-2020")</f>
        <v>2019-2020</v>
      </c>
      <c r="T303" t="str">
        <f>IFERROR(INDEX(tbl_prof[Cohort of Interest],MATCH(tbl_daily[[#This Row],[CodeName]],tbl_prof[CodeName],0)),"")</f>
        <v>Gen Pop</v>
      </c>
      <c r="U303" t="str">
        <f>IFERROR(AVERAGEIFS(tbl_perf[Grade],tbl_perf[CodeName],tbl_daily[[#This Row],[CodeName]],tbl_perf[Date],tbl_daily[[#This Row],[Date]]),"")</f>
        <v/>
      </c>
      <c r="V303">
        <f>IFERROR(IF(AND(tbl_daily[[#This Row],[Attendance (1 = Here, 0 = Not here)]]=1,tbl_daily[[#This Row],[Attended, but did not complete data]]&lt;&gt;1),1,IF(AND(tbl_daily[[#This Row],[Attendance (1 = Here, 0 = Not here)]]=1,tbl_daily[[#This Row],[Attended, but did not complete data]]=1),2,3)),"")</f>
        <v>1</v>
      </c>
      <c r="W303">
        <f>IF(AND(tbl_daily[[#This Row],[Attendance Refined]]=1,tbl_daily[[#This Row],[InjuryStatus]]="Full"),1,IF(AND(tbl_daily[[#This Row],[Attendance Refined]]=1,tbl_daily[[#This Row],[InjuryStatus]]="Limited"),2,IF(AND(tbl_daily[[#This Row],[Attendance Refined]]=1,tbl_daily[[#This Row],[InjuryStatus]]="Out"),3,"")))</f>
        <v>1</v>
      </c>
    </row>
    <row r="304" spans="1:23" ht="15" customHeight="1" x14ac:dyDescent="0.25">
      <c r="A304" s="1">
        <v>43860</v>
      </c>
      <c r="B304" t="s">
        <v>438</v>
      </c>
      <c r="C304">
        <v>1</v>
      </c>
      <c r="E304">
        <v>5</v>
      </c>
      <c r="F304">
        <v>5</v>
      </c>
      <c r="G304">
        <v>5</v>
      </c>
      <c r="H304" t="s">
        <v>15</v>
      </c>
      <c r="I304">
        <v>0</v>
      </c>
      <c r="J304">
        <v>0</v>
      </c>
      <c r="K304">
        <v>0</v>
      </c>
      <c r="M304" t="s">
        <v>223</v>
      </c>
      <c r="N304" t="s">
        <v>107</v>
      </c>
      <c r="P304">
        <f>IFERROR(IF(AND(tbl_daily[[#This Row],[Attendance (1 = Here, 0 = Not here)]]=1,tbl_daily[[#This Row],[Attended, but did not complete data]]&lt;&gt;1),tbl_daily[[#This Row],[Stress]]+tbl_daily[[#This Row],[SleepQuality]]+tbl_daily[[#This Row],[Energy]],""),"")</f>
        <v>15</v>
      </c>
      <c r="Q304">
        <f>IFERROR(IF(AND(tbl_daily[[#This Row],[Attendance (1 = Here, 0 = Not here)]]=1,tbl_daily[[#This Row],[Attended, but did not complete data]]&lt;&gt;1),tbl_daily[[#This Row],[LatestRPE]]*tbl_daily[[#This Row],[LatestDuration]],""),"")</f>
        <v>0</v>
      </c>
      <c r="R304">
        <f>IF(tbl_daily[[#This Row],[CodeName]]&lt;&gt;"",1,"")</f>
        <v>1</v>
      </c>
      <c r="S304" t="str">
        <f>IF(AND(tbl_daily[[#This Row],[Date]]&gt;=DATE(2019,8,1),tbl_daily[[#This Row],[Date]]&lt;=DATE(2020,6,1)),"2019-2020")</f>
        <v>2019-2020</v>
      </c>
      <c r="T304" t="str">
        <f>IFERROR(INDEX(tbl_prof[Cohort of Interest],MATCH(tbl_daily[[#This Row],[CodeName]],tbl_prof[CodeName],0)),"")</f>
        <v>Youth</v>
      </c>
      <c r="U304" t="str">
        <f>IFERROR(AVERAGEIFS(tbl_perf[Grade],tbl_perf[CodeName],tbl_daily[[#This Row],[CodeName]],tbl_perf[Date],tbl_daily[[#This Row],[Date]]),"")</f>
        <v/>
      </c>
      <c r="V304">
        <f>IFERROR(IF(AND(tbl_daily[[#This Row],[Attendance (1 = Here, 0 = Not here)]]=1,tbl_daily[[#This Row],[Attended, but did not complete data]]&lt;&gt;1),1,IF(AND(tbl_daily[[#This Row],[Attendance (1 = Here, 0 = Not here)]]=1,tbl_daily[[#This Row],[Attended, but did not complete data]]=1),2,3)),"")</f>
        <v>1</v>
      </c>
      <c r="W304">
        <f>IF(AND(tbl_daily[[#This Row],[Attendance Refined]]=1,tbl_daily[[#This Row],[InjuryStatus]]="Full"),1,IF(AND(tbl_daily[[#This Row],[Attendance Refined]]=1,tbl_daily[[#This Row],[InjuryStatus]]="Limited"),2,IF(AND(tbl_daily[[#This Row],[Attendance Refined]]=1,tbl_daily[[#This Row],[InjuryStatus]]="Out"),3,"")))</f>
        <v>1</v>
      </c>
    </row>
    <row r="305" spans="1:23" ht="15" customHeight="1" x14ac:dyDescent="0.25">
      <c r="A305" s="1">
        <v>43860</v>
      </c>
      <c r="B305" t="s">
        <v>440</v>
      </c>
      <c r="C305">
        <v>1</v>
      </c>
      <c r="E305">
        <v>6</v>
      </c>
      <c r="F305">
        <v>4</v>
      </c>
      <c r="G305">
        <v>4</v>
      </c>
      <c r="H305" t="s">
        <v>32</v>
      </c>
      <c r="I305">
        <v>0</v>
      </c>
      <c r="J305">
        <v>0</v>
      </c>
      <c r="K305">
        <v>0</v>
      </c>
      <c r="M305" t="s">
        <v>223</v>
      </c>
      <c r="N305" t="s">
        <v>89</v>
      </c>
      <c r="P305">
        <f>IFERROR(IF(AND(tbl_daily[[#This Row],[Attendance (1 = Here, 0 = Not here)]]=1,tbl_daily[[#This Row],[Attended, but did not complete data]]&lt;&gt;1),tbl_daily[[#This Row],[Stress]]+tbl_daily[[#This Row],[SleepQuality]]+tbl_daily[[#This Row],[Energy]],""),"")</f>
        <v>14</v>
      </c>
      <c r="Q305">
        <f>IFERROR(IF(AND(tbl_daily[[#This Row],[Attendance (1 = Here, 0 = Not here)]]=1,tbl_daily[[#This Row],[Attended, but did not complete data]]&lt;&gt;1),tbl_daily[[#This Row],[LatestRPE]]*tbl_daily[[#This Row],[LatestDuration]],""),"")</f>
        <v>0</v>
      </c>
      <c r="R305">
        <f>IF(tbl_daily[[#This Row],[CodeName]]&lt;&gt;"",1,"")</f>
        <v>1</v>
      </c>
      <c r="S305" t="str">
        <f>IF(AND(tbl_daily[[#This Row],[Date]]&gt;=DATE(2019,8,1),tbl_daily[[#This Row],[Date]]&lt;=DATE(2020,6,1)),"2019-2020")</f>
        <v>2019-2020</v>
      </c>
      <c r="T305" t="str">
        <f>IFERROR(INDEX(tbl_prof[Cohort of Interest],MATCH(tbl_daily[[#This Row],[CodeName]],tbl_prof[CodeName],0)),"")</f>
        <v>Youth</v>
      </c>
      <c r="U305" t="str">
        <f>IFERROR(AVERAGEIFS(tbl_perf[Grade],tbl_perf[CodeName],tbl_daily[[#This Row],[CodeName]],tbl_perf[Date],tbl_daily[[#This Row],[Date]]),"")</f>
        <v/>
      </c>
      <c r="V305">
        <f>IFERROR(IF(AND(tbl_daily[[#This Row],[Attendance (1 = Here, 0 = Not here)]]=1,tbl_daily[[#This Row],[Attended, but did not complete data]]&lt;&gt;1),1,IF(AND(tbl_daily[[#This Row],[Attendance (1 = Here, 0 = Not here)]]=1,tbl_daily[[#This Row],[Attended, but did not complete data]]=1),2,3)),"")</f>
        <v>1</v>
      </c>
      <c r="W305">
        <f>IF(AND(tbl_daily[[#This Row],[Attendance Refined]]=1,tbl_daily[[#This Row],[InjuryStatus]]="Full"),1,IF(AND(tbl_daily[[#This Row],[Attendance Refined]]=1,tbl_daily[[#This Row],[InjuryStatus]]="Limited"),2,IF(AND(tbl_daily[[#This Row],[Attendance Refined]]=1,tbl_daily[[#This Row],[InjuryStatus]]="Out"),3,"")))</f>
        <v>2</v>
      </c>
    </row>
    <row r="306" spans="1:23" ht="15" customHeight="1" x14ac:dyDescent="0.25">
      <c r="A306" s="1">
        <v>43860</v>
      </c>
      <c r="B306" t="s">
        <v>419</v>
      </c>
      <c r="C306">
        <v>1</v>
      </c>
      <c r="E306">
        <v>5</v>
      </c>
      <c r="F306">
        <v>6</v>
      </c>
      <c r="G306">
        <v>3</v>
      </c>
      <c r="H306" t="s">
        <v>15</v>
      </c>
      <c r="I306">
        <v>1</v>
      </c>
      <c r="J306">
        <v>3</v>
      </c>
      <c r="K306">
        <v>30</v>
      </c>
      <c r="M306" t="s">
        <v>223</v>
      </c>
      <c r="N306" t="s">
        <v>94</v>
      </c>
      <c r="P306">
        <f>IFERROR(IF(AND(tbl_daily[[#This Row],[Attendance (1 = Here, 0 = Not here)]]=1,tbl_daily[[#This Row],[Attended, but did not complete data]]&lt;&gt;1),tbl_daily[[#This Row],[Stress]]+tbl_daily[[#This Row],[SleepQuality]]+tbl_daily[[#This Row],[Energy]],""),"")</f>
        <v>14</v>
      </c>
      <c r="Q306">
        <f>IFERROR(IF(AND(tbl_daily[[#This Row],[Attendance (1 = Here, 0 = Not here)]]=1,tbl_daily[[#This Row],[Attended, but did not complete data]]&lt;&gt;1),tbl_daily[[#This Row],[LatestRPE]]*tbl_daily[[#This Row],[LatestDuration]],""),"")</f>
        <v>90</v>
      </c>
      <c r="R306">
        <f>IF(tbl_daily[[#This Row],[CodeName]]&lt;&gt;"",1,"")</f>
        <v>1</v>
      </c>
      <c r="S306" t="str">
        <f>IF(AND(tbl_daily[[#This Row],[Date]]&gt;=DATE(2019,8,1),tbl_daily[[#This Row],[Date]]&lt;=DATE(2020,6,1)),"2019-2020")</f>
        <v>2019-2020</v>
      </c>
      <c r="T306" t="str">
        <f>IFERROR(INDEX(tbl_prof[Cohort of Interest],MATCH(tbl_daily[[#This Row],[CodeName]],tbl_prof[CodeName],0)),"")</f>
        <v>Youth</v>
      </c>
      <c r="U306" t="str">
        <f>IFERROR(AVERAGEIFS(tbl_perf[Grade],tbl_perf[CodeName],tbl_daily[[#This Row],[CodeName]],tbl_perf[Date],tbl_daily[[#This Row],[Date]]),"")</f>
        <v/>
      </c>
      <c r="V306">
        <f>IFERROR(IF(AND(tbl_daily[[#This Row],[Attendance (1 = Here, 0 = Not here)]]=1,tbl_daily[[#This Row],[Attended, but did not complete data]]&lt;&gt;1),1,IF(AND(tbl_daily[[#This Row],[Attendance (1 = Here, 0 = Not here)]]=1,tbl_daily[[#This Row],[Attended, but did not complete data]]=1),2,3)),"")</f>
        <v>1</v>
      </c>
      <c r="W306">
        <f>IF(AND(tbl_daily[[#This Row],[Attendance Refined]]=1,tbl_daily[[#This Row],[InjuryStatus]]="Full"),1,IF(AND(tbl_daily[[#This Row],[Attendance Refined]]=1,tbl_daily[[#This Row],[InjuryStatus]]="Limited"),2,IF(AND(tbl_daily[[#This Row],[Attendance Refined]]=1,tbl_daily[[#This Row],[InjuryStatus]]="Out"),3,"")))</f>
        <v>1</v>
      </c>
    </row>
    <row r="307" spans="1:23" ht="15" customHeight="1" x14ac:dyDescent="0.25">
      <c r="A307" s="1">
        <v>43860</v>
      </c>
      <c r="B307" t="s">
        <v>436</v>
      </c>
      <c r="C307">
        <v>1</v>
      </c>
      <c r="E307">
        <v>9</v>
      </c>
      <c r="F307">
        <v>4</v>
      </c>
      <c r="G307">
        <v>5</v>
      </c>
      <c r="H307" t="s">
        <v>15</v>
      </c>
      <c r="I307">
        <v>1</v>
      </c>
      <c r="J307">
        <v>2</v>
      </c>
      <c r="K307">
        <v>55</v>
      </c>
      <c r="M307" t="s">
        <v>223</v>
      </c>
      <c r="N307" t="s">
        <v>102</v>
      </c>
      <c r="P307">
        <f>IFERROR(IF(AND(tbl_daily[[#This Row],[Attendance (1 = Here, 0 = Not here)]]=1,tbl_daily[[#This Row],[Attended, but did not complete data]]&lt;&gt;1),tbl_daily[[#This Row],[Stress]]+tbl_daily[[#This Row],[SleepQuality]]+tbl_daily[[#This Row],[Energy]],""),"")</f>
        <v>18</v>
      </c>
      <c r="Q307">
        <f>IFERROR(IF(AND(tbl_daily[[#This Row],[Attendance (1 = Here, 0 = Not here)]]=1,tbl_daily[[#This Row],[Attended, but did not complete data]]&lt;&gt;1),tbl_daily[[#This Row],[LatestRPE]]*tbl_daily[[#This Row],[LatestDuration]],""),"")</f>
        <v>110</v>
      </c>
      <c r="R307">
        <f>IF(tbl_daily[[#This Row],[CodeName]]&lt;&gt;"",1,"")</f>
        <v>1</v>
      </c>
      <c r="S307" t="str">
        <f>IF(AND(tbl_daily[[#This Row],[Date]]&gt;=DATE(2019,8,1),tbl_daily[[#This Row],[Date]]&lt;=DATE(2020,6,1)),"2019-2020")</f>
        <v>2019-2020</v>
      </c>
      <c r="T307" t="str">
        <f>IFERROR(INDEX(tbl_prof[Cohort of Interest],MATCH(tbl_daily[[#This Row],[CodeName]],tbl_prof[CodeName],0)),"")</f>
        <v>Athletes</v>
      </c>
      <c r="U307" t="str">
        <f>IFERROR(AVERAGEIFS(tbl_perf[Grade],tbl_perf[CodeName],tbl_daily[[#This Row],[CodeName]],tbl_perf[Date],tbl_daily[[#This Row],[Date]]),"")</f>
        <v/>
      </c>
      <c r="V307">
        <f>IFERROR(IF(AND(tbl_daily[[#This Row],[Attendance (1 = Here, 0 = Not here)]]=1,tbl_daily[[#This Row],[Attended, but did not complete data]]&lt;&gt;1),1,IF(AND(tbl_daily[[#This Row],[Attendance (1 = Here, 0 = Not here)]]=1,tbl_daily[[#This Row],[Attended, but did not complete data]]=1),2,3)),"")</f>
        <v>1</v>
      </c>
      <c r="W307">
        <f>IF(AND(tbl_daily[[#This Row],[Attendance Refined]]=1,tbl_daily[[#This Row],[InjuryStatus]]="Full"),1,IF(AND(tbl_daily[[#This Row],[Attendance Refined]]=1,tbl_daily[[#This Row],[InjuryStatus]]="Limited"),2,IF(AND(tbl_daily[[#This Row],[Attendance Refined]]=1,tbl_daily[[#This Row],[InjuryStatus]]="Out"),3,"")))</f>
        <v>1</v>
      </c>
    </row>
    <row r="308" spans="1:23" ht="15" customHeight="1" x14ac:dyDescent="0.25">
      <c r="A308" s="1">
        <v>43860</v>
      </c>
      <c r="B308" t="s">
        <v>413</v>
      </c>
      <c r="C308">
        <v>1</v>
      </c>
      <c r="E308">
        <v>4</v>
      </c>
      <c r="F308">
        <v>5</v>
      </c>
      <c r="G308">
        <v>7</v>
      </c>
      <c r="H308" t="s">
        <v>15</v>
      </c>
      <c r="I308">
        <v>1</v>
      </c>
      <c r="J308">
        <v>3</v>
      </c>
      <c r="K308">
        <v>45</v>
      </c>
      <c r="M308" t="s">
        <v>223</v>
      </c>
      <c r="N308" t="s">
        <v>89</v>
      </c>
      <c r="P308">
        <f>IFERROR(IF(AND(tbl_daily[[#This Row],[Attendance (1 = Here, 0 = Not here)]]=1,tbl_daily[[#This Row],[Attended, but did not complete data]]&lt;&gt;1),tbl_daily[[#This Row],[Stress]]+tbl_daily[[#This Row],[SleepQuality]]+tbl_daily[[#This Row],[Energy]],""),"")</f>
        <v>16</v>
      </c>
      <c r="Q308">
        <f>IFERROR(IF(AND(tbl_daily[[#This Row],[Attendance (1 = Here, 0 = Not here)]]=1,tbl_daily[[#This Row],[Attended, but did not complete data]]&lt;&gt;1),tbl_daily[[#This Row],[LatestRPE]]*tbl_daily[[#This Row],[LatestDuration]],""),"")</f>
        <v>135</v>
      </c>
      <c r="R308">
        <f>IF(tbl_daily[[#This Row],[CodeName]]&lt;&gt;"",1,"")</f>
        <v>1</v>
      </c>
      <c r="S308" t="str">
        <f>IF(AND(tbl_daily[[#This Row],[Date]]&gt;=DATE(2019,8,1),tbl_daily[[#This Row],[Date]]&lt;=DATE(2020,6,1)),"2019-2020")</f>
        <v>2019-2020</v>
      </c>
      <c r="T308" t="str">
        <f>IFERROR(INDEX(tbl_prof[Cohort of Interest],MATCH(tbl_daily[[#This Row],[CodeName]],tbl_prof[CodeName],0)),"")</f>
        <v>Youth</v>
      </c>
      <c r="U308" t="str">
        <f>IFERROR(AVERAGEIFS(tbl_perf[Grade],tbl_perf[CodeName],tbl_daily[[#This Row],[CodeName]],tbl_perf[Date],tbl_daily[[#This Row],[Date]]),"")</f>
        <v/>
      </c>
      <c r="V308">
        <f>IFERROR(IF(AND(tbl_daily[[#This Row],[Attendance (1 = Here, 0 = Not here)]]=1,tbl_daily[[#This Row],[Attended, but did not complete data]]&lt;&gt;1),1,IF(AND(tbl_daily[[#This Row],[Attendance (1 = Here, 0 = Not here)]]=1,tbl_daily[[#This Row],[Attended, but did not complete data]]=1),2,3)),"")</f>
        <v>1</v>
      </c>
      <c r="W308">
        <f>IF(AND(tbl_daily[[#This Row],[Attendance Refined]]=1,tbl_daily[[#This Row],[InjuryStatus]]="Full"),1,IF(AND(tbl_daily[[#This Row],[Attendance Refined]]=1,tbl_daily[[#This Row],[InjuryStatus]]="Limited"),2,IF(AND(tbl_daily[[#This Row],[Attendance Refined]]=1,tbl_daily[[#This Row],[InjuryStatus]]="Out"),3,"")))</f>
        <v>1</v>
      </c>
    </row>
    <row r="309" spans="1:23" ht="15" customHeight="1" x14ac:dyDescent="0.25">
      <c r="A309" s="1">
        <v>43860</v>
      </c>
      <c r="B309" t="s">
        <v>424</v>
      </c>
      <c r="C309">
        <v>1</v>
      </c>
      <c r="E309">
        <v>4</v>
      </c>
      <c r="F309">
        <v>6</v>
      </c>
      <c r="G309">
        <v>6</v>
      </c>
      <c r="H309" t="s">
        <v>15</v>
      </c>
      <c r="I309">
        <v>1</v>
      </c>
      <c r="J309">
        <v>7</v>
      </c>
      <c r="K309">
        <v>45</v>
      </c>
      <c r="M309" t="s">
        <v>223</v>
      </c>
      <c r="N309" t="s">
        <v>99</v>
      </c>
      <c r="P309">
        <f>IFERROR(IF(AND(tbl_daily[[#This Row],[Attendance (1 = Here, 0 = Not here)]]=1,tbl_daily[[#This Row],[Attended, but did not complete data]]&lt;&gt;1),tbl_daily[[#This Row],[Stress]]+tbl_daily[[#This Row],[SleepQuality]]+tbl_daily[[#This Row],[Energy]],""),"")</f>
        <v>16</v>
      </c>
      <c r="Q309">
        <f>IFERROR(IF(AND(tbl_daily[[#This Row],[Attendance (1 = Here, 0 = Not here)]]=1,tbl_daily[[#This Row],[Attended, but did not complete data]]&lt;&gt;1),tbl_daily[[#This Row],[LatestRPE]]*tbl_daily[[#This Row],[LatestDuration]],""),"")</f>
        <v>315</v>
      </c>
      <c r="R309">
        <f>IF(tbl_daily[[#This Row],[CodeName]]&lt;&gt;"",1,"")</f>
        <v>1</v>
      </c>
      <c r="S309" t="str">
        <f>IF(AND(tbl_daily[[#This Row],[Date]]&gt;=DATE(2019,8,1),tbl_daily[[#This Row],[Date]]&lt;=DATE(2020,6,1)),"2019-2020")</f>
        <v>2019-2020</v>
      </c>
      <c r="T309" t="str">
        <f>IFERROR(INDEX(tbl_prof[Cohort of Interest],MATCH(tbl_daily[[#This Row],[CodeName]],tbl_prof[CodeName],0)),"")</f>
        <v>Special</v>
      </c>
      <c r="U309" t="str">
        <f>IFERROR(AVERAGEIFS(tbl_perf[Grade],tbl_perf[CodeName],tbl_daily[[#This Row],[CodeName]],tbl_perf[Date],tbl_daily[[#This Row],[Date]]),"")</f>
        <v/>
      </c>
      <c r="V309">
        <f>IFERROR(IF(AND(tbl_daily[[#This Row],[Attendance (1 = Here, 0 = Not here)]]=1,tbl_daily[[#This Row],[Attended, but did not complete data]]&lt;&gt;1),1,IF(AND(tbl_daily[[#This Row],[Attendance (1 = Here, 0 = Not here)]]=1,tbl_daily[[#This Row],[Attended, but did not complete data]]=1),2,3)),"")</f>
        <v>1</v>
      </c>
      <c r="W309">
        <f>IF(AND(tbl_daily[[#This Row],[Attendance Refined]]=1,tbl_daily[[#This Row],[InjuryStatus]]="Full"),1,IF(AND(tbl_daily[[#This Row],[Attendance Refined]]=1,tbl_daily[[#This Row],[InjuryStatus]]="Limited"),2,IF(AND(tbl_daily[[#This Row],[Attendance Refined]]=1,tbl_daily[[#This Row],[InjuryStatus]]="Out"),3,"")))</f>
        <v>1</v>
      </c>
    </row>
    <row r="310" spans="1:23" ht="15" customHeight="1" x14ac:dyDescent="0.25">
      <c r="A310" s="1">
        <v>43860</v>
      </c>
      <c r="B310" t="s">
        <v>426</v>
      </c>
      <c r="C310">
        <v>1</v>
      </c>
      <c r="E310">
        <v>8</v>
      </c>
      <c r="F310">
        <v>8</v>
      </c>
      <c r="G310">
        <v>8</v>
      </c>
      <c r="H310" t="s">
        <v>15</v>
      </c>
      <c r="I310">
        <v>1</v>
      </c>
      <c r="J310">
        <v>7</v>
      </c>
      <c r="K310">
        <v>45</v>
      </c>
      <c r="M310" t="s">
        <v>223</v>
      </c>
      <c r="N310" t="s">
        <v>101</v>
      </c>
      <c r="P310">
        <f>IFERROR(IF(AND(tbl_daily[[#This Row],[Attendance (1 = Here, 0 = Not here)]]=1,tbl_daily[[#This Row],[Attended, but did not complete data]]&lt;&gt;1),tbl_daily[[#This Row],[Stress]]+tbl_daily[[#This Row],[SleepQuality]]+tbl_daily[[#This Row],[Energy]],""),"")</f>
        <v>24</v>
      </c>
      <c r="Q310">
        <f>IFERROR(IF(AND(tbl_daily[[#This Row],[Attendance (1 = Here, 0 = Not here)]]=1,tbl_daily[[#This Row],[Attended, but did not complete data]]&lt;&gt;1),tbl_daily[[#This Row],[LatestRPE]]*tbl_daily[[#This Row],[LatestDuration]],""),"")</f>
        <v>315</v>
      </c>
      <c r="R310">
        <f>IF(tbl_daily[[#This Row],[CodeName]]&lt;&gt;"",1,"")</f>
        <v>1</v>
      </c>
      <c r="S310" t="str">
        <f>IF(AND(tbl_daily[[#This Row],[Date]]&gt;=DATE(2019,8,1),tbl_daily[[#This Row],[Date]]&lt;=DATE(2020,6,1)),"2019-2020")</f>
        <v>2019-2020</v>
      </c>
      <c r="T310" t="str">
        <f>IFERROR(INDEX(tbl_prof[Cohort of Interest],MATCH(tbl_daily[[#This Row],[CodeName]],tbl_prof[CodeName],0)),"")</f>
        <v>Special</v>
      </c>
      <c r="U310" t="str">
        <f>IFERROR(AVERAGEIFS(tbl_perf[Grade],tbl_perf[CodeName],tbl_daily[[#This Row],[CodeName]],tbl_perf[Date],tbl_daily[[#This Row],[Date]]),"")</f>
        <v/>
      </c>
      <c r="V310">
        <f>IFERROR(IF(AND(tbl_daily[[#This Row],[Attendance (1 = Here, 0 = Not here)]]=1,tbl_daily[[#This Row],[Attended, but did not complete data]]&lt;&gt;1),1,IF(AND(tbl_daily[[#This Row],[Attendance (1 = Here, 0 = Not here)]]=1,tbl_daily[[#This Row],[Attended, but did not complete data]]=1),2,3)),"")</f>
        <v>1</v>
      </c>
      <c r="W310">
        <f>IF(AND(tbl_daily[[#This Row],[Attendance Refined]]=1,tbl_daily[[#This Row],[InjuryStatus]]="Full"),1,IF(AND(tbl_daily[[#This Row],[Attendance Refined]]=1,tbl_daily[[#This Row],[InjuryStatus]]="Limited"),2,IF(AND(tbl_daily[[#This Row],[Attendance Refined]]=1,tbl_daily[[#This Row],[InjuryStatus]]="Out"),3,"")))</f>
        <v>1</v>
      </c>
    </row>
    <row r="311" spans="1:23" ht="15" customHeight="1" x14ac:dyDescent="0.25">
      <c r="A311" s="1">
        <v>43860</v>
      </c>
      <c r="B311" t="s">
        <v>437</v>
      </c>
      <c r="C311">
        <v>1</v>
      </c>
      <c r="E311">
        <v>8</v>
      </c>
      <c r="F311">
        <v>9</v>
      </c>
      <c r="G311">
        <v>8</v>
      </c>
      <c r="H311" t="s">
        <v>15</v>
      </c>
      <c r="I311">
        <v>1</v>
      </c>
      <c r="J311">
        <v>7</v>
      </c>
      <c r="K311">
        <v>45</v>
      </c>
      <c r="M311" t="s">
        <v>223</v>
      </c>
      <c r="N311" t="s">
        <v>101</v>
      </c>
      <c r="P311">
        <f>IFERROR(IF(AND(tbl_daily[[#This Row],[Attendance (1 = Here, 0 = Not here)]]=1,tbl_daily[[#This Row],[Attended, but did not complete data]]&lt;&gt;1),tbl_daily[[#This Row],[Stress]]+tbl_daily[[#This Row],[SleepQuality]]+tbl_daily[[#This Row],[Energy]],""),"")</f>
        <v>25</v>
      </c>
      <c r="Q311">
        <f>IFERROR(IF(AND(tbl_daily[[#This Row],[Attendance (1 = Here, 0 = Not here)]]=1,tbl_daily[[#This Row],[Attended, but did not complete data]]&lt;&gt;1),tbl_daily[[#This Row],[LatestRPE]]*tbl_daily[[#This Row],[LatestDuration]],""),"")</f>
        <v>315</v>
      </c>
      <c r="R311">
        <f>IF(tbl_daily[[#This Row],[CodeName]]&lt;&gt;"",1,"")</f>
        <v>1</v>
      </c>
      <c r="S311" t="str">
        <f>IF(AND(tbl_daily[[#This Row],[Date]]&gt;=DATE(2019,8,1),tbl_daily[[#This Row],[Date]]&lt;=DATE(2020,6,1)),"2019-2020")</f>
        <v>2019-2020</v>
      </c>
      <c r="T311" t="str">
        <f>IFERROR(INDEX(tbl_prof[Cohort of Interest],MATCH(tbl_daily[[#This Row],[CodeName]],tbl_prof[CodeName],0)),"")</f>
        <v>Athletes</v>
      </c>
      <c r="U311" t="str">
        <f>IFERROR(AVERAGEIFS(tbl_perf[Grade],tbl_perf[CodeName],tbl_daily[[#This Row],[CodeName]],tbl_perf[Date],tbl_daily[[#This Row],[Date]]),"")</f>
        <v/>
      </c>
      <c r="V311">
        <f>IFERROR(IF(AND(tbl_daily[[#This Row],[Attendance (1 = Here, 0 = Not here)]]=1,tbl_daily[[#This Row],[Attended, but did not complete data]]&lt;&gt;1),1,IF(AND(tbl_daily[[#This Row],[Attendance (1 = Here, 0 = Not here)]]=1,tbl_daily[[#This Row],[Attended, but did not complete data]]=1),2,3)),"")</f>
        <v>1</v>
      </c>
      <c r="W311">
        <f>IF(AND(tbl_daily[[#This Row],[Attendance Refined]]=1,tbl_daily[[#This Row],[InjuryStatus]]="Full"),1,IF(AND(tbl_daily[[#This Row],[Attendance Refined]]=1,tbl_daily[[#This Row],[InjuryStatus]]="Limited"),2,IF(AND(tbl_daily[[#This Row],[Attendance Refined]]=1,tbl_daily[[#This Row],[InjuryStatus]]="Out"),3,"")))</f>
        <v>1</v>
      </c>
    </row>
    <row r="312" spans="1:23" ht="15" customHeight="1" x14ac:dyDescent="0.25">
      <c r="A312" s="1">
        <v>43860</v>
      </c>
      <c r="B312" t="s">
        <v>411</v>
      </c>
      <c r="C312">
        <v>1</v>
      </c>
      <c r="E312">
        <v>6</v>
      </c>
      <c r="F312">
        <v>2</v>
      </c>
      <c r="G312">
        <v>3</v>
      </c>
      <c r="H312" t="s">
        <v>32</v>
      </c>
      <c r="I312">
        <v>1</v>
      </c>
      <c r="J312">
        <v>6</v>
      </c>
      <c r="K312">
        <v>60</v>
      </c>
      <c r="M312" t="s">
        <v>223</v>
      </c>
      <c r="N312" t="s">
        <v>87</v>
      </c>
      <c r="P312">
        <f>IFERROR(IF(AND(tbl_daily[[#This Row],[Attendance (1 = Here, 0 = Not here)]]=1,tbl_daily[[#This Row],[Attended, but did not complete data]]&lt;&gt;1),tbl_daily[[#This Row],[Stress]]+tbl_daily[[#This Row],[SleepQuality]]+tbl_daily[[#This Row],[Energy]],""),"")</f>
        <v>11</v>
      </c>
      <c r="Q312">
        <f>IFERROR(IF(AND(tbl_daily[[#This Row],[Attendance (1 = Here, 0 = Not here)]]=1,tbl_daily[[#This Row],[Attended, but did not complete data]]&lt;&gt;1),tbl_daily[[#This Row],[LatestRPE]]*tbl_daily[[#This Row],[LatestDuration]],""),"")</f>
        <v>360</v>
      </c>
      <c r="R312">
        <f>IF(tbl_daily[[#This Row],[CodeName]]&lt;&gt;"",1,"")</f>
        <v>1</v>
      </c>
      <c r="S312" t="str">
        <f>IF(AND(tbl_daily[[#This Row],[Date]]&gt;=DATE(2019,8,1),tbl_daily[[#This Row],[Date]]&lt;=DATE(2020,6,1)),"2019-2020")</f>
        <v>2019-2020</v>
      </c>
      <c r="T312" t="str">
        <f>IFERROR(INDEX(tbl_prof[Cohort of Interest],MATCH(tbl_daily[[#This Row],[CodeName]],tbl_prof[CodeName],0)),"")</f>
        <v>Athletes</v>
      </c>
      <c r="U312" t="str">
        <f>IFERROR(AVERAGEIFS(tbl_perf[Grade],tbl_perf[CodeName],tbl_daily[[#This Row],[CodeName]],tbl_perf[Date],tbl_daily[[#This Row],[Date]]),"")</f>
        <v/>
      </c>
      <c r="V312">
        <f>IFERROR(IF(AND(tbl_daily[[#This Row],[Attendance (1 = Here, 0 = Not here)]]=1,tbl_daily[[#This Row],[Attended, but did not complete data]]&lt;&gt;1),1,IF(AND(tbl_daily[[#This Row],[Attendance (1 = Here, 0 = Not here)]]=1,tbl_daily[[#This Row],[Attended, but did not complete data]]=1),2,3)),"")</f>
        <v>1</v>
      </c>
      <c r="W312">
        <f>IF(AND(tbl_daily[[#This Row],[Attendance Refined]]=1,tbl_daily[[#This Row],[InjuryStatus]]="Full"),1,IF(AND(tbl_daily[[#This Row],[Attendance Refined]]=1,tbl_daily[[#This Row],[InjuryStatus]]="Limited"),2,IF(AND(tbl_daily[[#This Row],[Attendance Refined]]=1,tbl_daily[[#This Row],[InjuryStatus]]="Out"),3,"")))</f>
        <v>2</v>
      </c>
    </row>
    <row r="313" spans="1:23" ht="15" customHeight="1" x14ac:dyDescent="0.25">
      <c r="A313" s="1">
        <v>43860</v>
      </c>
      <c r="B313" t="s">
        <v>422</v>
      </c>
      <c r="C313">
        <v>1</v>
      </c>
      <c r="E313">
        <v>6</v>
      </c>
      <c r="F313">
        <v>8</v>
      </c>
      <c r="G313">
        <v>8</v>
      </c>
      <c r="H313" t="s">
        <v>15</v>
      </c>
      <c r="I313">
        <v>1</v>
      </c>
      <c r="J313">
        <v>6</v>
      </c>
      <c r="K313">
        <v>60</v>
      </c>
      <c r="M313" t="s">
        <v>223</v>
      </c>
      <c r="N313" t="s">
        <v>97</v>
      </c>
      <c r="P313">
        <f>IFERROR(IF(AND(tbl_daily[[#This Row],[Attendance (1 = Here, 0 = Not here)]]=1,tbl_daily[[#This Row],[Attended, but did not complete data]]&lt;&gt;1),tbl_daily[[#This Row],[Stress]]+tbl_daily[[#This Row],[SleepQuality]]+tbl_daily[[#This Row],[Energy]],""),"")</f>
        <v>22</v>
      </c>
      <c r="Q313">
        <f>IFERROR(IF(AND(tbl_daily[[#This Row],[Attendance (1 = Here, 0 = Not here)]]=1,tbl_daily[[#This Row],[Attended, but did not complete data]]&lt;&gt;1),tbl_daily[[#This Row],[LatestRPE]]*tbl_daily[[#This Row],[LatestDuration]],""),"")</f>
        <v>360</v>
      </c>
      <c r="R313">
        <f>IF(tbl_daily[[#This Row],[CodeName]]&lt;&gt;"",1,"")</f>
        <v>1</v>
      </c>
      <c r="S313" t="str">
        <f>IF(AND(tbl_daily[[#This Row],[Date]]&gt;=DATE(2019,8,1),tbl_daily[[#This Row],[Date]]&lt;=DATE(2020,6,1)),"2019-2020")</f>
        <v>2019-2020</v>
      </c>
      <c r="T313" t="str">
        <f>IFERROR(INDEX(tbl_prof[Cohort of Interest],MATCH(tbl_daily[[#This Row],[CodeName]],tbl_prof[CodeName],0)),"")</f>
        <v>Athletes</v>
      </c>
      <c r="U313" t="str">
        <f>IFERROR(AVERAGEIFS(tbl_perf[Grade],tbl_perf[CodeName],tbl_daily[[#This Row],[CodeName]],tbl_perf[Date],tbl_daily[[#This Row],[Date]]),"")</f>
        <v/>
      </c>
      <c r="V313">
        <f>IFERROR(IF(AND(tbl_daily[[#This Row],[Attendance (1 = Here, 0 = Not here)]]=1,tbl_daily[[#This Row],[Attended, but did not complete data]]&lt;&gt;1),1,IF(AND(tbl_daily[[#This Row],[Attendance (1 = Here, 0 = Not here)]]=1,tbl_daily[[#This Row],[Attended, but did not complete data]]=1),2,3)),"")</f>
        <v>1</v>
      </c>
      <c r="W313">
        <f>IF(AND(tbl_daily[[#This Row],[Attendance Refined]]=1,tbl_daily[[#This Row],[InjuryStatus]]="Full"),1,IF(AND(tbl_daily[[#This Row],[Attendance Refined]]=1,tbl_daily[[#This Row],[InjuryStatus]]="Limited"),2,IF(AND(tbl_daily[[#This Row],[Attendance Refined]]=1,tbl_daily[[#This Row],[InjuryStatus]]="Out"),3,"")))</f>
        <v>1</v>
      </c>
    </row>
    <row r="314" spans="1:23" ht="15" customHeight="1" x14ac:dyDescent="0.25">
      <c r="A314" s="1">
        <v>43860</v>
      </c>
      <c r="B314" t="s">
        <v>425</v>
      </c>
      <c r="C314">
        <v>1</v>
      </c>
      <c r="E314">
        <v>3</v>
      </c>
      <c r="F314">
        <v>7</v>
      </c>
      <c r="G314">
        <v>8</v>
      </c>
      <c r="H314" t="s">
        <v>15</v>
      </c>
      <c r="I314">
        <v>1</v>
      </c>
      <c r="J314">
        <v>6</v>
      </c>
      <c r="K314">
        <v>60</v>
      </c>
      <c r="M314" t="s">
        <v>223</v>
      </c>
      <c r="N314" t="s">
        <v>100</v>
      </c>
      <c r="P314">
        <f>IFERROR(IF(AND(tbl_daily[[#This Row],[Attendance (1 = Here, 0 = Not here)]]=1,tbl_daily[[#This Row],[Attended, but did not complete data]]&lt;&gt;1),tbl_daily[[#This Row],[Stress]]+tbl_daily[[#This Row],[SleepQuality]]+tbl_daily[[#This Row],[Energy]],""),"")</f>
        <v>18</v>
      </c>
      <c r="Q314">
        <f>IFERROR(IF(AND(tbl_daily[[#This Row],[Attendance (1 = Here, 0 = Not here)]]=1,tbl_daily[[#This Row],[Attended, but did not complete data]]&lt;&gt;1),tbl_daily[[#This Row],[LatestRPE]]*tbl_daily[[#This Row],[LatestDuration]],""),"")</f>
        <v>360</v>
      </c>
      <c r="R314">
        <f>IF(tbl_daily[[#This Row],[CodeName]]&lt;&gt;"",1,"")</f>
        <v>1</v>
      </c>
      <c r="S314" t="str">
        <f>IF(AND(tbl_daily[[#This Row],[Date]]&gt;=DATE(2019,8,1),tbl_daily[[#This Row],[Date]]&lt;=DATE(2020,6,1)),"2019-2020")</f>
        <v>2019-2020</v>
      </c>
      <c r="T314" t="str">
        <f>IFERROR(INDEX(tbl_prof[Cohort of Interest],MATCH(tbl_daily[[#This Row],[CodeName]],tbl_prof[CodeName],0)),"")</f>
        <v>Athletes</v>
      </c>
      <c r="U314" t="str">
        <f>IFERROR(AVERAGEIFS(tbl_perf[Grade],tbl_perf[CodeName],tbl_daily[[#This Row],[CodeName]],tbl_perf[Date],tbl_daily[[#This Row],[Date]]),"")</f>
        <v/>
      </c>
      <c r="V314">
        <f>IFERROR(IF(AND(tbl_daily[[#This Row],[Attendance (1 = Here, 0 = Not here)]]=1,tbl_daily[[#This Row],[Attended, but did not complete data]]&lt;&gt;1),1,IF(AND(tbl_daily[[#This Row],[Attendance (1 = Here, 0 = Not here)]]=1,tbl_daily[[#This Row],[Attended, but did not complete data]]=1),2,3)),"")</f>
        <v>1</v>
      </c>
      <c r="W314">
        <f>IF(AND(tbl_daily[[#This Row],[Attendance Refined]]=1,tbl_daily[[#This Row],[InjuryStatus]]="Full"),1,IF(AND(tbl_daily[[#This Row],[Attendance Refined]]=1,tbl_daily[[#This Row],[InjuryStatus]]="Limited"),2,IF(AND(tbl_daily[[#This Row],[Attendance Refined]]=1,tbl_daily[[#This Row],[InjuryStatus]]="Out"),3,"")))</f>
        <v>1</v>
      </c>
    </row>
    <row r="315" spans="1:23" ht="15" customHeight="1" x14ac:dyDescent="0.25">
      <c r="A315" s="1">
        <v>43860</v>
      </c>
      <c r="B315" t="s">
        <v>431</v>
      </c>
      <c r="C315">
        <v>1</v>
      </c>
      <c r="E315">
        <v>7</v>
      </c>
      <c r="F315">
        <v>7</v>
      </c>
      <c r="G315">
        <v>7</v>
      </c>
      <c r="H315" t="s">
        <v>15</v>
      </c>
      <c r="I315">
        <v>1</v>
      </c>
      <c r="J315">
        <v>6</v>
      </c>
      <c r="K315">
        <v>60</v>
      </c>
      <c r="M315" t="s">
        <v>223</v>
      </c>
      <c r="N315" t="s">
        <v>108</v>
      </c>
      <c r="P315">
        <f>IFERROR(IF(AND(tbl_daily[[#This Row],[Attendance (1 = Here, 0 = Not here)]]=1,tbl_daily[[#This Row],[Attended, but did not complete data]]&lt;&gt;1),tbl_daily[[#This Row],[Stress]]+tbl_daily[[#This Row],[SleepQuality]]+tbl_daily[[#This Row],[Energy]],""),"")</f>
        <v>21</v>
      </c>
      <c r="Q315">
        <f>IFERROR(IF(AND(tbl_daily[[#This Row],[Attendance (1 = Here, 0 = Not here)]]=1,tbl_daily[[#This Row],[Attended, but did not complete data]]&lt;&gt;1),tbl_daily[[#This Row],[LatestRPE]]*tbl_daily[[#This Row],[LatestDuration]],""),"")</f>
        <v>360</v>
      </c>
      <c r="R315">
        <f>IF(tbl_daily[[#This Row],[CodeName]]&lt;&gt;"",1,"")</f>
        <v>1</v>
      </c>
      <c r="S315" t="str">
        <f>IF(AND(tbl_daily[[#This Row],[Date]]&gt;=DATE(2019,8,1),tbl_daily[[#This Row],[Date]]&lt;=DATE(2020,6,1)),"2019-2020")</f>
        <v>2019-2020</v>
      </c>
      <c r="T315" t="str">
        <f>IFERROR(INDEX(tbl_prof[Cohort of Interest],MATCH(tbl_daily[[#This Row],[CodeName]],tbl_prof[CodeName],0)),"")</f>
        <v>Special</v>
      </c>
      <c r="U315" t="str">
        <f>IFERROR(AVERAGEIFS(tbl_perf[Grade],tbl_perf[CodeName],tbl_daily[[#This Row],[CodeName]],tbl_perf[Date],tbl_daily[[#This Row],[Date]]),"")</f>
        <v/>
      </c>
      <c r="V315">
        <f>IFERROR(IF(AND(tbl_daily[[#This Row],[Attendance (1 = Here, 0 = Not here)]]=1,tbl_daily[[#This Row],[Attended, but did not complete data]]&lt;&gt;1),1,IF(AND(tbl_daily[[#This Row],[Attendance (1 = Here, 0 = Not here)]]=1,tbl_daily[[#This Row],[Attended, but did not complete data]]=1),2,3)),"")</f>
        <v>1</v>
      </c>
      <c r="W315">
        <f>IF(AND(tbl_daily[[#This Row],[Attendance Refined]]=1,tbl_daily[[#This Row],[InjuryStatus]]="Full"),1,IF(AND(tbl_daily[[#This Row],[Attendance Refined]]=1,tbl_daily[[#This Row],[InjuryStatus]]="Limited"),2,IF(AND(tbl_daily[[#This Row],[Attendance Refined]]=1,tbl_daily[[#This Row],[InjuryStatus]]="Out"),3,"")))</f>
        <v>1</v>
      </c>
    </row>
    <row r="316" spans="1:23" ht="15" customHeight="1" x14ac:dyDescent="0.25">
      <c r="A316" s="1">
        <v>43860</v>
      </c>
      <c r="B316" t="s">
        <v>435</v>
      </c>
      <c r="C316">
        <v>1</v>
      </c>
      <c r="E316">
        <v>7</v>
      </c>
      <c r="F316">
        <v>4</v>
      </c>
      <c r="G316">
        <v>6</v>
      </c>
      <c r="H316" t="s">
        <v>15</v>
      </c>
      <c r="I316">
        <v>1</v>
      </c>
      <c r="J316">
        <v>7</v>
      </c>
      <c r="K316">
        <v>60</v>
      </c>
      <c r="M316" t="s">
        <v>223</v>
      </c>
      <c r="N316" t="s">
        <v>103</v>
      </c>
      <c r="P316">
        <f>IFERROR(IF(AND(tbl_daily[[#This Row],[Attendance (1 = Here, 0 = Not here)]]=1,tbl_daily[[#This Row],[Attended, but did not complete data]]&lt;&gt;1),tbl_daily[[#This Row],[Stress]]+tbl_daily[[#This Row],[SleepQuality]]+tbl_daily[[#This Row],[Energy]],""),"")</f>
        <v>17</v>
      </c>
      <c r="Q316">
        <f>IFERROR(IF(AND(tbl_daily[[#This Row],[Attendance (1 = Here, 0 = Not here)]]=1,tbl_daily[[#This Row],[Attended, but did not complete data]]&lt;&gt;1),tbl_daily[[#This Row],[LatestRPE]]*tbl_daily[[#This Row],[LatestDuration]],""),"")</f>
        <v>420</v>
      </c>
      <c r="R316">
        <f>IF(tbl_daily[[#This Row],[CodeName]]&lt;&gt;"",1,"")</f>
        <v>1</v>
      </c>
      <c r="S316" t="str">
        <f>IF(AND(tbl_daily[[#This Row],[Date]]&gt;=DATE(2019,8,1),tbl_daily[[#This Row],[Date]]&lt;=DATE(2020,6,1)),"2019-2020")</f>
        <v>2019-2020</v>
      </c>
      <c r="T316" t="str">
        <f>IFERROR(INDEX(tbl_prof[Cohort of Interest],MATCH(tbl_daily[[#This Row],[CodeName]],tbl_prof[CodeName],0)),"")</f>
        <v>Athletes</v>
      </c>
      <c r="U316" t="str">
        <f>IFERROR(AVERAGEIFS(tbl_perf[Grade],tbl_perf[CodeName],tbl_daily[[#This Row],[CodeName]],tbl_perf[Date],tbl_daily[[#This Row],[Date]]),"")</f>
        <v/>
      </c>
      <c r="V316">
        <f>IFERROR(IF(AND(tbl_daily[[#This Row],[Attendance (1 = Here, 0 = Not here)]]=1,tbl_daily[[#This Row],[Attended, but did not complete data]]&lt;&gt;1),1,IF(AND(tbl_daily[[#This Row],[Attendance (1 = Here, 0 = Not here)]]=1,tbl_daily[[#This Row],[Attended, but did not complete data]]=1),2,3)),"")</f>
        <v>1</v>
      </c>
      <c r="W316">
        <f>IF(AND(tbl_daily[[#This Row],[Attendance Refined]]=1,tbl_daily[[#This Row],[InjuryStatus]]="Full"),1,IF(AND(tbl_daily[[#This Row],[Attendance Refined]]=1,tbl_daily[[#This Row],[InjuryStatus]]="Limited"),2,IF(AND(tbl_daily[[#This Row],[Attendance Refined]]=1,tbl_daily[[#This Row],[InjuryStatus]]="Out"),3,"")))</f>
        <v>1</v>
      </c>
    </row>
    <row r="317" spans="1:23" ht="15" customHeight="1" x14ac:dyDescent="0.25">
      <c r="A317" s="1">
        <v>43860</v>
      </c>
      <c r="B317" t="s">
        <v>439</v>
      </c>
      <c r="C317">
        <v>1</v>
      </c>
      <c r="E317">
        <v>4</v>
      </c>
      <c r="F317">
        <v>3</v>
      </c>
      <c r="G317">
        <v>3</v>
      </c>
      <c r="H317" t="s">
        <v>32</v>
      </c>
      <c r="I317">
        <v>1</v>
      </c>
      <c r="J317">
        <v>5</v>
      </c>
      <c r="K317">
        <v>90</v>
      </c>
      <c r="M317" t="s">
        <v>223</v>
      </c>
      <c r="N317" t="s">
        <v>101</v>
      </c>
      <c r="P317">
        <f>IFERROR(IF(AND(tbl_daily[[#This Row],[Attendance (1 = Here, 0 = Not here)]]=1,tbl_daily[[#This Row],[Attended, but did not complete data]]&lt;&gt;1),tbl_daily[[#This Row],[Stress]]+tbl_daily[[#This Row],[SleepQuality]]+tbl_daily[[#This Row],[Energy]],""),"")</f>
        <v>10</v>
      </c>
      <c r="Q317">
        <f>IFERROR(IF(AND(tbl_daily[[#This Row],[Attendance (1 = Here, 0 = Not here)]]=1,tbl_daily[[#This Row],[Attended, but did not complete data]]&lt;&gt;1),tbl_daily[[#This Row],[LatestRPE]]*tbl_daily[[#This Row],[LatestDuration]],""),"")</f>
        <v>450</v>
      </c>
      <c r="R317">
        <f>IF(tbl_daily[[#This Row],[CodeName]]&lt;&gt;"",1,"")</f>
        <v>1</v>
      </c>
      <c r="S317" t="str">
        <f>IF(AND(tbl_daily[[#This Row],[Date]]&gt;=DATE(2019,8,1),tbl_daily[[#This Row],[Date]]&lt;=DATE(2020,6,1)),"2019-2020")</f>
        <v>2019-2020</v>
      </c>
      <c r="T317" t="str">
        <f>IFERROR(INDEX(tbl_prof[Cohort of Interest],MATCH(tbl_daily[[#This Row],[CodeName]],tbl_prof[CodeName],0)),"")</f>
        <v>Special</v>
      </c>
      <c r="U317" t="str">
        <f>IFERROR(AVERAGEIFS(tbl_perf[Grade],tbl_perf[CodeName],tbl_daily[[#This Row],[CodeName]],tbl_perf[Date],tbl_daily[[#This Row],[Date]]),"")</f>
        <v/>
      </c>
      <c r="V317">
        <f>IFERROR(IF(AND(tbl_daily[[#This Row],[Attendance (1 = Here, 0 = Not here)]]=1,tbl_daily[[#This Row],[Attended, but did not complete data]]&lt;&gt;1),1,IF(AND(tbl_daily[[#This Row],[Attendance (1 = Here, 0 = Not here)]]=1,tbl_daily[[#This Row],[Attended, but did not complete data]]=1),2,3)),"")</f>
        <v>1</v>
      </c>
      <c r="W317">
        <f>IF(AND(tbl_daily[[#This Row],[Attendance Refined]]=1,tbl_daily[[#This Row],[InjuryStatus]]="Full"),1,IF(AND(tbl_daily[[#This Row],[Attendance Refined]]=1,tbl_daily[[#This Row],[InjuryStatus]]="Limited"),2,IF(AND(tbl_daily[[#This Row],[Attendance Refined]]=1,tbl_daily[[#This Row],[InjuryStatus]]="Out"),3,"")))</f>
        <v>2</v>
      </c>
    </row>
    <row r="318" spans="1:23" ht="15" customHeight="1" x14ac:dyDescent="0.25">
      <c r="A318" s="1">
        <v>43860</v>
      </c>
      <c r="B318" t="s">
        <v>418</v>
      </c>
      <c r="C318">
        <v>1</v>
      </c>
      <c r="E318">
        <v>10</v>
      </c>
      <c r="F318">
        <v>10</v>
      </c>
      <c r="G318">
        <v>10</v>
      </c>
      <c r="H318" t="s">
        <v>32</v>
      </c>
      <c r="I318">
        <v>1</v>
      </c>
      <c r="J318">
        <v>6</v>
      </c>
      <c r="K318">
        <v>120</v>
      </c>
      <c r="M318" t="s">
        <v>223</v>
      </c>
      <c r="N318" t="s">
        <v>93</v>
      </c>
      <c r="P318">
        <f>IFERROR(IF(AND(tbl_daily[[#This Row],[Attendance (1 = Here, 0 = Not here)]]=1,tbl_daily[[#This Row],[Attended, but did not complete data]]&lt;&gt;1),tbl_daily[[#This Row],[Stress]]+tbl_daily[[#This Row],[SleepQuality]]+tbl_daily[[#This Row],[Energy]],""),"")</f>
        <v>30</v>
      </c>
      <c r="Q318">
        <f>IFERROR(IF(AND(tbl_daily[[#This Row],[Attendance (1 = Here, 0 = Not here)]]=1,tbl_daily[[#This Row],[Attended, but did not complete data]]&lt;&gt;1),tbl_daily[[#This Row],[LatestRPE]]*tbl_daily[[#This Row],[LatestDuration]],""),"")</f>
        <v>720</v>
      </c>
      <c r="R318">
        <f>IF(tbl_daily[[#This Row],[CodeName]]&lt;&gt;"",1,"")</f>
        <v>1</v>
      </c>
      <c r="S318" t="str">
        <f>IF(AND(tbl_daily[[#This Row],[Date]]&gt;=DATE(2019,8,1),tbl_daily[[#This Row],[Date]]&lt;=DATE(2020,6,1)),"2019-2020")</f>
        <v>2019-2020</v>
      </c>
      <c r="T318" t="str">
        <f>IFERROR(INDEX(tbl_prof[Cohort of Interest],MATCH(tbl_daily[[#This Row],[CodeName]],tbl_prof[CodeName],0)),"")</f>
        <v>Special</v>
      </c>
      <c r="U318" t="str">
        <f>IFERROR(AVERAGEIFS(tbl_perf[Grade],tbl_perf[CodeName],tbl_daily[[#This Row],[CodeName]],tbl_perf[Date],tbl_daily[[#This Row],[Date]]),"")</f>
        <v/>
      </c>
      <c r="V318">
        <f>IFERROR(IF(AND(tbl_daily[[#This Row],[Attendance (1 = Here, 0 = Not here)]]=1,tbl_daily[[#This Row],[Attended, but did not complete data]]&lt;&gt;1),1,IF(AND(tbl_daily[[#This Row],[Attendance (1 = Here, 0 = Not here)]]=1,tbl_daily[[#This Row],[Attended, but did not complete data]]=1),2,3)),"")</f>
        <v>1</v>
      </c>
      <c r="W318">
        <f>IF(AND(tbl_daily[[#This Row],[Attendance Refined]]=1,tbl_daily[[#This Row],[InjuryStatus]]="Full"),1,IF(AND(tbl_daily[[#This Row],[Attendance Refined]]=1,tbl_daily[[#This Row],[InjuryStatus]]="Limited"),2,IF(AND(tbl_daily[[#This Row],[Attendance Refined]]=1,tbl_daily[[#This Row],[InjuryStatus]]="Out"),3,"")))</f>
        <v>2</v>
      </c>
    </row>
    <row r="319" spans="1:23" ht="15" customHeight="1" x14ac:dyDescent="0.25">
      <c r="A319" s="1">
        <v>43860</v>
      </c>
      <c r="B319" t="s">
        <v>432</v>
      </c>
      <c r="C319">
        <v>1</v>
      </c>
      <c r="E319">
        <v>7</v>
      </c>
      <c r="F319">
        <v>5</v>
      </c>
      <c r="G319">
        <v>5</v>
      </c>
      <c r="H319" t="s">
        <v>32</v>
      </c>
      <c r="I319">
        <v>1</v>
      </c>
      <c r="J319">
        <v>6</v>
      </c>
      <c r="K319">
        <v>120</v>
      </c>
      <c r="M319" t="s">
        <v>223</v>
      </c>
      <c r="N319" t="s">
        <v>109</v>
      </c>
      <c r="P319">
        <f>IFERROR(IF(AND(tbl_daily[[#This Row],[Attendance (1 = Here, 0 = Not here)]]=1,tbl_daily[[#This Row],[Attended, but did not complete data]]&lt;&gt;1),tbl_daily[[#This Row],[Stress]]+tbl_daily[[#This Row],[SleepQuality]]+tbl_daily[[#This Row],[Energy]],""),"")</f>
        <v>17</v>
      </c>
      <c r="Q319">
        <f>IFERROR(IF(AND(tbl_daily[[#This Row],[Attendance (1 = Here, 0 = Not here)]]=1,tbl_daily[[#This Row],[Attended, but did not complete data]]&lt;&gt;1),tbl_daily[[#This Row],[LatestRPE]]*tbl_daily[[#This Row],[LatestDuration]],""),"")</f>
        <v>720</v>
      </c>
      <c r="R319">
        <f>IF(tbl_daily[[#This Row],[CodeName]]&lt;&gt;"",1,"")</f>
        <v>1</v>
      </c>
      <c r="S319" t="str">
        <f>IF(AND(tbl_daily[[#This Row],[Date]]&gt;=DATE(2019,8,1),tbl_daily[[#This Row],[Date]]&lt;=DATE(2020,6,1)),"2019-2020")</f>
        <v>2019-2020</v>
      </c>
      <c r="T319" t="str">
        <f>IFERROR(INDEX(tbl_prof[Cohort of Interest],MATCH(tbl_daily[[#This Row],[CodeName]],tbl_prof[CodeName],0)),"")</f>
        <v>Athletes</v>
      </c>
      <c r="U319" t="str">
        <f>IFERROR(AVERAGEIFS(tbl_perf[Grade],tbl_perf[CodeName],tbl_daily[[#This Row],[CodeName]],tbl_perf[Date],tbl_daily[[#This Row],[Date]]),"")</f>
        <v/>
      </c>
      <c r="V319">
        <f>IFERROR(IF(AND(tbl_daily[[#This Row],[Attendance (1 = Here, 0 = Not here)]]=1,tbl_daily[[#This Row],[Attended, but did not complete data]]&lt;&gt;1),1,IF(AND(tbl_daily[[#This Row],[Attendance (1 = Here, 0 = Not here)]]=1,tbl_daily[[#This Row],[Attended, but did not complete data]]=1),2,3)),"")</f>
        <v>1</v>
      </c>
      <c r="W319">
        <f>IF(AND(tbl_daily[[#This Row],[Attendance Refined]]=1,tbl_daily[[#This Row],[InjuryStatus]]="Full"),1,IF(AND(tbl_daily[[#This Row],[Attendance Refined]]=1,tbl_daily[[#This Row],[InjuryStatus]]="Limited"),2,IF(AND(tbl_daily[[#This Row],[Attendance Refined]]=1,tbl_daily[[#This Row],[InjuryStatus]]="Out"),3,"")))</f>
        <v>2</v>
      </c>
    </row>
    <row r="320" spans="1:23" ht="15" customHeight="1" x14ac:dyDescent="0.25">
      <c r="A320" s="1">
        <v>43860</v>
      </c>
      <c r="B320" t="s">
        <v>441</v>
      </c>
      <c r="C320">
        <v>1</v>
      </c>
      <c r="E320">
        <v>5</v>
      </c>
      <c r="F320">
        <v>7</v>
      </c>
      <c r="G320">
        <v>4</v>
      </c>
      <c r="H320" t="s">
        <v>15</v>
      </c>
      <c r="I320">
        <v>1</v>
      </c>
      <c r="J320">
        <v>9</v>
      </c>
      <c r="K320">
        <v>80</v>
      </c>
      <c r="M320" t="s">
        <v>223</v>
      </c>
      <c r="N320" t="s">
        <v>111</v>
      </c>
      <c r="P320">
        <f>IFERROR(IF(AND(tbl_daily[[#This Row],[Attendance (1 = Here, 0 = Not here)]]=1,tbl_daily[[#This Row],[Attended, but did not complete data]]&lt;&gt;1),tbl_daily[[#This Row],[Stress]]+tbl_daily[[#This Row],[SleepQuality]]+tbl_daily[[#This Row],[Energy]],""),"")</f>
        <v>16</v>
      </c>
      <c r="Q320">
        <f>IFERROR(IF(AND(tbl_daily[[#This Row],[Attendance (1 = Here, 0 = Not here)]]=1,tbl_daily[[#This Row],[Attended, but did not complete data]]&lt;&gt;1),tbl_daily[[#This Row],[LatestRPE]]*tbl_daily[[#This Row],[LatestDuration]],""),"")</f>
        <v>720</v>
      </c>
      <c r="R320">
        <f>IF(tbl_daily[[#This Row],[CodeName]]&lt;&gt;"",1,"")</f>
        <v>1</v>
      </c>
      <c r="S320" t="str">
        <f>IF(AND(tbl_daily[[#This Row],[Date]]&gt;=DATE(2019,8,1),tbl_daily[[#This Row],[Date]]&lt;=DATE(2020,6,1)),"2019-2020")</f>
        <v>2019-2020</v>
      </c>
      <c r="T320" t="str">
        <f>IFERROR(INDEX(tbl_prof[Cohort of Interest],MATCH(tbl_daily[[#This Row],[CodeName]],tbl_prof[CodeName],0)),"")</f>
        <v>Athletes</v>
      </c>
      <c r="U320" t="str">
        <f>IFERROR(AVERAGEIFS(tbl_perf[Grade],tbl_perf[CodeName],tbl_daily[[#This Row],[CodeName]],tbl_perf[Date],tbl_daily[[#This Row],[Date]]),"")</f>
        <v/>
      </c>
      <c r="V320">
        <f>IFERROR(IF(AND(tbl_daily[[#This Row],[Attendance (1 = Here, 0 = Not here)]]=1,tbl_daily[[#This Row],[Attended, but did not complete data]]&lt;&gt;1),1,IF(AND(tbl_daily[[#This Row],[Attendance (1 = Here, 0 = Not here)]]=1,tbl_daily[[#This Row],[Attended, but did not complete data]]=1),2,3)),"")</f>
        <v>1</v>
      </c>
      <c r="W320">
        <f>IF(AND(tbl_daily[[#This Row],[Attendance Refined]]=1,tbl_daily[[#This Row],[InjuryStatus]]="Full"),1,IF(AND(tbl_daily[[#This Row],[Attendance Refined]]=1,tbl_daily[[#This Row],[InjuryStatus]]="Limited"),2,IF(AND(tbl_daily[[#This Row],[Attendance Refined]]=1,tbl_daily[[#This Row],[InjuryStatus]]="Out"),3,"")))</f>
        <v>1</v>
      </c>
    </row>
    <row r="321" spans="1:23" ht="15" customHeight="1" x14ac:dyDescent="0.25">
      <c r="A321" s="1">
        <v>43860</v>
      </c>
      <c r="B321" t="s">
        <v>433</v>
      </c>
      <c r="C321">
        <v>1</v>
      </c>
      <c r="E321">
        <v>6</v>
      </c>
      <c r="F321">
        <v>8</v>
      </c>
      <c r="G321">
        <v>7</v>
      </c>
      <c r="H321" t="s">
        <v>32</v>
      </c>
      <c r="I321">
        <v>1</v>
      </c>
      <c r="J321">
        <v>6</v>
      </c>
      <c r="K321">
        <v>150</v>
      </c>
      <c r="M321" t="s">
        <v>223</v>
      </c>
      <c r="N321" t="s">
        <v>110</v>
      </c>
      <c r="P321">
        <f>IFERROR(IF(AND(tbl_daily[[#This Row],[Attendance (1 = Here, 0 = Not here)]]=1,tbl_daily[[#This Row],[Attended, but did not complete data]]&lt;&gt;1),tbl_daily[[#This Row],[Stress]]+tbl_daily[[#This Row],[SleepQuality]]+tbl_daily[[#This Row],[Energy]],""),"")</f>
        <v>21</v>
      </c>
      <c r="Q321">
        <f>IFERROR(IF(AND(tbl_daily[[#This Row],[Attendance (1 = Here, 0 = Not here)]]=1,tbl_daily[[#This Row],[Attended, but did not complete data]]&lt;&gt;1),tbl_daily[[#This Row],[LatestRPE]]*tbl_daily[[#This Row],[LatestDuration]],""),"")</f>
        <v>900</v>
      </c>
      <c r="R321">
        <f>IF(tbl_daily[[#This Row],[CodeName]]&lt;&gt;"",1,"")</f>
        <v>1</v>
      </c>
      <c r="S321" t="str">
        <f>IF(AND(tbl_daily[[#This Row],[Date]]&gt;=DATE(2019,8,1),tbl_daily[[#This Row],[Date]]&lt;=DATE(2020,6,1)),"2019-2020")</f>
        <v>2019-2020</v>
      </c>
      <c r="T321" t="str">
        <f>IFERROR(INDEX(tbl_prof[Cohort of Interest],MATCH(tbl_daily[[#This Row],[CodeName]],tbl_prof[CodeName],0)),"")</f>
        <v>Athletes</v>
      </c>
      <c r="U321" t="str">
        <f>IFERROR(AVERAGEIFS(tbl_perf[Grade],tbl_perf[CodeName],tbl_daily[[#This Row],[CodeName]],tbl_perf[Date],tbl_daily[[#This Row],[Date]]),"")</f>
        <v/>
      </c>
      <c r="V321">
        <f>IFERROR(IF(AND(tbl_daily[[#This Row],[Attendance (1 = Here, 0 = Not here)]]=1,tbl_daily[[#This Row],[Attended, but did not complete data]]&lt;&gt;1),1,IF(AND(tbl_daily[[#This Row],[Attendance (1 = Here, 0 = Not here)]]=1,tbl_daily[[#This Row],[Attended, but did not complete data]]=1),2,3)),"")</f>
        <v>1</v>
      </c>
      <c r="W321">
        <f>IF(AND(tbl_daily[[#This Row],[Attendance Refined]]=1,tbl_daily[[#This Row],[InjuryStatus]]="Full"),1,IF(AND(tbl_daily[[#This Row],[Attendance Refined]]=1,tbl_daily[[#This Row],[InjuryStatus]]="Limited"),2,IF(AND(tbl_daily[[#This Row],[Attendance Refined]]=1,tbl_daily[[#This Row],[InjuryStatus]]="Out"),3,"")))</f>
        <v>2</v>
      </c>
    </row>
    <row r="322" spans="1:23" ht="15" customHeight="1" x14ac:dyDescent="0.25">
      <c r="A322" s="1">
        <v>43860</v>
      </c>
      <c r="B322" t="s">
        <v>434</v>
      </c>
      <c r="C322">
        <v>1</v>
      </c>
      <c r="E322">
        <v>8</v>
      </c>
      <c r="F322">
        <v>4</v>
      </c>
      <c r="G322">
        <v>6</v>
      </c>
      <c r="H322" t="s">
        <v>15</v>
      </c>
      <c r="I322">
        <v>1</v>
      </c>
      <c r="J322">
        <v>9</v>
      </c>
      <c r="K322">
        <v>120</v>
      </c>
      <c r="M322" t="s">
        <v>223</v>
      </c>
      <c r="N322" t="s">
        <v>105</v>
      </c>
      <c r="P322">
        <f>IFERROR(IF(AND(tbl_daily[[#This Row],[Attendance (1 = Here, 0 = Not here)]]=1,tbl_daily[[#This Row],[Attended, but did not complete data]]&lt;&gt;1),tbl_daily[[#This Row],[Stress]]+tbl_daily[[#This Row],[SleepQuality]]+tbl_daily[[#This Row],[Energy]],""),"")</f>
        <v>18</v>
      </c>
      <c r="Q322">
        <f>IFERROR(IF(AND(tbl_daily[[#This Row],[Attendance (1 = Here, 0 = Not here)]]=1,tbl_daily[[#This Row],[Attended, but did not complete data]]&lt;&gt;1),tbl_daily[[#This Row],[LatestRPE]]*tbl_daily[[#This Row],[LatestDuration]],""),"")</f>
        <v>1080</v>
      </c>
      <c r="R322">
        <f>IF(tbl_daily[[#This Row],[CodeName]]&lt;&gt;"",1,"")</f>
        <v>1</v>
      </c>
      <c r="S322" t="str">
        <f>IF(AND(tbl_daily[[#This Row],[Date]]&gt;=DATE(2019,8,1),tbl_daily[[#This Row],[Date]]&lt;=DATE(2020,6,1)),"2019-2020")</f>
        <v>2019-2020</v>
      </c>
      <c r="T322" t="str">
        <f>IFERROR(INDEX(tbl_prof[Cohort of Interest],MATCH(tbl_daily[[#This Row],[CodeName]],tbl_prof[CodeName],0)),"")</f>
        <v>Athletes</v>
      </c>
      <c r="U322" t="str">
        <f>IFERROR(AVERAGEIFS(tbl_perf[Grade],tbl_perf[CodeName],tbl_daily[[#This Row],[CodeName]],tbl_perf[Date],tbl_daily[[#This Row],[Date]]),"")</f>
        <v/>
      </c>
      <c r="V322">
        <f>IFERROR(IF(AND(tbl_daily[[#This Row],[Attendance (1 = Here, 0 = Not here)]]=1,tbl_daily[[#This Row],[Attended, but did not complete data]]&lt;&gt;1),1,IF(AND(tbl_daily[[#This Row],[Attendance (1 = Here, 0 = Not here)]]=1,tbl_daily[[#This Row],[Attended, but did not complete data]]=1),2,3)),"")</f>
        <v>1</v>
      </c>
      <c r="W322">
        <f>IF(AND(tbl_daily[[#This Row],[Attendance Refined]]=1,tbl_daily[[#This Row],[InjuryStatus]]="Full"),1,IF(AND(tbl_daily[[#This Row],[Attendance Refined]]=1,tbl_daily[[#This Row],[InjuryStatus]]="Limited"),2,IF(AND(tbl_daily[[#This Row],[Attendance Refined]]=1,tbl_daily[[#This Row],[InjuryStatus]]="Out"),3,"")))</f>
        <v>1</v>
      </c>
    </row>
    <row r="323" spans="1:23" ht="15" customHeight="1" x14ac:dyDescent="0.25">
      <c r="A323" s="1">
        <v>43860</v>
      </c>
      <c r="B323" t="s">
        <v>415</v>
      </c>
      <c r="C323">
        <v>0</v>
      </c>
      <c r="D323">
        <v>1</v>
      </c>
      <c r="M323" t="s">
        <v>223</v>
      </c>
      <c r="P323" t="str">
        <f>IFERROR(IF(AND(tbl_daily[[#This Row],[Attendance (1 = Here, 0 = Not here)]]=1,tbl_daily[[#This Row],[Attended, but did not complete data]]&lt;&gt;1),tbl_daily[[#This Row],[Stress]]+tbl_daily[[#This Row],[SleepQuality]]+tbl_daily[[#This Row],[Energy]],""),"")</f>
        <v/>
      </c>
      <c r="Q323" t="str">
        <f>IFERROR(IF(AND(tbl_daily[[#This Row],[Attendance (1 = Here, 0 = Not here)]]=1,tbl_daily[[#This Row],[Attended, but did not complete data]]&lt;&gt;1),tbl_daily[[#This Row],[LatestRPE]]*tbl_daily[[#This Row],[LatestDuration]],""),"")</f>
        <v/>
      </c>
      <c r="R323">
        <f>IF(tbl_daily[[#This Row],[CodeName]]&lt;&gt;"",1,"")</f>
        <v>1</v>
      </c>
      <c r="S323" t="str">
        <f>IF(AND(tbl_daily[[#This Row],[Date]]&gt;=DATE(2019,8,1),tbl_daily[[#This Row],[Date]]&lt;=DATE(2020,6,1)),"2019-2020")</f>
        <v>2019-2020</v>
      </c>
      <c r="T323" t="str">
        <f>IFERROR(INDEX(tbl_prof[Cohort of Interest],MATCH(tbl_daily[[#This Row],[CodeName]],tbl_prof[CodeName],0)),"")</f>
        <v>Youth</v>
      </c>
      <c r="U323" t="str">
        <f>IFERROR(AVERAGEIFS(tbl_perf[Grade],tbl_perf[CodeName],tbl_daily[[#This Row],[CodeName]],tbl_perf[Date],tbl_daily[[#This Row],[Date]]),"")</f>
        <v/>
      </c>
      <c r="V323">
        <f>IFERROR(IF(AND(tbl_daily[[#This Row],[Attendance (1 = Here, 0 = Not here)]]=1,tbl_daily[[#This Row],[Attended, but did not complete data]]&lt;&gt;1),1,IF(AND(tbl_daily[[#This Row],[Attendance (1 = Here, 0 = Not here)]]=1,tbl_daily[[#This Row],[Attended, but did not complete data]]=1),2,3)),"")</f>
        <v>3</v>
      </c>
      <c r="W323" t="str">
        <f>IF(AND(tbl_daily[[#This Row],[Attendance Refined]]=1,tbl_daily[[#This Row],[InjuryStatus]]="Full"),1,IF(AND(tbl_daily[[#This Row],[Attendance Refined]]=1,tbl_daily[[#This Row],[InjuryStatus]]="Limited"),2,IF(AND(tbl_daily[[#This Row],[Attendance Refined]]=1,tbl_daily[[#This Row],[InjuryStatus]]="Out"),3,"")))</f>
        <v/>
      </c>
    </row>
    <row r="324" spans="1:23" ht="15" customHeight="1" x14ac:dyDescent="0.25">
      <c r="A324" s="1">
        <v>43858</v>
      </c>
      <c r="B324" t="s">
        <v>423</v>
      </c>
      <c r="C324">
        <v>1</v>
      </c>
      <c r="E324">
        <v>7</v>
      </c>
      <c r="F324">
        <v>6</v>
      </c>
      <c r="G324">
        <v>6</v>
      </c>
      <c r="H324" t="s">
        <v>15</v>
      </c>
      <c r="I324">
        <v>0</v>
      </c>
      <c r="J324">
        <v>0</v>
      </c>
      <c r="K324">
        <v>0</v>
      </c>
      <c r="M324" t="s">
        <v>63</v>
      </c>
      <c r="N324" t="s">
        <v>73</v>
      </c>
      <c r="P324">
        <f>IFERROR(IF(AND(tbl_daily[[#This Row],[Attendance (1 = Here, 0 = Not here)]]=1,tbl_daily[[#This Row],[Attended, but did not complete data]]&lt;&gt;1),tbl_daily[[#This Row],[Stress]]+tbl_daily[[#This Row],[SleepQuality]]+tbl_daily[[#This Row],[Energy]],""),"")</f>
        <v>19</v>
      </c>
      <c r="Q324">
        <f>IFERROR(IF(AND(tbl_daily[[#This Row],[Attendance (1 = Here, 0 = Not here)]]=1,tbl_daily[[#This Row],[Attended, but did not complete data]]&lt;&gt;1),tbl_daily[[#This Row],[LatestRPE]]*tbl_daily[[#This Row],[LatestDuration]],""),"")</f>
        <v>0</v>
      </c>
      <c r="R324">
        <f>IF(tbl_daily[[#This Row],[CodeName]]&lt;&gt;"",1,"")</f>
        <v>1</v>
      </c>
      <c r="S324" t="str">
        <f>IF(AND(tbl_daily[[#This Row],[Date]]&gt;=DATE(2019,8,1),tbl_daily[[#This Row],[Date]]&lt;=DATE(2020,6,1)),"2019-2020")</f>
        <v>2019-2020</v>
      </c>
      <c r="T324" t="str">
        <f>IFERROR(INDEX(tbl_prof[Cohort of Interest],MATCH(tbl_daily[[#This Row],[CodeName]],tbl_prof[CodeName],0)),"")</f>
        <v>Youth</v>
      </c>
      <c r="U324">
        <f>IFERROR(AVERAGEIFS(tbl_perf[Grade],tbl_perf[CodeName],tbl_daily[[#This Row],[CodeName]],tbl_perf[Date],tbl_daily[[#This Row],[Date]]),"")</f>
        <v>76</v>
      </c>
      <c r="V324">
        <f>IFERROR(IF(AND(tbl_daily[[#This Row],[Attendance (1 = Here, 0 = Not here)]]=1,tbl_daily[[#This Row],[Attended, but did not complete data]]&lt;&gt;1),1,IF(AND(tbl_daily[[#This Row],[Attendance (1 = Here, 0 = Not here)]]=1,tbl_daily[[#This Row],[Attended, but did not complete data]]=1),2,3)),"")</f>
        <v>1</v>
      </c>
      <c r="W324">
        <f>IF(AND(tbl_daily[[#This Row],[Attendance Refined]]=1,tbl_daily[[#This Row],[InjuryStatus]]="Full"),1,IF(AND(tbl_daily[[#This Row],[Attendance Refined]]=1,tbl_daily[[#This Row],[InjuryStatus]]="Limited"),2,IF(AND(tbl_daily[[#This Row],[Attendance Refined]]=1,tbl_daily[[#This Row],[InjuryStatus]]="Out"),3,"")))</f>
        <v>1</v>
      </c>
    </row>
    <row r="325" spans="1:23" ht="15" customHeight="1" x14ac:dyDescent="0.25">
      <c r="A325" s="1">
        <v>43858</v>
      </c>
      <c r="B325" t="s">
        <v>424</v>
      </c>
      <c r="C325">
        <v>1</v>
      </c>
      <c r="E325">
        <v>5</v>
      </c>
      <c r="F325">
        <v>4</v>
      </c>
      <c r="G325">
        <v>6</v>
      </c>
      <c r="H325" t="s">
        <v>15</v>
      </c>
      <c r="I325">
        <v>0</v>
      </c>
      <c r="J325">
        <v>0</v>
      </c>
      <c r="K325">
        <v>0</v>
      </c>
      <c r="M325" t="s">
        <v>63</v>
      </c>
      <c r="N325" t="s">
        <v>74</v>
      </c>
      <c r="P325">
        <f>IFERROR(IF(AND(tbl_daily[[#This Row],[Attendance (1 = Here, 0 = Not here)]]=1,tbl_daily[[#This Row],[Attended, but did not complete data]]&lt;&gt;1),tbl_daily[[#This Row],[Stress]]+tbl_daily[[#This Row],[SleepQuality]]+tbl_daily[[#This Row],[Energy]],""),"")</f>
        <v>15</v>
      </c>
      <c r="Q325">
        <f>IFERROR(IF(AND(tbl_daily[[#This Row],[Attendance (1 = Here, 0 = Not here)]]=1,tbl_daily[[#This Row],[Attended, but did not complete data]]&lt;&gt;1),tbl_daily[[#This Row],[LatestRPE]]*tbl_daily[[#This Row],[LatestDuration]],""),"")</f>
        <v>0</v>
      </c>
      <c r="R325">
        <f>IF(tbl_daily[[#This Row],[CodeName]]&lt;&gt;"",1,"")</f>
        <v>1</v>
      </c>
      <c r="S325" t="str">
        <f>IF(AND(tbl_daily[[#This Row],[Date]]&gt;=DATE(2019,8,1),tbl_daily[[#This Row],[Date]]&lt;=DATE(2020,6,1)),"2019-2020")</f>
        <v>2019-2020</v>
      </c>
      <c r="T325" t="str">
        <f>IFERROR(INDEX(tbl_prof[Cohort of Interest],MATCH(tbl_daily[[#This Row],[CodeName]],tbl_prof[CodeName],0)),"")</f>
        <v>Special</v>
      </c>
      <c r="U325">
        <f>IFERROR(AVERAGEIFS(tbl_perf[Grade],tbl_perf[CodeName],tbl_daily[[#This Row],[CodeName]],tbl_perf[Date],tbl_daily[[#This Row],[Date]]),"")</f>
        <v>90</v>
      </c>
      <c r="V325">
        <f>IFERROR(IF(AND(tbl_daily[[#This Row],[Attendance (1 = Here, 0 = Not here)]]=1,tbl_daily[[#This Row],[Attended, but did not complete data]]&lt;&gt;1),1,IF(AND(tbl_daily[[#This Row],[Attendance (1 = Here, 0 = Not here)]]=1,tbl_daily[[#This Row],[Attended, but did not complete data]]=1),2,3)),"")</f>
        <v>1</v>
      </c>
      <c r="W325">
        <f>IF(AND(tbl_daily[[#This Row],[Attendance Refined]]=1,tbl_daily[[#This Row],[InjuryStatus]]="Full"),1,IF(AND(tbl_daily[[#This Row],[Attendance Refined]]=1,tbl_daily[[#This Row],[InjuryStatus]]="Limited"),2,IF(AND(tbl_daily[[#This Row],[Attendance Refined]]=1,tbl_daily[[#This Row],[InjuryStatus]]="Out"),3,"")))</f>
        <v>1</v>
      </c>
    </row>
    <row r="326" spans="1:23" ht="15" customHeight="1" x14ac:dyDescent="0.25">
      <c r="A326" s="1">
        <v>43858</v>
      </c>
      <c r="B326" t="s">
        <v>427</v>
      </c>
      <c r="C326">
        <v>1</v>
      </c>
      <c r="E326">
        <v>5</v>
      </c>
      <c r="F326">
        <v>8</v>
      </c>
      <c r="G326">
        <v>5</v>
      </c>
      <c r="H326" t="s">
        <v>32</v>
      </c>
      <c r="I326">
        <v>0</v>
      </c>
      <c r="J326">
        <v>0</v>
      </c>
      <c r="K326">
        <v>0</v>
      </c>
      <c r="M326" t="s">
        <v>63</v>
      </c>
      <c r="N326" t="s">
        <v>67</v>
      </c>
      <c r="P326">
        <f>IFERROR(IF(AND(tbl_daily[[#This Row],[Attendance (1 = Here, 0 = Not here)]]=1,tbl_daily[[#This Row],[Attended, but did not complete data]]&lt;&gt;1),tbl_daily[[#This Row],[Stress]]+tbl_daily[[#This Row],[SleepQuality]]+tbl_daily[[#This Row],[Energy]],""),"")</f>
        <v>18</v>
      </c>
      <c r="Q326">
        <f>IFERROR(IF(AND(tbl_daily[[#This Row],[Attendance (1 = Here, 0 = Not here)]]=1,tbl_daily[[#This Row],[Attended, but did not complete data]]&lt;&gt;1),tbl_daily[[#This Row],[LatestRPE]]*tbl_daily[[#This Row],[LatestDuration]],""),"")</f>
        <v>0</v>
      </c>
      <c r="R326">
        <f>IF(tbl_daily[[#This Row],[CodeName]]&lt;&gt;"",1,"")</f>
        <v>1</v>
      </c>
      <c r="S326" t="str">
        <f>IF(AND(tbl_daily[[#This Row],[Date]]&gt;=DATE(2019,8,1),tbl_daily[[#This Row],[Date]]&lt;=DATE(2020,6,1)),"2019-2020")</f>
        <v>2019-2020</v>
      </c>
      <c r="T326" t="str">
        <f>IFERROR(INDEX(tbl_prof[Cohort of Interest],MATCH(tbl_daily[[#This Row],[CodeName]],tbl_prof[CodeName],0)),"")</f>
        <v>Special</v>
      </c>
      <c r="U326">
        <f>IFERROR(AVERAGEIFS(tbl_perf[Grade],tbl_perf[CodeName],tbl_daily[[#This Row],[CodeName]],tbl_perf[Date],tbl_daily[[#This Row],[Date]]),"")</f>
        <v>97</v>
      </c>
      <c r="V326">
        <f>IFERROR(IF(AND(tbl_daily[[#This Row],[Attendance (1 = Here, 0 = Not here)]]=1,tbl_daily[[#This Row],[Attended, but did not complete data]]&lt;&gt;1),1,IF(AND(tbl_daily[[#This Row],[Attendance (1 = Here, 0 = Not here)]]=1,tbl_daily[[#This Row],[Attended, but did not complete data]]=1),2,3)),"")</f>
        <v>1</v>
      </c>
      <c r="W326">
        <f>IF(AND(tbl_daily[[#This Row],[Attendance Refined]]=1,tbl_daily[[#This Row],[InjuryStatus]]="Full"),1,IF(AND(tbl_daily[[#This Row],[Attendance Refined]]=1,tbl_daily[[#This Row],[InjuryStatus]]="Limited"),2,IF(AND(tbl_daily[[#This Row],[Attendance Refined]]=1,tbl_daily[[#This Row],[InjuryStatus]]="Out"),3,"")))</f>
        <v>2</v>
      </c>
    </row>
    <row r="327" spans="1:23" ht="15" customHeight="1" x14ac:dyDescent="0.25">
      <c r="A327" s="1">
        <v>43858</v>
      </c>
      <c r="B327" t="s">
        <v>428</v>
      </c>
      <c r="C327">
        <v>1</v>
      </c>
      <c r="E327">
        <v>6</v>
      </c>
      <c r="F327">
        <v>7</v>
      </c>
      <c r="G327">
        <v>6</v>
      </c>
      <c r="H327" t="s">
        <v>32</v>
      </c>
      <c r="I327">
        <v>0</v>
      </c>
      <c r="J327">
        <v>0</v>
      </c>
      <c r="K327">
        <v>0</v>
      </c>
      <c r="M327" t="s">
        <v>63</v>
      </c>
      <c r="N327" t="s">
        <v>76</v>
      </c>
      <c r="P327">
        <f>IFERROR(IF(AND(tbl_daily[[#This Row],[Attendance (1 = Here, 0 = Not here)]]=1,tbl_daily[[#This Row],[Attended, but did not complete data]]&lt;&gt;1),tbl_daily[[#This Row],[Stress]]+tbl_daily[[#This Row],[SleepQuality]]+tbl_daily[[#This Row],[Energy]],""),"")</f>
        <v>19</v>
      </c>
      <c r="Q327">
        <f>IFERROR(IF(AND(tbl_daily[[#This Row],[Attendance (1 = Here, 0 = Not here)]]=1,tbl_daily[[#This Row],[Attended, but did not complete data]]&lt;&gt;1),tbl_daily[[#This Row],[LatestRPE]]*tbl_daily[[#This Row],[LatestDuration]],""),"")</f>
        <v>0</v>
      </c>
      <c r="R327">
        <f>IF(tbl_daily[[#This Row],[CodeName]]&lt;&gt;"",1,"")</f>
        <v>1</v>
      </c>
      <c r="S327" t="str">
        <f>IF(AND(tbl_daily[[#This Row],[Date]]&gt;=DATE(2019,8,1),tbl_daily[[#This Row],[Date]]&lt;=DATE(2020,6,1)),"2019-2020")</f>
        <v>2019-2020</v>
      </c>
      <c r="T327" t="str">
        <f>IFERROR(INDEX(tbl_prof[Cohort of Interest],MATCH(tbl_daily[[#This Row],[CodeName]],tbl_prof[CodeName],0)),"")</f>
        <v>Special</v>
      </c>
      <c r="U327">
        <f>IFERROR(AVERAGEIFS(tbl_perf[Grade],tbl_perf[CodeName],tbl_daily[[#This Row],[CodeName]],tbl_perf[Date],tbl_daily[[#This Row],[Date]]),"")</f>
        <v>99</v>
      </c>
      <c r="V327">
        <f>IFERROR(IF(AND(tbl_daily[[#This Row],[Attendance (1 = Here, 0 = Not here)]]=1,tbl_daily[[#This Row],[Attended, but did not complete data]]&lt;&gt;1),1,IF(AND(tbl_daily[[#This Row],[Attendance (1 = Here, 0 = Not here)]]=1,tbl_daily[[#This Row],[Attended, but did not complete data]]=1),2,3)),"")</f>
        <v>1</v>
      </c>
      <c r="W327">
        <f>IF(AND(tbl_daily[[#This Row],[Attendance Refined]]=1,tbl_daily[[#This Row],[InjuryStatus]]="Full"),1,IF(AND(tbl_daily[[#This Row],[Attendance Refined]]=1,tbl_daily[[#This Row],[InjuryStatus]]="Limited"),2,IF(AND(tbl_daily[[#This Row],[Attendance Refined]]=1,tbl_daily[[#This Row],[InjuryStatus]]="Out"),3,"")))</f>
        <v>2</v>
      </c>
    </row>
    <row r="328" spans="1:23" ht="15" customHeight="1" x14ac:dyDescent="0.25">
      <c r="A328" s="1">
        <v>43858</v>
      </c>
      <c r="B328" t="s">
        <v>410</v>
      </c>
      <c r="C328">
        <v>1</v>
      </c>
      <c r="E328">
        <v>4</v>
      </c>
      <c r="F328">
        <v>5</v>
      </c>
      <c r="G328">
        <v>6</v>
      </c>
      <c r="H328" t="s">
        <v>15</v>
      </c>
      <c r="I328">
        <v>0</v>
      </c>
      <c r="J328">
        <v>0</v>
      </c>
      <c r="K328">
        <v>0</v>
      </c>
      <c r="M328" t="s">
        <v>63</v>
      </c>
      <c r="N328" t="s">
        <v>67</v>
      </c>
      <c r="P328">
        <f>IFERROR(IF(AND(tbl_daily[[#This Row],[Attendance (1 = Here, 0 = Not here)]]=1,tbl_daily[[#This Row],[Attended, but did not complete data]]&lt;&gt;1),tbl_daily[[#This Row],[Stress]]+tbl_daily[[#This Row],[SleepQuality]]+tbl_daily[[#This Row],[Energy]],""),"")</f>
        <v>15</v>
      </c>
      <c r="Q328">
        <f>IFERROR(IF(AND(tbl_daily[[#This Row],[Attendance (1 = Here, 0 = Not here)]]=1,tbl_daily[[#This Row],[Attended, but did not complete data]]&lt;&gt;1),tbl_daily[[#This Row],[LatestRPE]]*tbl_daily[[#This Row],[LatestDuration]],""),"")</f>
        <v>0</v>
      </c>
      <c r="R328">
        <f>IF(tbl_daily[[#This Row],[CodeName]]&lt;&gt;"",1,"")</f>
        <v>1</v>
      </c>
      <c r="S328" t="str">
        <f>IF(AND(tbl_daily[[#This Row],[Date]]&gt;=DATE(2019,8,1),tbl_daily[[#This Row],[Date]]&lt;=DATE(2020,6,1)),"2019-2020")</f>
        <v>2019-2020</v>
      </c>
      <c r="T328" t="str">
        <f>IFERROR(INDEX(tbl_prof[Cohort of Interest],MATCH(tbl_daily[[#This Row],[CodeName]],tbl_prof[CodeName],0)),"")</f>
        <v>Gen Pop</v>
      </c>
      <c r="U328">
        <f>IFERROR(AVERAGEIFS(tbl_perf[Grade],tbl_perf[CodeName],tbl_daily[[#This Row],[CodeName]],tbl_perf[Date],tbl_daily[[#This Row],[Date]]),"")</f>
        <v>90</v>
      </c>
      <c r="V328">
        <f>IFERROR(IF(AND(tbl_daily[[#This Row],[Attendance (1 = Here, 0 = Not here)]]=1,tbl_daily[[#This Row],[Attended, but did not complete data]]&lt;&gt;1),1,IF(AND(tbl_daily[[#This Row],[Attendance (1 = Here, 0 = Not here)]]=1,tbl_daily[[#This Row],[Attended, but did not complete data]]=1),2,3)),"")</f>
        <v>1</v>
      </c>
      <c r="W328">
        <f>IF(AND(tbl_daily[[#This Row],[Attendance Refined]]=1,tbl_daily[[#This Row],[InjuryStatus]]="Full"),1,IF(AND(tbl_daily[[#This Row],[Attendance Refined]]=1,tbl_daily[[#This Row],[InjuryStatus]]="Limited"),2,IF(AND(tbl_daily[[#This Row],[Attendance Refined]]=1,tbl_daily[[#This Row],[InjuryStatus]]="Out"),3,"")))</f>
        <v>1</v>
      </c>
    </row>
    <row r="329" spans="1:23" ht="15" customHeight="1" x14ac:dyDescent="0.25">
      <c r="A329" s="1">
        <v>43858</v>
      </c>
      <c r="B329" t="s">
        <v>434</v>
      </c>
      <c r="C329">
        <v>1</v>
      </c>
      <c r="E329">
        <v>8</v>
      </c>
      <c r="F329">
        <v>6</v>
      </c>
      <c r="G329">
        <v>7</v>
      </c>
      <c r="H329" t="s">
        <v>15</v>
      </c>
      <c r="I329">
        <v>0</v>
      </c>
      <c r="J329">
        <v>0</v>
      </c>
      <c r="K329">
        <v>0</v>
      </c>
      <c r="M329" t="s">
        <v>63</v>
      </c>
      <c r="N329" t="s">
        <v>71</v>
      </c>
      <c r="P329">
        <f>IFERROR(IF(AND(tbl_daily[[#This Row],[Attendance (1 = Here, 0 = Not here)]]=1,tbl_daily[[#This Row],[Attended, but did not complete data]]&lt;&gt;1),tbl_daily[[#This Row],[Stress]]+tbl_daily[[#This Row],[SleepQuality]]+tbl_daily[[#This Row],[Energy]],""),"")</f>
        <v>21</v>
      </c>
      <c r="Q329">
        <f>IFERROR(IF(AND(tbl_daily[[#This Row],[Attendance (1 = Here, 0 = Not here)]]=1,tbl_daily[[#This Row],[Attended, but did not complete data]]&lt;&gt;1),tbl_daily[[#This Row],[LatestRPE]]*tbl_daily[[#This Row],[LatestDuration]],""),"")</f>
        <v>0</v>
      </c>
      <c r="R329">
        <f>IF(tbl_daily[[#This Row],[CodeName]]&lt;&gt;"",1,"")</f>
        <v>1</v>
      </c>
      <c r="S329" t="str">
        <f>IF(AND(tbl_daily[[#This Row],[Date]]&gt;=DATE(2019,8,1),tbl_daily[[#This Row],[Date]]&lt;=DATE(2020,6,1)),"2019-2020")</f>
        <v>2019-2020</v>
      </c>
      <c r="T329" t="str">
        <f>IFERROR(INDEX(tbl_prof[Cohort of Interest],MATCH(tbl_daily[[#This Row],[CodeName]],tbl_prof[CodeName],0)),"")</f>
        <v>Athletes</v>
      </c>
      <c r="U329">
        <f>IFERROR(AVERAGEIFS(tbl_perf[Grade],tbl_perf[CodeName],tbl_daily[[#This Row],[CodeName]],tbl_perf[Date],tbl_daily[[#This Row],[Date]]),"")</f>
        <v>88</v>
      </c>
      <c r="V329">
        <f>IFERROR(IF(AND(tbl_daily[[#This Row],[Attendance (1 = Here, 0 = Not here)]]=1,tbl_daily[[#This Row],[Attended, but did not complete data]]&lt;&gt;1),1,IF(AND(tbl_daily[[#This Row],[Attendance (1 = Here, 0 = Not here)]]=1,tbl_daily[[#This Row],[Attended, but did not complete data]]=1),2,3)),"")</f>
        <v>1</v>
      </c>
      <c r="W329">
        <f>IF(AND(tbl_daily[[#This Row],[Attendance Refined]]=1,tbl_daily[[#This Row],[InjuryStatus]]="Full"),1,IF(AND(tbl_daily[[#This Row],[Attendance Refined]]=1,tbl_daily[[#This Row],[InjuryStatus]]="Limited"),2,IF(AND(tbl_daily[[#This Row],[Attendance Refined]]=1,tbl_daily[[#This Row],[InjuryStatus]]="Out"),3,"")))</f>
        <v>1</v>
      </c>
    </row>
    <row r="330" spans="1:23" ht="15" customHeight="1" x14ac:dyDescent="0.25">
      <c r="A330" s="1">
        <v>43858</v>
      </c>
      <c r="B330" t="s">
        <v>430</v>
      </c>
      <c r="C330">
        <v>1</v>
      </c>
      <c r="E330">
        <v>7</v>
      </c>
      <c r="F330">
        <v>4</v>
      </c>
      <c r="G330">
        <v>4</v>
      </c>
      <c r="H330" t="s">
        <v>15</v>
      </c>
      <c r="I330">
        <v>0</v>
      </c>
      <c r="J330">
        <v>0</v>
      </c>
      <c r="K330">
        <v>0</v>
      </c>
      <c r="M330" t="s">
        <v>63</v>
      </c>
      <c r="N330" t="s">
        <v>77</v>
      </c>
      <c r="P330">
        <f>IFERROR(IF(AND(tbl_daily[[#This Row],[Attendance (1 = Here, 0 = Not here)]]=1,tbl_daily[[#This Row],[Attended, but did not complete data]]&lt;&gt;1),tbl_daily[[#This Row],[Stress]]+tbl_daily[[#This Row],[SleepQuality]]+tbl_daily[[#This Row],[Energy]],""),"")</f>
        <v>15</v>
      </c>
      <c r="Q330">
        <f>IFERROR(IF(AND(tbl_daily[[#This Row],[Attendance (1 = Here, 0 = Not here)]]=1,tbl_daily[[#This Row],[Attended, but did not complete data]]&lt;&gt;1),tbl_daily[[#This Row],[LatestRPE]]*tbl_daily[[#This Row],[LatestDuration]],""),"")</f>
        <v>0</v>
      </c>
      <c r="R330">
        <f>IF(tbl_daily[[#This Row],[CodeName]]&lt;&gt;"",1,"")</f>
        <v>1</v>
      </c>
      <c r="S330" t="str">
        <f>IF(AND(tbl_daily[[#This Row],[Date]]&gt;=DATE(2019,8,1),tbl_daily[[#This Row],[Date]]&lt;=DATE(2020,6,1)),"2019-2020")</f>
        <v>2019-2020</v>
      </c>
      <c r="T330" t="str">
        <f>IFERROR(INDEX(tbl_prof[Cohort of Interest],MATCH(tbl_daily[[#This Row],[CodeName]],tbl_prof[CodeName],0)),"")</f>
        <v>Gen Pop</v>
      </c>
      <c r="U330">
        <f>IFERROR(AVERAGEIFS(tbl_perf[Grade],tbl_perf[CodeName],tbl_daily[[#This Row],[CodeName]],tbl_perf[Date],tbl_daily[[#This Row],[Date]]),"")</f>
        <v>99</v>
      </c>
      <c r="V330">
        <f>IFERROR(IF(AND(tbl_daily[[#This Row],[Attendance (1 = Here, 0 = Not here)]]=1,tbl_daily[[#This Row],[Attended, but did not complete data]]&lt;&gt;1),1,IF(AND(tbl_daily[[#This Row],[Attendance (1 = Here, 0 = Not here)]]=1,tbl_daily[[#This Row],[Attended, but did not complete data]]=1),2,3)),"")</f>
        <v>1</v>
      </c>
      <c r="W330">
        <f>IF(AND(tbl_daily[[#This Row],[Attendance Refined]]=1,tbl_daily[[#This Row],[InjuryStatus]]="Full"),1,IF(AND(tbl_daily[[#This Row],[Attendance Refined]]=1,tbl_daily[[#This Row],[InjuryStatus]]="Limited"),2,IF(AND(tbl_daily[[#This Row],[Attendance Refined]]=1,tbl_daily[[#This Row],[InjuryStatus]]="Out"),3,"")))</f>
        <v>1</v>
      </c>
    </row>
    <row r="331" spans="1:23" ht="15" customHeight="1" x14ac:dyDescent="0.25">
      <c r="A331" s="1">
        <v>43858</v>
      </c>
      <c r="B331" t="s">
        <v>435</v>
      </c>
      <c r="C331">
        <v>1</v>
      </c>
      <c r="E331">
        <v>7</v>
      </c>
      <c r="F331">
        <v>5</v>
      </c>
      <c r="G331">
        <v>7</v>
      </c>
      <c r="H331" t="s">
        <v>15</v>
      </c>
      <c r="I331">
        <v>0</v>
      </c>
      <c r="J331">
        <v>0</v>
      </c>
      <c r="K331">
        <v>0</v>
      </c>
      <c r="M331" t="s">
        <v>63</v>
      </c>
      <c r="N331" t="s">
        <v>78</v>
      </c>
      <c r="P331">
        <f>IFERROR(IF(AND(tbl_daily[[#This Row],[Attendance (1 = Here, 0 = Not here)]]=1,tbl_daily[[#This Row],[Attended, but did not complete data]]&lt;&gt;1),tbl_daily[[#This Row],[Stress]]+tbl_daily[[#This Row],[SleepQuality]]+tbl_daily[[#This Row],[Energy]],""),"")</f>
        <v>19</v>
      </c>
      <c r="Q331">
        <f>IFERROR(IF(AND(tbl_daily[[#This Row],[Attendance (1 = Here, 0 = Not here)]]=1,tbl_daily[[#This Row],[Attended, but did not complete data]]&lt;&gt;1),tbl_daily[[#This Row],[LatestRPE]]*tbl_daily[[#This Row],[LatestDuration]],""),"")</f>
        <v>0</v>
      </c>
      <c r="R331">
        <f>IF(tbl_daily[[#This Row],[CodeName]]&lt;&gt;"",1,"")</f>
        <v>1</v>
      </c>
      <c r="S331" t="str">
        <f>IF(AND(tbl_daily[[#This Row],[Date]]&gt;=DATE(2019,8,1),tbl_daily[[#This Row],[Date]]&lt;=DATE(2020,6,1)),"2019-2020")</f>
        <v>2019-2020</v>
      </c>
      <c r="T331" t="str">
        <f>IFERROR(INDEX(tbl_prof[Cohort of Interest],MATCH(tbl_daily[[#This Row],[CodeName]],tbl_prof[CodeName],0)),"")</f>
        <v>Athletes</v>
      </c>
      <c r="U331">
        <f>IFERROR(AVERAGEIFS(tbl_perf[Grade],tbl_perf[CodeName],tbl_daily[[#This Row],[CodeName]],tbl_perf[Date],tbl_daily[[#This Row],[Date]]),"")</f>
        <v>91</v>
      </c>
      <c r="V331">
        <f>IFERROR(IF(AND(tbl_daily[[#This Row],[Attendance (1 = Here, 0 = Not here)]]=1,tbl_daily[[#This Row],[Attended, but did not complete data]]&lt;&gt;1),1,IF(AND(tbl_daily[[#This Row],[Attendance (1 = Here, 0 = Not here)]]=1,tbl_daily[[#This Row],[Attended, but did not complete data]]=1),2,3)),"")</f>
        <v>1</v>
      </c>
      <c r="W331">
        <f>IF(AND(tbl_daily[[#This Row],[Attendance Refined]]=1,tbl_daily[[#This Row],[InjuryStatus]]="Full"),1,IF(AND(tbl_daily[[#This Row],[Attendance Refined]]=1,tbl_daily[[#This Row],[InjuryStatus]]="Limited"),2,IF(AND(tbl_daily[[#This Row],[Attendance Refined]]=1,tbl_daily[[#This Row],[InjuryStatus]]="Out"),3,"")))</f>
        <v>1</v>
      </c>
    </row>
    <row r="332" spans="1:23" ht="15" customHeight="1" x14ac:dyDescent="0.25">
      <c r="A332" s="1">
        <v>43858</v>
      </c>
      <c r="B332" t="s">
        <v>439</v>
      </c>
      <c r="C332">
        <v>1</v>
      </c>
      <c r="E332">
        <v>2</v>
      </c>
      <c r="F332">
        <v>3</v>
      </c>
      <c r="G332">
        <v>3</v>
      </c>
      <c r="H332" t="s">
        <v>32</v>
      </c>
      <c r="I332">
        <v>0</v>
      </c>
      <c r="J332">
        <v>0</v>
      </c>
      <c r="K332">
        <v>0</v>
      </c>
      <c r="M332" t="s">
        <v>63</v>
      </c>
      <c r="N332" t="s">
        <v>83</v>
      </c>
      <c r="P332">
        <f>IFERROR(IF(AND(tbl_daily[[#This Row],[Attendance (1 = Here, 0 = Not here)]]=1,tbl_daily[[#This Row],[Attended, but did not complete data]]&lt;&gt;1),tbl_daily[[#This Row],[Stress]]+tbl_daily[[#This Row],[SleepQuality]]+tbl_daily[[#This Row],[Energy]],""),"")</f>
        <v>8</v>
      </c>
      <c r="Q332">
        <f>IFERROR(IF(AND(tbl_daily[[#This Row],[Attendance (1 = Here, 0 = Not here)]]=1,tbl_daily[[#This Row],[Attended, but did not complete data]]&lt;&gt;1),tbl_daily[[#This Row],[LatestRPE]]*tbl_daily[[#This Row],[LatestDuration]],""),"")</f>
        <v>0</v>
      </c>
      <c r="R332">
        <f>IF(tbl_daily[[#This Row],[CodeName]]&lt;&gt;"",1,"")</f>
        <v>1</v>
      </c>
      <c r="S332" t="str">
        <f>IF(AND(tbl_daily[[#This Row],[Date]]&gt;=DATE(2019,8,1),tbl_daily[[#This Row],[Date]]&lt;=DATE(2020,6,1)),"2019-2020")</f>
        <v>2019-2020</v>
      </c>
      <c r="T332" t="str">
        <f>IFERROR(INDEX(tbl_prof[Cohort of Interest],MATCH(tbl_daily[[#This Row],[CodeName]],tbl_prof[CodeName],0)),"")</f>
        <v>Special</v>
      </c>
      <c r="U332">
        <f>IFERROR(AVERAGEIFS(tbl_perf[Grade],tbl_perf[CodeName],tbl_daily[[#This Row],[CodeName]],tbl_perf[Date],tbl_daily[[#This Row],[Date]]),"")</f>
        <v>82</v>
      </c>
      <c r="V332">
        <f>IFERROR(IF(AND(tbl_daily[[#This Row],[Attendance (1 = Here, 0 = Not here)]]=1,tbl_daily[[#This Row],[Attended, but did not complete data]]&lt;&gt;1),1,IF(AND(tbl_daily[[#This Row],[Attendance (1 = Here, 0 = Not here)]]=1,tbl_daily[[#This Row],[Attended, but did not complete data]]=1),2,3)),"")</f>
        <v>1</v>
      </c>
      <c r="W332">
        <f>IF(AND(tbl_daily[[#This Row],[Attendance Refined]]=1,tbl_daily[[#This Row],[InjuryStatus]]="Full"),1,IF(AND(tbl_daily[[#This Row],[Attendance Refined]]=1,tbl_daily[[#This Row],[InjuryStatus]]="Limited"),2,IF(AND(tbl_daily[[#This Row],[Attendance Refined]]=1,tbl_daily[[#This Row],[InjuryStatus]]="Out"),3,"")))</f>
        <v>2</v>
      </c>
    </row>
    <row r="333" spans="1:23" ht="15" customHeight="1" x14ac:dyDescent="0.25">
      <c r="A333" s="1">
        <v>43858</v>
      </c>
      <c r="B333" t="s">
        <v>440</v>
      </c>
      <c r="C333">
        <v>1</v>
      </c>
      <c r="E333">
        <v>4</v>
      </c>
      <c r="F333">
        <v>6</v>
      </c>
      <c r="G333">
        <v>6</v>
      </c>
      <c r="H333" t="s">
        <v>32</v>
      </c>
      <c r="I333">
        <v>0</v>
      </c>
      <c r="J333">
        <v>0</v>
      </c>
      <c r="K333">
        <v>0</v>
      </c>
      <c r="M333" t="s">
        <v>63</v>
      </c>
      <c r="N333" t="s">
        <v>85</v>
      </c>
      <c r="P333">
        <f>IFERROR(IF(AND(tbl_daily[[#This Row],[Attendance (1 = Here, 0 = Not here)]]=1,tbl_daily[[#This Row],[Attended, but did not complete data]]&lt;&gt;1),tbl_daily[[#This Row],[Stress]]+tbl_daily[[#This Row],[SleepQuality]]+tbl_daily[[#This Row],[Energy]],""),"")</f>
        <v>16</v>
      </c>
      <c r="Q333">
        <f>IFERROR(IF(AND(tbl_daily[[#This Row],[Attendance (1 = Here, 0 = Not here)]]=1,tbl_daily[[#This Row],[Attended, but did not complete data]]&lt;&gt;1),tbl_daily[[#This Row],[LatestRPE]]*tbl_daily[[#This Row],[LatestDuration]],""),"")</f>
        <v>0</v>
      </c>
      <c r="R333">
        <f>IF(tbl_daily[[#This Row],[CodeName]]&lt;&gt;"",1,"")</f>
        <v>1</v>
      </c>
      <c r="S333" t="str">
        <f>IF(AND(tbl_daily[[#This Row],[Date]]&gt;=DATE(2019,8,1),tbl_daily[[#This Row],[Date]]&lt;=DATE(2020,6,1)),"2019-2020")</f>
        <v>2019-2020</v>
      </c>
      <c r="T333" t="str">
        <f>IFERROR(INDEX(tbl_prof[Cohort of Interest],MATCH(tbl_daily[[#This Row],[CodeName]],tbl_prof[CodeName],0)),"")</f>
        <v>Youth</v>
      </c>
      <c r="U333">
        <f>IFERROR(AVERAGEIFS(tbl_perf[Grade],tbl_perf[CodeName],tbl_daily[[#This Row],[CodeName]],tbl_perf[Date],tbl_daily[[#This Row],[Date]]),"")</f>
        <v>100</v>
      </c>
      <c r="V333">
        <f>IFERROR(IF(AND(tbl_daily[[#This Row],[Attendance (1 = Here, 0 = Not here)]]=1,tbl_daily[[#This Row],[Attended, but did not complete data]]&lt;&gt;1),1,IF(AND(tbl_daily[[#This Row],[Attendance (1 = Here, 0 = Not here)]]=1,tbl_daily[[#This Row],[Attended, but did not complete data]]=1),2,3)),"")</f>
        <v>1</v>
      </c>
      <c r="W333">
        <f>IF(AND(tbl_daily[[#This Row],[Attendance Refined]]=1,tbl_daily[[#This Row],[InjuryStatus]]="Full"),1,IF(AND(tbl_daily[[#This Row],[Attendance Refined]]=1,tbl_daily[[#This Row],[InjuryStatus]]="Limited"),2,IF(AND(tbl_daily[[#This Row],[Attendance Refined]]=1,tbl_daily[[#This Row],[InjuryStatus]]="Out"),3,"")))</f>
        <v>2</v>
      </c>
    </row>
    <row r="334" spans="1:23" ht="15" customHeight="1" x14ac:dyDescent="0.25">
      <c r="A334" s="1">
        <v>43858</v>
      </c>
      <c r="B334" t="s">
        <v>437</v>
      </c>
      <c r="C334">
        <v>1</v>
      </c>
      <c r="E334">
        <v>7</v>
      </c>
      <c r="F334">
        <v>8</v>
      </c>
      <c r="G334">
        <v>7</v>
      </c>
      <c r="H334" t="s">
        <v>15</v>
      </c>
      <c r="I334">
        <v>1</v>
      </c>
      <c r="M334" t="s">
        <v>63</v>
      </c>
      <c r="N334" t="s">
        <v>72</v>
      </c>
      <c r="P334">
        <f>IFERROR(IF(AND(tbl_daily[[#This Row],[Attendance (1 = Here, 0 = Not here)]]=1,tbl_daily[[#This Row],[Attended, but did not complete data]]&lt;&gt;1),tbl_daily[[#This Row],[Stress]]+tbl_daily[[#This Row],[SleepQuality]]+tbl_daily[[#This Row],[Energy]],""),"")</f>
        <v>22</v>
      </c>
      <c r="Q334">
        <f>IFERROR(IF(AND(tbl_daily[[#This Row],[Attendance (1 = Here, 0 = Not here)]]=1,tbl_daily[[#This Row],[Attended, but did not complete data]]&lt;&gt;1),tbl_daily[[#This Row],[LatestRPE]]*tbl_daily[[#This Row],[LatestDuration]],""),"")</f>
        <v>0</v>
      </c>
      <c r="R334">
        <f>IF(tbl_daily[[#This Row],[CodeName]]&lt;&gt;"",1,"")</f>
        <v>1</v>
      </c>
      <c r="S334" t="str">
        <f>IF(AND(tbl_daily[[#This Row],[Date]]&gt;=DATE(2019,8,1),tbl_daily[[#This Row],[Date]]&lt;=DATE(2020,6,1)),"2019-2020")</f>
        <v>2019-2020</v>
      </c>
      <c r="T334" t="str">
        <f>IFERROR(INDEX(tbl_prof[Cohort of Interest],MATCH(tbl_daily[[#This Row],[CodeName]],tbl_prof[CodeName],0)),"")</f>
        <v>Athletes</v>
      </c>
      <c r="U334">
        <f>IFERROR(AVERAGEIFS(tbl_perf[Grade],tbl_perf[CodeName],tbl_daily[[#This Row],[CodeName]],tbl_perf[Date],tbl_daily[[#This Row],[Date]]),"")</f>
        <v>95</v>
      </c>
      <c r="V334">
        <f>IFERROR(IF(AND(tbl_daily[[#This Row],[Attendance (1 = Here, 0 = Not here)]]=1,tbl_daily[[#This Row],[Attended, but did not complete data]]&lt;&gt;1),1,IF(AND(tbl_daily[[#This Row],[Attendance (1 = Here, 0 = Not here)]]=1,tbl_daily[[#This Row],[Attended, but did not complete data]]=1),2,3)),"")</f>
        <v>1</v>
      </c>
      <c r="W334">
        <f>IF(AND(tbl_daily[[#This Row],[Attendance Refined]]=1,tbl_daily[[#This Row],[InjuryStatus]]="Full"),1,IF(AND(tbl_daily[[#This Row],[Attendance Refined]]=1,tbl_daily[[#This Row],[InjuryStatus]]="Limited"),2,IF(AND(tbl_daily[[#This Row],[Attendance Refined]]=1,tbl_daily[[#This Row],[InjuryStatus]]="Out"),3,"")))</f>
        <v>1</v>
      </c>
    </row>
    <row r="335" spans="1:23" ht="15" customHeight="1" x14ac:dyDescent="0.25">
      <c r="A335" s="1">
        <v>43858</v>
      </c>
      <c r="B335" t="s">
        <v>419</v>
      </c>
      <c r="C335">
        <v>1</v>
      </c>
      <c r="E335">
        <v>10</v>
      </c>
      <c r="F335">
        <v>6</v>
      </c>
      <c r="G335">
        <v>3</v>
      </c>
      <c r="H335" t="s">
        <v>15</v>
      </c>
      <c r="I335">
        <v>1</v>
      </c>
      <c r="J335">
        <v>3</v>
      </c>
      <c r="K335">
        <v>30</v>
      </c>
      <c r="M335" t="s">
        <v>63</v>
      </c>
      <c r="N335" t="s">
        <v>70</v>
      </c>
      <c r="P335">
        <f>IFERROR(IF(AND(tbl_daily[[#This Row],[Attendance (1 = Here, 0 = Not here)]]=1,tbl_daily[[#This Row],[Attended, but did not complete data]]&lt;&gt;1),tbl_daily[[#This Row],[Stress]]+tbl_daily[[#This Row],[SleepQuality]]+tbl_daily[[#This Row],[Energy]],""),"")</f>
        <v>19</v>
      </c>
      <c r="Q335">
        <f>IFERROR(IF(AND(tbl_daily[[#This Row],[Attendance (1 = Here, 0 = Not here)]]=1,tbl_daily[[#This Row],[Attended, but did not complete data]]&lt;&gt;1),tbl_daily[[#This Row],[LatestRPE]]*tbl_daily[[#This Row],[LatestDuration]],""),"")</f>
        <v>90</v>
      </c>
      <c r="R335">
        <f>IF(tbl_daily[[#This Row],[CodeName]]&lt;&gt;"",1,"")</f>
        <v>1</v>
      </c>
      <c r="S335" t="str">
        <f>IF(AND(tbl_daily[[#This Row],[Date]]&gt;=DATE(2019,8,1),tbl_daily[[#This Row],[Date]]&lt;=DATE(2020,6,1)),"2019-2020")</f>
        <v>2019-2020</v>
      </c>
      <c r="T335" t="str">
        <f>IFERROR(INDEX(tbl_prof[Cohort of Interest],MATCH(tbl_daily[[#This Row],[CodeName]],tbl_prof[CodeName],0)),"")</f>
        <v>Youth</v>
      </c>
      <c r="U335">
        <f>IFERROR(AVERAGEIFS(tbl_perf[Grade],tbl_perf[CodeName],tbl_daily[[#This Row],[CodeName]],tbl_perf[Date],tbl_daily[[#This Row],[Date]]),"")</f>
        <v>82</v>
      </c>
      <c r="V335">
        <f>IFERROR(IF(AND(tbl_daily[[#This Row],[Attendance (1 = Here, 0 = Not here)]]=1,tbl_daily[[#This Row],[Attended, but did not complete data]]&lt;&gt;1),1,IF(AND(tbl_daily[[#This Row],[Attendance (1 = Here, 0 = Not here)]]=1,tbl_daily[[#This Row],[Attended, but did not complete data]]=1),2,3)),"")</f>
        <v>1</v>
      </c>
      <c r="W335">
        <f>IF(AND(tbl_daily[[#This Row],[Attendance Refined]]=1,tbl_daily[[#This Row],[InjuryStatus]]="Full"),1,IF(AND(tbl_daily[[#This Row],[Attendance Refined]]=1,tbl_daily[[#This Row],[InjuryStatus]]="Limited"),2,IF(AND(tbl_daily[[#This Row],[Attendance Refined]]=1,tbl_daily[[#This Row],[InjuryStatus]]="Out"),3,"")))</f>
        <v>1</v>
      </c>
    </row>
    <row r="336" spans="1:23" ht="15" customHeight="1" x14ac:dyDescent="0.25">
      <c r="A336" s="1">
        <v>43858</v>
      </c>
      <c r="B336" t="s">
        <v>412</v>
      </c>
      <c r="C336">
        <v>1</v>
      </c>
      <c r="E336">
        <v>7</v>
      </c>
      <c r="F336">
        <v>7</v>
      </c>
      <c r="G336">
        <v>6</v>
      </c>
      <c r="H336" t="s">
        <v>15</v>
      </c>
      <c r="I336">
        <v>1</v>
      </c>
      <c r="J336">
        <v>4</v>
      </c>
      <c r="K336">
        <v>30</v>
      </c>
      <c r="M336" t="s">
        <v>63</v>
      </c>
      <c r="N336" t="s">
        <v>65</v>
      </c>
      <c r="P336">
        <f>IFERROR(IF(AND(tbl_daily[[#This Row],[Attendance (1 = Here, 0 = Not here)]]=1,tbl_daily[[#This Row],[Attended, but did not complete data]]&lt;&gt;1),tbl_daily[[#This Row],[Stress]]+tbl_daily[[#This Row],[SleepQuality]]+tbl_daily[[#This Row],[Energy]],""),"")</f>
        <v>20</v>
      </c>
      <c r="Q336">
        <f>IFERROR(IF(AND(tbl_daily[[#This Row],[Attendance (1 = Here, 0 = Not here)]]=1,tbl_daily[[#This Row],[Attended, but did not complete data]]&lt;&gt;1),tbl_daily[[#This Row],[LatestRPE]]*tbl_daily[[#This Row],[LatestDuration]],""),"")</f>
        <v>120</v>
      </c>
      <c r="R336">
        <f>IF(tbl_daily[[#This Row],[CodeName]]&lt;&gt;"",1,"")</f>
        <v>1</v>
      </c>
      <c r="S336" t="str">
        <f>IF(AND(tbl_daily[[#This Row],[Date]]&gt;=DATE(2019,8,1),tbl_daily[[#This Row],[Date]]&lt;=DATE(2020,6,1)),"2019-2020")</f>
        <v>2019-2020</v>
      </c>
      <c r="T336" t="str">
        <f>IFERROR(INDEX(tbl_prof[Cohort of Interest],MATCH(tbl_daily[[#This Row],[CodeName]],tbl_prof[CodeName],0)),"")</f>
        <v>Gen Pop</v>
      </c>
      <c r="U336">
        <f>IFERROR(AVERAGEIFS(tbl_perf[Grade],tbl_perf[CodeName],tbl_daily[[#This Row],[CodeName]],tbl_perf[Date],tbl_daily[[#This Row],[Date]]),"")</f>
        <v>83</v>
      </c>
      <c r="V336">
        <f>IFERROR(IF(AND(tbl_daily[[#This Row],[Attendance (1 = Here, 0 = Not here)]]=1,tbl_daily[[#This Row],[Attended, but did not complete data]]&lt;&gt;1),1,IF(AND(tbl_daily[[#This Row],[Attendance (1 = Here, 0 = Not here)]]=1,tbl_daily[[#This Row],[Attended, but did not complete data]]=1),2,3)),"")</f>
        <v>1</v>
      </c>
      <c r="W336">
        <f>IF(AND(tbl_daily[[#This Row],[Attendance Refined]]=1,tbl_daily[[#This Row],[InjuryStatus]]="Full"),1,IF(AND(tbl_daily[[#This Row],[Attendance Refined]]=1,tbl_daily[[#This Row],[InjuryStatus]]="Limited"),2,IF(AND(tbl_daily[[#This Row],[Attendance Refined]]=1,tbl_daily[[#This Row],[InjuryStatus]]="Out"),3,"")))</f>
        <v>1</v>
      </c>
    </row>
    <row r="337" spans="1:23" ht="15" customHeight="1" x14ac:dyDescent="0.25">
      <c r="A337" s="1">
        <v>43858</v>
      </c>
      <c r="B337" t="s">
        <v>414</v>
      </c>
      <c r="C337">
        <v>1</v>
      </c>
      <c r="E337">
        <v>4</v>
      </c>
      <c r="F337">
        <v>9</v>
      </c>
      <c r="G337">
        <v>8</v>
      </c>
      <c r="H337" t="s">
        <v>15</v>
      </c>
      <c r="I337">
        <v>1</v>
      </c>
      <c r="J337">
        <v>5</v>
      </c>
      <c r="K337">
        <v>30</v>
      </c>
      <c r="M337" t="s">
        <v>63</v>
      </c>
      <c r="N337" t="s">
        <v>67</v>
      </c>
      <c r="P337">
        <f>IFERROR(IF(AND(tbl_daily[[#This Row],[Attendance (1 = Here, 0 = Not here)]]=1,tbl_daily[[#This Row],[Attended, but did not complete data]]&lt;&gt;1),tbl_daily[[#This Row],[Stress]]+tbl_daily[[#This Row],[SleepQuality]]+tbl_daily[[#This Row],[Energy]],""),"")</f>
        <v>21</v>
      </c>
      <c r="Q337">
        <f>IFERROR(IF(AND(tbl_daily[[#This Row],[Attendance (1 = Here, 0 = Not here)]]=1,tbl_daily[[#This Row],[Attended, but did not complete data]]&lt;&gt;1),tbl_daily[[#This Row],[LatestRPE]]*tbl_daily[[#This Row],[LatestDuration]],""),"")</f>
        <v>150</v>
      </c>
      <c r="R337">
        <f>IF(tbl_daily[[#This Row],[CodeName]]&lt;&gt;"",1,"")</f>
        <v>1</v>
      </c>
      <c r="S337" t="str">
        <f>IF(AND(tbl_daily[[#This Row],[Date]]&gt;=DATE(2019,8,1),tbl_daily[[#This Row],[Date]]&lt;=DATE(2020,6,1)),"2019-2020")</f>
        <v>2019-2020</v>
      </c>
      <c r="T337" t="str">
        <f>IFERROR(INDEX(tbl_prof[Cohort of Interest],MATCH(tbl_daily[[#This Row],[CodeName]],tbl_prof[CodeName],0)),"")</f>
        <v>Gen Pop</v>
      </c>
      <c r="U337">
        <f>IFERROR(AVERAGEIFS(tbl_perf[Grade],tbl_perf[CodeName],tbl_daily[[#This Row],[CodeName]],tbl_perf[Date],tbl_daily[[#This Row],[Date]]),"")</f>
        <v>96</v>
      </c>
      <c r="V337">
        <f>IFERROR(IF(AND(tbl_daily[[#This Row],[Attendance (1 = Here, 0 = Not here)]]=1,tbl_daily[[#This Row],[Attended, but did not complete data]]&lt;&gt;1),1,IF(AND(tbl_daily[[#This Row],[Attendance (1 = Here, 0 = Not here)]]=1,tbl_daily[[#This Row],[Attended, but did not complete data]]=1),2,3)),"")</f>
        <v>1</v>
      </c>
      <c r="W337">
        <f>IF(AND(tbl_daily[[#This Row],[Attendance Refined]]=1,tbl_daily[[#This Row],[InjuryStatus]]="Full"),1,IF(AND(tbl_daily[[#This Row],[Attendance Refined]]=1,tbl_daily[[#This Row],[InjuryStatus]]="Limited"),2,IF(AND(tbl_daily[[#This Row],[Attendance Refined]]=1,tbl_daily[[#This Row],[InjuryStatus]]="Out"),3,"")))</f>
        <v>1</v>
      </c>
    </row>
    <row r="338" spans="1:23" ht="15" customHeight="1" x14ac:dyDescent="0.25">
      <c r="A338" s="1">
        <v>43858</v>
      </c>
      <c r="B338" t="s">
        <v>438</v>
      </c>
      <c r="C338">
        <v>1</v>
      </c>
      <c r="E338">
        <v>5</v>
      </c>
      <c r="F338">
        <v>5</v>
      </c>
      <c r="G338">
        <v>5</v>
      </c>
      <c r="H338" t="s">
        <v>15</v>
      </c>
      <c r="I338">
        <v>1</v>
      </c>
      <c r="J338">
        <v>5</v>
      </c>
      <c r="K338">
        <v>30</v>
      </c>
      <c r="M338" t="s">
        <v>63</v>
      </c>
      <c r="N338" t="s">
        <v>80</v>
      </c>
      <c r="P338">
        <f>IFERROR(IF(AND(tbl_daily[[#This Row],[Attendance (1 = Here, 0 = Not here)]]=1,tbl_daily[[#This Row],[Attended, but did not complete data]]&lt;&gt;1),tbl_daily[[#This Row],[Stress]]+tbl_daily[[#This Row],[SleepQuality]]+tbl_daily[[#This Row],[Energy]],""),"")</f>
        <v>15</v>
      </c>
      <c r="Q338">
        <f>IFERROR(IF(AND(tbl_daily[[#This Row],[Attendance (1 = Here, 0 = Not here)]]=1,tbl_daily[[#This Row],[Attended, but did not complete data]]&lt;&gt;1),tbl_daily[[#This Row],[LatestRPE]]*tbl_daily[[#This Row],[LatestDuration]],""),"")</f>
        <v>150</v>
      </c>
      <c r="R338">
        <f>IF(tbl_daily[[#This Row],[CodeName]]&lt;&gt;"",1,"")</f>
        <v>1</v>
      </c>
      <c r="S338" t="str">
        <f>IF(AND(tbl_daily[[#This Row],[Date]]&gt;=DATE(2019,8,1),tbl_daily[[#This Row],[Date]]&lt;=DATE(2020,6,1)),"2019-2020")</f>
        <v>2019-2020</v>
      </c>
      <c r="T338" t="str">
        <f>IFERROR(INDEX(tbl_prof[Cohort of Interest],MATCH(tbl_daily[[#This Row],[CodeName]],tbl_prof[CodeName],0)),"")</f>
        <v>Youth</v>
      </c>
      <c r="U338">
        <f>IFERROR(AVERAGEIFS(tbl_perf[Grade],tbl_perf[CodeName],tbl_daily[[#This Row],[CodeName]],tbl_perf[Date],tbl_daily[[#This Row],[Date]]),"")</f>
        <v>84</v>
      </c>
      <c r="V338">
        <f>IFERROR(IF(AND(tbl_daily[[#This Row],[Attendance (1 = Here, 0 = Not here)]]=1,tbl_daily[[#This Row],[Attended, but did not complete data]]&lt;&gt;1),1,IF(AND(tbl_daily[[#This Row],[Attendance (1 = Here, 0 = Not here)]]=1,tbl_daily[[#This Row],[Attended, but did not complete data]]=1),2,3)),"")</f>
        <v>1</v>
      </c>
      <c r="W338">
        <f>IF(AND(tbl_daily[[#This Row],[Attendance Refined]]=1,tbl_daily[[#This Row],[InjuryStatus]]="Full"),1,IF(AND(tbl_daily[[#This Row],[Attendance Refined]]=1,tbl_daily[[#This Row],[InjuryStatus]]="Limited"),2,IF(AND(tbl_daily[[#This Row],[Attendance Refined]]=1,tbl_daily[[#This Row],[InjuryStatus]]="Out"),3,"")))</f>
        <v>1</v>
      </c>
    </row>
    <row r="339" spans="1:23" ht="15" customHeight="1" x14ac:dyDescent="0.25">
      <c r="A339" s="1">
        <v>43858</v>
      </c>
      <c r="B339" t="s">
        <v>413</v>
      </c>
      <c r="C339">
        <v>1</v>
      </c>
      <c r="E339">
        <v>4</v>
      </c>
      <c r="F339">
        <v>3</v>
      </c>
      <c r="G339">
        <v>5</v>
      </c>
      <c r="H339" t="s">
        <v>15</v>
      </c>
      <c r="I339">
        <v>1</v>
      </c>
      <c r="J339">
        <v>6</v>
      </c>
      <c r="K339">
        <v>30</v>
      </c>
      <c r="M339" t="s">
        <v>63</v>
      </c>
      <c r="N339" t="s">
        <v>66</v>
      </c>
      <c r="P339">
        <f>IFERROR(IF(AND(tbl_daily[[#This Row],[Attendance (1 = Here, 0 = Not here)]]=1,tbl_daily[[#This Row],[Attended, but did not complete data]]&lt;&gt;1),tbl_daily[[#This Row],[Stress]]+tbl_daily[[#This Row],[SleepQuality]]+tbl_daily[[#This Row],[Energy]],""),"")</f>
        <v>12</v>
      </c>
      <c r="Q339">
        <f>IFERROR(IF(AND(tbl_daily[[#This Row],[Attendance (1 = Here, 0 = Not here)]]=1,tbl_daily[[#This Row],[Attended, but did not complete data]]&lt;&gt;1),tbl_daily[[#This Row],[LatestRPE]]*tbl_daily[[#This Row],[LatestDuration]],""),"")</f>
        <v>180</v>
      </c>
      <c r="R339">
        <f>IF(tbl_daily[[#This Row],[CodeName]]&lt;&gt;"",1,"")</f>
        <v>1</v>
      </c>
      <c r="S339" t="str">
        <f>IF(AND(tbl_daily[[#This Row],[Date]]&gt;=DATE(2019,8,1),tbl_daily[[#This Row],[Date]]&lt;=DATE(2020,6,1)),"2019-2020")</f>
        <v>2019-2020</v>
      </c>
      <c r="T339" t="str">
        <f>IFERROR(INDEX(tbl_prof[Cohort of Interest],MATCH(tbl_daily[[#This Row],[CodeName]],tbl_prof[CodeName],0)),"")</f>
        <v>Youth</v>
      </c>
      <c r="U339">
        <f>IFERROR(AVERAGEIFS(tbl_perf[Grade],tbl_perf[CodeName],tbl_daily[[#This Row],[CodeName]],tbl_perf[Date],tbl_daily[[#This Row],[Date]]),"")</f>
        <v>89</v>
      </c>
      <c r="V339">
        <f>IFERROR(IF(AND(tbl_daily[[#This Row],[Attendance (1 = Here, 0 = Not here)]]=1,tbl_daily[[#This Row],[Attended, but did not complete data]]&lt;&gt;1),1,IF(AND(tbl_daily[[#This Row],[Attendance (1 = Here, 0 = Not here)]]=1,tbl_daily[[#This Row],[Attended, but did not complete data]]=1),2,3)),"")</f>
        <v>1</v>
      </c>
      <c r="W339">
        <f>IF(AND(tbl_daily[[#This Row],[Attendance Refined]]=1,tbl_daily[[#This Row],[InjuryStatus]]="Full"),1,IF(AND(tbl_daily[[#This Row],[Attendance Refined]]=1,tbl_daily[[#This Row],[InjuryStatus]]="Limited"),2,IF(AND(tbl_daily[[#This Row],[Attendance Refined]]=1,tbl_daily[[#This Row],[InjuryStatus]]="Out"),3,"")))</f>
        <v>1</v>
      </c>
    </row>
    <row r="340" spans="1:23" ht="15" customHeight="1" x14ac:dyDescent="0.25">
      <c r="A340" s="1">
        <v>43858</v>
      </c>
      <c r="B340" t="s">
        <v>436</v>
      </c>
      <c r="C340">
        <v>1</v>
      </c>
      <c r="E340">
        <v>8</v>
      </c>
      <c r="F340">
        <v>2</v>
      </c>
      <c r="G340">
        <v>6</v>
      </c>
      <c r="H340" t="s">
        <v>15</v>
      </c>
      <c r="I340">
        <v>1</v>
      </c>
      <c r="J340">
        <v>4</v>
      </c>
      <c r="K340">
        <v>45</v>
      </c>
      <c r="M340" t="s">
        <v>63</v>
      </c>
      <c r="N340" t="s">
        <v>79</v>
      </c>
      <c r="P340">
        <f>IFERROR(IF(AND(tbl_daily[[#This Row],[Attendance (1 = Here, 0 = Not here)]]=1,tbl_daily[[#This Row],[Attended, but did not complete data]]&lt;&gt;1),tbl_daily[[#This Row],[Stress]]+tbl_daily[[#This Row],[SleepQuality]]+tbl_daily[[#This Row],[Energy]],""),"")</f>
        <v>16</v>
      </c>
      <c r="Q340">
        <f>IFERROR(IF(AND(tbl_daily[[#This Row],[Attendance (1 = Here, 0 = Not here)]]=1,tbl_daily[[#This Row],[Attended, but did not complete data]]&lt;&gt;1),tbl_daily[[#This Row],[LatestRPE]]*tbl_daily[[#This Row],[LatestDuration]],""),"")</f>
        <v>180</v>
      </c>
      <c r="R340">
        <f>IF(tbl_daily[[#This Row],[CodeName]]&lt;&gt;"",1,"")</f>
        <v>1</v>
      </c>
      <c r="S340" t="str">
        <f>IF(AND(tbl_daily[[#This Row],[Date]]&gt;=DATE(2019,8,1),tbl_daily[[#This Row],[Date]]&lt;=DATE(2020,6,1)),"2019-2020")</f>
        <v>2019-2020</v>
      </c>
      <c r="T340" t="str">
        <f>IFERROR(INDEX(tbl_prof[Cohort of Interest],MATCH(tbl_daily[[#This Row],[CodeName]],tbl_prof[CodeName],0)),"")</f>
        <v>Athletes</v>
      </c>
      <c r="U340">
        <f>IFERROR(AVERAGEIFS(tbl_perf[Grade],tbl_perf[CodeName],tbl_daily[[#This Row],[CodeName]],tbl_perf[Date],tbl_daily[[#This Row],[Date]]),"")</f>
        <v>79</v>
      </c>
      <c r="V340">
        <f>IFERROR(IF(AND(tbl_daily[[#This Row],[Attendance (1 = Here, 0 = Not here)]]=1,tbl_daily[[#This Row],[Attended, but did not complete data]]&lt;&gt;1),1,IF(AND(tbl_daily[[#This Row],[Attendance (1 = Here, 0 = Not here)]]=1,tbl_daily[[#This Row],[Attended, but did not complete data]]=1),2,3)),"")</f>
        <v>1</v>
      </c>
      <c r="W340">
        <f>IF(AND(tbl_daily[[#This Row],[Attendance Refined]]=1,tbl_daily[[#This Row],[InjuryStatus]]="Full"),1,IF(AND(tbl_daily[[#This Row],[Attendance Refined]]=1,tbl_daily[[#This Row],[InjuryStatus]]="Limited"),2,IF(AND(tbl_daily[[#This Row],[Attendance Refined]]=1,tbl_daily[[#This Row],[InjuryStatus]]="Out"),3,"")))</f>
        <v>1</v>
      </c>
    </row>
    <row r="341" spans="1:23" ht="15" customHeight="1" x14ac:dyDescent="0.25">
      <c r="A341" s="1">
        <v>43858</v>
      </c>
      <c r="B341" t="s">
        <v>416</v>
      </c>
      <c r="C341">
        <v>1</v>
      </c>
      <c r="E341">
        <v>5</v>
      </c>
      <c r="F341">
        <v>5</v>
      </c>
      <c r="G341">
        <v>5</v>
      </c>
      <c r="H341" t="s">
        <v>32</v>
      </c>
      <c r="I341">
        <v>1</v>
      </c>
      <c r="J341">
        <v>7</v>
      </c>
      <c r="K341">
        <v>30</v>
      </c>
      <c r="M341" t="s">
        <v>63</v>
      </c>
      <c r="N341" t="s">
        <v>68</v>
      </c>
      <c r="P341">
        <f>IFERROR(IF(AND(tbl_daily[[#This Row],[Attendance (1 = Here, 0 = Not here)]]=1,tbl_daily[[#This Row],[Attended, but did not complete data]]&lt;&gt;1),tbl_daily[[#This Row],[Stress]]+tbl_daily[[#This Row],[SleepQuality]]+tbl_daily[[#This Row],[Energy]],""),"")</f>
        <v>15</v>
      </c>
      <c r="Q341">
        <f>IFERROR(IF(AND(tbl_daily[[#This Row],[Attendance (1 = Here, 0 = Not here)]]=1,tbl_daily[[#This Row],[Attended, but did not complete data]]&lt;&gt;1),tbl_daily[[#This Row],[LatestRPE]]*tbl_daily[[#This Row],[LatestDuration]],""),"")</f>
        <v>210</v>
      </c>
      <c r="R341">
        <f>IF(tbl_daily[[#This Row],[CodeName]]&lt;&gt;"",1,"")</f>
        <v>1</v>
      </c>
      <c r="S341" t="str">
        <f>IF(AND(tbl_daily[[#This Row],[Date]]&gt;=DATE(2019,8,1),tbl_daily[[#This Row],[Date]]&lt;=DATE(2020,6,1)),"2019-2020")</f>
        <v>2019-2020</v>
      </c>
      <c r="T341" t="str">
        <f>IFERROR(INDEX(tbl_prof[Cohort of Interest],MATCH(tbl_daily[[#This Row],[CodeName]],tbl_prof[CodeName],0)),"")</f>
        <v>Special</v>
      </c>
      <c r="U341">
        <f>IFERROR(AVERAGEIFS(tbl_perf[Grade],tbl_perf[CodeName],tbl_daily[[#This Row],[CodeName]],tbl_perf[Date],tbl_daily[[#This Row],[Date]]),"")</f>
        <v>75</v>
      </c>
      <c r="V341">
        <f>IFERROR(IF(AND(tbl_daily[[#This Row],[Attendance (1 = Here, 0 = Not here)]]=1,tbl_daily[[#This Row],[Attended, but did not complete data]]&lt;&gt;1),1,IF(AND(tbl_daily[[#This Row],[Attendance (1 = Here, 0 = Not here)]]=1,tbl_daily[[#This Row],[Attended, but did not complete data]]=1),2,3)),"")</f>
        <v>1</v>
      </c>
      <c r="W341">
        <f>IF(AND(tbl_daily[[#This Row],[Attendance Refined]]=1,tbl_daily[[#This Row],[InjuryStatus]]="Full"),1,IF(AND(tbl_daily[[#This Row],[Attendance Refined]]=1,tbl_daily[[#This Row],[InjuryStatus]]="Limited"),2,IF(AND(tbl_daily[[#This Row],[Attendance Refined]]=1,tbl_daily[[#This Row],[InjuryStatus]]="Out"),3,"")))</f>
        <v>2</v>
      </c>
    </row>
    <row r="342" spans="1:23" ht="15" customHeight="1" x14ac:dyDescent="0.25">
      <c r="A342" s="1">
        <v>43858</v>
      </c>
      <c r="B342" t="s">
        <v>431</v>
      </c>
      <c r="C342">
        <v>1</v>
      </c>
      <c r="E342">
        <v>8</v>
      </c>
      <c r="F342">
        <v>8</v>
      </c>
      <c r="G342">
        <v>9</v>
      </c>
      <c r="H342" t="s">
        <v>15</v>
      </c>
      <c r="I342">
        <v>1</v>
      </c>
      <c r="J342">
        <v>5</v>
      </c>
      <c r="K342">
        <v>45</v>
      </c>
      <c r="M342" t="s">
        <v>63</v>
      </c>
      <c r="N342" t="s">
        <v>81</v>
      </c>
      <c r="P342">
        <f>IFERROR(IF(AND(tbl_daily[[#This Row],[Attendance (1 = Here, 0 = Not here)]]=1,tbl_daily[[#This Row],[Attended, but did not complete data]]&lt;&gt;1),tbl_daily[[#This Row],[Stress]]+tbl_daily[[#This Row],[SleepQuality]]+tbl_daily[[#This Row],[Energy]],""),"")</f>
        <v>25</v>
      </c>
      <c r="Q342">
        <f>IFERROR(IF(AND(tbl_daily[[#This Row],[Attendance (1 = Here, 0 = Not here)]]=1,tbl_daily[[#This Row],[Attended, but did not complete data]]&lt;&gt;1),tbl_daily[[#This Row],[LatestRPE]]*tbl_daily[[#This Row],[LatestDuration]],""),"")</f>
        <v>225</v>
      </c>
      <c r="R342">
        <f>IF(tbl_daily[[#This Row],[CodeName]]&lt;&gt;"",1,"")</f>
        <v>1</v>
      </c>
      <c r="S342" t="str">
        <f>IF(AND(tbl_daily[[#This Row],[Date]]&gt;=DATE(2019,8,1),tbl_daily[[#This Row],[Date]]&lt;=DATE(2020,6,1)),"2019-2020")</f>
        <v>2019-2020</v>
      </c>
      <c r="T342" t="str">
        <f>IFERROR(INDEX(tbl_prof[Cohort of Interest],MATCH(tbl_daily[[#This Row],[CodeName]],tbl_prof[CodeName],0)),"")</f>
        <v>Special</v>
      </c>
      <c r="U342">
        <f>IFERROR(AVERAGEIFS(tbl_perf[Grade],tbl_perf[CodeName],tbl_daily[[#This Row],[CodeName]],tbl_perf[Date],tbl_daily[[#This Row],[Date]]),"")</f>
        <v>93</v>
      </c>
      <c r="V342">
        <f>IFERROR(IF(AND(tbl_daily[[#This Row],[Attendance (1 = Here, 0 = Not here)]]=1,tbl_daily[[#This Row],[Attended, but did not complete data]]&lt;&gt;1),1,IF(AND(tbl_daily[[#This Row],[Attendance (1 = Here, 0 = Not here)]]=1,tbl_daily[[#This Row],[Attended, but did not complete data]]=1),2,3)),"")</f>
        <v>1</v>
      </c>
      <c r="W342">
        <f>IF(AND(tbl_daily[[#This Row],[Attendance Refined]]=1,tbl_daily[[#This Row],[InjuryStatus]]="Full"),1,IF(AND(tbl_daily[[#This Row],[Attendance Refined]]=1,tbl_daily[[#This Row],[InjuryStatus]]="Limited"),2,IF(AND(tbl_daily[[#This Row],[Attendance Refined]]=1,tbl_daily[[#This Row],[InjuryStatus]]="Out"),3,"")))</f>
        <v>1</v>
      </c>
    </row>
    <row r="343" spans="1:23" ht="15" customHeight="1" x14ac:dyDescent="0.25">
      <c r="A343" s="1">
        <v>43858</v>
      </c>
      <c r="B343" t="s">
        <v>420</v>
      </c>
      <c r="C343">
        <v>1</v>
      </c>
      <c r="E343">
        <v>5</v>
      </c>
      <c r="F343">
        <v>4</v>
      </c>
      <c r="G343">
        <v>7</v>
      </c>
      <c r="H343" t="s">
        <v>15</v>
      </c>
      <c r="I343">
        <v>1</v>
      </c>
      <c r="J343">
        <v>5</v>
      </c>
      <c r="K343">
        <v>60</v>
      </c>
      <c r="M343" t="s">
        <v>63</v>
      </c>
      <c r="N343" t="s">
        <v>71</v>
      </c>
      <c r="P343">
        <f>IFERROR(IF(AND(tbl_daily[[#This Row],[Attendance (1 = Here, 0 = Not here)]]=1,tbl_daily[[#This Row],[Attended, but did not complete data]]&lt;&gt;1),tbl_daily[[#This Row],[Stress]]+tbl_daily[[#This Row],[SleepQuality]]+tbl_daily[[#This Row],[Energy]],""),"")</f>
        <v>16</v>
      </c>
      <c r="Q343">
        <f>IFERROR(IF(AND(tbl_daily[[#This Row],[Attendance (1 = Here, 0 = Not here)]]=1,tbl_daily[[#This Row],[Attended, but did not complete data]]&lt;&gt;1),tbl_daily[[#This Row],[LatestRPE]]*tbl_daily[[#This Row],[LatestDuration]],""),"")</f>
        <v>300</v>
      </c>
      <c r="R343">
        <f>IF(tbl_daily[[#This Row],[CodeName]]&lt;&gt;"",1,"")</f>
        <v>1</v>
      </c>
      <c r="S343" t="str">
        <f>IF(AND(tbl_daily[[#This Row],[Date]]&gt;=DATE(2019,8,1),tbl_daily[[#This Row],[Date]]&lt;=DATE(2020,6,1)),"2019-2020")</f>
        <v>2019-2020</v>
      </c>
      <c r="T343" t="str">
        <f>IFERROR(INDEX(tbl_prof[Cohort of Interest],MATCH(tbl_daily[[#This Row],[CodeName]],tbl_prof[CodeName],0)),"")</f>
        <v>Athletes</v>
      </c>
      <c r="U343">
        <f>IFERROR(AVERAGEIFS(tbl_perf[Grade],tbl_perf[CodeName],tbl_daily[[#This Row],[CodeName]],tbl_perf[Date],tbl_daily[[#This Row],[Date]]),"")</f>
        <v>92</v>
      </c>
      <c r="V343">
        <f>IFERROR(IF(AND(tbl_daily[[#This Row],[Attendance (1 = Here, 0 = Not here)]]=1,tbl_daily[[#This Row],[Attended, but did not complete data]]&lt;&gt;1),1,IF(AND(tbl_daily[[#This Row],[Attendance (1 = Here, 0 = Not here)]]=1,tbl_daily[[#This Row],[Attended, but did not complete data]]=1),2,3)),"")</f>
        <v>1</v>
      </c>
      <c r="W343">
        <f>IF(AND(tbl_daily[[#This Row],[Attendance Refined]]=1,tbl_daily[[#This Row],[InjuryStatus]]="Full"),1,IF(AND(tbl_daily[[#This Row],[Attendance Refined]]=1,tbl_daily[[#This Row],[InjuryStatus]]="Limited"),2,IF(AND(tbl_daily[[#This Row],[Attendance Refined]]=1,tbl_daily[[#This Row],[InjuryStatus]]="Out"),3,"")))</f>
        <v>1</v>
      </c>
    </row>
    <row r="344" spans="1:23" ht="15" customHeight="1" x14ac:dyDescent="0.25">
      <c r="A344" s="1">
        <v>43858</v>
      </c>
      <c r="B344" t="s">
        <v>432</v>
      </c>
      <c r="C344">
        <v>1</v>
      </c>
      <c r="E344">
        <v>9</v>
      </c>
      <c r="F344">
        <v>5</v>
      </c>
      <c r="G344">
        <v>6</v>
      </c>
      <c r="H344" t="s">
        <v>222</v>
      </c>
      <c r="I344">
        <v>1</v>
      </c>
      <c r="J344">
        <v>5</v>
      </c>
      <c r="K344">
        <v>60</v>
      </c>
      <c r="M344" t="s">
        <v>63</v>
      </c>
      <c r="N344" t="s">
        <v>82</v>
      </c>
      <c r="P344">
        <f>IFERROR(IF(AND(tbl_daily[[#This Row],[Attendance (1 = Here, 0 = Not here)]]=1,tbl_daily[[#This Row],[Attended, but did not complete data]]&lt;&gt;1),tbl_daily[[#This Row],[Stress]]+tbl_daily[[#This Row],[SleepQuality]]+tbl_daily[[#This Row],[Energy]],""),"")</f>
        <v>20</v>
      </c>
      <c r="Q344">
        <f>IFERROR(IF(AND(tbl_daily[[#This Row],[Attendance (1 = Here, 0 = Not here)]]=1,tbl_daily[[#This Row],[Attended, but did not complete data]]&lt;&gt;1),tbl_daily[[#This Row],[LatestRPE]]*tbl_daily[[#This Row],[LatestDuration]],""),"")</f>
        <v>300</v>
      </c>
      <c r="R344">
        <f>IF(tbl_daily[[#This Row],[CodeName]]&lt;&gt;"",1,"")</f>
        <v>1</v>
      </c>
      <c r="S344" t="str">
        <f>IF(AND(tbl_daily[[#This Row],[Date]]&gt;=DATE(2019,8,1),tbl_daily[[#This Row],[Date]]&lt;=DATE(2020,6,1)),"2019-2020")</f>
        <v>2019-2020</v>
      </c>
      <c r="T344" t="str">
        <f>IFERROR(INDEX(tbl_prof[Cohort of Interest],MATCH(tbl_daily[[#This Row],[CodeName]],tbl_prof[CodeName],0)),"")</f>
        <v>Athletes</v>
      </c>
      <c r="U344">
        <f>IFERROR(AVERAGEIFS(tbl_perf[Grade],tbl_perf[CodeName],tbl_daily[[#This Row],[CodeName]],tbl_perf[Date],tbl_daily[[#This Row],[Date]]),"")</f>
        <v>89</v>
      </c>
      <c r="V344">
        <f>IFERROR(IF(AND(tbl_daily[[#This Row],[Attendance (1 = Here, 0 = Not here)]]=1,tbl_daily[[#This Row],[Attended, but did not complete data]]&lt;&gt;1),1,IF(AND(tbl_daily[[#This Row],[Attendance (1 = Here, 0 = Not here)]]=1,tbl_daily[[#This Row],[Attended, but did not complete data]]=1),2,3)),"")</f>
        <v>1</v>
      </c>
      <c r="W344">
        <f>IF(AND(tbl_daily[[#This Row],[Attendance Refined]]=1,tbl_daily[[#This Row],[InjuryStatus]]="Full"),1,IF(AND(tbl_daily[[#This Row],[Attendance Refined]]=1,tbl_daily[[#This Row],[InjuryStatus]]="Limited"),2,IF(AND(tbl_daily[[#This Row],[Attendance Refined]]=1,tbl_daily[[#This Row],[InjuryStatus]]="Out"),3,"")))</f>
        <v>3</v>
      </c>
    </row>
    <row r="345" spans="1:23" ht="15" customHeight="1" x14ac:dyDescent="0.25">
      <c r="A345" s="1">
        <v>43858</v>
      </c>
      <c r="B345" t="s">
        <v>441</v>
      </c>
      <c r="C345">
        <v>1</v>
      </c>
      <c r="E345">
        <v>6</v>
      </c>
      <c r="F345">
        <v>3</v>
      </c>
      <c r="G345">
        <v>7</v>
      </c>
      <c r="H345" t="s">
        <v>32</v>
      </c>
      <c r="I345">
        <v>1</v>
      </c>
      <c r="J345">
        <v>4</v>
      </c>
      <c r="K345">
        <v>75</v>
      </c>
      <c r="M345" t="s">
        <v>63</v>
      </c>
      <c r="N345" t="s">
        <v>86</v>
      </c>
      <c r="P345">
        <f>IFERROR(IF(AND(tbl_daily[[#This Row],[Attendance (1 = Here, 0 = Not here)]]=1,tbl_daily[[#This Row],[Attended, but did not complete data]]&lt;&gt;1),tbl_daily[[#This Row],[Stress]]+tbl_daily[[#This Row],[SleepQuality]]+tbl_daily[[#This Row],[Energy]],""),"")</f>
        <v>16</v>
      </c>
      <c r="Q345">
        <f>IFERROR(IF(AND(tbl_daily[[#This Row],[Attendance (1 = Here, 0 = Not here)]]=1,tbl_daily[[#This Row],[Attended, but did not complete data]]&lt;&gt;1),tbl_daily[[#This Row],[LatestRPE]]*tbl_daily[[#This Row],[LatestDuration]],""),"")</f>
        <v>300</v>
      </c>
      <c r="R345">
        <f>IF(tbl_daily[[#This Row],[CodeName]]&lt;&gt;"",1,"")</f>
        <v>1</v>
      </c>
      <c r="S345" t="str">
        <f>IF(AND(tbl_daily[[#This Row],[Date]]&gt;=DATE(2019,8,1),tbl_daily[[#This Row],[Date]]&lt;=DATE(2020,6,1)),"2019-2020")</f>
        <v>2019-2020</v>
      </c>
      <c r="T345" t="str">
        <f>IFERROR(INDEX(tbl_prof[Cohort of Interest],MATCH(tbl_daily[[#This Row],[CodeName]],tbl_prof[CodeName],0)),"")</f>
        <v>Athletes</v>
      </c>
      <c r="U345">
        <f>IFERROR(AVERAGEIFS(tbl_perf[Grade],tbl_perf[CodeName],tbl_daily[[#This Row],[CodeName]],tbl_perf[Date],tbl_daily[[#This Row],[Date]]),"")</f>
        <v>86</v>
      </c>
      <c r="V345">
        <f>IFERROR(IF(AND(tbl_daily[[#This Row],[Attendance (1 = Here, 0 = Not here)]]=1,tbl_daily[[#This Row],[Attended, but did not complete data]]&lt;&gt;1),1,IF(AND(tbl_daily[[#This Row],[Attendance (1 = Here, 0 = Not here)]]=1,tbl_daily[[#This Row],[Attended, but did not complete data]]=1),2,3)),"")</f>
        <v>1</v>
      </c>
      <c r="W345">
        <f>IF(AND(tbl_daily[[#This Row],[Attendance Refined]]=1,tbl_daily[[#This Row],[InjuryStatus]]="Full"),1,IF(AND(tbl_daily[[#This Row],[Attendance Refined]]=1,tbl_daily[[#This Row],[InjuryStatus]]="Limited"),2,IF(AND(tbl_daily[[#This Row],[Attendance Refined]]=1,tbl_daily[[#This Row],[InjuryStatus]]="Out"),3,"")))</f>
        <v>2</v>
      </c>
    </row>
    <row r="346" spans="1:23" ht="15" customHeight="1" x14ac:dyDescent="0.25">
      <c r="A346" s="1">
        <v>43858</v>
      </c>
      <c r="B346" t="s">
        <v>425</v>
      </c>
      <c r="C346">
        <v>1</v>
      </c>
      <c r="E346">
        <v>2</v>
      </c>
      <c r="F346">
        <v>8</v>
      </c>
      <c r="G346">
        <v>8</v>
      </c>
      <c r="H346" t="s">
        <v>15</v>
      </c>
      <c r="I346">
        <v>1</v>
      </c>
      <c r="J346">
        <v>6</v>
      </c>
      <c r="K346">
        <v>60</v>
      </c>
      <c r="M346" t="s">
        <v>63</v>
      </c>
      <c r="N346" t="s">
        <v>71</v>
      </c>
      <c r="P346">
        <f>IFERROR(IF(AND(tbl_daily[[#This Row],[Attendance (1 = Here, 0 = Not here)]]=1,tbl_daily[[#This Row],[Attended, but did not complete data]]&lt;&gt;1),tbl_daily[[#This Row],[Stress]]+tbl_daily[[#This Row],[SleepQuality]]+tbl_daily[[#This Row],[Energy]],""),"")</f>
        <v>18</v>
      </c>
      <c r="Q346">
        <f>IFERROR(IF(AND(tbl_daily[[#This Row],[Attendance (1 = Here, 0 = Not here)]]=1,tbl_daily[[#This Row],[Attended, but did not complete data]]&lt;&gt;1),tbl_daily[[#This Row],[LatestRPE]]*tbl_daily[[#This Row],[LatestDuration]],""),"")</f>
        <v>360</v>
      </c>
      <c r="R346">
        <f>IF(tbl_daily[[#This Row],[CodeName]]&lt;&gt;"",1,"")</f>
        <v>1</v>
      </c>
      <c r="S346" t="str">
        <f>IF(AND(tbl_daily[[#This Row],[Date]]&gt;=DATE(2019,8,1),tbl_daily[[#This Row],[Date]]&lt;=DATE(2020,6,1)),"2019-2020")</f>
        <v>2019-2020</v>
      </c>
      <c r="T346" t="str">
        <f>IFERROR(INDEX(tbl_prof[Cohort of Interest],MATCH(tbl_daily[[#This Row],[CodeName]],tbl_prof[CodeName],0)),"")</f>
        <v>Athletes</v>
      </c>
      <c r="U346">
        <f>IFERROR(AVERAGEIFS(tbl_perf[Grade],tbl_perf[CodeName],tbl_daily[[#This Row],[CodeName]],tbl_perf[Date],tbl_daily[[#This Row],[Date]]),"")</f>
        <v>87</v>
      </c>
      <c r="V346">
        <f>IFERROR(IF(AND(tbl_daily[[#This Row],[Attendance (1 = Here, 0 = Not here)]]=1,tbl_daily[[#This Row],[Attended, but did not complete data]]&lt;&gt;1),1,IF(AND(tbl_daily[[#This Row],[Attendance (1 = Here, 0 = Not here)]]=1,tbl_daily[[#This Row],[Attended, but did not complete data]]=1),2,3)),"")</f>
        <v>1</v>
      </c>
      <c r="W346">
        <f>IF(AND(tbl_daily[[#This Row],[Attendance Refined]]=1,tbl_daily[[#This Row],[InjuryStatus]]="Full"),1,IF(AND(tbl_daily[[#This Row],[Attendance Refined]]=1,tbl_daily[[#This Row],[InjuryStatus]]="Limited"),2,IF(AND(tbl_daily[[#This Row],[Attendance Refined]]=1,tbl_daily[[#This Row],[InjuryStatus]]="Out"),3,"")))</f>
        <v>1</v>
      </c>
    </row>
    <row r="347" spans="1:23" ht="15" customHeight="1" x14ac:dyDescent="0.25">
      <c r="A347" s="1">
        <v>43858</v>
      </c>
      <c r="B347" t="s">
        <v>411</v>
      </c>
      <c r="C347">
        <v>1</v>
      </c>
      <c r="E347">
        <v>4</v>
      </c>
      <c r="F347">
        <v>4</v>
      </c>
      <c r="G347">
        <v>6</v>
      </c>
      <c r="H347" t="s">
        <v>32</v>
      </c>
      <c r="I347">
        <v>1</v>
      </c>
      <c r="J347">
        <v>7</v>
      </c>
      <c r="K347">
        <v>55</v>
      </c>
      <c r="M347" t="s">
        <v>63</v>
      </c>
      <c r="N347" t="s">
        <v>64</v>
      </c>
      <c r="P347">
        <f>IFERROR(IF(AND(tbl_daily[[#This Row],[Attendance (1 = Here, 0 = Not here)]]=1,tbl_daily[[#This Row],[Attended, but did not complete data]]&lt;&gt;1),tbl_daily[[#This Row],[Stress]]+tbl_daily[[#This Row],[SleepQuality]]+tbl_daily[[#This Row],[Energy]],""),"")</f>
        <v>14</v>
      </c>
      <c r="Q347">
        <f>IFERROR(IF(AND(tbl_daily[[#This Row],[Attendance (1 = Here, 0 = Not here)]]=1,tbl_daily[[#This Row],[Attended, but did not complete data]]&lt;&gt;1),tbl_daily[[#This Row],[LatestRPE]]*tbl_daily[[#This Row],[LatestDuration]],""),"")</f>
        <v>385</v>
      </c>
      <c r="R347">
        <f>IF(tbl_daily[[#This Row],[CodeName]]&lt;&gt;"",1,"")</f>
        <v>1</v>
      </c>
      <c r="S347" t="str">
        <f>IF(AND(tbl_daily[[#This Row],[Date]]&gt;=DATE(2019,8,1),tbl_daily[[#This Row],[Date]]&lt;=DATE(2020,6,1)),"2019-2020")</f>
        <v>2019-2020</v>
      </c>
      <c r="T347" t="str">
        <f>IFERROR(INDEX(tbl_prof[Cohort of Interest],MATCH(tbl_daily[[#This Row],[CodeName]],tbl_prof[CodeName],0)),"")</f>
        <v>Athletes</v>
      </c>
      <c r="U347">
        <f>IFERROR(AVERAGEIFS(tbl_perf[Grade],tbl_perf[CodeName],tbl_daily[[#This Row],[CodeName]],tbl_perf[Date],tbl_daily[[#This Row],[Date]]),"")</f>
        <v>80</v>
      </c>
      <c r="V347">
        <f>IFERROR(IF(AND(tbl_daily[[#This Row],[Attendance (1 = Here, 0 = Not here)]]=1,tbl_daily[[#This Row],[Attended, but did not complete data]]&lt;&gt;1),1,IF(AND(tbl_daily[[#This Row],[Attendance (1 = Here, 0 = Not here)]]=1,tbl_daily[[#This Row],[Attended, but did not complete data]]=1),2,3)),"")</f>
        <v>1</v>
      </c>
      <c r="W347">
        <f>IF(AND(tbl_daily[[#This Row],[Attendance Refined]]=1,tbl_daily[[#This Row],[InjuryStatus]]="Full"),1,IF(AND(tbl_daily[[#This Row],[Attendance Refined]]=1,tbl_daily[[#This Row],[InjuryStatus]]="Limited"),2,IF(AND(tbl_daily[[#This Row],[Attendance Refined]]=1,tbl_daily[[#This Row],[InjuryStatus]]="Out"),3,"")))</f>
        <v>2</v>
      </c>
    </row>
    <row r="348" spans="1:23" ht="15" customHeight="1" x14ac:dyDescent="0.25">
      <c r="A348" s="1">
        <v>43858</v>
      </c>
      <c r="B348" t="s">
        <v>417</v>
      </c>
      <c r="C348">
        <v>1</v>
      </c>
      <c r="E348">
        <v>8</v>
      </c>
      <c r="F348">
        <v>6</v>
      </c>
      <c r="G348">
        <v>5</v>
      </c>
      <c r="H348" t="s">
        <v>15</v>
      </c>
      <c r="I348">
        <v>1</v>
      </c>
      <c r="J348">
        <v>7</v>
      </c>
      <c r="K348">
        <v>60</v>
      </c>
      <c r="M348" t="s">
        <v>63</v>
      </c>
      <c r="N348" t="s">
        <v>67</v>
      </c>
      <c r="P348">
        <f>IFERROR(IF(AND(tbl_daily[[#This Row],[Attendance (1 = Here, 0 = Not here)]]=1,tbl_daily[[#This Row],[Attended, but did not complete data]]&lt;&gt;1),tbl_daily[[#This Row],[Stress]]+tbl_daily[[#This Row],[SleepQuality]]+tbl_daily[[#This Row],[Energy]],""),"")</f>
        <v>19</v>
      </c>
      <c r="Q348">
        <f>IFERROR(IF(AND(tbl_daily[[#This Row],[Attendance (1 = Here, 0 = Not here)]]=1,tbl_daily[[#This Row],[Attended, but did not complete data]]&lt;&gt;1),tbl_daily[[#This Row],[LatestRPE]]*tbl_daily[[#This Row],[LatestDuration]],""),"")</f>
        <v>420</v>
      </c>
      <c r="R348">
        <f>IF(tbl_daily[[#This Row],[CodeName]]&lt;&gt;"",1,"")</f>
        <v>1</v>
      </c>
      <c r="S348" t="str">
        <f>IF(AND(tbl_daily[[#This Row],[Date]]&gt;=DATE(2019,8,1),tbl_daily[[#This Row],[Date]]&lt;=DATE(2020,6,1)),"2019-2020")</f>
        <v>2019-2020</v>
      </c>
      <c r="T348" t="str">
        <f>IFERROR(INDEX(tbl_prof[Cohort of Interest],MATCH(tbl_daily[[#This Row],[CodeName]],tbl_prof[CodeName],0)),"")</f>
        <v>Gen Pop</v>
      </c>
      <c r="U348">
        <f>IFERROR(AVERAGEIFS(tbl_perf[Grade],tbl_perf[CodeName],tbl_daily[[#This Row],[CodeName]],tbl_perf[Date],tbl_daily[[#This Row],[Date]]),"")</f>
        <v>83</v>
      </c>
      <c r="V348">
        <f>IFERROR(IF(AND(tbl_daily[[#This Row],[Attendance (1 = Here, 0 = Not here)]]=1,tbl_daily[[#This Row],[Attended, but did not complete data]]&lt;&gt;1),1,IF(AND(tbl_daily[[#This Row],[Attendance (1 = Here, 0 = Not here)]]=1,tbl_daily[[#This Row],[Attended, but did not complete data]]=1),2,3)),"")</f>
        <v>1</v>
      </c>
      <c r="W348">
        <f>IF(AND(tbl_daily[[#This Row],[Attendance Refined]]=1,tbl_daily[[#This Row],[InjuryStatus]]="Full"),1,IF(AND(tbl_daily[[#This Row],[Attendance Refined]]=1,tbl_daily[[#This Row],[InjuryStatus]]="Limited"),2,IF(AND(tbl_daily[[#This Row],[Attendance Refined]]=1,tbl_daily[[#This Row],[InjuryStatus]]="Out"),3,"")))</f>
        <v>1</v>
      </c>
    </row>
    <row r="349" spans="1:23" ht="15" customHeight="1" x14ac:dyDescent="0.25">
      <c r="A349" s="1">
        <v>43858</v>
      </c>
      <c r="B349" t="s">
        <v>421</v>
      </c>
      <c r="C349">
        <v>1</v>
      </c>
      <c r="E349">
        <v>8</v>
      </c>
      <c r="F349">
        <v>8</v>
      </c>
      <c r="G349">
        <v>8</v>
      </c>
      <c r="H349" t="s">
        <v>15</v>
      </c>
      <c r="I349">
        <v>1</v>
      </c>
      <c r="J349">
        <v>7</v>
      </c>
      <c r="K349">
        <v>60</v>
      </c>
      <c r="M349" t="s">
        <v>63</v>
      </c>
      <c r="N349" t="s">
        <v>72</v>
      </c>
      <c r="P349">
        <f>IFERROR(IF(AND(tbl_daily[[#This Row],[Attendance (1 = Here, 0 = Not here)]]=1,tbl_daily[[#This Row],[Attended, but did not complete data]]&lt;&gt;1),tbl_daily[[#This Row],[Stress]]+tbl_daily[[#This Row],[SleepQuality]]+tbl_daily[[#This Row],[Energy]],""),"")</f>
        <v>24</v>
      </c>
      <c r="Q349">
        <f>IFERROR(IF(AND(tbl_daily[[#This Row],[Attendance (1 = Here, 0 = Not here)]]=1,tbl_daily[[#This Row],[Attended, but did not complete data]]&lt;&gt;1),tbl_daily[[#This Row],[LatestRPE]]*tbl_daily[[#This Row],[LatestDuration]],""),"")</f>
        <v>420</v>
      </c>
      <c r="R349">
        <f>IF(tbl_daily[[#This Row],[CodeName]]&lt;&gt;"",1,"")</f>
        <v>1</v>
      </c>
      <c r="S349" t="str">
        <f>IF(AND(tbl_daily[[#This Row],[Date]]&gt;=DATE(2019,8,1),tbl_daily[[#This Row],[Date]]&lt;=DATE(2020,6,1)),"2019-2020")</f>
        <v>2019-2020</v>
      </c>
      <c r="T349" t="str">
        <f>IFERROR(INDEX(tbl_prof[Cohort of Interest],MATCH(tbl_daily[[#This Row],[CodeName]],tbl_prof[CodeName],0)),"")</f>
        <v>Athletes</v>
      </c>
      <c r="U349">
        <f>IFERROR(AVERAGEIFS(tbl_perf[Grade],tbl_perf[CodeName],tbl_daily[[#This Row],[CodeName]],tbl_perf[Date],tbl_daily[[#This Row],[Date]]),"")</f>
        <v>83</v>
      </c>
      <c r="V349">
        <f>IFERROR(IF(AND(tbl_daily[[#This Row],[Attendance (1 = Here, 0 = Not here)]]=1,tbl_daily[[#This Row],[Attended, but did not complete data]]&lt;&gt;1),1,IF(AND(tbl_daily[[#This Row],[Attendance (1 = Here, 0 = Not here)]]=1,tbl_daily[[#This Row],[Attended, but did not complete data]]=1),2,3)),"")</f>
        <v>1</v>
      </c>
      <c r="W349">
        <f>IF(AND(tbl_daily[[#This Row],[Attendance Refined]]=1,tbl_daily[[#This Row],[InjuryStatus]]="Full"),1,IF(AND(tbl_daily[[#This Row],[Attendance Refined]]=1,tbl_daily[[#This Row],[InjuryStatus]]="Limited"),2,IF(AND(tbl_daily[[#This Row],[Attendance Refined]]=1,tbl_daily[[#This Row],[InjuryStatus]]="Out"),3,"")))</f>
        <v>1</v>
      </c>
    </row>
    <row r="350" spans="1:23" ht="15" customHeight="1" x14ac:dyDescent="0.25">
      <c r="A350" s="1">
        <v>43858</v>
      </c>
      <c r="B350" t="s">
        <v>422</v>
      </c>
      <c r="C350">
        <v>1</v>
      </c>
      <c r="E350">
        <v>8</v>
      </c>
      <c r="F350">
        <v>8</v>
      </c>
      <c r="G350">
        <v>8</v>
      </c>
      <c r="H350" t="s">
        <v>15</v>
      </c>
      <c r="I350">
        <v>1</v>
      </c>
      <c r="J350">
        <v>7</v>
      </c>
      <c r="K350">
        <v>60</v>
      </c>
      <c r="M350" t="s">
        <v>63</v>
      </c>
      <c r="N350" t="s">
        <v>72</v>
      </c>
      <c r="P350">
        <f>IFERROR(IF(AND(tbl_daily[[#This Row],[Attendance (1 = Here, 0 = Not here)]]=1,tbl_daily[[#This Row],[Attended, but did not complete data]]&lt;&gt;1),tbl_daily[[#This Row],[Stress]]+tbl_daily[[#This Row],[SleepQuality]]+tbl_daily[[#This Row],[Energy]],""),"")</f>
        <v>24</v>
      </c>
      <c r="Q350">
        <f>IFERROR(IF(AND(tbl_daily[[#This Row],[Attendance (1 = Here, 0 = Not here)]]=1,tbl_daily[[#This Row],[Attended, but did not complete data]]&lt;&gt;1),tbl_daily[[#This Row],[LatestRPE]]*tbl_daily[[#This Row],[LatestDuration]],""),"")</f>
        <v>420</v>
      </c>
      <c r="R350">
        <f>IF(tbl_daily[[#This Row],[CodeName]]&lt;&gt;"",1,"")</f>
        <v>1</v>
      </c>
      <c r="S350" t="str">
        <f>IF(AND(tbl_daily[[#This Row],[Date]]&gt;=DATE(2019,8,1),tbl_daily[[#This Row],[Date]]&lt;=DATE(2020,6,1)),"2019-2020")</f>
        <v>2019-2020</v>
      </c>
      <c r="T350" t="str">
        <f>IFERROR(INDEX(tbl_prof[Cohort of Interest],MATCH(tbl_daily[[#This Row],[CodeName]],tbl_prof[CodeName],0)),"")</f>
        <v>Athletes</v>
      </c>
      <c r="U350">
        <f>IFERROR(AVERAGEIFS(tbl_perf[Grade],tbl_perf[CodeName],tbl_daily[[#This Row],[CodeName]],tbl_perf[Date],tbl_daily[[#This Row],[Date]]),"")</f>
        <v>87</v>
      </c>
      <c r="V350">
        <f>IFERROR(IF(AND(tbl_daily[[#This Row],[Attendance (1 = Here, 0 = Not here)]]=1,tbl_daily[[#This Row],[Attended, but did not complete data]]&lt;&gt;1),1,IF(AND(tbl_daily[[#This Row],[Attendance (1 = Here, 0 = Not here)]]=1,tbl_daily[[#This Row],[Attended, but did not complete data]]=1),2,3)),"")</f>
        <v>1</v>
      </c>
      <c r="W350">
        <f>IF(AND(tbl_daily[[#This Row],[Attendance Refined]]=1,tbl_daily[[#This Row],[InjuryStatus]]="Full"),1,IF(AND(tbl_daily[[#This Row],[Attendance Refined]]=1,tbl_daily[[#This Row],[InjuryStatus]]="Limited"),2,IF(AND(tbl_daily[[#This Row],[Attendance Refined]]=1,tbl_daily[[#This Row],[InjuryStatus]]="Out"),3,"")))</f>
        <v>1</v>
      </c>
    </row>
    <row r="351" spans="1:23" ht="15" customHeight="1" x14ac:dyDescent="0.25">
      <c r="A351" s="1">
        <v>43858</v>
      </c>
      <c r="B351" t="s">
        <v>426</v>
      </c>
      <c r="C351">
        <v>1</v>
      </c>
      <c r="E351">
        <v>8</v>
      </c>
      <c r="F351">
        <v>8</v>
      </c>
      <c r="G351">
        <v>8</v>
      </c>
      <c r="H351" t="s">
        <v>15</v>
      </c>
      <c r="I351">
        <v>1</v>
      </c>
      <c r="J351">
        <v>7</v>
      </c>
      <c r="K351">
        <v>60</v>
      </c>
      <c r="M351" t="s">
        <v>63</v>
      </c>
      <c r="N351" t="s">
        <v>75</v>
      </c>
      <c r="P351">
        <f>IFERROR(IF(AND(tbl_daily[[#This Row],[Attendance (1 = Here, 0 = Not here)]]=1,tbl_daily[[#This Row],[Attended, but did not complete data]]&lt;&gt;1),tbl_daily[[#This Row],[Stress]]+tbl_daily[[#This Row],[SleepQuality]]+tbl_daily[[#This Row],[Energy]],""),"")</f>
        <v>24</v>
      </c>
      <c r="Q351">
        <f>IFERROR(IF(AND(tbl_daily[[#This Row],[Attendance (1 = Here, 0 = Not here)]]=1,tbl_daily[[#This Row],[Attended, but did not complete data]]&lt;&gt;1),tbl_daily[[#This Row],[LatestRPE]]*tbl_daily[[#This Row],[LatestDuration]],""),"")</f>
        <v>420</v>
      </c>
      <c r="R351">
        <f>IF(tbl_daily[[#This Row],[CodeName]]&lt;&gt;"",1,"")</f>
        <v>1</v>
      </c>
      <c r="S351" t="str">
        <f>IF(AND(tbl_daily[[#This Row],[Date]]&gt;=DATE(2019,8,1),tbl_daily[[#This Row],[Date]]&lt;=DATE(2020,6,1)),"2019-2020")</f>
        <v>2019-2020</v>
      </c>
      <c r="T351" t="str">
        <f>IFERROR(INDEX(tbl_prof[Cohort of Interest],MATCH(tbl_daily[[#This Row],[CodeName]],tbl_prof[CodeName],0)),"")</f>
        <v>Special</v>
      </c>
      <c r="U351">
        <f>IFERROR(AVERAGEIFS(tbl_perf[Grade],tbl_perf[CodeName],tbl_daily[[#This Row],[CodeName]],tbl_perf[Date],tbl_daily[[#This Row],[Date]]),"")</f>
        <v>97</v>
      </c>
      <c r="V351">
        <f>IFERROR(IF(AND(tbl_daily[[#This Row],[Attendance (1 = Here, 0 = Not here)]]=1,tbl_daily[[#This Row],[Attended, but did not complete data]]&lt;&gt;1),1,IF(AND(tbl_daily[[#This Row],[Attendance (1 = Here, 0 = Not here)]]=1,tbl_daily[[#This Row],[Attended, but did not complete data]]=1),2,3)),"")</f>
        <v>1</v>
      </c>
      <c r="W351">
        <f>IF(AND(tbl_daily[[#This Row],[Attendance Refined]]=1,tbl_daily[[#This Row],[InjuryStatus]]="Full"),1,IF(AND(tbl_daily[[#This Row],[Attendance Refined]]=1,tbl_daily[[#This Row],[InjuryStatus]]="Limited"),2,IF(AND(tbl_daily[[#This Row],[Attendance Refined]]=1,tbl_daily[[#This Row],[InjuryStatus]]="Out"),3,"")))</f>
        <v>1</v>
      </c>
    </row>
    <row r="352" spans="1:23" ht="15" customHeight="1" x14ac:dyDescent="0.25">
      <c r="A352" s="1">
        <v>43858</v>
      </c>
      <c r="B352" t="s">
        <v>429</v>
      </c>
      <c r="C352">
        <v>1</v>
      </c>
      <c r="E352">
        <v>7</v>
      </c>
      <c r="F352">
        <v>6</v>
      </c>
      <c r="G352">
        <v>5</v>
      </c>
      <c r="H352" t="s">
        <v>15</v>
      </c>
      <c r="I352">
        <v>1</v>
      </c>
      <c r="J352">
        <v>8</v>
      </c>
      <c r="K352">
        <v>60</v>
      </c>
      <c r="M352" t="s">
        <v>63</v>
      </c>
      <c r="N352" t="s">
        <v>67</v>
      </c>
      <c r="P352">
        <f>IFERROR(IF(AND(tbl_daily[[#This Row],[Attendance (1 = Here, 0 = Not here)]]=1,tbl_daily[[#This Row],[Attended, but did not complete data]]&lt;&gt;1),tbl_daily[[#This Row],[Stress]]+tbl_daily[[#This Row],[SleepQuality]]+tbl_daily[[#This Row],[Energy]],""),"")</f>
        <v>18</v>
      </c>
      <c r="Q352">
        <f>IFERROR(IF(AND(tbl_daily[[#This Row],[Attendance (1 = Here, 0 = Not here)]]=1,tbl_daily[[#This Row],[Attended, but did not complete data]]&lt;&gt;1),tbl_daily[[#This Row],[LatestRPE]]*tbl_daily[[#This Row],[LatestDuration]],""),"")</f>
        <v>480</v>
      </c>
      <c r="R352">
        <f>IF(tbl_daily[[#This Row],[CodeName]]&lt;&gt;"",1,"")</f>
        <v>1</v>
      </c>
      <c r="S352" t="str">
        <f>IF(AND(tbl_daily[[#This Row],[Date]]&gt;=DATE(2019,8,1),tbl_daily[[#This Row],[Date]]&lt;=DATE(2020,6,1)),"2019-2020")</f>
        <v>2019-2020</v>
      </c>
      <c r="T352" t="str">
        <f>IFERROR(INDEX(tbl_prof[Cohort of Interest],MATCH(tbl_daily[[#This Row],[CodeName]],tbl_prof[CodeName],0)),"")</f>
        <v>Gen Pop</v>
      </c>
      <c r="U352">
        <f>IFERROR(AVERAGEIFS(tbl_perf[Grade],tbl_perf[CodeName],tbl_daily[[#This Row],[CodeName]],tbl_perf[Date],tbl_daily[[#This Row],[Date]]),"")</f>
        <v>87</v>
      </c>
      <c r="V352">
        <f>IFERROR(IF(AND(tbl_daily[[#This Row],[Attendance (1 = Here, 0 = Not here)]]=1,tbl_daily[[#This Row],[Attended, but did not complete data]]&lt;&gt;1),1,IF(AND(tbl_daily[[#This Row],[Attendance (1 = Here, 0 = Not here)]]=1,tbl_daily[[#This Row],[Attended, but did not complete data]]=1),2,3)),"")</f>
        <v>1</v>
      </c>
      <c r="W352">
        <f>IF(AND(tbl_daily[[#This Row],[Attendance Refined]]=1,tbl_daily[[#This Row],[InjuryStatus]]="Full"),1,IF(AND(tbl_daily[[#This Row],[Attendance Refined]]=1,tbl_daily[[#This Row],[InjuryStatus]]="Limited"),2,IF(AND(tbl_daily[[#This Row],[Attendance Refined]]=1,tbl_daily[[#This Row],[InjuryStatus]]="Out"),3,"")))</f>
        <v>1</v>
      </c>
    </row>
    <row r="353" spans="1:23" ht="15" customHeight="1" x14ac:dyDescent="0.25">
      <c r="A353" s="1">
        <v>43858</v>
      </c>
      <c r="B353" t="s">
        <v>433</v>
      </c>
      <c r="C353">
        <v>1</v>
      </c>
      <c r="E353">
        <v>7</v>
      </c>
      <c r="F353">
        <v>8</v>
      </c>
      <c r="G353">
        <v>9</v>
      </c>
      <c r="H353" t="s">
        <v>32</v>
      </c>
      <c r="I353">
        <v>1</v>
      </c>
      <c r="J353">
        <v>6</v>
      </c>
      <c r="K353">
        <v>150</v>
      </c>
      <c r="M353" t="s">
        <v>63</v>
      </c>
      <c r="N353" t="s">
        <v>84</v>
      </c>
      <c r="P353">
        <f>IFERROR(IF(AND(tbl_daily[[#This Row],[Attendance (1 = Here, 0 = Not here)]]=1,tbl_daily[[#This Row],[Attended, but did not complete data]]&lt;&gt;1),tbl_daily[[#This Row],[Stress]]+tbl_daily[[#This Row],[SleepQuality]]+tbl_daily[[#This Row],[Energy]],""),"")</f>
        <v>24</v>
      </c>
      <c r="Q353">
        <f>IFERROR(IF(AND(tbl_daily[[#This Row],[Attendance (1 = Here, 0 = Not here)]]=1,tbl_daily[[#This Row],[Attended, but did not complete data]]&lt;&gt;1),tbl_daily[[#This Row],[LatestRPE]]*tbl_daily[[#This Row],[LatestDuration]],""),"")</f>
        <v>900</v>
      </c>
      <c r="R353">
        <f>IF(tbl_daily[[#This Row],[CodeName]]&lt;&gt;"",1,"")</f>
        <v>1</v>
      </c>
      <c r="S353" t="str">
        <f>IF(AND(tbl_daily[[#This Row],[Date]]&gt;=DATE(2019,8,1),tbl_daily[[#This Row],[Date]]&lt;=DATE(2020,6,1)),"2019-2020")</f>
        <v>2019-2020</v>
      </c>
      <c r="T353" t="str">
        <f>IFERROR(INDEX(tbl_prof[Cohort of Interest],MATCH(tbl_daily[[#This Row],[CodeName]],tbl_prof[CodeName],0)),"")</f>
        <v>Athletes</v>
      </c>
      <c r="U353">
        <f>IFERROR(AVERAGEIFS(tbl_perf[Grade],tbl_perf[CodeName],tbl_daily[[#This Row],[CodeName]],tbl_perf[Date],tbl_daily[[#This Row],[Date]]),"")</f>
        <v>84</v>
      </c>
      <c r="V353">
        <f>IFERROR(IF(AND(tbl_daily[[#This Row],[Attendance (1 = Here, 0 = Not here)]]=1,tbl_daily[[#This Row],[Attended, but did not complete data]]&lt;&gt;1),1,IF(AND(tbl_daily[[#This Row],[Attendance (1 = Here, 0 = Not here)]]=1,tbl_daily[[#This Row],[Attended, but did not complete data]]=1),2,3)),"")</f>
        <v>1</v>
      </c>
      <c r="W353">
        <f>IF(AND(tbl_daily[[#This Row],[Attendance Refined]]=1,tbl_daily[[#This Row],[InjuryStatus]]="Full"),1,IF(AND(tbl_daily[[#This Row],[Attendance Refined]]=1,tbl_daily[[#This Row],[InjuryStatus]]="Limited"),2,IF(AND(tbl_daily[[#This Row],[Attendance Refined]]=1,tbl_daily[[#This Row],[InjuryStatus]]="Out"),3,"")))</f>
        <v>2</v>
      </c>
    </row>
    <row r="354" spans="1:23" ht="15" customHeight="1" x14ac:dyDescent="0.25">
      <c r="A354" s="1">
        <v>43858</v>
      </c>
      <c r="B354" t="s">
        <v>418</v>
      </c>
      <c r="C354">
        <v>1</v>
      </c>
      <c r="E354">
        <v>9</v>
      </c>
      <c r="F354">
        <v>10</v>
      </c>
      <c r="G354">
        <v>9</v>
      </c>
      <c r="H354" t="s">
        <v>32</v>
      </c>
      <c r="I354">
        <v>1</v>
      </c>
      <c r="J354">
        <v>7</v>
      </c>
      <c r="K354">
        <v>160</v>
      </c>
      <c r="M354" t="s">
        <v>63</v>
      </c>
      <c r="N354" t="s">
        <v>69</v>
      </c>
      <c r="P354">
        <f>IFERROR(IF(AND(tbl_daily[[#This Row],[Attendance (1 = Here, 0 = Not here)]]=1,tbl_daily[[#This Row],[Attended, but did not complete data]]&lt;&gt;1),tbl_daily[[#This Row],[Stress]]+tbl_daily[[#This Row],[SleepQuality]]+tbl_daily[[#This Row],[Energy]],""),"")</f>
        <v>28</v>
      </c>
      <c r="Q354">
        <f>IFERROR(IF(AND(tbl_daily[[#This Row],[Attendance (1 = Here, 0 = Not here)]]=1,tbl_daily[[#This Row],[Attended, but did not complete data]]&lt;&gt;1),tbl_daily[[#This Row],[LatestRPE]]*tbl_daily[[#This Row],[LatestDuration]],""),"")</f>
        <v>1120</v>
      </c>
      <c r="R354">
        <f>IF(tbl_daily[[#This Row],[CodeName]]&lt;&gt;"",1,"")</f>
        <v>1</v>
      </c>
      <c r="S354" t="str">
        <f>IF(AND(tbl_daily[[#This Row],[Date]]&gt;=DATE(2019,8,1),tbl_daily[[#This Row],[Date]]&lt;=DATE(2020,6,1)),"2019-2020")</f>
        <v>2019-2020</v>
      </c>
      <c r="T354" t="str">
        <f>IFERROR(INDEX(tbl_prof[Cohort of Interest],MATCH(tbl_daily[[#This Row],[CodeName]],tbl_prof[CodeName],0)),"")</f>
        <v>Special</v>
      </c>
      <c r="U354">
        <f>IFERROR(AVERAGEIFS(tbl_perf[Grade],tbl_perf[CodeName],tbl_daily[[#This Row],[CodeName]],tbl_perf[Date],tbl_daily[[#This Row],[Date]]),"")</f>
        <v>99</v>
      </c>
      <c r="V354">
        <f>IFERROR(IF(AND(tbl_daily[[#This Row],[Attendance (1 = Here, 0 = Not here)]]=1,tbl_daily[[#This Row],[Attended, but did not complete data]]&lt;&gt;1),1,IF(AND(tbl_daily[[#This Row],[Attendance (1 = Here, 0 = Not here)]]=1,tbl_daily[[#This Row],[Attended, but did not complete data]]=1),2,3)),"")</f>
        <v>1</v>
      </c>
      <c r="W354">
        <f>IF(AND(tbl_daily[[#This Row],[Attendance Refined]]=1,tbl_daily[[#This Row],[InjuryStatus]]="Full"),1,IF(AND(tbl_daily[[#This Row],[Attendance Refined]]=1,tbl_daily[[#This Row],[InjuryStatus]]="Limited"),2,IF(AND(tbl_daily[[#This Row],[Attendance Refined]]=1,tbl_daily[[#This Row],[InjuryStatus]]="Out"),3,"")))</f>
        <v>2</v>
      </c>
    </row>
    <row r="355" spans="1:23" ht="15" customHeight="1" x14ac:dyDescent="0.25">
      <c r="A355" s="1">
        <v>43858</v>
      </c>
      <c r="B355" t="s">
        <v>415</v>
      </c>
      <c r="C355">
        <v>0</v>
      </c>
      <c r="D355">
        <v>1</v>
      </c>
      <c r="M355" t="s">
        <v>63</v>
      </c>
      <c r="P355" t="str">
        <f>IFERROR(IF(AND(tbl_daily[[#This Row],[Attendance (1 = Here, 0 = Not here)]]=1,tbl_daily[[#This Row],[Attended, but did not complete data]]&lt;&gt;1),tbl_daily[[#This Row],[Stress]]+tbl_daily[[#This Row],[SleepQuality]]+tbl_daily[[#This Row],[Energy]],""),"")</f>
        <v/>
      </c>
      <c r="Q355" t="str">
        <f>IFERROR(IF(AND(tbl_daily[[#This Row],[Attendance (1 = Here, 0 = Not here)]]=1,tbl_daily[[#This Row],[Attended, but did not complete data]]&lt;&gt;1),tbl_daily[[#This Row],[LatestRPE]]*tbl_daily[[#This Row],[LatestDuration]],""),"")</f>
        <v/>
      </c>
      <c r="R355">
        <f>IF(tbl_daily[[#This Row],[CodeName]]&lt;&gt;"",1,"")</f>
        <v>1</v>
      </c>
      <c r="S355" t="str">
        <f>IF(AND(tbl_daily[[#This Row],[Date]]&gt;=DATE(2019,8,1),tbl_daily[[#This Row],[Date]]&lt;=DATE(2020,6,1)),"2019-2020")</f>
        <v>2019-2020</v>
      </c>
      <c r="T355" t="str">
        <f>IFERROR(INDEX(tbl_prof[Cohort of Interest],MATCH(tbl_daily[[#This Row],[CodeName]],tbl_prof[CodeName],0)),"")</f>
        <v>Youth</v>
      </c>
      <c r="U355">
        <f>IFERROR(AVERAGEIFS(tbl_perf[Grade],tbl_perf[CodeName],tbl_daily[[#This Row],[CodeName]],tbl_perf[Date],tbl_daily[[#This Row],[Date]]),"")</f>
        <v>92</v>
      </c>
      <c r="V355">
        <f>IFERROR(IF(AND(tbl_daily[[#This Row],[Attendance (1 = Here, 0 = Not here)]]=1,tbl_daily[[#This Row],[Attended, but did not complete data]]&lt;&gt;1),1,IF(AND(tbl_daily[[#This Row],[Attendance (1 = Here, 0 = Not here)]]=1,tbl_daily[[#This Row],[Attended, but did not complete data]]=1),2,3)),"")</f>
        <v>3</v>
      </c>
      <c r="W355" t="str">
        <f>IF(AND(tbl_daily[[#This Row],[Attendance Refined]]=1,tbl_daily[[#This Row],[InjuryStatus]]="Full"),1,IF(AND(tbl_daily[[#This Row],[Attendance Refined]]=1,tbl_daily[[#This Row],[InjuryStatus]]="Limited"),2,IF(AND(tbl_daily[[#This Row],[Attendance Refined]]=1,tbl_daily[[#This Row],[InjuryStatus]]="Out"),3,"")))</f>
        <v/>
      </c>
    </row>
    <row r="356" spans="1:23" ht="15" customHeight="1" x14ac:dyDescent="0.25">
      <c r="A356" s="1">
        <v>43853</v>
      </c>
      <c r="B356" t="s">
        <v>416</v>
      </c>
      <c r="C356">
        <v>1</v>
      </c>
      <c r="E356">
        <v>6</v>
      </c>
      <c r="F356">
        <v>7</v>
      </c>
      <c r="G356">
        <v>6</v>
      </c>
      <c r="H356" t="s">
        <v>32</v>
      </c>
      <c r="I356">
        <v>0</v>
      </c>
      <c r="J356">
        <v>0</v>
      </c>
      <c r="K356">
        <v>0</v>
      </c>
      <c r="M356" t="s">
        <v>34</v>
      </c>
      <c r="N356" t="s">
        <v>39</v>
      </c>
      <c r="P356">
        <f>IFERROR(IF(AND(tbl_daily[[#This Row],[Attendance (1 = Here, 0 = Not here)]]=1,tbl_daily[[#This Row],[Attended, but did not complete data]]&lt;&gt;1),tbl_daily[[#This Row],[Stress]]+tbl_daily[[#This Row],[SleepQuality]]+tbl_daily[[#This Row],[Energy]],""),"")</f>
        <v>19</v>
      </c>
      <c r="Q356">
        <f>IFERROR(IF(AND(tbl_daily[[#This Row],[Attendance (1 = Here, 0 = Not here)]]=1,tbl_daily[[#This Row],[Attended, but did not complete data]]&lt;&gt;1),tbl_daily[[#This Row],[LatestRPE]]*tbl_daily[[#This Row],[LatestDuration]],""),"")</f>
        <v>0</v>
      </c>
      <c r="R356">
        <f>IF(tbl_daily[[#This Row],[CodeName]]&lt;&gt;"",1,"")</f>
        <v>1</v>
      </c>
      <c r="S356" t="str">
        <f>IF(AND(tbl_daily[[#This Row],[Date]]&gt;=DATE(2019,8,1),tbl_daily[[#This Row],[Date]]&lt;=DATE(2020,6,1)),"2019-2020")</f>
        <v>2019-2020</v>
      </c>
      <c r="T356" t="str">
        <f>IFERROR(INDEX(tbl_prof[Cohort of Interest],MATCH(tbl_daily[[#This Row],[CodeName]],tbl_prof[CodeName],0)),"")</f>
        <v>Special</v>
      </c>
      <c r="U356" t="str">
        <f>IFERROR(AVERAGEIFS(tbl_perf[Grade],tbl_perf[CodeName],tbl_daily[[#This Row],[CodeName]],tbl_perf[Date],tbl_daily[[#This Row],[Date]]),"")</f>
        <v/>
      </c>
      <c r="V356">
        <f>IFERROR(IF(AND(tbl_daily[[#This Row],[Attendance (1 = Here, 0 = Not here)]]=1,tbl_daily[[#This Row],[Attended, but did not complete data]]&lt;&gt;1),1,IF(AND(tbl_daily[[#This Row],[Attendance (1 = Here, 0 = Not here)]]=1,tbl_daily[[#This Row],[Attended, but did not complete data]]=1),2,3)),"")</f>
        <v>1</v>
      </c>
      <c r="W356">
        <f>IF(AND(tbl_daily[[#This Row],[Attendance Refined]]=1,tbl_daily[[#This Row],[InjuryStatus]]="Full"),1,IF(AND(tbl_daily[[#This Row],[Attendance Refined]]=1,tbl_daily[[#This Row],[InjuryStatus]]="Limited"),2,IF(AND(tbl_daily[[#This Row],[Attendance Refined]]=1,tbl_daily[[#This Row],[InjuryStatus]]="Out"),3,"")))</f>
        <v>2</v>
      </c>
    </row>
    <row r="357" spans="1:23" ht="15" customHeight="1" x14ac:dyDescent="0.25">
      <c r="A357" s="1">
        <v>43853</v>
      </c>
      <c r="B357" t="s">
        <v>418</v>
      </c>
      <c r="C357">
        <v>1</v>
      </c>
      <c r="E357">
        <v>10</v>
      </c>
      <c r="F357">
        <v>10</v>
      </c>
      <c r="G357">
        <v>8</v>
      </c>
      <c r="H357" t="s">
        <v>32</v>
      </c>
      <c r="I357">
        <v>0</v>
      </c>
      <c r="J357">
        <v>0</v>
      </c>
      <c r="K357">
        <v>0</v>
      </c>
      <c r="M357" t="s">
        <v>34</v>
      </c>
      <c r="N357" t="s">
        <v>41</v>
      </c>
      <c r="P357">
        <f>IFERROR(IF(AND(tbl_daily[[#This Row],[Attendance (1 = Here, 0 = Not here)]]=1,tbl_daily[[#This Row],[Attended, but did not complete data]]&lt;&gt;1),tbl_daily[[#This Row],[Stress]]+tbl_daily[[#This Row],[SleepQuality]]+tbl_daily[[#This Row],[Energy]],""),"")</f>
        <v>28</v>
      </c>
      <c r="Q357">
        <f>IFERROR(IF(AND(tbl_daily[[#This Row],[Attendance (1 = Here, 0 = Not here)]]=1,tbl_daily[[#This Row],[Attended, but did not complete data]]&lt;&gt;1),tbl_daily[[#This Row],[LatestRPE]]*tbl_daily[[#This Row],[LatestDuration]],""),"")</f>
        <v>0</v>
      </c>
      <c r="R357">
        <f>IF(tbl_daily[[#This Row],[CodeName]]&lt;&gt;"",1,"")</f>
        <v>1</v>
      </c>
      <c r="S357" t="str">
        <f>IF(AND(tbl_daily[[#This Row],[Date]]&gt;=DATE(2019,8,1),tbl_daily[[#This Row],[Date]]&lt;=DATE(2020,6,1)),"2019-2020")</f>
        <v>2019-2020</v>
      </c>
      <c r="T357" t="str">
        <f>IFERROR(INDEX(tbl_prof[Cohort of Interest],MATCH(tbl_daily[[#This Row],[CodeName]],tbl_prof[CodeName],0)),"")</f>
        <v>Special</v>
      </c>
      <c r="U357" t="str">
        <f>IFERROR(AVERAGEIFS(tbl_perf[Grade],tbl_perf[CodeName],tbl_daily[[#This Row],[CodeName]],tbl_perf[Date],tbl_daily[[#This Row],[Date]]),"")</f>
        <v/>
      </c>
      <c r="V357">
        <f>IFERROR(IF(AND(tbl_daily[[#This Row],[Attendance (1 = Here, 0 = Not here)]]=1,tbl_daily[[#This Row],[Attended, but did not complete data]]&lt;&gt;1),1,IF(AND(tbl_daily[[#This Row],[Attendance (1 = Here, 0 = Not here)]]=1,tbl_daily[[#This Row],[Attended, but did not complete data]]=1),2,3)),"")</f>
        <v>1</v>
      </c>
      <c r="W357">
        <f>IF(AND(tbl_daily[[#This Row],[Attendance Refined]]=1,tbl_daily[[#This Row],[InjuryStatus]]="Full"),1,IF(AND(tbl_daily[[#This Row],[Attendance Refined]]=1,tbl_daily[[#This Row],[InjuryStatus]]="Limited"),2,IF(AND(tbl_daily[[#This Row],[Attendance Refined]]=1,tbl_daily[[#This Row],[InjuryStatus]]="Out"),3,"")))</f>
        <v>2</v>
      </c>
    </row>
    <row r="358" spans="1:23" ht="15" customHeight="1" x14ac:dyDescent="0.25">
      <c r="A358" s="1">
        <v>43853</v>
      </c>
      <c r="B358" t="s">
        <v>420</v>
      </c>
      <c r="C358">
        <v>1</v>
      </c>
      <c r="E358">
        <v>9</v>
      </c>
      <c r="F358">
        <v>10</v>
      </c>
      <c r="G358">
        <v>7</v>
      </c>
      <c r="H358" t="s">
        <v>15</v>
      </c>
      <c r="I358">
        <v>0</v>
      </c>
      <c r="J358">
        <v>0</v>
      </c>
      <c r="K358">
        <v>0</v>
      </c>
      <c r="M358" t="s">
        <v>34</v>
      </c>
      <c r="N358" t="s">
        <v>43</v>
      </c>
      <c r="P358">
        <f>IFERROR(IF(AND(tbl_daily[[#This Row],[Attendance (1 = Here, 0 = Not here)]]=1,tbl_daily[[#This Row],[Attended, but did not complete data]]&lt;&gt;1),tbl_daily[[#This Row],[Stress]]+tbl_daily[[#This Row],[SleepQuality]]+tbl_daily[[#This Row],[Energy]],""),"")</f>
        <v>26</v>
      </c>
      <c r="Q358">
        <f>IFERROR(IF(AND(tbl_daily[[#This Row],[Attendance (1 = Here, 0 = Not here)]]=1,tbl_daily[[#This Row],[Attended, but did not complete data]]&lt;&gt;1),tbl_daily[[#This Row],[LatestRPE]]*tbl_daily[[#This Row],[LatestDuration]],""),"")</f>
        <v>0</v>
      </c>
      <c r="R358">
        <f>IF(tbl_daily[[#This Row],[CodeName]]&lt;&gt;"",1,"")</f>
        <v>1</v>
      </c>
      <c r="S358" t="str">
        <f>IF(AND(tbl_daily[[#This Row],[Date]]&gt;=DATE(2019,8,1),tbl_daily[[#This Row],[Date]]&lt;=DATE(2020,6,1)),"2019-2020")</f>
        <v>2019-2020</v>
      </c>
      <c r="T358" t="str">
        <f>IFERROR(INDEX(tbl_prof[Cohort of Interest],MATCH(tbl_daily[[#This Row],[CodeName]],tbl_prof[CodeName],0)),"")</f>
        <v>Athletes</v>
      </c>
      <c r="U358" t="str">
        <f>IFERROR(AVERAGEIFS(tbl_perf[Grade],tbl_perf[CodeName],tbl_daily[[#This Row],[CodeName]],tbl_perf[Date],tbl_daily[[#This Row],[Date]]),"")</f>
        <v/>
      </c>
      <c r="V358">
        <f>IFERROR(IF(AND(tbl_daily[[#This Row],[Attendance (1 = Here, 0 = Not here)]]=1,tbl_daily[[#This Row],[Attended, but did not complete data]]&lt;&gt;1),1,IF(AND(tbl_daily[[#This Row],[Attendance (1 = Here, 0 = Not here)]]=1,tbl_daily[[#This Row],[Attended, but did not complete data]]=1),2,3)),"")</f>
        <v>1</v>
      </c>
      <c r="W358">
        <f>IF(AND(tbl_daily[[#This Row],[Attendance Refined]]=1,tbl_daily[[#This Row],[InjuryStatus]]="Full"),1,IF(AND(tbl_daily[[#This Row],[Attendance Refined]]=1,tbl_daily[[#This Row],[InjuryStatus]]="Limited"),2,IF(AND(tbl_daily[[#This Row],[Attendance Refined]]=1,tbl_daily[[#This Row],[InjuryStatus]]="Out"),3,"")))</f>
        <v>1</v>
      </c>
    </row>
    <row r="359" spans="1:23" ht="15" customHeight="1" x14ac:dyDescent="0.25">
      <c r="A359" s="1">
        <v>43853</v>
      </c>
      <c r="B359" t="s">
        <v>428</v>
      </c>
      <c r="C359">
        <v>1</v>
      </c>
      <c r="E359">
        <v>2</v>
      </c>
      <c r="F359">
        <v>8</v>
      </c>
      <c r="G359">
        <v>7</v>
      </c>
      <c r="H359" t="s">
        <v>15</v>
      </c>
      <c r="I359">
        <v>0</v>
      </c>
      <c r="J359">
        <v>0</v>
      </c>
      <c r="K359">
        <v>0</v>
      </c>
      <c r="M359" t="s">
        <v>34</v>
      </c>
      <c r="N359" t="s">
        <v>48</v>
      </c>
      <c r="P359">
        <f>IFERROR(IF(AND(tbl_daily[[#This Row],[Attendance (1 = Here, 0 = Not here)]]=1,tbl_daily[[#This Row],[Attended, but did not complete data]]&lt;&gt;1),tbl_daily[[#This Row],[Stress]]+tbl_daily[[#This Row],[SleepQuality]]+tbl_daily[[#This Row],[Energy]],""),"")</f>
        <v>17</v>
      </c>
      <c r="Q359">
        <f>IFERROR(IF(AND(tbl_daily[[#This Row],[Attendance (1 = Here, 0 = Not here)]]=1,tbl_daily[[#This Row],[Attended, but did not complete data]]&lt;&gt;1),tbl_daily[[#This Row],[LatestRPE]]*tbl_daily[[#This Row],[LatestDuration]],""),"")</f>
        <v>0</v>
      </c>
      <c r="R359">
        <f>IF(tbl_daily[[#This Row],[CodeName]]&lt;&gt;"",1,"")</f>
        <v>1</v>
      </c>
      <c r="S359" t="str">
        <f>IF(AND(tbl_daily[[#This Row],[Date]]&gt;=DATE(2019,8,1),tbl_daily[[#This Row],[Date]]&lt;=DATE(2020,6,1)),"2019-2020")</f>
        <v>2019-2020</v>
      </c>
      <c r="T359" t="str">
        <f>IFERROR(INDEX(tbl_prof[Cohort of Interest],MATCH(tbl_daily[[#This Row],[CodeName]],tbl_prof[CodeName],0)),"")</f>
        <v>Special</v>
      </c>
      <c r="U359" t="str">
        <f>IFERROR(AVERAGEIFS(tbl_perf[Grade],tbl_perf[CodeName],tbl_daily[[#This Row],[CodeName]],tbl_perf[Date],tbl_daily[[#This Row],[Date]]),"")</f>
        <v/>
      </c>
      <c r="V359">
        <f>IFERROR(IF(AND(tbl_daily[[#This Row],[Attendance (1 = Here, 0 = Not here)]]=1,tbl_daily[[#This Row],[Attended, but did not complete data]]&lt;&gt;1),1,IF(AND(tbl_daily[[#This Row],[Attendance (1 = Here, 0 = Not here)]]=1,tbl_daily[[#This Row],[Attended, but did not complete data]]=1),2,3)),"")</f>
        <v>1</v>
      </c>
      <c r="W359">
        <f>IF(AND(tbl_daily[[#This Row],[Attendance Refined]]=1,tbl_daily[[#This Row],[InjuryStatus]]="Full"),1,IF(AND(tbl_daily[[#This Row],[Attendance Refined]]=1,tbl_daily[[#This Row],[InjuryStatus]]="Limited"),2,IF(AND(tbl_daily[[#This Row],[Attendance Refined]]=1,tbl_daily[[#This Row],[InjuryStatus]]="Out"),3,"")))</f>
        <v>1</v>
      </c>
    </row>
    <row r="360" spans="1:23" ht="15" customHeight="1" x14ac:dyDescent="0.25">
      <c r="A360" s="1">
        <v>43853</v>
      </c>
      <c r="B360" t="s">
        <v>410</v>
      </c>
      <c r="C360">
        <v>1</v>
      </c>
      <c r="E360">
        <v>5</v>
      </c>
      <c r="F360">
        <v>6</v>
      </c>
      <c r="G360">
        <v>6</v>
      </c>
      <c r="H360" t="s">
        <v>15</v>
      </c>
      <c r="I360">
        <v>0</v>
      </c>
      <c r="J360">
        <v>0</v>
      </c>
      <c r="K360">
        <v>0</v>
      </c>
      <c r="M360" t="s">
        <v>34</v>
      </c>
      <c r="N360" t="s">
        <v>49</v>
      </c>
      <c r="P360">
        <f>IFERROR(IF(AND(tbl_daily[[#This Row],[Attendance (1 = Here, 0 = Not here)]]=1,tbl_daily[[#This Row],[Attended, but did not complete data]]&lt;&gt;1),tbl_daily[[#This Row],[Stress]]+tbl_daily[[#This Row],[SleepQuality]]+tbl_daily[[#This Row],[Energy]],""),"")</f>
        <v>17</v>
      </c>
      <c r="Q360">
        <f>IFERROR(IF(AND(tbl_daily[[#This Row],[Attendance (1 = Here, 0 = Not here)]]=1,tbl_daily[[#This Row],[Attended, but did not complete data]]&lt;&gt;1),tbl_daily[[#This Row],[LatestRPE]]*tbl_daily[[#This Row],[LatestDuration]],""),"")</f>
        <v>0</v>
      </c>
      <c r="R360">
        <f>IF(tbl_daily[[#This Row],[CodeName]]&lt;&gt;"",1,"")</f>
        <v>1</v>
      </c>
      <c r="S360" t="str">
        <f>IF(AND(tbl_daily[[#This Row],[Date]]&gt;=DATE(2019,8,1),tbl_daily[[#This Row],[Date]]&lt;=DATE(2020,6,1)),"2019-2020")</f>
        <v>2019-2020</v>
      </c>
      <c r="T360" t="str">
        <f>IFERROR(INDEX(tbl_prof[Cohort of Interest],MATCH(tbl_daily[[#This Row],[CodeName]],tbl_prof[CodeName],0)),"")</f>
        <v>Gen Pop</v>
      </c>
      <c r="U360" t="str">
        <f>IFERROR(AVERAGEIFS(tbl_perf[Grade],tbl_perf[CodeName],tbl_daily[[#This Row],[CodeName]],tbl_perf[Date],tbl_daily[[#This Row],[Date]]),"")</f>
        <v/>
      </c>
      <c r="V360">
        <f>IFERROR(IF(AND(tbl_daily[[#This Row],[Attendance (1 = Here, 0 = Not here)]]=1,tbl_daily[[#This Row],[Attended, but did not complete data]]&lt;&gt;1),1,IF(AND(tbl_daily[[#This Row],[Attendance (1 = Here, 0 = Not here)]]=1,tbl_daily[[#This Row],[Attended, but did not complete data]]=1),2,3)),"")</f>
        <v>1</v>
      </c>
      <c r="W360">
        <f>IF(AND(tbl_daily[[#This Row],[Attendance Refined]]=1,tbl_daily[[#This Row],[InjuryStatus]]="Full"),1,IF(AND(tbl_daily[[#This Row],[Attendance Refined]]=1,tbl_daily[[#This Row],[InjuryStatus]]="Limited"),2,IF(AND(tbl_daily[[#This Row],[Attendance Refined]]=1,tbl_daily[[#This Row],[InjuryStatus]]="Out"),3,"")))</f>
        <v>1</v>
      </c>
    </row>
    <row r="361" spans="1:23" ht="15" customHeight="1" x14ac:dyDescent="0.25">
      <c r="A361" s="1">
        <v>43853</v>
      </c>
      <c r="B361" t="s">
        <v>429</v>
      </c>
      <c r="C361">
        <v>1</v>
      </c>
      <c r="E361">
        <v>6</v>
      </c>
      <c r="F361">
        <v>6</v>
      </c>
      <c r="G361">
        <v>6</v>
      </c>
      <c r="H361" t="s">
        <v>15</v>
      </c>
      <c r="I361">
        <v>0</v>
      </c>
      <c r="J361">
        <v>0</v>
      </c>
      <c r="K361">
        <v>0</v>
      </c>
      <c r="M361" t="s">
        <v>34</v>
      </c>
      <c r="N361" t="s">
        <v>50</v>
      </c>
      <c r="P361">
        <f>IFERROR(IF(AND(tbl_daily[[#This Row],[Attendance (1 = Here, 0 = Not here)]]=1,tbl_daily[[#This Row],[Attended, but did not complete data]]&lt;&gt;1),tbl_daily[[#This Row],[Stress]]+tbl_daily[[#This Row],[SleepQuality]]+tbl_daily[[#This Row],[Energy]],""),"")</f>
        <v>18</v>
      </c>
      <c r="Q361">
        <f>IFERROR(IF(AND(tbl_daily[[#This Row],[Attendance (1 = Here, 0 = Not here)]]=1,tbl_daily[[#This Row],[Attended, but did not complete data]]&lt;&gt;1),tbl_daily[[#This Row],[LatestRPE]]*tbl_daily[[#This Row],[LatestDuration]],""),"")</f>
        <v>0</v>
      </c>
      <c r="R361">
        <f>IF(tbl_daily[[#This Row],[CodeName]]&lt;&gt;"",1,"")</f>
        <v>1</v>
      </c>
      <c r="S361" t="str">
        <f>IF(AND(tbl_daily[[#This Row],[Date]]&gt;=DATE(2019,8,1),tbl_daily[[#This Row],[Date]]&lt;=DATE(2020,6,1)),"2019-2020")</f>
        <v>2019-2020</v>
      </c>
      <c r="T361" t="str">
        <f>IFERROR(INDEX(tbl_prof[Cohort of Interest],MATCH(tbl_daily[[#This Row],[CodeName]],tbl_prof[CodeName],0)),"")</f>
        <v>Gen Pop</v>
      </c>
      <c r="U361" t="str">
        <f>IFERROR(AVERAGEIFS(tbl_perf[Grade],tbl_perf[CodeName],tbl_daily[[#This Row],[CodeName]],tbl_perf[Date],tbl_daily[[#This Row],[Date]]),"")</f>
        <v/>
      </c>
      <c r="V361">
        <f>IFERROR(IF(AND(tbl_daily[[#This Row],[Attendance (1 = Here, 0 = Not here)]]=1,tbl_daily[[#This Row],[Attended, but did not complete data]]&lt;&gt;1),1,IF(AND(tbl_daily[[#This Row],[Attendance (1 = Here, 0 = Not here)]]=1,tbl_daily[[#This Row],[Attended, but did not complete data]]=1),2,3)),"")</f>
        <v>1</v>
      </c>
      <c r="W361">
        <f>IF(AND(tbl_daily[[#This Row],[Attendance Refined]]=1,tbl_daily[[#This Row],[InjuryStatus]]="Full"),1,IF(AND(tbl_daily[[#This Row],[Attendance Refined]]=1,tbl_daily[[#This Row],[InjuryStatus]]="Limited"),2,IF(AND(tbl_daily[[#This Row],[Attendance Refined]]=1,tbl_daily[[#This Row],[InjuryStatus]]="Out"),3,"")))</f>
        <v>1</v>
      </c>
    </row>
    <row r="362" spans="1:23" ht="15" customHeight="1" x14ac:dyDescent="0.25">
      <c r="A362" s="1">
        <v>43853</v>
      </c>
      <c r="B362" t="s">
        <v>434</v>
      </c>
      <c r="C362">
        <v>1</v>
      </c>
      <c r="E362">
        <v>3</v>
      </c>
      <c r="F362">
        <v>7</v>
      </c>
      <c r="G362">
        <v>6</v>
      </c>
      <c r="H362" t="s">
        <v>15</v>
      </c>
      <c r="I362">
        <v>0</v>
      </c>
      <c r="J362">
        <v>0</v>
      </c>
      <c r="K362">
        <v>0</v>
      </c>
      <c r="M362" t="s">
        <v>34</v>
      </c>
      <c r="N362" t="s">
        <v>51</v>
      </c>
      <c r="P362">
        <f>IFERROR(IF(AND(tbl_daily[[#This Row],[Attendance (1 = Here, 0 = Not here)]]=1,tbl_daily[[#This Row],[Attended, but did not complete data]]&lt;&gt;1),tbl_daily[[#This Row],[Stress]]+tbl_daily[[#This Row],[SleepQuality]]+tbl_daily[[#This Row],[Energy]],""),"")</f>
        <v>16</v>
      </c>
      <c r="Q362">
        <f>IFERROR(IF(AND(tbl_daily[[#This Row],[Attendance (1 = Here, 0 = Not here)]]=1,tbl_daily[[#This Row],[Attended, but did not complete data]]&lt;&gt;1),tbl_daily[[#This Row],[LatestRPE]]*tbl_daily[[#This Row],[LatestDuration]],""),"")</f>
        <v>0</v>
      </c>
      <c r="R362">
        <f>IF(tbl_daily[[#This Row],[CodeName]]&lt;&gt;"",1,"")</f>
        <v>1</v>
      </c>
      <c r="S362" t="str">
        <f>IF(AND(tbl_daily[[#This Row],[Date]]&gt;=DATE(2019,8,1),tbl_daily[[#This Row],[Date]]&lt;=DATE(2020,6,1)),"2019-2020")</f>
        <v>2019-2020</v>
      </c>
      <c r="T362" t="str">
        <f>IFERROR(INDEX(tbl_prof[Cohort of Interest],MATCH(tbl_daily[[#This Row],[CodeName]],tbl_prof[CodeName],0)),"")</f>
        <v>Athletes</v>
      </c>
      <c r="U362" t="str">
        <f>IFERROR(AVERAGEIFS(tbl_perf[Grade],tbl_perf[CodeName],tbl_daily[[#This Row],[CodeName]],tbl_perf[Date],tbl_daily[[#This Row],[Date]]),"")</f>
        <v/>
      </c>
      <c r="V362">
        <f>IFERROR(IF(AND(tbl_daily[[#This Row],[Attendance (1 = Here, 0 = Not here)]]=1,tbl_daily[[#This Row],[Attended, but did not complete data]]&lt;&gt;1),1,IF(AND(tbl_daily[[#This Row],[Attendance (1 = Here, 0 = Not here)]]=1,tbl_daily[[#This Row],[Attended, but did not complete data]]=1),2,3)),"")</f>
        <v>1</v>
      </c>
      <c r="W362">
        <f>IF(AND(tbl_daily[[#This Row],[Attendance Refined]]=1,tbl_daily[[#This Row],[InjuryStatus]]="Full"),1,IF(AND(tbl_daily[[#This Row],[Attendance Refined]]=1,tbl_daily[[#This Row],[InjuryStatus]]="Limited"),2,IF(AND(tbl_daily[[#This Row],[Attendance Refined]]=1,tbl_daily[[#This Row],[InjuryStatus]]="Out"),3,"")))</f>
        <v>1</v>
      </c>
    </row>
    <row r="363" spans="1:23" ht="15" customHeight="1" x14ac:dyDescent="0.25">
      <c r="A363" s="1">
        <v>43853</v>
      </c>
      <c r="B363" t="s">
        <v>430</v>
      </c>
      <c r="C363">
        <v>1</v>
      </c>
      <c r="E363">
        <v>3</v>
      </c>
      <c r="F363">
        <v>7</v>
      </c>
      <c r="G363">
        <v>5</v>
      </c>
      <c r="H363" t="s">
        <v>15</v>
      </c>
      <c r="I363">
        <v>0</v>
      </c>
      <c r="J363">
        <v>0</v>
      </c>
      <c r="K363">
        <v>0</v>
      </c>
      <c r="M363" t="s">
        <v>34</v>
      </c>
      <c r="N363" t="s">
        <v>52</v>
      </c>
      <c r="P363">
        <f>IFERROR(IF(AND(tbl_daily[[#This Row],[Attendance (1 = Here, 0 = Not here)]]=1,tbl_daily[[#This Row],[Attended, but did not complete data]]&lt;&gt;1),tbl_daily[[#This Row],[Stress]]+tbl_daily[[#This Row],[SleepQuality]]+tbl_daily[[#This Row],[Energy]],""),"")</f>
        <v>15</v>
      </c>
      <c r="Q363">
        <f>IFERROR(IF(AND(tbl_daily[[#This Row],[Attendance (1 = Here, 0 = Not here)]]=1,tbl_daily[[#This Row],[Attended, but did not complete data]]&lt;&gt;1),tbl_daily[[#This Row],[LatestRPE]]*tbl_daily[[#This Row],[LatestDuration]],""),"")</f>
        <v>0</v>
      </c>
      <c r="R363">
        <f>IF(tbl_daily[[#This Row],[CodeName]]&lt;&gt;"",1,"")</f>
        <v>1</v>
      </c>
      <c r="S363" t="str">
        <f>IF(AND(tbl_daily[[#This Row],[Date]]&gt;=DATE(2019,8,1),tbl_daily[[#This Row],[Date]]&lt;=DATE(2020,6,1)),"2019-2020")</f>
        <v>2019-2020</v>
      </c>
      <c r="T363" t="str">
        <f>IFERROR(INDEX(tbl_prof[Cohort of Interest],MATCH(tbl_daily[[#This Row],[CodeName]],tbl_prof[CodeName],0)),"")</f>
        <v>Gen Pop</v>
      </c>
      <c r="U363" t="str">
        <f>IFERROR(AVERAGEIFS(tbl_perf[Grade],tbl_perf[CodeName],tbl_daily[[#This Row],[CodeName]],tbl_perf[Date],tbl_daily[[#This Row],[Date]]),"")</f>
        <v/>
      </c>
      <c r="V363">
        <f>IFERROR(IF(AND(tbl_daily[[#This Row],[Attendance (1 = Here, 0 = Not here)]]=1,tbl_daily[[#This Row],[Attended, but did not complete data]]&lt;&gt;1),1,IF(AND(tbl_daily[[#This Row],[Attendance (1 = Here, 0 = Not here)]]=1,tbl_daily[[#This Row],[Attended, but did not complete data]]=1),2,3)),"")</f>
        <v>1</v>
      </c>
      <c r="W363">
        <f>IF(AND(tbl_daily[[#This Row],[Attendance Refined]]=1,tbl_daily[[#This Row],[InjuryStatus]]="Full"),1,IF(AND(tbl_daily[[#This Row],[Attendance Refined]]=1,tbl_daily[[#This Row],[InjuryStatus]]="Limited"),2,IF(AND(tbl_daily[[#This Row],[Attendance Refined]]=1,tbl_daily[[#This Row],[InjuryStatus]]="Out"),3,"")))</f>
        <v>1</v>
      </c>
    </row>
    <row r="364" spans="1:23" ht="15" customHeight="1" x14ac:dyDescent="0.25">
      <c r="A364" s="1">
        <v>43853</v>
      </c>
      <c r="B364" t="s">
        <v>435</v>
      </c>
      <c r="C364">
        <v>1</v>
      </c>
      <c r="E364">
        <v>8</v>
      </c>
      <c r="F364">
        <v>8</v>
      </c>
      <c r="G364">
        <v>7</v>
      </c>
      <c r="H364" t="s">
        <v>15</v>
      </c>
      <c r="I364">
        <v>0</v>
      </c>
      <c r="J364">
        <v>0</v>
      </c>
      <c r="K364">
        <v>0</v>
      </c>
      <c r="M364" t="s">
        <v>34</v>
      </c>
      <c r="N364" t="s">
        <v>53</v>
      </c>
      <c r="P364">
        <f>IFERROR(IF(AND(tbl_daily[[#This Row],[Attendance (1 = Here, 0 = Not here)]]=1,tbl_daily[[#This Row],[Attended, but did not complete data]]&lt;&gt;1),tbl_daily[[#This Row],[Stress]]+tbl_daily[[#This Row],[SleepQuality]]+tbl_daily[[#This Row],[Energy]],""),"")</f>
        <v>23</v>
      </c>
      <c r="Q364">
        <f>IFERROR(IF(AND(tbl_daily[[#This Row],[Attendance (1 = Here, 0 = Not here)]]=1,tbl_daily[[#This Row],[Attended, but did not complete data]]&lt;&gt;1),tbl_daily[[#This Row],[LatestRPE]]*tbl_daily[[#This Row],[LatestDuration]],""),"")</f>
        <v>0</v>
      </c>
      <c r="R364">
        <f>IF(tbl_daily[[#This Row],[CodeName]]&lt;&gt;"",1,"")</f>
        <v>1</v>
      </c>
      <c r="S364" t="str">
        <f>IF(AND(tbl_daily[[#This Row],[Date]]&gt;=DATE(2019,8,1),tbl_daily[[#This Row],[Date]]&lt;=DATE(2020,6,1)),"2019-2020")</f>
        <v>2019-2020</v>
      </c>
      <c r="T364" t="str">
        <f>IFERROR(INDEX(tbl_prof[Cohort of Interest],MATCH(tbl_daily[[#This Row],[CodeName]],tbl_prof[CodeName],0)),"")</f>
        <v>Athletes</v>
      </c>
      <c r="U364" t="str">
        <f>IFERROR(AVERAGEIFS(tbl_perf[Grade],tbl_perf[CodeName],tbl_daily[[#This Row],[CodeName]],tbl_perf[Date],tbl_daily[[#This Row],[Date]]),"")</f>
        <v/>
      </c>
      <c r="V364">
        <f>IFERROR(IF(AND(tbl_daily[[#This Row],[Attendance (1 = Here, 0 = Not here)]]=1,tbl_daily[[#This Row],[Attended, but did not complete data]]&lt;&gt;1),1,IF(AND(tbl_daily[[#This Row],[Attendance (1 = Here, 0 = Not here)]]=1,tbl_daily[[#This Row],[Attended, but did not complete data]]=1),2,3)),"")</f>
        <v>1</v>
      </c>
      <c r="W364">
        <f>IF(AND(tbl_daily[[#This Row],[Attendance Refined]]=1,tbl_daily[[#This Row],[InjuryStatus]]="Full"),1,IF(AND(tbl_daily[[#This Row],[Attendance Refined]]=1,tbl_daily[[#This Row],[InjuryStatus]]="Limited"),2,IF(AND(tbl_daily[[#This Row],[Attendance Refined]]=1,tbl_daily[[#This Row],[InjuryStatus]]="Out"),3,"")))</f>
        <v>1</v>
      </c>
    </row>
    <row r="365" spans="1:23" ht="15" customHeight="1" x14ac:dyDescent="0.25">
      <c r="A365" s="1">
        <v>43853</v>
      </c>
      <c r="B365" t="s">
        <v>436</v>
      </c>
      <c r="C365">
        <v>1</v>
      </c>
      <c r="E365">
        <v>9</v>
      </c>
      <c r="F365">
        <v>5</v>
      </c>
      <c r="G365">
        <v>7</v>
      </c>
      <c r="H365" t="s">
        <v>15</v>
      </c>
      <c r="I365">
        <v>0</v>
      </c>
      <c r="J365">
        <v>0</v>
      </c>
      <c r="K365">
        <v>0</v>
      </c>
      <c r="M365" t="s">
        <v>34</v>
      </c>
      <c r="N365" t="s">
        <v>54</v>
      </c>
      <c r="P365">
        <f>IFERROR(IF(AND(tbl_daily[[#This Row],[Attendance (1 = Here, 0 = Not here)]]=1,tbl_daily[[#This Row],[Attended, but did not complete data]]&lt;&gt;1),tbl_daily[[#This Row],[Stress]]+tbl_daily[[#This Row],[SleepQuality]]+tbl_daily[[#This Row],[Energy]],""),"")</f>
        <v>21</v>
      </c>
      <c r="Q365">
        <f>IFERROR(IF(AND(tbl_daily[[#This Row],[Attendance (1 = Here, 0 = Not here)]]=1,tbl_daily[[#This Row],[Attended, but did not complete data]]&lt;&gt;1),tbl_daily[[#This Row],[LatestRPE]]*tbl_daily[[#This Row],[LatestDuration]],""),"")</f>
        <v>0</v>
      </c>
      <c r="R365">
        <f>IF(tbl_daily[[#This Row],[CodeName]]&lt;&gt;"",1,"")</f>
        <v>1</v>
      </c>
      <c r="S365" t="str">
        <f>IF(AND(tbl_daily[[#This Row],[Date]]&gt;=DATE(2019,8,1),tbl_daily[[#This Row],[Date]]&lt;=DATE(2020,6,1)),"2019-2020")</f>
        <v>2019-2020</v>
      </c>
      <c r="T365" t="str">
        <f>IFERROR(INDEX(tbl_prof[Cohort of Interest],MATCH(tbl_daily[[#This Row],[CodeName]],tbl_prof[CodeName],0)),"")</f>
        <v>Athletes</v>
      </c>
      <c r="U365" t="str">
        <f>IFERROR(AVERAGEIFS(tbl_perf[Grade],tbl_perf[CodeName],tbl_daily[[#This Row],[CodeName]],tbl_perf[Date],tbl_daily[[#This Row],[Date]]),"")</f>
        <v/>
      </c>
      <c r="V365">
        <f>IFERROR(IF(AND(tbl_daily[[#This Row],[Attendance (1 = Here, 0 = Not here)]]=1,tbl_daily[[#This Row],[Attended, but did not complete data]]&lt;&gt;1),1,IF(AND(tbl_daily[[#This Row],[Attendance (1 = Here, 0 = Not here)]]=1,tbl_daily[[#This Row],[Attended, but did not complete data]]=1),2,3)),"")</f>
        <v>1</v>
      </c>
      <c r="W365">
        <f>IF(AND(tbl_daily[[#This Row],[Attendance Refined]]=1,tbl_daily[[#This Row],[InjuryStatus]]="Full"),1,IF(AND(tbl_daily[[#This Row],[Attendance Refined]]=1,tbl_daily[[#This Row],[InjuryStatus]]="Limited"),2,IF(AND(tbl_daily[[#This Row],[Attendance Refined]]=1,tbl_daily[[#This Row],[InjuryStatus]]="Out"),3,"")))</f>
        <v>1</v>
      </c>
    </row>
    <row r="366" spans="1:23" ht="15" customHeight="1" x14ac:dyDescent="0.25">
      <c r="A366" s="1">
        <v>43853</v>
      </c>
      <c r="B366" t="s">
        <v>440</v>
      </c>
      <c r="C366">
        <v>1</v>
      </c>
      <c r="E366">
        <v>7</v>
      </c>
      <c r="F366">
        <v>5</v>
      </c>
      <c r="G366">
        <v>5</v>
      </c>
      <c r="H366" t="s">
        <v>32</v>
      </c>
      <c r="I366">
        <v>0</v>
      </c>
      <c r="J366">
        <v>0</v>
      </c>
      <c r="K366">
        <v>0</v>
      </c>
      <c r="M366" t="s">
        <v>34</v>
      </c>
      <c r="N366" t="s">
        <v>61</v>
      </c>
      <c r="P366">
        <f>IFERROR(IF(AND(tbl_daily[[#This Row],[Attendance (1 = Here, 0 = Not here)]]=1,tbl_daily[[#This Row],[Attended, but did not complete data]]&lt;&gt;1),tbl_daily[[#This Row],[Stress]]+tbl_daily[[#This Row],[SleepQuality]]+tbl_daily[[#This Row],[Energy]],""),"")</f>
        <v>17</v>
      </c>
      <c r="Q366">
        <f>IFERROR(IF(AND(tbl_daily[[#This Row],[Attendance (1 = Here, 0 = Not here)]]=1,tbl_daily[[#This Row],[Attended, but did not complete data]]&lt;&gt;1),tbl_daily[[#This Row],[LatestRPE]]*tbl_daily[[#This Row],[LatestDuration]],""),"")</f>
        <v>0</v>
      </c>
      <c r="R366">
        <f>IF(tbl_daily[[#This Row],[CodeName]]&lt;&gt;"",1,"")</f>
        <v>1</v>
      </c>
      <c r="S366" t="str">
        <f>IF(AND(tbl_daily[[#This Row],[Date]]&gt;=DATE(2019,8,1),tbl_daily[[#This Row],[Date]]&lt;=DATE(2020,6,1)),"2019-2020")</f>
        <v>2019-2020</v>
      </c>
      <c r="T366" t="str">
        <f>IFERROR(INDEX(tbl_prof[Cohort of Interest],MATCH(tbl_daily[[#This Row],[CodeName]],tbl_prof[CodeName],0)),"")</f>
        <v>Youth</v>
      </c>
      <c r="U366" t="str">
        <f>IFERROR(AVERAGEIFS(tbl_perf[Grade],tbl_perf[CodeName],tbl_daily[[#This Row],[CodeName]],tbl_perf[Date],tbl_daily[[#This Row],[Date]]),"")</f>
        <v/>
      </c>
      <c r="V366">
        <f>IFERROR(IF(AND(tbl_daily[[#This Row],[Attendance (1 = Here, 0 = Not here)]]=1,tbl_daily[[#This Row],[Attended, but did not complete data]]&lt;&gt;1),1,IF(AND(tbl_daily[[#This Row],[Attendance (1 = Here, 0 = Not here)]]=1,tbl_daily[[#This Row],[Attended, but did not complete data]]=1),2,3)),"")</f>
        <v>1</v>
      </c>
      <c r="W366">
        <f>IF(AND(tbl_daily[[#This Row],[Attendance Refined]]=1,tbl_daily[[#This Row],[InjuryStatus]]="Full"),1,IF(AND(tbl_daily[[#This Row],[Attendance Refined]]=1,tbl_daily[[#This Row],[InjuryStatus]]="Limited"),2,IF(AND(tbl_daily[[#This Row],[Attendance Refined]]=1,tbl_daily[[#This Row],[InjuryStatus]]="Out"),3,"")))</f>
        <v>2</v>
      </c>
    </row>
    <row r="367" spans="1:23" ht="15" customHeight="1" x14ac:dyDescent="0.25">
      <c r="A367" s="1">
        <v>43853</v>
      </c>
      <c r="B367" t="s">
        <v>414</v>
      </c>
      <c r="C367">
        <v>1</v>
      </c>
      <c r="E367">
        <v>3</v>
      </c>
      <c r="F367">
        <v>6</v>
      </c>
      <c r="G367">
        <v>6</v>
      </c>
      <c r="H367" t="s">
        <v>15</v>
      </c>
      <c r="I367">
        <v>1</v>
      </c>
      <c r="J367">
        <v>3</v>
      </c>
      <c r="K367">
        <v>10</v>
      </c>
      <c r="M367" t="s">
        <v>34</v>
      </c>
      <c r="N367" t="s">
        <v>37</v>
      </c>
      <c r="P367">
        <f>IFERROR(IF(AND(tbl_daily[[#This Row],[Attendance (1 = Here, 0 = Not here)]]=1,tbl_daily[[#This Row],[Attended, but did not complete data]]&lt;&gt;1),tbl_daily[[#This Row],[Stress]]+tbl_daily[[#This Row],[SleepQuality]]+tbl_daily[[#This Row],[Energy]],""),"")</f>
        <v>15</v>
      </c>
      <c r="Q367">
        <f>IFERROR(IF(AND(tbl_daily[[#This Row],[Attendance (1 = Here, 0 = Not here)]]=1,tbl_daily[[#This Row],[Attended, but did not complete data]]&lt;&gt;1),tbl_daily[[#This Row],[LatestRPE]]*tbl_daily[[#This Row],[LatestDuration]],""),"")</f>
        <v>30</v>
      </c>
      <c r="R367">
        <f>IF(tbl_daily[[#This Row],[CodeName]]&lt;&gt;"",1,"")</f>
        <v>1</v>
      </c>
      <c r="S367" t="str">
        <f>IF(AND(tbl_daily[[#This Row],[Date]]&gt;=DATE(2019,8,1),tbl_daily[[#This Row],[Date]]&lt;=DATE(2020,6,1)),"2019-2020")</f>
        <v>2019-2020</v>
      </c>
      <c r="T367" t="str">
        <f>IFERROR(INDEX(tbl_prof[Cohort of Interest],MATCH(tbl_daily[[#This Row],[CodeName]],tbl_prof[CodeName],0)),"")</f>
        <v>Gen Pop</v>
      </c>
      <c r="U367" t="str">
        <f>IFERROR(AVERAGEIFS(tbl_perf[Grade],tbl_perf[CodeName],tbl_daily[[#This Row],[CodeName]],tbl_perf[Date],tbl_daily[[#This Row],[Date]]),"")</f>
        <v/>
      </c>
      <c r="V367">
        <f>IFERROR(IF(AND(tbl_daily[[#This Row],[Attendance (1 = Here, 0 = Not here)]]=1,tbl_daily[[#This Row],[Attended, but did not complete data]]&lt;&gt;1),1,IF(AND(tbl_daily[[#This Row],[Attendance (1 = Here, 0 = Not here)]]=1,tbl_daily[[#This Row],[Attended, but did not complete data]]=1),2,3)),"")</f>
        <v>1</v>
      </c>
      <c r="W367">
        <f>IF(AND(tbl_daily[[#This Row],[Attendance Refined]]=1,tbl_daily[[#This Row],[InjuryStatus]]="Full"),1,IF(AND(tbl_daily[[#This Row],[Attendance Refined]]=1,tbl_daily[[#This Row],[InjuryStatus]]="Limited"),2,IF(AND(tbl_daily[[#This Row],[Attendance Refined]]=1,tbl_daily[[#This Row],[InjuryStatus]]="Out"),3,"")))</f>
        <v>1</v>
      </c>
    </row>
    <row r="368" spans="1:23" ht="15" customHeight="1" x14ac:dyDescent="0.25">
      <c r="A368" s="1">
        <v>43853</v>
      </c>
      <c r="B368" t="s">
        <v>412</v>
      </c>
      <c r="C368">
        <v>1</v>
      </c>
      <c r="E368">
        <v>7</v>
      </c>
      <c r="F368">
        <v>2</v>
      </c>
      <c r="G368">
        <v>5</v>
      </c>
      <c r="H368" t="s">
        <v>15</v>
      </c>
      <c r="I368">
        <v>1</v>
      </c>
      <c r="J368">
        <v>3</v>
      </c>
      <c r="K368">
        <v>30</v>
      </c>
      <c r="M368" t="s">
        <v>34</v>
      </c>
      <c r="N368" t="s">
        <v>35</v>
      </c>
      <c r="P368">
        <f>IFERROR(IF(AND(tbl_daily[[#This Row],[Attendance (1 = Here, 0 = Not here)]]=1,tbl_daily[[#This Row],[Attended, but did not complete data]]&lt;&gt;1),tbl_daily[[#This Row],[Stress]]+tbl_daily[[#This Row],[SleepQuality]]+tbl_daily[[#This Row],[Energy]],""),"")</f>
        <v>14</v>
      </c>
      <c r="Q368">
        <f>IFERROR(IF(AND(tbl_daily[[#This Row],[Attendance (1 = Here, 0 = Not here)]]=1,tbl_daily[[#This Row],[Attended, but did not complete data]]&lt;&gt;1),tbl_daily[[#This Row],[LatestRPE]]*tbl_daily[[#This Row],[LatestDuration]],""),"")</f>
        <v>90</v>
      </c>
      <c r="R368">
        <f>IF(tbl_daily[[#This Row],[CodeName]]&lt;&gt;"",1,"")</f>
        <v>1</v>
      </c>
      <c r="S368" t="str">
        <f>IF(AND(tbl_daily[[#This Row],[Date]]&gt;=DATE(2019,8,1),tbl_daily[[#This Row],[Date]]&lt;=DATE(2020,6,1)),"2019-2020")</f>
        <v>2019-2020</v>
      </c>
      <c r="T368" t="str">
        <f>IFERROR(INDEX(tbl_prof[Cohort of Interest],MATCH(tbl_daily[[#This Row],[CodeName]],tbl_prof[CodeName],0)),"")</f>
        <v>Gen Pop</v>
      </c>
      <c r="U368" t="str">
        <f>IFERROR(AVERAGEIFS(tbl_perf[Grade],tbl_perf[CodeName],tbl_daily[[#This Row],[CodeName]],tbl_perf[Date],tbl_daily[[#This Row],[Date]]),"")</f>
        <v/>
      </c>
      <c r="V368">
        <f>IFERROR(IF(AND(tbl_daily[[#This Row],[Attendance (1 = Here, 0 = Not here)]]=1,tbl_daily[[#This Row],[Attended, but did not complete data]]&lt;&gt;1),1,IF(AND(tbl_daily[[#This Row],[Attendance (1 = Here, 0 = Not here)]]=1,tbl_daily[[#This Row],[Attended, but did not complete data]]=1),2,3)),"")</f>
        <v>1</v>
      </c>
      <c r="W368">
        <f>IF(AND(tbl_daily[[#This Row],[Attendance Refined]]=1,tbl_daily[[#This Row],[InjuryStatus]]="Full"),1,IF(AND(tbl_daily[[#This Row],[Attendance Refined]]=1,tbl_daily[[#This Row],[InjuryStatus]]="Limited"),2,IF(AND(tbl_daily[[#This Row],[Attendance Refined]]=1,tbl_daily[[#This Row],[InjuryStatus]]="Out"),3,"")))</f>
        <v>1</v>
      </c>
    </row>
    <row r="369" spans="1:23" ht="15" customHeight="1" x14ac:dyDescent="0.25">
      <c r="A369" s="1">
        <v>43853</v>
      </c>
      <c r="B369" t="s">
        <v>438</v>
      </c>
      <c r="C369">
        <v>1</v>
      </c>
      <c r="E369">
        <v>3</v>
      </c>
      <c r="F369">
        <v>2</v>
      </c>
      <c r="G369">
        <v>5</v>
      </c>
      <c r="H369" t="s">
        <v>15</v>
      </c>
      <c r="I369">
        <v>1</v>
      </c>
      <c r="J369">
        <v>3</v>
      </c>
      <c r="K369">
        <v>30</v>
      </c>
      <c r="M369" t="s">
        <v>34</v>
      </c>
      <c r="N369" t="s">
        <v>56</v>
      </c>
      <c r="P369">
        <f>IFERROR(IF(AND(tbl_daily[[#This Row],[Attendance (1 = Here, 0 = Not here)]]=1,tbl_daily[[#This Row],[Attended, but did not complete data]]&lt;&gt;1),tbl_daily[[#This Row],[Stress]]+tbl_daily[[#This Row],[SleepQuality]]+tbl_daily[[#This Row],[Energy]],""),"")</f>
        <v>10</v>
      </c>
      <c r="Q369">
        <f>IFERROR(IF(AND(tbl_daily[[#This Row],[Attendance (1 = Here, 0 = Not here)]]=1,tbl_daily[[#This Row],[Attended, but did not complete data]]&lt;&gt;1),tbl_daily[[#This Row],[LatestRPE]]*tbl_daily[[#This Row],[LatestDuration]],""),"")</f>
        <v>90</v>
      </c>
      <c r="R369">
        <f>IF(tbl_daily[[#This Row],[CodeName]]&lt;&gt;"",1,"")</f>
        <v>1</v>
      </c>
      <c r="S369" t="str">
        <f>IF(AND(tbl_daily[[#This Row],[Date]]&gt;=DATE(2019,8,1),tbl_daily[[#This Row],[Date]]&lt;=DATE(2020,6,1)),"2019-2020")</f>
        <v>2019-2020</v>
      </c>
      <c r="T369" t="str">
        <f>IFERROR(INDEX(tbl_prof[Cohort of Interest],MATCH(tbl_daily[[#This Row],[CodeName]],tbl_prof[CodeName],0)),"")</f>
        <v>Youth</v>
      </c>
      <c r="U369" t="str">
        <f>IFERROR(AVERAGEIFS(tbl_perf[Grade],tbl_perf[CodeName],tbl_daily[[#This Row],[CodeName]],tbl_perf[Date],tbl_daily[[#This Row],[Date]]),"")</f>
        <v/>
      </c>
      <c r="V369">
        <f>IFERROR(IF(AND(tbl_daily[[#This Row],[Attendance (1 = Here, 0 = Not here)]]=1,tbl_daily[[#This Row],[Attended, but did not complete data]]&lt;&gt;1),1,IF(AND(tbl_daily[[#This Row],[Attendance (1 = Here, 0 = Not here)]]=1,tbl_daily[[#This Row],[Attended, but did not complete data]]=1),2,3)),"")</f>
        <v>1</v>
      </c>
      <c r="W369">
        <f>IF(AND(tbl_daily[[#This Row],[Attendance Refined]]=1,tbl_daily[[#This Row],[InjuryStatus]]="Full"),1,IF(AND(tbl_daily[[#This Row],[Attendance Refined]]=1,tbl_daily[[#This Row],[InjuryStatus]]="Limited"),2,IF(AND(tbl_daily[[#This Row],[Attendance Refined]]=1,tbl_daily[[#This Row],[InjuryStatus]]="Out"),3,"")))</f>
        <v>1</v>
      </c>
    </row>
    <row r="370" spans="1:23" ht="15" customHeight="1" x14ac:dyDescent="0.25">
      <c r="A370" s="1">
        <v>43853</v>
      </c>
      <c r="B370" t="s">
        <v>419</v>
      </c>
      <c r="C370">
        <v>1</v>
      </c>
      <c r="E370">
        <v>10</v>
      </c>
      <c r="F370">
        <v>5</v>
      </c>
      <c r="G370">
        <v>2</v>
      </c>
      <c r="H370" t="s">
        <v>32</v>
      </c>
      <c r="I370">
        <v>1</v>
      </c>
      <c r="J370">
        <v>5</v>
      </c>
      <c r="K370">
        <v>20</v>
      </c>
      <c r="M370" t="s">
        <v>34</v>
      </c>
      <c r="N370" t="s">
        <v>42</v>
      </c>
      <c r="P370">
        <f>IFERROR(IF(AND(tbl_daily[[#This Row],[Attendance (1 = Here, 0 = Not here)]]=1,tbl_daily[[#This Row],[Attended, but did not complete data]]&lt;&gt;1),tbl_daily[[#This Row],[Stress]]+tbl_daily[[#This Row],[SleepQuality]]+tbl_daily[[#This Row],[Energy]],""),"")</f>
        <v>17</v>
      </c>
      <c r="Q370">
        <f>IFERROR(IF(AND(tbl_daily[[#This Row],[Attendance (1 = Here, 0 = Not here)]]=1,tbl_daily[[#This Row],[Attended, but did not complete data]]&lt;&gt;1),tbl_daily[[#This Row],[LatestRPE]]*tbl_daily[[#This Row],[LatestDuration]],""),"")</f>
        <v>100</v>
      </c>
      <c r="R370">
        <f>IF(tbl_daily[[#This Row],[CodeName]]&lt;&gt;"",1,"")</f>
        <v>1</v>
      </c>
      <c r="S370" t="str">
        <f>IF(AND(tbl_daily[[#This Row],[Date]]&gt;=DATE(2019,8,1),tbl_daily[[#This Row],[Date]]&lt;=DATE(2020,6,1)),"2019-2020")</f>
        <v>2019-2020</v>
      </c>
      <c r="T370" t="str">
        <f>IFERROR(INDEX(tbl_prof[Cohort of Interest],MATCH(tbl_daily[[#This Row],[CodeName]],tbl_prof[CodeName],0)),"")</f>
        <v>Youth</v>
      </c>
      <c r="U370" t="str">
        <f>IFERROR(AVERAGEIFS(tbl_perf[Grade],tbl_perf[CodeName],tbl_daily[[#This Row],[CodeName]],tbl_perf[Date],tbl_daily[[#This Row],[Date]]),"")</f>
        <v/>
      </c>
      <c r="V370">
        <f>IFERROR(IF(AND(tbl_daily[[#This Row],[Attendance (1 = Here, 0 = Not here)]]=1,tbl_daily[[#This Row],[Attended, but did not complete data]]&lt;&gt;1),1,IF(AND(tbl_daily[[#This Row],[Attendance (1 = Here, 0 = Not here)]]=1,tbl_daily[[#This Row],[Attended, but did not complete data]]=1),2,3)),"")</f>
        <v>1</v>
      </c>
      <c r="W370">
        <f>IF(AND(tbl_daily[[#This Row],[Attendance Refined]]=1,tbl_daily[[#This Row],[InjuryStatus]]="Full"),1,IF(AND(tbl_daily[[#This Row],[Attendance Refined]]=1,tbl_daily[[#This Row],[InjuryStatus]]="Limited"),2,IF(AND(tbl_daily[[#This Row],[Attendance Refined]]=1,tbl_daily[[#This Row],[InjuryStatus]]="Out"),3,"")))</f>
        <v>2</v>
      </c>
    </row>
    <row r="371" spans="1:23" ht="15" customHeight="1" x14ac:dyDescent="0.25">
      <c r="A371" s="1">
        <v>43853</v>
      </c>
      <c r="B371" t="s">
        <v>426</v>
      </c>
      <c r="C371">
        <v>1</v>
      </c>
      <c r="E371">
        <v>7</v>
      </c>
      <c r="F371">
        <v>9</v>
      </c>
      <c r="G371">
        <v>8</v>
      </c>
      <c r="H371" t="s">
        <v>15</v>
      </c>
      <c r="I371">
        <v>1</v>
      </c>
      <c r="J371">
        <v>4</v>
      </c>
      <c r="K371">
        <v>45</v>
      </c>
      <c r="M371" t="s">
        <v>34</v>
      </c>
      <c r="N371" t="s">
        <v>47</v>
      </c>
      <c r="P371">
        <f>IFERROR(IF(AND(tbl_daily[[#This Row],[Attendance (1 = Here, 0 = Not here)]]=1,tbl_daily[[#This Row],[Attended, but did not complete data]]&lt;&gt;1),tbl_daily[[#This Row],[Stress]]+tbl_daily[[#This Row],[SleepQuality]]+tbl_daily[[#This Row],[Energy]],""),"")</f>
        <v>24</v>
      </c>
      <c r="Q371">
        <f>IFERROR(IF(AND(tbl_daily[[#This Row],[Attendance (1 = Here, 0 = Not here)]]=1,tbl_daily[[#This Row],[Attended, but did not complete data]]&lt;&gt;1),tbl_daily[[#This Row],[LatestRPE]]*tbl_daily[[#This Row],[LatestDuration]],""),"")</f>
        <v>180</v>
      </c>
      <c r="R371">
        <f>IF(tbl_daily[[#This Row],[CodeName]]&lt;&gt;"",1,"")</f>
        <v>1</v>
      </c>
      <c r="S371" t="str">
        <f>IF(AND(tbl_daily[[#This Row],[Date]]&gt;=DATE(2019,8,1),tbl_daily[[#This Row],[Date]]&lt;=DATE(2020,6,1)),"2019-2020")</f>
        <v>2019-2020</v>
      </c>
      <c r="T371" t="str">
        <f>IFERROR(INDEX(tbl_prof[Cohort of Interest],MATCH(tbl_daily[[#This Row],[CodeName]],tbl_prof[CodeName],0)),"")</f>
        <v>Special</v>
      </c>
      <c r="U371" t="str">
        <f>IFERROR(AVERAGEIFS(tbl_perf[Grade],tbl_perf[CodeName],tbl_daily[[#This Row],[CodeName]],tbl_perf[Date],tbl_daily[[#This Row],[Date]]),"")</f>
        <v/>
      </c>
      <c r="V371">
        <f>IFERROR(IF(AND(tbl_daily[[#This Row],[Attendance (1 = Here, 0 = Not here)]]=1,tbl_daily[[#This Row],[Attended, but did not complete data]]&lt;&gt;1),1,IF(AND(tbl_daily[[#This Row],[Attendance (1 = Here, 0 = Not here)]]=1,tbl_daily[[#This Row],[Attended, but did not complete data]]=1),2,3)),"")</f>
        <v>1</v>
      </c>
      <c r="W371">
        <f>IF(AND(tbl_daily[[#This Row],[Attendance Refined]]=1,tbl_daily[[#This Row],[InjuryStatus]]="Full"),1,IF(AND(tbl_daily[[#This Row],[Attendance Refined]]=1,tbl_daily[[#This Row],[InjuryStatus]]="Limited"),2,IF(AND(tbl_daily[[#This Row],[Attendance Refined]]=1,tbl_daily[[#This Row],[InjuryStatus]]="Out"),3,"")))</f>
        <v>1</v>
      </c>
    </row>
    <row r="372" spans="1:23" ht="15" customHeight="1" x14ac:dyDescent="0.25">
      <c r="A372" s="1">
        <v>43853</v>
      </c>
      <c r="B372" t="s">
        <v>415</v>
      </c>
      <c r="C372">
        <v>1</v>
      </c>
      <c r="E372">
        <v>5</v>
      </c>
      <c r="F372">
        <v>6</v>
      </c>
      <c r="G372">
        <v>5</v>
      </c>
      <c r="H372" t="s">
        <v>15</v>
      </c>
      <c r="I372">
        <v>0</v>
      </c>
      <c r="J372">
        <v>5</v>
      </c>
      <c r="K372">
        <v>45</v>
      </c>
      <c r="M372" t="s">
        <v>34</v>
      </c>
      <c r="N372" t="s">
        <v>38</v>
      </c>
      <c r="P372">
        <f>IFERROR(IF(AND(tbl_daily[[#This Row],[Attendance (1 = Here, 0 = Not here)]]=1,tbl_daily[[#This Row],[Attended, but did not complete data]]&lt;&gt;1),tbl_daily[[#This Row],[Stress]]+tbl_daily[[#This Row],[SleepQuality]]+tbl_daily[[#This Row],[Energy]],""),"")</f>
        <v>16</v>
      </c>
      <c r="Q372">
        <f>IFERROR(IF(AND(tbl_daily[[#This Row],[Attendance (1 = Here, 0 = Not here)]]=1,tbl_daily[[#This Row],[Attended, but did not complete data]]&lt;&gt;1),tbl_daily[[#This Row],[LatestRPE]]*tbl_daily[[#This Row],[LatestDuration]],""),"")</f>
        <v>225</v>
      </c>
      <c r="R372">
        <f>IF(tbl_daily[[#This Row],[CodeName]]&lt;&gt;"",1,"")</f>
        <v>1</v>
      </c>
      <c r="S372" t="str">
        <f>IF(AND(tbl_daily[[#This Row],[Date]]&gt;=DATE(2019,8,1),tbl_daily[[#This Row],[Date]]&lt;=DATE(2020,6,1)),"2019-2020")</f>
        <v>2019-2020</v>
      </c>
      <c r="T372" t="str">
        <f>IFERROR(INDEX(tbl_prof[Cohort of Interest],MATCH(tbl_daily[[#This Row],[CodeName]],tbl_prof[CodeName],0)),"")</f>
        <v>Youth</v>
      </c>
      <c r="U372" t="str">
        <f>IFERROR(AVERAGEIFS(tbl_perf[Grade],tbl_perf[CodeName],tbl_daily[[#This Row],[CodeName]],tbl_perf[Date],tbl_daily[[#This Row],[Date]]),"")</f>
        <v/>
      </c>
      <c r="V372">
        <f>IFERROR(IF(AND(tbl_daily[[#This Row],[Attendance (1 = Here, 0 = Not here)]]=1,tbl_daily[[#This Row],[Attended, but did not complete data]]&lt;&gt;1),1,IF(AND(tbl_daily[[#This Row],[Attendance (1 = Here, 0 = Not here)]]=1,tbl_daily[[#This Row],[Attended, but did not complete data]]=1),2,3)),"")</f>
        <v>1</v>
      </c>
      <c r="W372">
        <f>IF(AND(tbl_daily[[#This Row],[Attendance Refined]]=1,tbl_daily[[#This Row],[InjuryStatus]]="Full"),1,IF(AND(tbl_daily[[#This Row],[Attendance Refined]]=1,tbl_daily[[#This Row],[InjuryStatus]]="Limited"),2,IF(AND(tbl_daily[[#This Row],[Attendance Refined]]=1,tbl_daily[[#This Row],[InjuryStatus]]="Out"),3,"")))</f>
        <v>1</v>
      </c>
    </row>
    <row r="373" spans="1:23" ht="15" customHeight="1" x14ac:dyDescent="0.25">
      <c r="A373" s="1">
        <v>43853</v>
      </c>
      <c r="B373" t="s">
        <v>417</v>
      </c>
      <c r="C373">
        <v>1</v>
      </c>
      <c r="E373">
        <v>4</v>
      </c>
      <c r="F373">
        <v>4</v>
      </c>
      <c r="G373">
        <v>6</v>
      </c>
      <c r="H373" t="s">
        <v>15</v>
      </c>
      <c r="I373">
        <v>1</v>
      </c>
      <c r="J373">
        <v>5</v>
      </c>
      <c r="K373">
        <v>45</v>
      </c>
      <c r="M373" t="s">
        <v>34</v>
      </c>
      <c r="N373" t="s">
        <v>40</v>
      </c>
      <c r="P373">
        <f>IFERROR(IF(AND(tbl_daily[[#This Row],[Attendance (1 = Here, 0 = Not here)]]=1,tbl_daily[[#This Row],[Attended, but did not complete data]]&lt;&gt;1),tbl_daily[[#This Row],[Stress]]+tbl_daily[[#This Row],[SleepQuality]]+tbl_daily[[#This Row],[Energy]],""),"")</f>
        <v>14</v>
      </c>
      <c r="Q373">
        <f>IFERROR(IF(AND(tbl_daily[[#This Row],[Attendance (1 = Here, 0 = Not here)]]=1,tbl_daily[[#This Row],[Attended, but did not complete data]]&lt;&gt;1),tbl_daily[[#This Row],[LatestRPE]]*tbl_daily[[#This Row],[LatestDuration]],""),"")</f>
        <v>225</v>
      </c>
      <c r="R373">
        <f>IF(tbl_daily[[#This Row],[CodeName]]&lt;&gt;"",1,"")</f>
        <v>1</v>
      </c>
      <c r="S373" t="str">
        <f>IF(AND(tbl_daily[[#This Row],[Date]]&gt;=DATE(2019,8,1),tbl_daily[[#This Row],[Date]]&lt;=DATE(2020,6,1)),"2019-2020")</f>
        <v>2019-2020</v>
      </c>
      <c r="T373" t="str">
        <f>IFERROR(INDEX(tbl_prof[Cohort of Interest],MATCH(tbl_daily[[#This Row],[CodeName]],tbl_prof[CodeName],0)),"")</f>
        <v>Gen Pop</v>
      </c>
      <c r="U373" t="str">
        <f>IFERROR(AVERAGEIFS(tbl_perf[Grade],tbl_perf[CodeName],tbl_daily[[#This Row],[CodeName]],tbl_perf[Date],tbl_daily[[#This Row],[Date]]),"")</f>
        <v/>
      </c>
      <c r="V373">
        <f>IFERROR(IF(AND(tbl_daily[[#This Row],[Attendance (1 = Here, 0 = Not here)]]=1,tbl_daily[[#This Row],[Attended, but did not complete data]]&lt;&gt;1),1,IF(AND(tbl_daily[[#This Row],[Attendance (1 = Here, 0 = Not here)]]=1,tbl_daily[[#This Row],[Attended, but did not complete data]]=1),2,3)),"")</f>
        <v>1</v>
      </c>
      <c r="W373">
        <f>IF(AND(tbl_daily[[#This Row],[Attendance Refined]]=1,tbl_daily[[#This Row],[InjuryStatus]]="Full"),1,IF(AND(tbl_daily[[#This Row],[Attendance Refined]]=1,tbl_daily[[#This Row],[InjuryStatus]]="Limited"),2,IF(AND(tbl_daily[[#This Row],[Attendance Refined]]=1,tbl_daily[[#This Row],[InjuryStatus]]="Out"),3,"")))</f>
        <v>1</v>
      </c>
    </row>
    <row r="374" spans="1:23" ht="15" customHeight="1" x14ac:dyDescent="0.25">
      <c r="A374" s="1">
        <v>43853</v>
      </c>
      <c r="B374" t="s">
        <v>421</v>
      </c>
      <c r="C374">
        <v>1</v>
      </c>
      <c r="E374">
        <v>9</v>
      </c>
      <c r="F374">
        <v>8</v>
      </c>
      <c r="G374">
        <v>8</v>
      </c>
      <c r="H374" t="s">
        <v>15</v>
      </c>
      <c r="I374">
        <v>1</v>
      </c>
      <c r="J374">
        <v>5</v>
      </c>
      <c r="K374">
        <v>45</v>
      </c>
      <c r="M374" t="s">
        <v>34</v>
      </c>
      <c r="N374" t="s">
        <v>44</v>
      </c>
      <c r="P374">
        <f>IFERROR(IF(AND(tbl_daily[[#This Row],[Attendance (1 = Here, 0 = Not here)]]=1,tbl_daily[[#This Row],[Attended, but did not complete data]]&lt;&gt;1),tbl_daily[[#This Row],[Stress]]+tbl_daily[[#This Row],[SleepQuality]]+tbl_daily[[#This Row],[Energy]],""),"")</f>
        <v>25</v>
      </c>
      <c r="Q374">
        <f>IFERROR(IF(AND(tbl_daily[[#This Row],[Attendance (1 = Here, 0 = Not here)]]=1,tbl_daily[[#This Row],[Attended, but did not complete data]]&lt;&gt;1),tbl_daily[[#This Row],[LatestRPE]]*tbl_daily[[#This Row],[LatestDuration]],""),"")</f>
        <v>225</v>
      </c>
      <c r="R374">
        <f>IF(tbl_daily[[#This Row],[CodeName]]&lt;&gt;"",1,"")</f>
        <v>1</v>
      </c>
      <c r="S374" t="str">
        <f>IF(AND(tbl_daily[[#This Row],[Date]]&gt;=DATE(2019,8,1),tbl_daily[[#This Row],[Date]]&lt;=DATE(2020,6,1)),"2019-2020")</f>
        <v>2019-2020</v>
      </c>
      <c r="T374" t="str">
        <f>IFERROR(INDEX(tbl_prof[Cohort of Interest],MATCH(tbl_daily[[#This Row],[CodeName]],tbl_prof[CodeName],0)),"")</f>
        <v>Athletes</v>
      </c>
      <c r="U374" t="str">
        <f>IFERROR(AVERAGEIFS(tbl_perf[Grade],tbl_perf[CodeName],tbl_daily[[#This Row],[CodeName]],tbl_perf[Date],tbl_daily[[#This Row],[Date]]),"")</f>
        <v/>
      </c>
      <c r="V374">
        <f>IFERROR(IF(AND(tbl_daily[[#This Row],[Attendance (1 = Here, 0 = Not here)]]=1,tbl_daily[[#This Row],[Attended, but did not complete data]]&lt;&gt;1),1,IF(AND(tbl_daily[[#This Row],[Attendance (1 = Here, 0 = Not here)]]=1,tbl_daily[[#This Row],[Attended, but did not complete data]]=1),2,3)),"")</f>
        <v>1</v>
      </c>
      <c r="W374">
        <f>IF(AND(tbl_daily[[#This Row],[Attendance Refined]]=1,tbl_daily[[#This Row],[InjuryStatus]]="Full"),1,IF(AND(tbl_daily[[#This Row],[Attendance Refined]]=1,tbl_daily[[#This Row],[InjuryStatus]]="Limited"),2,IF(AND(tbl_daily[[#This Row],[Attendance Refined]]=1,tbl_daily[[#This Row],[InjuryStatus]]="Out"),3,"")))</f>
        <v>1</v>
      </c>
    </row>
    <row r="375" spans="1:23" ht="15" customHeight="1" x14ac:dyDescent="0.25">
      <c r="A375" s="1">
        <v>43853</v>
      </c>
      <c r="B375" t="s">
        <v>413</v>
      </c>
      <c r="C375">
        <v>1</v>
      </c>
      <c r="E375">
        <v>4</v>
      </c>
      <c r="F375">
        <v>6</v>
      </c>
      <c r="G375">
        <v>6</v>
      </c>
      <c r="H375" t="s">
        <v>15</v>
      </c>
      <c r="I375">
        <v>1</v>
      </c>
      <c r="J375">
        <v>6</v>
      </c>
      <c r="K375">
        <v>45</v>
      </c>
      <c r="M375" t="s">
        <v>34</v>
      </c>
      <c r="N375" t="s">
        <v>36</v>
      </c>
      <c r="P375">
        <f>IFERROR(IF(AND(tbl_daily[[#This Row],[Attendance (1 = Here, 0 = Not here)]]=1,tbl_daily[[#This Row],[Attended, but did not complete data]]&lt;&gt;1),tbl_daily[[#This Row],[Stress]]+tbl_daily[[#This Row],[SleepQuality]]+tbl_daily[[#This Row],[Energy]],""),"")</f>
        <v>16</v>
      </c>
      <c r="Q375">
        <f>IFERROR(IF(AND(tbl_daily[[#This Row],[Attendance (1 = Here, 0 = Not here)]]=1,tbl_daily[[#This Row],[Attended, but did not complete data]]&lt;&gt;1),tbl_daily[[#This Row],[LatestRPE]]*tbl_daily[[#This Row],[LatestDuration]],""),"")</f>
        <v>270</v>
      </c>
      <c r="R375">
        <f>IF(tbl_daily[[#This Row],[CodeName]]&lt;&gt;"",1,"")</f>
        <v>1</v>
      </c>
      <c r="S375" t="str">
        <f>IF(AND(tbl_daily[[#This Row],[Date]]&gt;=DATE(2019,8,1),tbl_daily[[#This Row],[Date]]&lt;=DATE(2020,6,1)),"2019-2020")</f>
        <v>2019-2020</v>
      </c>
      <c r="T375" t="str">
        <f>IFERROR(INDEX(tbl_prof[Cohort of Interest],MATCH(tbl_daily[[#This Row],[CodeName]],tbl_prof[CodeName],0)),"")</f>
        <v>Youth</v>
      </c>
      <c r="U375" t="str">
        <f>IFERROR(AVERAGEIFS(tbl_perf[Grade],tbl_perf[CodeName],tbl_daily[[#This Row],[CodeName]],tbl_perf[Date],tbl_daily[[#This Row],[Date]]),"")</f>
        <v/>
      </c>
      <c r="V375">
        <f>IFERROR(IF(AND(tbl_daily[[#This Row],[Attendance (1 = Here, 0 = Not here)]]=1,tbl_daily[[#This Row],[Attended, but did not complete data]]&lt;&gt;1),1,IF(AND(tbl_daily[[#This Row],[Attendance (1 = Here, 0 = Not here)]]=1,tbl_daily[[#This Row],[Attended, but did not complete data]]=1),2,3)),"")</f>
        <v>1</v>
      </c>
      <c r="W375">
        <f>IF(AND(tbl_daily[[#This Row],[Attendance Refined]]=1,tbl_daily[[#This Row],[InjuryStatus]]="Full"),1,IF(AND(tbl_daily[[#This Row],[Attendance Refined]]=1,tbl_daily[[#This Row],[InjuryStatus]]="Limited"),2,IF(AND(tbl_daily[[#This Row],[Attendance Refined]]=1,tbl_daily[[#This Row],[InjuryStatus]]="Out"),3,"")))</f>
        <v>1</v>
      </c>
    </row>
    <row r="376" spans="1:23" ht="15" customHeight="1" x14ac:dyDescent="0.25">
      <c r="A376" s="1">
        <v>43853</v>
      </c>
      <c r="B376" t="s">
        <v>425</v>
      </c>
      <c r="C376">
        <v>1</v>
      </c>
      <c r="E376">
        <v>2</v>
      </c>
      <c r="F376">
        <v>8</v>
      </c>
      <c r="G376">
        <v>8</v>
      </c>
      <c r="H376" t="s">
        <v>15</v>
      </c>
      <c r="I376">
        <v>1</v>
      </c>
      <c r="J376">
        <v>5</v>
      </c>
      <c r="K376">
        <v>60</v>
      </c>
      <c r="M376" t="s">
        <v>34</v>
      </c>
      <c r="N376" t="s">
        <v>46</v>
      </c>
      <c r="P376">
        <f>IFERROR(IF(AND(tbl_daily[[#This Row],[Attendance (1 = Here, 0 = Not here)]]=1,tbl_daily[[#This Row],[Attended, but did not complete data]]&lt;&gt;1),tbl_daily[[#This Row],[Stress]]+tbl_daily[[#This Row],[SleepQuality]]+tbl_daily[[#This Row],[Energy]],""),"")</f>
        <v>18</v>
      </c>
      <c r="Q376">
        <f>IFERROR(IF(AND(tbl_daily[[#This Row],[Attendance (1 = Here, 0 = Not here)]]=1,tbl_daily[[#This Row],[Attended, but did not complete data]]&lt;&gt;1),tbl_daily[[#This Row],[LatestRPE]]*tbl_daily[[#This Row],[LatestDuration]],""),"")</f>
        <v>300</v>
      </c>
      <c r="R376">
        <f>IF(tbl_daily[[#This Row],[CodeName]]&lt;&gt;"",1,"")</f>
        <v>1</v>
      </c>
      <c r="S376" t="str">
        <f>IF(AND(tbl_daily[[#This Row],[Date]]&gt;=DATE(2019,8,1),tbl_daily[[#This Row],[Date]]&lt;=DATE(2020,6,1)),"2019-2020")</f>
        <v>2019-2020</v>
      </c>
      <c r="T376" t="str">
        <f>IFERROR(INDEX(tbl_prof[Cohort of Interest],MATCH(tbl_daily[[#This Row],[CodeName]],tbl_prof[CodeName],0)),"")</f>
        <v>Athletes</v>
      </c>
      <c r="U376" t="str">
        <f>IFERROR(AVERAGEIFS(tbl_perf[Grade],tbl_perf[CodeName],tbl_daily[[#This Row],[CodeName]],tbl_perf[Date],tbl_daily[[#This Row],[Date]]),"")</f>
        <v/>
      </c>
      <c r="V376">
        <f>IFERROR(IF(AND(tbl_daily[[#This Row],[Attendance (1 = Here, 0 = Not here)]]=1,tbl_daily[[#This Row],[Attended, but did not complete data]]&lt;&gt;1),1,IF(AND(tbl_daily[[#This Row],[Attendance (1 = Here, 0 = Not here)]]=1,tbl_daily[[#This Row],[Attended, but did not complete data]]=1),2,3)),"")</f>
        <v>1</v>
      </c>
      <c r="W376">
        <f>IF(AND(tbl_daily[[#This Row],[Attendance Refined]]=1,tbl_daily[[#This Row],[InjuryStatus]]="Full"),1,IF(AND(tbl_daily[[#This Row],[Attendance Refined]]=1,tbl_daily[[#This Row],[InjuryStatus]]="Limited"),2,IF(AND(tbl_daily[[#This Row],[Attendance Refined]]=1,tbl_daily[[#This Row],[InjuryStatus]]="Out"),3,"")))</f>
        <v>1</v>
      </c>
    </row>
    <row r="377" spans="1:23" ht="15" customHeight="1" x14ac:dyDescent="0.25">
      <c r="A377" s="1">
        <v>43853</v>
      </c>
      <c r="B377" t="s">
        <v>424</v>
      </c>
      <c r="C377">
        <v>1</v>
      </c>
      <c r="E377">
        <v>4</v>
      </c>
      <c r="F377">
        <v>4</v>
      </c>
      <c r="G377">
        <v>5</v>
      </c>
      <c r="H377" t="s">
        <v>15</v>
      </c>
      <c r="I377">
        <v>1</v>
      </c>
      <c r="J377">
        <v>7</v>
      </c>
      <c r="K377">
        <v>45</v>
      </c>
      <c r="M377" t="s">
        <v>34</v>
      </c>
      <c r="P377">
        <f>IFERROR(IF(AND(tbl_daily[[#This Row],[Attendance (1 = Here, 0 = Not here)]]=1,tbl_daily[[#This Row],[Attended, but did not complete data]]&lt;&gt;1),tbl_daily[[#This Row],[Stress]]+tbl_daily[[#This Row],[SleepQuality]]+tbl_daily[[#This Row],[Energy]],""),"")</f>
        <v>13</v>
      </c>
      <c r="Q377">
        <f>IFERROR(IF(AND(tbl_daily[[#This Row],[Attendance (1 = Here, 0 = Not here)]]=1,tbl_daily[[#This Row],[Attended, but did not complete data]]&lt;&gt;1),tbl_daily[[#This Row],[LatestRPE]]*tbl_daily[[#This Row],[LatestDuration]],""),"")</f>
        <v>315</v>
      </c>
      <c r="R377">
        <f>IF(tbl_daily[[#This Row],[CodeName]]&lt;&gt;"",1,"")</f>
        <v>1</v>
      </c>
      <c r="S377" t="str">
        <f>IF(AND(tbl_daily[[#This Row],[Date]]&gt;=DATE(2019,8,1),tbl_daily[[#This Row],[Date]]&lt;=DATE(2020,6,1)),"2019-2020")</f>
        <v>2019-2020</v>
      </c>
      <c r="T377" t="str">
        <f>IFERROR(INDEX(tbl_prof[Cohort of Interest],MATCH(tbl_daily[[#This Row],[CodeName]],tbl_prof[CodeName],0)),"")</f>
        <v>Special</v>
      </c>
      <c r="U377" t="str">
        <f>IFERROR(AVERAGEIFS(tbl_perf[Grade],tbl_perf[CodeName],tbl_daily[[#This Row],[CodeName]],tbl_perf[Date],tbl_daily[[#This Row],[Date]]),"")</f>
        <v/>
      </c>
      <c r="V377">
        <f>IFERROR(IF(AND(tbl_daily[[#This Row],[Attendance (1 = Here, 0 = Not here)]]=1,tbl_daily[[#This Row],[Attended, but did not complete data]]&lt;&gt;1),1,IF(AND(tbl_daily[[#This Row],[Attendance (1 = Here, 0 = Not here)]]=1,tbl_daily[[#This Row],[Attended, but did not complete data]]=1),2,3)),"")</f>
        <v>1</v>
      </c>
      <c r="W377">
        <f>IF(AND(tbl_daily[[#This Row],[Attendance Refined]]=1,tbl_daily[[#This Row],[InjuryStatus]]="Full"),1,IF(AND(tbl_daily[[#This Row],[Attendance Refined]]=1,tbl_daily[[#This Row],[InjuryStatus]]="Limited"),2,IF(AND(tbl_daily[[#This Row],[Attendance Refined]]=1,tbl_daily[[#This Row],[InjuryStatus]]="Out"),3,"")))</f>
        <v>1</v>
      </c>
    </row>
    <row r="378" spans="1:23" ht="15" customHeight="1" x14ac:dyDescent="0.25">
      <c r="A378" s="1">
        <v>43853</v>
      </c>
      <c r="B378" t="s">
        <v>437</v>
      </c>
      <c r="C378">
        <v>1</v>
      </c>
      <c r="E378">
        <v>8</v>
      </c>
      <c r="F378">
        <v>9</v>
      </c>
      <c r="G378">
        <v>8</v>
      </c>
      <c r="H378" t="s">
        <v>15</v>
      </c>
      <c r="I378">
        <v>1</v>
      </c>
      <c r="J378">
        <v>7</v>
      </c>
      <c r="K378">
        <v>45</v>
      </c>
      <c r="M378" t="s">
        <v>34</v>
      </c>
      <c r="N378" t="s">
        <v>55</v>
      </c>
      <c r="P378">
        <f>IFERROR(IF(AND(tbl_daily[[#This Row],[Attendance (1 = Here, 0 = Not here)]]=1,tbl_daily[[#This Row],[Attended, but did not complete data]]&lt;&gt;1),tbl_daily[[#This Row],[Stress]]+tbl_daily[[#This Row],[SleepQuality]]+tbl_daily[[#This Row],[Energy]],""),"")</f>
        <v>25</v>
      </c>
      <c r="Q378">
        <f>IFERROR(IF(AND(tbl_daily[[#This Row],[Attendance (1 = Here, 0 = Not here)]]=1,tbl_daily[[#This Row],[Attended, but did not complete data]]&lt;&gt;1),tbl_daily[[#This Row],[LatestRPE]]*tbl_daily[[#This Row],[LatestDuration]],""),"")</f>
        <v>315</v>
      </c>
      <c r="R378">
        <f>IF(tbl_daily[[#This Row],[CodeName]]&lt;&gt;"",1,"")</f>
        <v>1</v>
      </c>
      <c r="S378" t="str">
        <f>IF(AND(tbl_daily[[#This Row],[Date]]&gt;=DATE(2019,8,1),tbl_daily[[#This Row],[Date]]&lt;=DATE(2020,6,1)),"2019-2020")</f>
        <v>2019-2020</v>
      </c>
      <c r="T378" t="str">
        <f>IFERROR(INDEX(tbl_prof[Cohort of Interest],MATCH(tbl_daily[[#This Row],[CodeName]],tbl_prof[CodeName],0)),"")</f>
        <v>Athletes</v>
      </c>
      <c r="U378" t="str">
        <f>IFERROR(AVERAGEIFS(tbl_perf[Grade],tbl_perf[CodeName],tbl_daily[[#This Row],[CodeName]],tbl_perf[Date],tbl_daily[[#This Row],[Date]]),"")</f>
        <v/>
      </c>
      <c r="V378">
        <f>IFERROR(IF(AND(tbl_daily[[#This Row],[Attendance (1 = Here, 0 = Not here)]]=1,tbl_daily[[#This Row],[Attended, but did not complete data]]&lt;&gt;1),1,IF(AND(tbl_daily[[#This Row],[Attendance (1 = Here, 0 = Not here)]]=1,tbl_daily[[#This Row],[Attended, but did not complete data]]=1),2,3)),"")</f>
        <v>1</v>
      </c>
      <c r="W378">
        <f>IF(AND(tbl_daily[[#This Row],[Attendance Refined]]=1,tbl_daily[[#This Row],[InjuryStatus]]="Full"),1,IF(AND(tbl_daily[[#This Row],[Attendance Refined]]=1,tbl_daily[[#This Row],[InjuryStatus]]="Limited"),2,IF(AND(tbl_daily[[#This Row],[Attendance Refined]]=1,tbl_daily[[#This Row],[InjuryStatus]]="Out"),3,"")))</f>
        <v>1</v>
      </c>
    </row>
    <row r="379" spans="1:23" ht="15" customHeight="1" x14ac:dyDescent="0.25">
      <c r="A379" s="1">
        <v>43853</v>
      </c>
      <c r="B379" t="s">
        <v>431</v>
      </c>
      <c r="C379">
        <v>1</v>
      </c>
      <c r="E379">
        <v>7</v>
      </c>
      <c r="F379">
        <v>8</v>
      </c>
      <c r="G379">
        <v>8</v>
      </c>
      <c r="H379" t="s">
        <v>15</v>
      </c>
      <c r="I379">
        <v>1</v>
      </c>
      <c r="J379">
        <v>6</v>
      </c>
      <c r="K379">
        <v>60</v>
      </c>
      <c r="M379" t="s">
        <v>34</v>
      </c>
      <c r="N379" s="2" t="s">
        <v>57</v>
      </c>
      <c r="O379" s="2"/>
      <c r="P379" s="2">
        <f>IFERROR(IF(AND(tbl_daily[[#This Row],[Attendance (1 = Here, 0 = Not here)]]=1,tbl_daily[[#This Row],[Attended, but did not complete data]]&lt;&gt;1),tbl_daily[[#This Row],[Stress]]+tbl_daily[[#This Row],[SleepQuality]]+tbl_daily[[#This Row],[Energy]],""),"")</f>
        <v>23</v>
      </c>
      <c r="Q379">
        <f>IFERROR(IF(AND(tbl_daily[[#This Row],[Attendance (1 = Here, 0 = Not here)]]=1,tbl_daily[[#This Row],[Attended, but did not complete data]]&lt;&gt;1),tbl_daily[[#This Row],[LatestRPE]]*tbl_daily[[#This Row],[LatestDuration]],""),"")</f>
        <v>360</v>
      </c>
      <c r="R379" s="2">
        <f>IF(tbl_daily[[#This Row],[CodeName]]&lt;&gt;"",1,"")</f>
        <v>1</v>
      </c>
      <c r="S379" t="str">
        <f>IF(AND(tbl_daily[[#This Row],[Date]]&gt;=DATE(2019,8,1),tbl_daily[[#This Row],[Date]]&lt;=DATE(2020,6,1)),"2019-2020")</f>
        <v>2019-2020</v>
      </c>
      <c r="T379" s="2" t="str">
        <f>IFERROR(INDEX(tbl_prof[Cohort of Interest],MATCH(tbl_daily[[#This Row],[CodeName]],tbl_prof[CodeName],0)),"")</f>
        <v>Special</v>
      </c>
      <c r="U379" s="2" t="str">
        <f>IFERROR(AVERAGEIFS(tbl_perf[Grade],tbl_perf[CodeName],tbl_daily[[#This Row],[CodeName]],tbl_perf[Date],tbl_daily[[#This Row],[Date]]),"")</f>
        <v/>
      </c>
      <c r="V379" s="2">
        <f>IFERROR(IF(AND(tbl_daily[[#This Row],[Attendance (1 = Here, 0 = Not here)]]=1,tbl_daily[[#This Row],[Attended, but did not complete data]]&lt;&gt;1),1,IF(AND(tbl_daily[[#This Row],[Attendance (1 = Here, 0 = Not here)]]=1,tbl_daily[[#This Row],[Attended, but did not complete data]]=1),2,3)),"")</f>
        <v>1</v>
      </c>
      <c r="W379" s="2">
        <f>IF(AND(tbl_daily[[#This Row],[Attendance Refined]]=1,tbl_daily[[#This Row],[InjuryStatus]]="Full"),1,IF(AND(tbl_daily[[#This Row],[Attendance Refined]]=1,tbl_daily[[#This Row],[InjuryStatus]]="Limited"),2,IF(AND(tbl_daily[[#This Row],[Attendance Refined]]=1,tbl_daily[[#This Row],[InjuryStatus]]="Out"),3,"")))</f>
        <v>1</v>
      </c>
    </row>
    <row r="380" spans="1:23" ht="15" customHeight="1" x14ac:dyDescent="0.25">
      <c r="A380" s="1">
        <v>43853</v>
      </c>
      <c r="B380" t="s">
        <v>432</v>
      </c>
      <c r="C380">
        <v>1</v>
      </c>
      <c r="E380">
        <v>8</v>
      </c>
      <c r="F380">
        <v>9</v>
      </c>
      <c r="G380">
        <v>8</v>
      </c>
      <c r="H380" t="s">
        <v>32</v>
      </c>
      <c r="I380">
        <v>1</v>
      </c>
      <c r="J380">
        <v>6</v>
      </c>
      <c r="K380">
        <v>60</v>
      </c>
      <c r="M380" t="s">
        <v>34</v>
      </c>
      <c r="N380" t="s">
        <v>58</v>
      </c>
      <c r="P380">
        <f>IFERROR(IF(AND(tbl_daily[[#This Row],[Attendance (1 = Here, 0 = Not here)]]=1,tbl_daily[[#This Row],[Attended, but did not complete data]]&lt;&gt;1),tbl_daily[[#This Row],[Stress]]+tbl_daily[[#This Row],[SleepQuality]]+tbl_daily[[#This Row],[Energy]],""),"")</f>
        <v>25</v>
      </c>
      <c r="Q380">
        <f>IFERROR(IF(AND(tbl_daily[[#This Row],[Attendance (1 = Here, 0 = Not here)]]=1,tbl_daily[[#This Row],[Attended, but did not complete data]]&lt;&gt;1),tbl_daily[[#This Row],[LatestRPE]]*tbl_daily[[#This Row],[LatestDuration]],""),"")</f>
        <v>360</v>
      </c>
      <c r="R380">
        <f>IF(tbl_daily[[#This Row],[CodeName]]&lt;&gt;"",1,"")</f>
        <v>1</v>
      </c>
      <c r="S380" t="str">
        <f>IF(AND(tbl_daily[[#This Row],[Date]]&gt;=DATE(2019,8,1),tbl_daily[[#This Row],[Date]]&lt;=DATE(2020,6,1)),"2019-2020")</f>
        <v>2019-2020</v>
      </c>
      <c r="T380" t="str">
        <f>IFERROR(INDEX(tbl_prof[Cohort of Interest],MATCH(tbl_daily[[#This Row],[CodeName]],tbl_prof[CodeName],0)),"")</f>
        <v>Athletes</v>
      </c>
      <c r="U380" t="str">
        <f>IFERROR(AVERAGEIFS(tbl_perf[Grade],tbl_perf[CodeName],tbl_daily[[#This Row],[CodeName]],tbl_perf[Date],tbl_daily[[#This Row],[Date]]),"")</f>
        <v/>
      </c>
      <c r="V380">
        <f>IFERROR(IF(AND(tbl_daily[[#This Row],[Attendance (1 = Here, 0 = Not here)]]=1,tbl_daily[[#This Row],[Attended, but did not complete data]]&lt;&gt;1),1,IF(AND(tbl_daily[[#This Row],[Attendance (1 = Here, 0 = Not here)]]=1,tbl_daily[[#This Row],[Attended, but did not complete data]]=1),2,3)),"")</f>
        <v>1</v>
      </c>
      <c r="W380">
        <f>IF(AND(tbl_daily[[#This Row],[Attendance Refined]]=1,tbl_daily[[#This Row],[InjuryStatus]]="Full"),1,IF(AND(tbl_daily[[#This Row],[Attendance Refined]]=1,tbl_daily[[#This Row],[InjuryStatus]]="Limited"),2,IF(AND(tbl_daily[[#This Row],[Attendance Refined]]=1,tbl_daily[[#This Row],[InjuryStatus]]="Out"),3,"")))</f>
        <v>2</v>
      </c>
    </row>
    <row r="381" spans="1:23" ht="15" customHeight="1" x14ac:dyDescent="0.25">
      <c r="A381" s="1">
        <v>43853</v>
      </c>
      <c r="B381" t="s">
        <v>439</v>
      </c>
      <c r="C381">
        <v>1</v>
      </c>
      <c r="E381">
        <v>7</v>
      </c>
      <c r="F381">
        <v>3</v>
      </c>
      <c r="G381">
        <v>5</v>
      </c>
      <c r="H381" t="s">
        <v>32</v>
      </c>
      <c r="I381">
        <v>1</v>
      </c>
      <c r="J381">
        <v>4</v>
      </c>
      <c r="K381">
        <v>90</v>
      </c>
      <c r="M381" t="s">
        <v>34</v>
      </c>
      <c r="N381" t="s">
        <v>59</v>
      </c>
      <c r="P381">
        <f>IFERROR(IF(AND(tbl_daily[[#This Row],[Attendance (1 = Here, 0 = Not here)]]=1,tbl_daily[[#This Row],[Attended, but did not complete data]]&lt;&gt;1),tbl_daily[[#This Row],[Stress]]+tbl_daily[[#This Row],[SleepQuality]]+tbl_daily[[#This Row],[Energy]],""),"")</f>
        <v>15</v>
      </c>
      <c r="Q381">
        <f>IFERROR(IF(AND(tbl_daily[[#This Row],[Attendance (1 = Here, 0 = Not here)]]=1,tbl_daily[[#This Row],[Attended, but did not complete data]]&lt;&gt;1),tbl_daily[[#This Row],[LatestRPE]]*tbl_daily[[#This Row],[LatestDuration]],""),"")</f>
        <v>360</v>
      </c>
      <c r="R381">
        <f>IF(tbl_daily[[#This Row],[CodeName]]&lt;&gt;"",1,"")</f>
        <v>1</v>
      </c>
      <c r="S381" t="str">
        <f>IF(AND(tbl_daily[[#This Row],[Date]]&gt;=DATE(2019,8,1),tbl_daily[[#This Row],[Date]]&lt;=DATE(2020,6,1)),"2019-2020")</f>
        <v>2019-2020</v>
      </c>
      <c r="T381" t="str">
        <f>IFERROR(INDEX(tbl_prof[Cohort of Interest],MATCH(tbl_daily[[#This Row],[CodeName]],tbl_prof[CodeName],0)),"")</f>
        <v>Special</v>
      </c>
      <c r="U381" t="str">
        <f>IFERROR(AVERAGEIFS(tbl_perf[Grade],tbl_perf[CodeName],tbl_daily[[#This Row],[CodeName]],tbl_perf[Date],tbl_daily[[#This Row],[Date]]),"")</f>
        <v/>
      </c>
      <c r="V381">
        <f>IFERROR(IF(AND(tbl_daily[[#This Row],[Attendance (1 = Here, 0 = Not here)]]=1,tbl_daily[[#This Row],[Attended, but did not complete data]]&lt;&gt;1),1,IF(AND(tbl_daily[[#This Row],[Attendance (1 = Here, 0 = Not here)]]=1,tbl_daily[[#This Row],[Attended, but did not complete data]]=1),2,3)),"")</f>
        <v>1</v>
      </c>
      <c r="W381">
        <f>IF(AND(tbl_daily[[#This Row],[Attendance Refined]]=1,tbl_daily[[#This Row],[InjuryStatus]]="Full"),1,IF(AND(tbl_daily[[#This Row],[Attendance Refined]]=1,tbl_daily[[#This Row],[InjuryStatus]]="Limited"),2,IF(AND(tbl_daily[[#This Row],[Attendance Refined]]=1,tbl_daily[[#This Row],[InjuryStatus]]="Out"),3,"")))</f>
        <v>2</v>
      </c>
    </row>
    <row r="382" spans="1:23" ht="15" customHeight="1" x14ac:dyDescent="0.25">
      <c r="A382" s="1">
        <v>43853</v>
      </c>
      <c r="B382" t="s">
        <v>422</v>
      </c>
      <c r="C382">
        <v>1</v>
      </c>
      <c r="E382">
        <v>9</v>
      </c>
      <c r="F382">
        <v>8</v>
      </c>
      <c r="G382">
        <v>8</v>
      </c>
      <c r="H382" t="s">
        <v>15</v>
      </c>
      <c r="I382">
        <v>1</v>
      </c>
      <c r="J382">
        <v>7</v>
      </c>
      <c r="K382">
        <v>60</v>
      </c>
      <c r="M382" t="s">
        <v>34</v>
      </c>
      <c r="N382" t="s">
        <v>45</v>
      </c>
      <c r="P382">
        <f>IFERROR(IF(AND(tbl_daily[[#This Row],[Attendance (1 = Here, 0 = Not here)]]=1,tbl_daily[[#This Row],[Attended, but did not complete data]]&lt;&gt;1),tbl_daily[[#This Row],[Stress]]+tbl_daily[[#This Row],[SleepQuality]]+tbl_daily[[#This Row],[Energy]],""),"")</f>
        <v>25</v>
      </c>
      <c r="Q382">
        <f>IFERROR(IF(AND(tbl_daily[[#This Row],[Attendance (1 = Here, 0 = Not here)]]=1,tbl_daily[[#This Row],[Attended, but did not complete data]]&lt;&gt;1),tbl_daily[[#This Row],[LatestRPE]]*tbl_daily[[#This Row],[LatestDuration]],""),"")</f>
        <v>420</v>
      </c>
      <c r="R382">
        <f>IF(tbl_daily[[#This Row],[CodeName]]&lt;&gt;"",1,"")</f>
        <v>1</v>
      </c>
      <c r="S382" t="str">
        <f>IF(AND(tbl_daily[[#This Row],[Date]]&gt;=DATE(2019,8,1),tbl_daily[[#This Row],[Date]]&lt;=DATE(2020,6,1)),"2019-2020")</f>
        <v>2019-2020</v>
      </c>
      <c r="T382" t="str">
        <f>IFERROR(INDEX(tbl_prof[Cohort of Interest],MATCH(tbl_daily[[#This Row],[CodeName]],tbl_prof[CodeName],0)),"")</f>
        <v>Athletes</v>
      </c>
      <c r="U382" t="str">
        <f>IFERROR(AVERAGEIFS(tbl_perf[Grade],tbl_perf[CodeName],tbl_daily[[#This Row],[CodeName]],tbl_perf[Date],tbl_daily[[#This Row],[Date]]),"")</f>
        <v/>
      </c>
      <c r="V382">
        <f>IFERROR(IF(AND(tbl_daily[[#This Row],[Attendance (1 = Here, 0 = Not here)]]=1,tbl_daily[[#This Row],[Attended, but did not complete data]]&lt;&gt;1),1,IF(AND(tbl_daily[[#This Row],[Attendance (1 = Here, 0 = Not here)]]=1,tbl_daily[[#This Row],[Attended, but did not complete data]]=1),2,3)),"")</f>
        <v>1</v>
      </c>
      <c r="W382">
        <f>IF(AND(tbl_daily[[#This Row],[Attendance Refined]]=1,tbl_daily[[#This Row],[InjuryStatus]]="Full"),1,IF(AND(tbl_daily[[#This Row],[Attendance Refined]]=1,tbl_daily[[#This Row],[InjuryStatus]]="Limited"),2,IF(AND(tbl_daily[[#This Row],[Attendance Refined]]=1,tbl_daily[[#This Row],[InjuryStatus]]="Out"),3,"")))</f>
        <v>1</v>
      </c>
    </row>
    <row r="383" spans="1:23" ht="15" customHeight="1" x14ac:dyDescent="0.25">
      <c r="A383" s="1">
        <v>43853</v>
      </c>
      <c r="B383" t="s">
        <v>441</v>
      </c>
      <c r="C383">
        <v>1</v>
      </c>
      <c r="E383">
        <v>5</v>
      </c>
      <c r="F383">
        <v>5</v>
      </c>
      <c r="G383">
        <v>8</v>
      </c>
      <c r="H383" t="s">
        <v>32</v>
      </c>
      <c r="I383">
        <v>1</v>
      </c>
      <c r="J383">
        <v>6</v>
      </c>
      <c r="K383">
        <v>75</v>
      </c>
      <c r="M383" t="s">
        <v>34</v>
      </c>
      <c r="N383" t="s">
        <v>62</v>
      </c>
      <c r="P383">
        <f>IFERROR(IF(AND(tbl_daily[[#This Row],[Attendance (1 = Here, 0 = Not here)]]=1,tbl_daily[[#This Row],[Attended, but did not complete data]]&lt;&gt;1),tbl_daily[[#This Row],[Stress]]+tbl_daily[[#This Row],[SleepQuality]]+tbl_daily[[#This Row],[Energy]],""),"")</f>
        <v>18</v>
      </c>
      <c r="Q383">
        <f>IFERROR(IF(AND(tbl_daily[[#This Row],[Attendance (1 = Here, 0 = Not here)]]=1,tbl_daily[[#This Row],[Attended, but did not complete data]]&lt;&gt;1),tbl_daily[[#This Row],[LatestRPE]]*tbl_daily[[#This Row],[LatestDuration]],""),"")</f>
        <v>450</v>
      </c>
      <c r="R383">
        <f>IF(tbl_daily[[#This Row],[CodeName]]&lt;&gt;"",1,"")</f>
        <v>1</v>
      </c>
      <c r="S383" t="str">
        <f>IF(AND(tbl_daily[[#This Row],[Date]]&gt;=DATE(2019,8,1),tbl_daily[[#This Row],[Date]]&lt;=DATE(2020,6,1)),"2019-2020")</f>
        <v>2019-2020</v>
      </c>
      <c r="T383" t="str">
        <f>IFERROR(INDEX(tbl_prof[Cohort of Interest],MATCH(tbl_daily[[#This Row],[CodeName]],tbl_prof[CodeName],0)),"")</f>
        <v>Athletes</v>
      </c>
      <c r="U383" t="str">
        <f>IFERROR(AVERAGEIFS(tbl_perf[Grade],tbl_perf[CodeName],tbl_daily[[#This Row],[CodeName]],tbl_perf[Date],tbl_daily[[#This Row],[Date]]),"")</f>
        <v/>
      </c>
      <c r="V383">
        <f>IFERROR(IF(AND(tbl_daily[[#This Row],[Attendance (1 = Here, 0 = Not here)]]=1,tbl_daily[[#This Row],[Attended, but did not complete data]]&lt;&gt;1),1,IF(AND(tbl_daily[[#This Row],[Attendance (1 = Here, 0 = Not here)]]=1,tbl_daily[[#This Row],[Attended, but did not complete data]]=1),2,3)),"")</f>
        <v>1</v>
      </c>
      <c r="W383">
        <f>IF(AND(tbl_daily[[#This Row],[Attendance Refined]]=1,tbl_daily[[#This Row],[InjuryStatus]]="Full"),1,IF(AND(tbl_daily[[#This Row],[Attendance Refined]]=1,tbl_daily[[#This Row],[InjuryStatus]]="Limited"),2,IF(AND(tbl_daily[[#This Row],[Attendance Refined]]=1,tbl_daily[[#This Row],[InjuryStatus]]="Out"),3,"")))</f>
        <v>2</v>
      </c>
    </row>
    <row r="384" spans="1:23" ht="15" customHeight="1" x14ac:dyDescent="0.25">
      <c r="A384" s="1">
        <v>43853</v>
      </c>
      <c r="B384" t="s">
        <v>423</v>
      </c>
      <c r="C384">
        <v>1</v>
      </c>
      <c r="E384">
        <v>5</v>
      </c>
      <c r="F384">
        <v>8</v>
      </c>
      <c r="G384">
        <v>7</v>
      </c>
      <c r="H384" t="s">
        <v>15</v>
      </c>
      <c r="I384">
        <v>1</v>
      </c>
      <c r="J384">
        <v>8</v>
      </c>
      <c r="K384">
        <v>75</v>
      </c>
      <c r="M384" t="s">
        <v>34</v>
      </c>
      <c r="P384">
        <f>IFERROR(IF(AND(tbl_daily[[#This Row],[Attendance (1 = Here, 0 = Not here)]]=1,tbl_daily[[#This Row],[Attended, but did not complete data]]&lt;&gt;1),tbl_daily[[#This Row],[Stress]]+tbl_daily[[#This Row],[SleepQuality]]+tbl_daily[[#This Row],[Energy]],""),"")</f>
        <v>20</v>
      </c>
      <c r="Q384">
        <f>IFERROR(IF(AND(tbl_daily[[#This Row],[Attendance (1 = Here, 0 = Not here)]]=1,tbl_daily[[#This Row],[Attended, but did not complete data]]&lt;&gt;1),tbl_daily[[#This Row],[LatestRPE]]*tbl_daily[[#This Row],[LatestDuration]],""),"")</f>
        <v>600</v>
      </c>
      <c r="R384">
        <f>IF(tbl_daily[[#This Row],[CodeName]]&lt;&gt;"",1,"")</f>
        <v>1</v>
      </c>
      <c r="S384" t="str">
        <f>IF(AND(tbl_daily[[#This Row],[Date]]&gt;=DATE(2019,8,1),tbl_daily[[#This Row],[Date]]&lt;=DATE(2020,6,1)),"2019-2020")</f>
        <v>2019-2020</v>
      </c>
      <c r="T384" t="str">
        <f>IFERROR(INDEX(tbl_prof[Cohort of Interest],MATCH(tbl_daily[[#This Row],[CodeName]],tbl_prof[CodeName],0)),"")</f>
        <v>Youth</v>
      </c>
      <c r="U384" t="str">
        <f>IFERROR(AVERAGEIFS(tbl_perf[Grade],tbl_perf[CodeName],tbl_daily[[#This Row],[CodeName]],tbl_perf[Date],tbl_daily[[#This Row],[Date]]),"")</f>
        <v/>
      </c>
      <c r="V384">
        <f>IFERROR(IF(AND(tbl_daily[[#This Row],[Attendance (1 = Here, 0 = Not here)]]=1,tbl_daily[[#This Row],[Attended, but did not complete data]]&lt;&gt;1),1,IF(AND(tbl_daily[[#This Row],[Attendance (1 = Here, 0 = Not here)]]=1,tbl_daily[[#This Row],[Attended, but did not complete data]]=1),2,3)),"")</f>
        <v>1</v>
      </c>
      <c r="W384">
        <f>IF(AND(tbl_daily[[#This Row],[Attendance Refined]]=1,tbl_daily[[#This Row],[InjuryStatus]]="Full"),1,IF(AND(tbl_daily[[#This Row],[Attendance Refined]]=1,tbl_daily[[#This Row],[InjuryStatus]]="Limited"),2,IF(AND(tbl_daily[[#This Row],[Attendance Refined]]=1,tbl_daily[[#This Row],[InjuryStatus]]="Out"),3,"")))</f>
        <v>1</v>
      </c>
    </row>
    <row r="385" spans="1:23" ht="15" customHeight="1" x14ac:dyDescent="0.25">
      <c r="A385" s="1">
        <v>43853</v>
      </c>
      <c r="B385" t="s">
        <v>433</v>
      </c>
      <c r="C385">
        <v>1</v>
      </c>
      <c r="E385">
        <v>8</v>
      </c>
      <c r="F385">
        <v>7</v>
      </c>
      <c r="G385">
        <v>8</v>
      </c>
      <c r="H385" t="s">
        <v>32</v>
      </c>
      <c r="I385">
        <v>1</v>
      </c>
      <c r="J385">
        <v>10</v>
      </c>
      <c r="K385">
        <v>150</v>
      </c>
      <c r="M385" t="s">
        <v>34</v>
      </c>
      <c r="N385" s="2" t="s">
        <v>60</v>
      </c>
      <c r="P385">
        <f>IFERROR(IF(AND(tbl_daily[[#This Row],[Attendance (1 = Here, 0 = Not here)]]=1,tbl_daily[[#This Row],[Attended, but did not complete data]]&lt;&gt;1),tbl_daily[[#This Row],[Stress]]+tbl_daily[[#This Row],[SleepQuality]]+tbl_daily[[#This Row],[Energy]],""),"")</f>
        <v>23</v>
      </c>
      <c r="Q385">
        <f>IFERROR(IF(AND(tbl_daily[[#This Row],[Attendance (1 = Here, 0 = Not here)]]=1,tbl_daily[[#This Row],[Attended, but did not complete data]]&lt;&gt;1),tbl_daily[[#This Row],[LatestRPE]]*tbl_daily[[#This Row],[LatestDuration]],""),"")</f>
        <v>1500</v>
      </c>
      <c r="R385">
        <f>IF(tbl_daily[[#This Row],[CodeName]]&lt;&gt;"",1,"")</f>
        <v>1</v>
      </c>
      <c r="S385" t="str">
        <f>IF(AND(tbl_daily[[#This Row],[Date]]&gt;=DATE(2019,8,1),tbl_daily[[#This Row],[Date]]&lt;=DATE(2020,6,1)),"2019-2020")</f>
        <v>2019-2020</v>
      </c>
      <c r="T385" t="str">
        <f>IFERROR(INDEX(tbl_prof[Cohort of Interest],MATCH(tbl_daily[[#This Row],[CodeName]],tbl_prof[CodeName],0)),"")</f>
        <v>Athletes</v>
      </c>
      <c r="U385" t="str">
        <f>IFERROR(AVERAGEIFS(tbl_perf[Grade],tbl_perf[CodeName],tbl_daily[[#This Row],[CodeName]],tbl_perf[Date],tbl_daily[[#This Row],[Date]]),"")</f>
        <v/>
      </c>
      <c r="V385">
        <f>IFERROR(IF(AND(tbl_daily[[#This Row],[Attendance (1 = Here, 0 = Not here)]]=1,tbl_daily[[#This Row],[Attended, but did not complete data]]&lt;&gt;1),1,IF(AND(tbl_daily[[#This Row],[Attendance (1 = Here, 0 = Not here)]]=1,tbl_daily[[#This Row],[Attended, but did not complete data]]=1),2,3)),"")</f>
        <v>1</v>
      </c>
      <c r="W385">
        <f>IF(AND(tbl_daily[[#This Row],[Attendance Refined]]=1,tbl_daily[[#This Row],[InjuryStatus]]="Full"),1,IF(AND(tbl_daily[[#This Row],[Attendance Refined]]=1,tbl_daily[[#This Row],[InjuryStatus]]="Limited"),2,IF(AND(tbl_daily[[#This Row],[Attendance Refined]]=1,tbl_daily[[#This Row],[InjuryStatus]]="Out"),3,"")))</f>
        <v>2</v>
      </c>
    </row>
    <row r="386" spans="1:23" x14ac:dyDescent="0.25">
      <c r="A386" s="1">
        <v>43853</v>
      </c>
      <c r="B386" t="s">
        <v>411</v>
      </c>
      <c r="C386">
        <v>0</v>
      </c>
      <c r="D386">
        <v>1</v>
      </c>
      <c r="M386" t="s">
        <v>34</v>
      </c>
      <c r="P386" t="str">
        <f>IFERROR(IF(AND(tbl_daily[[#This Row],[Attendance (1 = Here, 0 = Not here)]]=1,tbl_daily[[#This Row],[Attended, but did not complete data]]&lt;&gt;1),tbl_daily[[#This Row],[Stress]]+tbl_daily[[#This Row],[SleepQuality]]+tbl_daily[[#This Row],[Energy]],""),"")</f>
        <v/>
      </c>
      <c r="Q386" t="str">
        <f>IFERROR(IF(AND(tbl_daily[[#This Row],[Attendance (1 = Here, 0 = Not here)]]=1,tbl_daily[[#This Row],[Attended, but did not complete data]]&lt;&gt;1),tbl_daily[[#This Row],[LatestRPE]]*tbl_daily[[#This Row],[LatestDuration]],""),"")</f>
        <v/>
      </c>
      <c r="R386">
        <f>IF(tbl_daily[[#This Row],[CodeName]]&lt;&gt;"",1,"")</f>
        <v>1</v>
      </c>
      <c r="S386" t="str">
        <f>IF(AND(tbl_daily[[#This Row],[Date]]&gt;=DATE(2019,8,1),tbl_daily[[#This Row],[Date]]&lt;=DATE(2020,6,1)),"2019-2020")</f>
        <v>2019-2020</v>
      </c>
      <c r="T386" t="str">
        <f>IFERROR(INDEX(tbl_prof[Cohort of Interest],MATCH(tbl_daily[[#This Row],[CodeName]],tbl_prof[CodeName],0)),"")</f>
        <v>Athletes</v>
      </c>
      <c r="U386" t="str">
        <f>IFERROR(AVERAGEIFS(tbl_perf[Grade],tbl_perf[CodeName],tbl_daily[[#This Row],[CodeName]],tbl_perf[Date],tbl_daily[[#This Row],[Date]]),"")</f>
        <v/>
      </c>
      <c r="V386">
        <f>IFERROR(IF(AND(tbl_daily[[#This Row],[Attendance (1 = Here, 0 = Not here)]]=1,tbl_daily[[#This Row],[Attended, but did not complete data]]&lt;&gt;1),1,IF(AND(tbl_daily[[#This Row],[Attendance (1 = Here, 0 = Not here)]]=1,tbl_daily[[#This Row],[Attended, but did not complete data]]=1),2,3)),"")</f>
        <v>3</v>
      </c>
      <c r="W386" t="str">
        <f>IF(AND(tbl_daily[[#This Row],[Attendance Refined]]=1,tbl_daily[[#This Row],[InjuryStatus]]="Full"),1,IF(AND(tbl_daily[[#This Row],[Attendance Refined]]=1,tbl_daily[[#This Row],[InjuryStatus]]="Limited"),2,IF(AND(tbl_daily[[#This Row],[Attendance Refined]]=1,tbl_daily[[#This Row],[InjuryStatus]]="Out"),3,"")))</f>
        <v/>
      </c>
    </row>
    <row r="387" spans="1:23" x14ac:dyDescent="0.25">
      <c r="A387" s="1">
        <v>43853</v>
      </c>
      <c r="B387" t="s">
        <v>427</v>
      </c>
      <c r="C387">
        <v>0</v>
      </c>
      <c r="D387">
        <v>1</v>
      </c>
      <c r="E387">
        <v>5</v>
      </c>
      <c r="F387">
        <v>8</v>
      </c>
      <c r="G387">
        <v>5</v>
      </c>
      <c r="H387" t="s">
        <v>32</v>
      </c>
      <c r="I387">
        <v>0</v>
      </c>
      <c r="J387">
        <v>0</v>
      </c>
      <c r="K387">
        <v>0</v>
      </c>
      <c r="M387" t="s">
        <v>34</v>
      </c>
      <c r="P387" t="str">
        <f>IFERROR(IF(AND(tbl_daily[[#This Row],[Attendance (1 = Here, 0 = Not here)]]=1,tbl_daily[[#This Row],[Attended, but did not complete data]]&lt;&gt;1),tbl_daily[[#This Row],[Stress]]+tbl_daily[[#This Row],[SleepQuality]]+tbl_daily[[#This Row],[Energy]],""),"")</f>
        <v/>
      </c>
      <c r="Q387" t="str">
        <f>IFERROR(IF(AND(tbl_daily[[#This Row],[Attendance (1 = Here, 0 = Not here)]]=1,tbl_daily[[#This Row],[Attended, but did not complete data]]&lt;&gt;1),tbl_daily[[#This Row],[LatestRPE]]*tbl_daily[[#This Row],[LatestDuration]],""),"")</f>
        <v/>
      </c>
      <c r="R387">
        <f>IF(tbl_daily[[#This Row],[CodeName]]&lt;&gt;"",1,"")</f>
        <v>1</v>
      </c>
      <c r="S387" t="str">
        <f>IF(AND(tbl_daily[[#This Row],[Date]]&gt;=DATE(2019,8,1),tbl_daily[[#This Row],[Date]]&lt;=DATE(2020,6,1)),"2019-2020")</f>
        <v>2019-2020</v>
      </c>
      <c r="T387" t="str">
        <f>IFERROR(INDEX(tbl_prof[Cohort of Interest],MATCH(tbl_daily[[#This Row],[CodeName]],tbl_prof[CodeName],0)),"")</f>
        <v>Special</v>
      </c>
      <c r="U387" t="str">
        <f>IFERROR(AVERAGEIFS(tbl_perf[Grade],tbl_perf[CodeName],tbl_daily[[#This Row],[CodeName]],tbl_perf[Date],tbl_daily[[#This Row],[Date]]),"")</f>
        <v/>
      </c>
      <c r="V387">
        <f>IFERROR(IF(AND(tbl_daily[[#This Row],[Attendance (1 = Here, 0 = Not here)]]=1,tbl_daily[[#This Row],[Attended, but did not complete data]]&lt;&gt;1),1,IF(AND(tbl_daily[[#This Row],[Attendance (1 = Here, 0 = Not here)]]=1,tbl_daily[[#This Row],[Attended, but did not complete data]]=1),2,3)),"")</f>
        <v>3</v>
      </c>
      <c r="W387" t="str">
        <f>IF(AND(tbl_daily[[#This Row],[Attendance Refined]]=1,tbl_daily[[#This Row],[InjuryStatus]]="Full"),1,IF(AND(tbl_daily[[#This Row],[Attendance Refined]]=1,tbl_daily[[#This Row],[InjuryStatus]]="Limited"),2,IF(AND(tbl_daily[[#This Row],[Attendance Refined]]=1,tbl_daily[[#This Row],[InjuryStatus]]="Out"),3,"")))</f>
        <v/>
      </c>
    </row>
    <row r="388" spans="1:23" x14ac:dyDescent="0.25">
      <c r="A388" s="1">
        <v>43851</v>
      </c>
      <c r="B388" t="s">
        <v>412</v>
      </c>
      <c r="C388">
        <v>1</v>
      </c>
      <c r="E388">
        <v>4</v>
      </c>
      <c r="F388">
        <v>3</v>
      </c>
      <c r="G388">
        <v>5</v>
      </c>
      <c r="H388" t="s">
        <v>15</v>
      </c>
      <c r="I388">
        <v>0</v>
      </c>
      <c r="J388">
        <v>0</v>
      </c>
      <c r="K388">
        <v>0</v>
      </c>
      <c r="M388" t="s">
        <v>13</v>
      </c>
      <c r="N388" t="s">
        <v>16</v>
      </c>
      <c r="P388">
        <f>IFERROR(IF(AND(tbl_daily[[#This Row],[Attendance (1 = Here, 0 = Not here)]]=1,tbl_daily[[#This Row],[Attended, but did not complete data]]&lt;&gt;1),tbl_daily[[#This Row],[Stress]]+tbl_daily[[#This Row],[SleepQuality]]+tbl_daily[[#This Row],[Energy]],""),"")</f>
        <v>12</v>
      </c>
      <c r="Q388">
        <f>IFERROR(IF(AND(tbl_daily[[#This Row],[Attendance (1 = Here, 0 = Not here)]]=1,tbl_daily[[#This Row],[Attended, but did not complete data]]&lt;&gt;1),tbl_daily[[#This Row],[LatestRPE]]*tbl_daily[[#This Row],[LatestDuration]],""),"")</f>
        <v>0</v>
      </c>
      <c r="R388">
        <f>IF(tbl_daily[[#This Row],[CodeName]]&lt;&gt;"",1,"")</f>
        <v>1</v>
      </c>
      <c r="S388" t="str">
        <f>IF(AND(tbl_daily[[#This Row],[Date]]&gt;=DATE(2019,8,1),tbl_daily[[#This Row],[Date]]&lt;=DATE(2020,6,1)),"2019-2020")</f>
        <v>2019-2020</v>
      </c>
      <c r="T388" t="str">
        <f>IFERROR(INDEX(tbl_prof[Cohort of Interest],MATCH(tbl_daily[[#This Row],[CodeName]],tbl_prof[CodeName],0)),"")</f>
        <v>Gen Pop</v>
      </c>
      <c r="U388" t="str">
        <f>IFERROR(AVERAGEIFS(tbl_perf[Grade],tbl_perf[CodeName],tbl_daily[[#This Row],[CodeName]],tbl_perf[Date],tbl_daily[[#This Row],[Date]]),"")</f>
        <v/>
      </c>
      <c r="V388">
        <f>IFERROR(IF(AND(tbl_daily[[#This Row],[Attendance (1 = Here, 0 = Not here)]]=1,tbl_daily[[#This Row],[Attended, but did not complete data]]&lt;&gt;1),1,IF(AND(tbl_daily[[#This Row],[Attendance (1 = Here, 0 = Not here)]]=1,tbl_daily[[#This Row],[Attended, but did not complete data]]=1),2,3)),"")</f>
        <v>1</v>
      </c>
      <c r="W388">
        <f>IF(AND(tbl_daily[[#This Row],[Attendance Refined]]=1,tbl_daily[[#This Row],[InjuryStatus]]="Full"),1,IF(AND(tbl_daily[[#This Row],[Attendance Refined]]=1,tbl_daily[[#This Row],[InjuryStatus]]="Limited"),2,IF(AND(tbl_daily[[#This Row],[Attendance Refined]]=1,tbl_daily[[#This Row],[InjuryStatus]]="Out"),3,"")))</f>
        <v>1</v>
      </c>
    </row>
    <row r="389" spans="1:23" x14ac:dyDescent="0.25">
      <c r="A389" s="1">
        <v>43851</v>
      </c>
      <c r="B389" t="s">
        <v>417</v>
      </c>
      <c r="C389">
        <v>1</v>
      </c>
      <c r="E389">
        <v>9</v>
      </c>
      <c r="F389">
        <v>6</v>
      </c>
      <c r="G389">
        <v>7</v>
      </c>
      <c r="H389" t="s">
        <v>15</v>
      </c>
      <c r="I389">
        <v>0</v>
      </c>
      <c r="J389">
        <v>0</v>
      </c>
      <c r="K389">
        <v>0</v>
      </c>
      <c r="M389" t="s">
        <v>13</v>
      </c>
      <c r="N389" t="s">
        <v>20</v>
      </c>
      <c r="P389">
        <f>IFERROR(IF(AND(tbl_daily[[#This Row],[Attendance (1 = Here, 0 = Not here)]]=1,tbl_daily[[#This Row],[Attended, but did not complete data]]&lt;&gt;1),tbl_daily[[#This Row],[Stress]]+tbl_daily[[#This Row],[SleepQuality]]+tbl_daily[[#This Row],[Energy]],""),"")</f>
        <v>22</v>
      </c>
      <c r="Q389">
        <f>IFERROR(IF(AND(tbl_daily[[#This Row],[Attendance (1 = Here, 0 = Not here)]]=1,tbl_daily[[#This Row],[Attended, but did not complete data]]&lt;&gt;1),tbl_daily[[#This Row],[LatestRPE]]*tbl_daily[[#This Row],[LatestDuration]],""),"")</f>
        <v>0</v>
      </c>
      <c r="R389">
        <f>IF(tbl_daily[[#This Row],[CodeName]]&lt;&gt;"",1,"")</f>
        <v>1</v>
      </c>
      <c r="S389" t="str">
        <f>IF(AND(tbl_daily[[#This Row],[Date]]&gt;=DATE(2019,8,1),tbl_daily[[#This Row],[Date]]&lt;=DATE(2020,6,1)),"2019-2020")</f>
        <v>2019-2020</v>
      </c>
      <c r="T389" t="str">
        <f>IFERROR(INDEX(tbl_prof[Cohort of Interest],MATCH(tbl_daily[[#This Row],[CodeName]],tbl_prof[CodeName],0)),"")</f>
        <v>Gen Pop</v>
      </c>
      <c r="U389" t="str">
        <f>IFERROR(AVERAGEIFS(tbl_perf[Grade],tbl_perf[CodeName],tbl_daily[[#This Row],[CodeName]],tbl_perf[Date],tbl_daily[[#This Row],[Date]]),"")</f>
        <v/>
      </c>
      <c r="V389">
        <f>IFERROR(IF(AND(tbl_daily[[#This Row],[Attendance (1 = Here, 0 = Not here)]]=1,tbl_daily[[#This Row],[Attended, but did not complete data]]&lt;&gt;1),1,IF(AND(tbl_daily[[#This Row],[Attendance (1 = Here, 0 = Not here)]]=1,tbl_daily[[#This Row],[Attended, but did not complete data]]=1),2,3)),"")</f>
        <v>1</v>
      </c>
      <c r="W389">
        <f>IF(AND(tbl_daily[[#This Row],[Attendance Refined]]=1,tbl_daily[[#This Row],[InjuryStatus]]="Full"),1,IF(AND(tbl_daily[[#This Row],[Attendance Refined]]=1,tbl_daily[[#This Row],[InjuryStatus]]="Limited"),2,IF(AND(tbl_daily[[#This Row],[Attendance Refined]]=1,tbl_daily[[#This Row],[InjuryStatus]]="Out"),3,"")))</f>
        <v>1</v>
      </c>
    </row>
    <row r="390" spans="1:23" x14ac:dyDescent="0.25">
      <c r="A390" s="1">
        <v>43851</v>
      </c>
      <c r="B390" t="s">
        <v>423</v>
      </c>
      <c r="C390">
        <v>1</v>
      </c>
      <c r="E390">
        <v>4</v>
      </c>
      <c r="F390">
        <v>7</v>
      </c>
      <c r="G390">
        <v>7</v>
      </c>
      <c r="H390" t="s">
        <v>15</v>
      </c>
      <c r="I390">
        <v>0</v>
      </c>
      <c r="J390">
        <v>0</v>
      </c>
      <c r="K390">
        <v>0</v>
      </c>
      <c r="M390" t="s">
        <v>13</v>
      </c>
      <c r="N390" t="s">
        <v>23</v>
      </c>
      <c r="P390">
        <f>IFERROR(IF(AND(tbl_daily[[#This Row],[Attendance (1 = Here, 0 = Not here)]]=1,tbl_daily[[#This Row],[Attended, but did not complete data]]&lt;&gt;1),tbl_daily[[#This Row],[Stress]]+tbl_daily[[#This Row],[SleepQuality]]+tbl_daily[[#This Row],[Energy]],""),"")</f>
        <v>18</v>
      </c>
      <c r="Q390">
        <f>IFERROR(IF(AND(tbl_daily[[#This Row],[Attendance (1 = Here, 0 = Not here)]]=1,tbl_daily[[#This Row],[Attended, but did not complete data]]&lt;&gt;1),tbl_daily[[#This Row],[LatestRPE]]*tbl_daily[[#This Row],[LatestDuration]],""),"")</f>
        <v>0</v>
      </c>
      <c r="R390">
        <f>IF(tbl_daily[[#This Row],[CodeName]]&lt;&gt;"",1,"")</f>
        <v>1</v>
      </c>
      <c r="S390" t="str">
        <f>IF(AND(tbl_daily[[#This Row],[Date]]&gt;=DATE(2019,8,1),tbl_daily[[#This Row],[Date]]&lt;=DATE(2020,6,1)),"2019-2020")</f>
        <v>2019-2020</v>
      </c>
      <c r="T390" t="str">
        <f>IFERROR(INDEX(tbl_prof[Cohort of Interest],MATCH(tbl_daily[[#This Row],[CodeName]],tbl_prof[CodeName],0)),"")</f>
        <v>Youth</v>
      </c>
      <c r="U390" t="str">
        <f>IFERROR(AVERAGEIFS(tbl_perf[Grade],tbl_perf[CodeName],tbl_daily[[#This Row],[CodeName]],tbl_perf[Date],tbl_daily[[#This Row],[Date]]),"")</f>
        <v/>
      </c>
      <c r="V390">
        <f>IFERROR(IF(AND(tbl_daily[[#This Row],[Attendance (1 = Here, 0 = Not here)]]=1,tbl_daily[[#This Row],[Attended, but did not complete data]]&lt;&gt;1),1,IF(AND(tbl_daily[[#This Row],[Attendance (1 = Here, 0 = Not here)]]=1,tbl_daily[[#This Row],[Attended, but did not complete data]]=1),2,3)),"")</f>
        <v>1</v>
      </c>
      <c r="W390">
        <f>IF(AND(tbl_daily[[#This Row],[Attendance Refined]]=1,tbl_daily[[#This Row],[InjuryStatus]]="Full"),1,IF(AND(tbl_daily[[#This Row],[Attendance Refined]]=1,tbl_daily[[#This Row],[InjuryStatus]]="Limited"),2,IF(AND(tbl_daily[[#This Row],[Attendance Refined]]=1,tbl_daily[[#This Row],[InjuryStatus]]="Out"),3,"")))</f>
        <v>1</v>
      </c>
    </row>
    <row r="391" spans="1:23" x14ac:dyDescent="0.25">
      <c r="A391" s="1">
        <v>43851</v>
      </c>
      <c r="B391" t="s">
        <v>410</v>
      </c>
      <c r="C391">
        <v>1</v>
      </c>
      <c r="E391">
        <v>7</v>
      </c>
      <c r="F391">
        <v>8</v>
      </c>
      <c r="G391">
        <v>8</v>
      </c>
      <c r="H391" t="s">
        <v>15</v>
      </c>
      <c r="I391">
        <v>0</v>
      </c>
      <c r="J391">
        <v>0</v>
      </c>
      <c r="M391" t="s">
        <v>13</v>
      </c>
      <c r="N391" t="s">
        <v>20</v>
      </c>
      <c r="P391">
        <f>IFERROR(IF(AND(tbl_daily[[#This Row],[Attendance (1 = Here, 0 = Not here)]]=1,tbl_daily[[#This Row],[Attended, but did not complete data]]&lt;&gt;1),tbl_daily[[#This Row],[Stress]]+tbl_daily[[#This Row],[SleepQuality]]+tbl_daily[[#This Row],[Energy]],""),"")</f>
        <v>23</v>
      </c>
      <c r="Q391">
        <f>IFERROR(IF(AND(tbl_daily[[#This Row],[Attendance (1 = Here, 0 = Not here)]]=1,tbl_daily[[#This Row],[Attended, but did not complete data]]&lt;&gt;1),tbl_daily[[#This Row],[LatestRPE]]*tbl_daily[[#This Row],[LatestDuration]],""),"")</f>
        <v>0</v>
      </c>
      <c r="R391">
        <f>IF(tbl_daily[[#This Row],[CodeName]]&lt;&gt;"",1,"")</f>
        <v>1</v>
      </c>
      <c r="S391" t="str">
        <f>IF(AND(tbl_daily[[#This Row],[Date]]&gt;=DATE(2019,8,1),tbl_daily[[#This Row],[Date]]&lt;=DATE(2020,6,1)),"2019-2020")</f>
        <v>2019-2020</v>
      </c>
      <c r="T391" t="str">
        <f>IFERROR(INDEX(tbl_prof[Cohort of Interest],MATCH(tbl_daily[[#This Row],[CodeName]],tbl_prof[CodeName],0)),"")</f>
        <v>Gen Pop</v>
      </c>
      <c r="U391" t="str">
        <f>IFERROR(AVERAGEIFS(tbl_perf[Grade],tbl_perf[CodeName],tbl_daily[[#This Row],[CodeName]],tbl_perf[Date],tbl_daily[[#This Row],[Date]]),"")</f>
        <v/>
      </c>
      <c r="V391">
        <f>IFERROR(IF(AND(tbl_daily[[#This Row],[Attendance (1 = Here, 0 = Not here)]]=1,tbl_daily[[#This Row],[Attended, but did not complete data]]&lt;&gt;1),1,IF(AND(tbl_daily[[#This Row],[Attendance (1 = Here, 0 = Not here)]]=1,tbl_daily[[#This Row],[Attended, but did not complete data]]=1),2,3)),"")</f>
        <v>1</v>
      </c>
      <c r="W391">
        <f>IF(AND(tbl_daily[[#This Row],[Attendance Refined]]=1,tbl_daily[[#This Row],[InjuryStatus]]="Full"),1,IF(AND(tbl_daily[[#This Row],[Attendance Refined]]=1,tbl_daily[[#This Row],[InjuryStatus]]="Limited"),2,IF(AND(tbl_daily[[#This Row],[Attendance Refined]]=1,tbl_daily[[#This Row],[InjuryStatus]]="Out"),3,"")))</f>
        <v>1</v>
      </c>
    </row>
    <row r="392" spans="1:23" x14ac:dyDescent="0.25">
      <c r="A392" s="1">
        <v>43851</v>
      </c>
      <c r="B392" t="s">
        <v>439</v>
      </c>
      <c r="C392">
        <v>1</v>
      </c>
      <c r="E392">
        <v>7</v>
      </c>
      <c r="F392">
        <v>5</v>
      </c>
      <c r="G392">
        <v>6</v>
      </c>
      <c r="H392" t="s">
        <v>32</v>
      </c>
      <c r="I392">
        <v>1</v>
      </c>
      <c r="J392">
        <v>7</v>
      </c>
      <c r="M392" t="s">
        <v>13</v>
      </c>
      <c r="N392" t="s">
        <v>29</v>
      </c>
      <c r="P392">
        <f>IFERROR(IF(AND(tbl_daily[[#This Row],[Attendance (1 = Here, 0 = Not here)]]=1,tbl_daily[[#This Row],[Attended, but did not complete data]]&lt;&gt;1),tbl_daily[[#This Row],[Stress]]+tbl_daily[[#This Row],[SleepQuality]]+tbl_daily[[#This Row],[Energy]],""),"")</f>
        <v>18</v>
      </c>
      <c r="Q392">
        <f>IFERROR(IF(AND(tbl_daily[[#This Row],[Attendance (1 = Here, 0 = Not here)]]=1,tbl_daily[[#This Row],[Attended, but did not complete data]]&lt;&gt;1),tbl_daily[[#This Row],[LatestRPE]]*tbl_daily[[#This Row],[LatestDuration]],""),"")</f>
        <v>0</v>
      </c>
      <c r="R392">
        <f>IF(tbl_daily[[#This Row],[CodeName]]&lt;&gt;"",1,"")</f>
        <v>1</v>
      </c>
      <c r="S392" t="str">
        <f>IF(AND(tbl_daily[[#This Row],[Date]]&gt;=DATE(2019,8,1),tbl_daily[[#This Row],[Date]]&lt;=DATE(2020,6,1)),"2019-2020")</f>
        <v>2019-2020</v>
      </c>
      <c r="T392" t="str">
        <f>IFERROR(INDEX(tbl_prof[Cohort of Interest],MATCH(tbl_daily[[#This Row],[CodeName]],tbl_prof[CodeName],0)),"")</f>
        <v>Special</v>
      </c>
      <c r="U392" t="str">
        <f>IFERROR(AVERAGEIFS(tbl_perf[Grade],tbl_perf[CodeName],tbl_daily[[#This Row],[CodeName]],tbl_perf[Date],tbl_daily[[#This Row],[Date]]),"")</f>
        <v/>
      </c>
      <c r="V392">
        <f>IFERROR(IF(AND(tbl_daily[[#This Row],[Attendance (1 = Here, 0 = Not here)]]=1,tbl_daily[[#This Row],[Attended, but did not complete data]]&lt;&gt;1),1,IF(AND(tbl_daily[[#This Row],[Attendance (1 = Here, 0 = Not here)]]=1,tbl_daily[[#This Row],[Attended, but did not complete data]]=1),2,3)),"")</f>
        <v>1</v>
      </c>
      <c r="W392">
        <f>IF(AND(tbl_daily[[#This Row],[Attendance Refined]]=1,tbl_daily[[#This Row],[InjuryStatus]]="Full"),1,IF(AND(tbl_daily[[#This Row],[Attendance Refined]]=1,tbl_daily[[#This Row],[InjuryStatus]]="Limited"),2,IF(AND(tbl_daily[[#This Row],[Attendance Refined]]=1,tbl_daily[[#This Row],[InjuryStatus]]="Out"),3,"")))</f>
        <v>2</v>
      </c>
    </row>
    <row r="393" spans="1:23" x14ac:dyDescent="0.25">
      <c r="A393" s="1">
        <v>43851</v>
      </c>
      <c r="B393" t="s">
        <v>440</v>
      </c>
      <c r="C393">
        <v>1</v>
      </c>
      <c r="E393">
        <v>8</v>
      </c>
      <c r="F393">
        <v>5</v>
      </c>
      <c r="G393">
        <v>5</v>
      </c>
      <c r="H393" t="s">
        <v>32</v>
      </c>
      <c r="I393">
        <v>0</v>
      </c>
      <c r="J393">
        <v>0</v>
      </c>
      <c r="K393">
        <v>0</v>
      </c>
      <c r="M393" t="s">
        <v>13</v>
      </c>
      <c r="N393" t="s">
        <v>31</v>
      </c>
      <c r="P393">
        <f>IFERROR(IF(AND(tbl_daily[[#This Row],[Attendance (1 = Here, 0 = Not here)]]=1,tbl_daily[[#This Row],[Attended, but did not complete data]]&lt;&gt;1),tbl_daily[[#This Row],[Stress]]+tbl_daily[[#This Row],[SleepQuality]]+tbl_daily[[#This Row],[Energy]],""),"")</f>
        <v>18</v>
      </c>
      <c r="Q393">
        <f>IFERROR(IF(AND(tbl_daily[[#This Row],[Attendance (1 = Here, 0 = Not here)]]=1,tbl_daily[[#This Row],[Attended, but did not complete data]]&lt;&gt;1),tbl_daily[[#This Row],[LatestRPE]]*tbl_daily[[#This Row],[LatestDuration]],""),"")</f>
        <v>0</v>
      </c>
      <c r="R393">
        <f>IF(tbl_daily[[#This Row],[CodeName]]&lt;&gt;"",1,"")</f>
        <v>1</v>
      </c>
      <c r="S393" t="str">
        <f>IF(AND(tbl_daily[[#This Row],[Date]]&gt;=DATE(2019,8,1),tbl_daily[[#This Row],[Date]]&lt;=DATE(2020,6,1)),"2019-2020")</f>
        <v>2019-2020</v>
      </c>
      <c r="T393" t="str">
        <f>IFERROR(INDEX(tbl_prof[Cohort of Interest],MATCH(tbl_daily[[#This Row],[CodeName]],tbl_prof[CodeName],0)),"")</f>
        <v>Youth</v>
      </c>
      <c r="U393" t="str">
        <f>IFERROR(AVERAGEIFS(tbl_perf[Grade],tbl_perf[CodeName],tbl_daily[[#This Row],[CodeName]],tbl_perf[Date],tbl_daily[[#This Row],[Date]]),"")</f>
        <v/>
      </c>
      <c r="V393">
        <f>IFERROR(IF(AND(tbl_daily[[#This Row],[Attendance (1 = Here, 0 = Not here)]]=1,tbl_daily[[#This Row],[Attended, but did not complete data]]&lt;&gt;1),1,IF(AND(tbl_daily[[#This Row],[Attendance (1 = Here, 0 = Not here)]]=1,tbl_daily[[#This Row],[Attended, but did not complete data]]=1),2,3)),"")</f>
        <v>1</v>
      </c>
      <c r="W393">
        <f>IF(AND(tbl_daily[[#This Row],[Attendance Refined]]=1,tbl_daily[[#This Row],[InjuryStatus]]="Full"),1,IF(AND(tbl_daily[[#This Row],[Attendance Refined]]=1,tbl_daily[[#This Row],[InjuryStatus]]="Limited"),2,IF(AND(tbl_daily[[#This Row],[Attendance Refined]]=1,tbl_daily[[#This Row],[InjuryStatus]]="Out"),3,"")))</f>
        <v>2</v>
      </c>
    </row>
    <row r="394" spans="1:23" x14ac:dyDescent="0.25">
      <c r="A394" s="1">
        <v>43851</v>
      </c>
      <c r="B394" t="s">
        <v>424</v>
      </c>
      <c r="C394">
        <v>1</v>
      </c>
      <c r="E394">
        <v>3</v>
      </c>
      <c r="F394">
        <v>6</v>
      </c>
      <c r="G394">
        <v>4</v>
      </c>
      <c r="H394" t="s">
        <v>15</v>
      </c>
      <c r="I394">
        <v>1</v>
      </c>
      <c r="J394">
        <v>3</v>
      </c>
      <c r="K394">
        <v>20</v>
      </c>
      <c r="M394" t="s">
        <v>13</v>
      </c>
      <c r="N394" t="s">
        <v>19</v>
      </c>
      <c r="P394">
        <f>IFERROR(IF(AND(tbl_daily[[#This Row],[Attendance (1 = Here, 0 = Not here)]]=1,tbl_daily[[#This Row],[Attended, but did not complete data]]&lt;&gt;1),tbl_daily[[#This Row],[Stress]]+tbl_daily[[#This Row],[SleepQuality]]+tbl_daily[[#This Row],[Energy]],""),"")</f>
        <v>13</v>
      </c>
      <c r="Q394">
        <f>IFERROR(IF(AND(tbl_daily[[#This Row],[Attendance (1 = Here, 0 = Not here)]]=1,tbl_daily[[#This Row],[Attended, but did not complete data]]&lt;&gt;1),tbl_daily[[#This Row],[LatestRPE]]*tbl_daily[[#This Row],[LatestDuration]],""),"")</f>
        <v>60</v>
      </c>
      <c r="R394">
        <f>IF(tbl_daily[[#This Row],[CodeName]]&lt;&gt;"",1,"")</f>
        <v>1</v>
      </c>
      <c r="S394" t="str">
        <f>IF(AND(tbl_daily[[#This Row],[Date]]&gt;=DATE(2019,8,1),tbl_daily[[#This Row],[Date]]&lt;=DATE(2020,6,1)),"2019-2020")</f>
        <v>2019-2020</v>
      </c>
      <c r="T394" t="str">
        <f>IFERROR(INDEX(tbl_prof[Cohort of Interest],MATCH(tbl_daily[[#This Row],[CodeName]],tbl_prof[CodeName],0)),"")</f>
        <v>Special</v>
      </c>
      <c r="U394" t="str">
        <f>IFERROR(AVERAGEIFS(tbl_perf[Grade],tbl_perf[CodeName],tbl_daily[[#This Row],[CodeName]],tbl_perf[Date],tbl_daily[[#This Row],[Date]]),"")</f>
        <v/>
      </c>
      <c r="V394">
        <f>IFERROR(IF(AND(tbl_daily[[#This Row],[Attendance (1 = Here, 0 = Not here)]]=1,tbl_daily[[#This Row],[Attended, but did not complete data]]&lt;&gt;1),1,IF(AND(tbl_daily[[#This Row],[Attendance (1 = Here, 0 = Not here)]]=1,tbl_daily[[#This Row],[Attended, but did not complete data]]=1),2,3)),"")</f>
        <v>1</v>
      </c>
      <c r="W394">
        <f>IF(AND(tbl_daily[[#This Row],[Attendance Refined]]=1,tbl_daily[[#This Row],[InjuryStatus]]="Full"),1,IF(AND(tbl_daily[[#This Row],[Attendance Refined]]=1,tbl_daily[[#This Row],[InjuryStatus]]="Limited"),2,IF(AND(tbl_daily[[#This Row],[Attendance Refined]]=1,tbl_daily[[#This Row],[InjuryStatus]]="Out"),3,"")))</f>
        <v>1</v>
      </c>
    </row>
    <row r="395" spans="1:23" x14ac:dyDescent="0.25">
      <c r="A395" s="1">
        <v>43851</v>
      </c>
      <c r="B395" t="s">
        <v>430</v>
      </c>
      <c r="C395">
        <v>1</v>
      </c>
      <c r="E395">
        <v>2</v>
      </c>
      <c r="F395">
        <v>9</v>
      </c>
      <c r="G395">
        <v>5</v>
      </c>
      <c r="H395" t="s">
        <v>15</v>
      </c>
      <c r="I395">
        <v>1</v>
      </c>
      <c r="J395">
        <v>5</v>
      </c>
      <c r="K395">
        <v>30</v>
      </c>
      <c r="M395" t="s">
        <v>13</v>
      </c>
      <c r="N395" t="s">
        <v>19</v>
      </c>
      <c r="P395">
        <f>IFERROR(IF(AND(tbl_daily[[#This Row],[Attendance (1 = Here, 0 = Not here)]]=1,tbl_daily[[#This Row],[Attended, but did not complete data]]&lt;&gt;1),tbl_daily[[#This Row],[Stress]]+tbl_daily[[#This Row],[SleepQuality]]+tbl_daily[[#This Row],[Energy]],""),"")</f>
        <v>16</v>
      </c>
      <c r="Q395">
        <f>IFERROR(IF(AND(tbl_daily[[#This Row],[Attendance (1 = Here, 0 = Not here)]]=1,tbl_daily[[#This Row],[Attended, but did not complete data]]&lt;&gt;1),tbl_daily[[#This Row],[LatestRPE]]*tbl_daily[[#This Row],[LatestDuration]],""),"")</f>
        <v>150</v>
      </c>
      <c r="R395">
        <f>IF(tbl_daily[[#This Row],[CodeName]]&lt;&gt;"",1,"")</f>
        <v>1</v>
      </c>
      <c r="S395" t="str">
        <f>IF(AND(tbl_daily[[#This Row],[Date]]&gt;=DATE(2019,8,1),tbl_daily[[#This Row],[Date]]&lt;=DATE(2020,6,1)),"2019-2020")</f>
        <v>2019-2020</v>
      </c>
      <c r="T395" t="str">
        <f>IFERROR(INDEX(tbl_prof[Cohort of Interest],MATCH(tbl_daily[[#This Row],[CodeName]],tbl_prof[CodeName],0)),"")</f>
        <v>Gen Pop</v>
      </c>
      <c r="U395" t="str">
        <f>IFERROR(AVERAGEIFS(tbl_perf[Grade],tbl_perf[CodeName],tbl_daily[[#This Row],[CodeName]],tbl_perf[Date],tbl_daily[[#This Row],[Date]]),"")</f>
        <v/>
      </c>
      <c r="V395">
        <f>IFERROR(IF(AND(tbl_daily[[#This Row],[Attendance (1 = Here, 0 = Not here)]]=1,tbl_daily[[#This Row],[Attended, but did not complete data]]&lt;&gt;1),1,IF(AND(tbl_daily[[#This Row],[Attendance (1 = Here, 0 = Not here)]]=1,tbl_daily[[#This Row],[Attended, but did not complete data]]=1),2,3)),"")</f>
        <v>1</v>
      </c>
      <c r="W395">
        <f>IF(AND(tbl_daily[[#This Row],[Attendance Refined]]=1,tbl_daily[[#This Row],[InjuryStatus]]="Full"),1,IF(AND(tbl_daily[[#This Row],[Attendance Refined]]=1,tbl_daily[[#This Row],[InjuryStatus]]="Limited"),2,IF(AND(tbl_daily[[#This Row],[Attendance Refined]]=1,tbl_daily[[#This Row],[InjuryStatus]]="Out"),3,"")))</f>
        <v>1</v>
      </c>
    </row>
    <row r="396" spans="1:23" x14ac:dyDescent="0.25">
      <c r="A396" s="1">
        <v>43851</v>
      </c>
      <c r="B396" t="s">
        <v>411</v>
      </c>
      <c r="C396">
        <v>1</v>
      </c>
      <c r="E396">
        <v>4</v>
      </c>
      <c r="F396">
        <v>8</v>
      </c>
      <c r="G396">
        <v>8</v>
      </c>
      <c r="H396" t="s">
        <v>15</v>
      </c>
      <c r="I396">
        <v>1</v>
      </c>
      <c r="J396">
        <v>5</v>
      </c>
      <c r="K396">
        <v>45</v>
      </c>
      <c r="M396" t="s">
        <v>13</v>
      </c>
      <c r="N396" t="s">
        <v>14</v>
      </c>
      <c r="P396">
        <f>IFERROR(IF(AND(tbl_daily[[#This Row],[Attendance (1 = Here, 0 = Not here)]]=1,tbl_daily[[#This Row],[Attended, but did not complete data]]&lt;&gt;1),tbl_daily[[#This Row],[Stress]]+tbl_daily[[#This Row],[SleepQuality]]+tbl_daily[[#This Row],[Energy]],""),"")</f>
        <v>20</v>
      </c>
      <c r="Q396">
        <f>IFERROR(IF(AND(tbl_daily[[#This Row],[Attendance (1 = Here, 0 = Not here)]]=1,tbl_daily[[#This Row],[Attended, but did not complete data]]&lt;&gt;1),tbl_daily[[#This Row],[LatestRPE]]*tbl_daily[[#This Row],[LatestDuration]],""),"")</f>
        <v>225</v>
      </c>
      <c r="R396">
        <f>IF(tbl_daily[[#This Row],[CodeName]]&lt;&gt;"",1,"")</f>
        <v>1</v>
      </c>
      <c r="S396" t="str">
        <f>IF(AND(tbl_daily[[#This Row],[Date]]&gt;=DATE(2019,8,1),tbl_daily[[#This Row],[Date]]&lt;=DATE(2020,6,1)),"2019-2020")</f>
        <v>2019-2020</v>
      </c>
      <c r="T396" t="str">
        <f>IFERROR(INDEX(tbl_prof[Cohort of Interest],MATCH(tbl_daily[[#This Row],[CodeName]],tbl_prof[CodeName],0)),"")</f>
        <v>Athletes</v>
      </c>
      <c r="U396" t="str">
        <f>IFERROR(AVERAGEIFS(tbl_perf[Grade],tbl_perf[CodeName],tbl_daily[[#This Row],[CodeName]],tbl_perf[Date],tbl_daily[[#This Row],[Date]]),"")</f>
        <v/>
      </c>
      <c r="V396">
        <f>IFERROR(IF(AND(tbl_daily[[#This Row],[Attendance (1 = Here, 0 = Not here)]]=1,tbl_daily[[#This Row],[Attended, but did not complete data]]&lt;&gt;1),1,IF(AND(tbl_daily[[#This Row],[Attendance (1 = Here, 0 = Not here)]]=1,tbl_daily[[#This Row],[Attended, but did not complete data]]=1),2,3)),"")</f>
        <v>1</v>
      </c>
      <c r="W396">
        <f>IF(AND(tbl_daily[[#This Row],[Attendance Refined]]=1,tbl_daily[[#This Row],[InjuryStatus]]="Full"),1,IF(AND(tbl_daily[[#This Row],[Attendance Refined]]=1,tbl_daily[[#This Row],[InjuryStatus]]="Limited"),2,IF(AND(tbl_daily[[#This Row],[Attendance Refined]]=1,tbl_daily[[#This Row],[InjuryStatus]]="Out"),3,"")))</f>
        <v>1</v>
      </c>
    </row>
    <row r="397" spans="1:23" x14ac:dyDescent="0.25">
      <c r="A397" s="1">
        <v>43851</v>
      </c>
      <c r="B397" t="s">
        <v>413</v>
      </c>
      <c r="C397">
        <v>1</v>
      </c>
      <c r="E397">
        <v>4</v>
      </c>
      <c r="F397">
        <v>7</v>
      </c>
      <c r="G397">
        <v>6</v>
      </c>
      <c r="H397" t="s">
        <v>15</v>
      </c>
      <c r="I397">
        <v>1</v>
      </c>
      <c r="J397">
        <v>5</v>
      </c>
      <c r="K397">
        <v>45</v>
      </c>
      <c r="M397" t="s">
        <v>13</v>
      </c>
      <c r="N397" t="s">
        <v>17</v>
      </c>
      <c r="P397">
        <f>IFERROR(IF(AND(tbl_daily[[#This Row],[Attendance (1 = Here, 0 = Not here)]]=1,tbl_daily[[#This Row],[Attended, but did not complete data]]&lt;&gt;1),tbl_daily[[#This Row],[Stress]]+tbl_daily[[#This Row],[SleepQuality]]+tbl_daily[[#This Row],[Energy]],""),"")</f>
        <v>17</v>
      </c>
      <c r="Q397">
        <f>IFERROR(IF(AND(tbl_daily[[#This Row],[Attendance (1 = Here, 0 = Not here)]]=1,tbl_daily[[#This Row],[Attended, but did not complete data]]&lt;&gt;1),tbl_daily[[#This Row],[LatestRPE]]*tbl_daily[[#This Row],[LatestDuration]],""),"")</f>
        <v>225</v>
      </c>
      <c r="R397">
        <f>IF(tbl_daily[[#This Row],[CodeName]]&lt;&gt;"",1,"")</f>
        <v>1</v>
      </c>
      <c r="S397" t="str">
        <f>IF(AND(tbl_daily[[#This Row],[Date]]&gt;=DATE(2019,8,1),tbl_daily[[#This Row],[Date]]&lt;=DATE(2020,6,1)),"2019-2020")</f>
        <v>2019-2020</v>
      </c>
      <c r="T397" t="str">
        <f>IFERROR(INDEX(tbl_prof[Cohort of Interest],MATCH(tbl_daily[[#This Row],[CodeName]],tbl_prof[CodeName],0)),"")</f>
        <v>Youth</v>
      </c>
      <c r="U397" t="str">
        <f>IFERROR(AVERAGEIFS(tbl_perf[Grade],tbl_perf[CodeName],tbl_daily[[#This Row],[CodeName]],tbl_perf[Date],tbl_daily[[#This Row],[Date]]),"")</f>
        <v/>
      </c>
      <c r="V397">
        <f>IFERROR(IF(AND(tbl_daily[[#This Row],[Attendance (1 = Here, 0 = Not here)]]=1,tbl_daily[[#This Row],[Attended, but did not complete data]]&lt;&gt;1),1,IF(AND(tbl_daily[[#This Row],[Attendance (1 = Here, 0 = Not here)]]=1,tbl_daily[[#This Row],[Attended, but did not complete data]]=1),2,3)),"")</f>
        <v>1</v>
      </c>
      <c r="W397">
        <f>IF(AND(tbl_daily[[#This Row],[Attendance Refined]]=1,tbl_daily[[#This Row],[InjuryStatus]]="Full"),1,IF(AND(tbl_daily[[#This Row],[Attendance Refined]]=1,tbl_daily[[#This Row],[InjuryStatus]]="Limited"),2,IF(AND(tbl_daily[[#This Row],[Attendance Refined]]=1,tbl_daily[[#This Row],[InjuryStatus]]="Out"),3,"")))</f>
        <v>1</v>
      </c>
    </row>
    <row r="398" spans="1:23" x14ac:dyDescent="0.25">
      <c r="A398" s="1">
        <v>43851</v>
      </c>
      <c r="B398" t="s">
        <v>420</v>
      </c>
      <c r="C398">
        <v>1</v>
      </c>
      <c r="E398">
        <v>8</v>
      </c>
      <c r="F398">
        <v>10</v>
      </c>
      <c r="G398">
        <v>10</v>
      </c>
      <c r="H398" t="s">
        <v>15</v>
      </c>
      <c r="I398">
        <v>1</v>
      </c>
      <c r="J398">
        <v>5</v>
      </c>
      <c r="K398">
        <v>45</v>
      </c>
      <c r="M398" t="s">
        <v>13</v>
      </c>
      <c r="N398" t="s">
        <v>17</v>
      </c>
      <c r="P398">
        <f>IFERROR(IF(AND(tbl_daily[[#This Row],[Attendance (1 = Here, 0 = Not here)]]=1,tbl_daily[[#This Row],[Attended, but did not complete data]]&lt;&gt;1),tbl_daily[[#This Row],[Stress]]+tbl_daily[[#This Row],[SleepQuality]]+tbl_daily[[#This Row],[Energy]],""),"")</f>
        <v>28</v>
      </c>
      <c r="Q398">
        <f>IFERROR(IF(AND(tbl_daily[[#This Row],[Attendance (1 = Here, 0 = Not here)]]=1,tbl_daily[[#This Row],[Attended, but did not complete data]]&lt;&gt;1),tbl_daily[[#This Row],[LatestRPE]]*tbl_daily[[#This Row],[LatestDuration]],""),"")</f>
        <v>225</v>
      </c>
      <c r="R398">
        <f>IF(tbl_daily[[#This Row],[CodeName]]&lt;&gt;"",1,"")</f>
        <v>1</v>
      </c>
      <c r="S398" t="str">
        <f>IF(AND(tbl_daily[[#This Row],[Date]]&gt;=DATE(2019,8,1),tbl_daily[[#This Row],[Date]]&lt;=DATE(2020,6,1)),"2019-2020")</f>
        <v>2019-2020</v>
      </c>
      <c r="T398" t="str">
        <f>IFERROR(INDEX(tbl_prof[Cohort of Interest],MATCH(tbl_daily[[#This Row],[CodeName]],tbl_prof[CodeName],0)),"")</f>
        <v>Athletes</v>
      </c>
      <c r="U398" t="str">
        <f>IFERROR(AVERAGEIFS(tbl_perf[Grade],tbl_perf[CodeName],tbl_daily[[#This Row],[CodeName]],tbl_perf[Date],tbl_daily[[#This Row],[Date]]),"")</f>
        <v/>
      </c>
      <c r="V398">
        <f>IFERROR(IF(AND(tbl_daily[[#This Row],[Attendance (1 = Here, 0 = Not here)]]=1,tbl_daily[[#This Row],[Attended, but did not complete data]]&lt;&gt;1),1,IF(AND(tbl_daily[[#This Row],[Attendance (1 = Here, 0 = Not here)]]=1,tbl_daily[[#This Row],[Attended, but did not complete data]]=1),2,3)),"")</f>
        <v>1</v>
      </c>
      <c r="W398">
        <f>IF(AND(tbl_daily[[#This Row],[Attendance Refined]]=1,tbl_daily[[#This Row],[InjuryStatus]]="Full"),1,IF(AND(tbl_daily[[#This Row],[Attendance Refined]]=1,tbl_daily[[#This Row],[InjuryStatus]]="Limited"),2,IF(AND(tbl_daily[[#This Row],[Attendance Refined]]=1,tbl_daily[[#This Row],[InjuryStatus]]="Out"),3,"")))</f>
        <v>1</v>
      </c>
    </row>
    <row r="399" spans="1:23" x14ac:dyDescent="0.25">
      <c r="A399" s="1">
        <v>43851</v>
      </c>
      <c r="B399" t="s">
        <v>433</v>
      </c>
      <c r="C399">
        <v>1</v>
      </c>
      <c r="E399">
        <v>6</v>
      </c>
      <c r="F399">
        <v>7</v>
      </c>
      <c r="G399">
        <v>8</v>
      </c>
      <c r="H399" t="s">
        <v>32</v>
      </c>
      <c r="I399">
        <v>1</v>
      </c>
      <c r="J399">
        <v>4</v>
      </c>
      <c r="K399">
        <v>60</v>
      </c>
      <c r="M399" t="s">
        <v>13</v>
      </c>
      <c r="N399" t="s">
        <v>30</v>
      </c>
      <c r="P399">
        <f>IFERROR(IF(AND(tbl_daily[[#This Row],[Attendance (1 = Here, 0 = Not here)]]=1,tbl_daily[[#This Row],[Attended, but did not complete data]]&lt;&gt;1),tbl_daily[[#This Row],[Stress]]+tbl_daily[[#This Row],[SleepQuality]]+tbl_daily[[#This Row],[Energy]],""),"")</f>
        <v>21</v>
      </c>
      <c r="Q399">
        <f>IFERROR(IF(AND(tbl_daily[[#This Row],[Attendance (1 = Here, 0 = Not here)]]=1,tbl_daily[[#This Row],[Attended, but did not complete data]]&lt;&gt;1),tbl_daily[[#This Row],[LatestRPE]]*tbl_daily[[#This Row],[LatestDuration]],""),"")</f>
        <v>240</v>
      </c>
      <c r="R399">
        <f>IF(tbl_daily[[#This Row],[CodeName]]&lt;&gt;"",1,"")</f>
        <v>1</v>
      </c>
      <c r="S399" t="str">
        <f>IF(AND(tbl_daily[[#This Row],[Date]]&gt;=DATE(2019,8,1),tbl_daily[[#This Row],[Date]]&lt;=DATE(2020,6,1)),"2019-2020")</f>
        <v>2019-2020</v>
      </c>
      <c r="T399" t="str">
        <f>IFERROR(INDEX(tbl_prof[Cohort of Interest],MATCH(tbl_daily[[#This Row],[CodeName]],tbl_prof[CodeName],0)),"")</f>
        <v>Athletes</v>
      </c>
      <c r="U399" t="str">
        <f>IFERROR(AVERAGEIFS(tbl_perf[Grade],tbl_perf[CodeName],tbl_daily[[#This Row],[CodeName]],tbl_perf[Date],tbl_daily[[#This Row],[Date]]),"")</f>
        <v/>
      </c>
      <c r="V399">
        <f>IFERROR(IF(AND(tbl_daily[[#This Row],[Attendance (1 = Here, 0 = Not here)]]=1,tbl_daily[[#This Row],[Attended, but did not complete data]]&lt;&gt;1),1,IF(AND(tbl_daily[[#This Row],[Attendance (1 = Here, 0 = Not here)]]=1,tbl_daily[[#This Row],[Attended, but did not complete data]]=1),2,3)),"")</f>
        <v>1</v>
      </c>
      <c r="W399">
        <f>IF(AND(tbl_daily[[#This Row],[Attendance Refined]]=1,tbl_daily[[#This Row],[InjuryStatus]]="Full"),1,IF(AND(tbl_daily[[#This Row],[Attendance Refined]]=1,tbl_daily[[#This Row],[InjuryStatus]]="Limited"),2,IF(AND(tbl_daily[[#This Row],[Attendance Refined]]=1,tbl_daily[[#This Row],[InjuryStatus]]="Out"),3,"")))</f>
        <v>2</v>
      </c>
    </row>
    <row r="400" spans="1:23" x14ac:dyDescent="0.25">
      <c r="A400" s="1">
        <v>43851</v>
      </c>
      <c r="B400" t="s">
        <v>431</v>
      </c>
      <c r="C400">
        <v>1</v>
      </c>
      <c r="E400">
        <v>7</v>
      </c>
      <c r="F400">
        <v>8</v>
      </c>
      <c r="G400">
        <v>7</v>
      </c>
      <c r="H400" t="s">
        <v>15</v>
      </c>
      <c r="I400">
        <v>1</v>
      </c>
      <c r="J400">
        <v>6</v>
      </c>
      <c r="K400">
        <v>45</v>
      </c>
      <c r="M400" t="s">
        <v>13</v>
      </c>
      <c r="N400" t="s">
        <v>28</v>
      </c>
      <c r="P400">
        <f>IFERROR(IF(AND(tbl_daily[[#This Row],[Attendance (1 = Here, 0 = Not here)]]=1,tbl_daily[[#This Row],[Attended, but did not complete data]]&lt;&gt;1),tbl_daily[[#This Row],[Stress]]+tbl_daily[[#This Row],[SleepQuality]]+tbl_daily[[#This Row],[Energy]],""),"")</f>
        <v>22</v>
      </c>
      <c r="Q400">
        <f>IFERROR(IF(AND(tbl_daily[[#This Row],[Attendance (1 = Here, 0 = Not here)]]=1,tbl_daily[[#This Row],[Attended, but did not complete data]]&lt;&gt;1),tbl_daily[[#This Row],[LatestRPE]]*tbl_daily[[#This Row],[LatestDuration]],""),"")</f>
        <v>270</v>
      </c>
      <c r="R400">
        <f>IF(tbl_daily[[#This Row],[CodeName]]&lt;&gt;"",1,"")</f>
        <v>1</v>
      </c>
      <c r="S400" t="str">
        <f>IF(AND(tbl_daily[[#This Row],[Date]]&gt;=DATE(2019,8,1),tbl_daily[[#This Row],[Date]]&lt;=DATE(2020,6,1)),"2019-2020")</f>
        <v>2019-2020</v>
      </c>
      <c r="T400" t="str">
        <f>IFERROR(INDEX(tbl_prof[Cohort of Interest],MATCH(tbl_daily[[#This Row],[CodeName]],tbl_prof[CodeName],0)),"")</f>
        <v>Special</v>
      </c>
      <c r="U400" t="str">
        <f>IFERROR(AVERAGEIFS(tbl_perf[Grade],tbl_perf[CodeName],tbl_daily[[#This Row],[CodeName]],tbl_perf[Date],tbl_daily[[#This Row],[Date]]),"")</f>
        <v/>
      </c>
      <c r="V400">
        <f>IFERROR(IF(AND(tbl_daily[[#This Row],[Attendance (1 = Here, 0 = Not here)]]=1,tbl_daily[[#This Row],[Attended, but did not complete data]]&lt;&gt;1),1,IF(AND(tbl_daily[[#This Row],[Attendance (1 = Here, 0 = Not here)]]=1,tbl_daily[[#This Row],[Attended, but did not complete data]]=1),2,3)),"")</f>
        <v>1</v>
      </c>
      <c r="W400">
        <f>IF(AND(tbl_daily[[#This Row],[Attendance Refined]]=1,tbl_daily[[#This Row],[InjuryStatus]]="Full"),1,IF(AND(tbl_daily[[#This Row],[Attendance Refined]]=1,tbl_daily[[#This Row],[InjuryStatus]]="Limited"),2,IF(AND(tbl_daily[[#This Row],[Attendance Refined]]=1,tbl_daily[[#This Row],[InjuryStatus]]="Out"),3,"")))</f>
        <v>1</v>
      </c>
    </row>
    <row r="401" spans="1:23" x14ac:dyDescent="0.25">
      <c r="A401" s="1">
        <v>43851</v>
      </c>
      <c r="B401" t="s">
        <v>426</v>
      </c>
      <c r="C401">
        <v>1</v>
      </c>
      <c r="E401">
        <v>9</v>
      </c>
      <c r="F401">
        <v>9</v>
      </c>
      <c r="G401">
        <v>8</v>
      </c>
      <c r="H401" t="s">
        <v>15</v>
      </c>
      <c r="I401">
        <v>1</v>
      </c>
      <c r="J401">
        <v>7</v>
      </c>
      <c r="K401">
        <v>40</v>
      </c>
      <c r="M401" t="s">
        <v>13</v>
      </c>
      <c r="N401" t="s">
        <v>25</v>
      </c>
      <c r="P401">
        <f>IFERROR(IF(AND(tbl_daily[[#This Row],[Attendance (1 = Here, 0 = Not here)]]=1,tbl_daily[[#This Row],[Attended, but did not complete data]]&lt;&gt;1),tbl_daily[[#This Row],[Stress]]+tbl_daily[[#This Row],[SleepQuality]]+tbl_daily[[#This Row],[Energy]],""),"")</f>
        <v>26</v>
      </c>
      <c r="Q401">
        <f>IFERROR(IF(AND(tbl_daily[[#This Row],[Attendance (1 = Here, 0 = Not here)]]=1,tbl_daily[[#This Row],[Attended, but did not complete data]]&lt;&gt;1),tbl_daily[[#This Row],[LatestRPE]]*tbl_daily[[#This Row],[LatestDuration]],""),"")</f>
        <v>280</v>
      </c>
      <c r="R401">
        <f>IF(tbl_daily[[#This Row],[CodeName]]&lt;&gt;"",1,"")</f>
        <v>1</v>
      </c>
      <c r="S401" t="str">
        <f>IF(AND(tbl_daily[[#This Row],[Date]]&gt;=DATE(2019,8,1),tbl_daily[[#This Row],[Date]]&lt;=DATE(2020,6,1)),"2019-2020")</f>
        <v>2019-2020</v>
      </c>
      <c r="T401" t="str">
        <f>IFERROR(INDEX(tbl_prof[Cohort of Interest],MATCH(tbl_daily[[#This Row],[CodeName]],tbl_prof[CodeName],0)),"")</f>
        <v>Special</v>
      </c>
      <c r="U401" t="str">
        <f>IFERROR(AVERAGEIFS(tbl_perf[Grade],tbl_perf[CodeName],tbl_daily[[#This Row],[CodeName]],tbl_perf[Date],tbl_daily[[#This Row],[Date]]),"")</f>
        <v/>
      </c>
      <c r="V401">
        <f>IFERROR(IF(AND(tbl_daily[[#This Row],[Attendance (1 = Here, 0 = Not here)]]=1,tbl_daily[[#This Row],[Attended, but did not complete data]]&lt;&gt;1),1,IF(AND(tbl_daily[[#This Row],[Attendance (1 = Here, 0 = Not here)]]=1,tbl_daily[[#This Row],[Attended, but did not complete data]]=1),2,3)),"")</f>
        <v>1</v>
      </c>
      <c r="W401">
        <f>IF(AND(tbl_daily[[#This Row],[Attendance Refined]]=1,tbl_daily[[#This Row],[InjuryStatus]]="Full"),1,IF(AND(tbl_daily[[#This Row],[Attendance Refined]]=1,tbl_daily[[#This Row],[InjuryStatus]]="Limited"),2,IF(AND(tbl_daily[[#This Row],[Attendance Refined]]=1,tbl_daily[[#This Row],[InjuryStatus]]="Out"),3,"")))</f>
        <v>1</v>
      </c>
    </row>
    <row r="402" spans="1:23" x14ac:dyDescent="0.25">
      <c r="A402" s="1">
        <v>43851</v>
      </c>
      <c r="B402" t="s">
        <v>425</v>
      </c>
      <c r="C402">
        <v>1</v>
      </c>
      <c r="E402">
        <v>3</v>
      </c>
      <c r="F402">
        <v>9</v>
      </c>
      <c r="G402">
        <v>8</v>
      </c>
      <c r="H402" t="s">
        <v>15</v>
      </c>
      <c r="I402">
        <v>1</v>
      </c>
      <c r="J402">
        <v>8</v>
      </c>
      <c r="K402">
        <v>45</v>
      </c>
      <c r="M402" t="s">
        <v>13</v>
      </c>
      <c r="N402" t="s">
        <v>24</v>
      </c>
      <c r="P402">
        <f>IFERROR(IF(AND(tbl_daily[[#This Row],[Attendance (1 = Here, 0 = Not here)]]=1,tbl_daily[[#This Row],[Attended, but did not complete data]]&lt;&gt;1),tbl_daily[[#This Row],[Stress]]+tbl_daily[[#This Row],[SleepQuality]]+tbl_daily[[#This Row],[Energy]],""),"")</f>
        <v>20</v>
      </c>
      <c r="Q402">
        <f>IFERROR(IF(AND(tbl_daily[[#This Row],[Attendance (1 = Here, 0 = Not here)]]=1,tbl_daily[[#This Row],[Attended, but did not complete data]]&lt;&gt;1),tbl_daily[[#This Row],[LatestRPE]]*tbl_daily[[#This Row],[LatestDuration]],""),"")</f>
        <v>360</v>
      </c>
      <c r="R402">
        <f>IF(tbl_daily[[#This Row],[CodeName]]&lt;&gt;"",1,"")</f>
        <v>1</v>
      </c>
      <c r="S402" t="str">
        <f>IF(AND(tbl_daily[[#This Row],[Date]]&gt;=DATE(2019,8,1),tbl_daily[[#This Row],[Date]]&lt;=DATE(2020,6,1)),"2019-2020")</f>
        <v>2019-2020</v>
      </c>
      <c r="T402" t="str">
        <f>IFERROR(INDEX(tbl_prof[Cohort of Interest],MATCH(tbl_daily[[#This Row],[CodeName]],tbl_prof[CodeName],0)),"")</f>
        <v>Athletes</v>
      </c>
      <c r="U402" t="str">
        <f>IFERROR(AVERAGEIFS(tbl_perf[Grade],tbl_perf[CodeName],tbl_daily[[#This Row],[CodeName]],tbl_perf[Date],tbl_daily[[#This Row],[Date]]),"")</f>
        <v/>
      </c>
      <c r="V402">
        <f>IFERROR(IF(AND(tbl_daily[[#This Row],[Attendance (1 = Here, 0 = Not here)]]=1,tbl_daily[[#This Row],[Attended, but did not complete data]]&lt;&gt;1),1,IF(AND(tbl_daily[[#This Row],[Attendance (1 = Here, 0 = Not here)]]=1,tbl_daily[[#This Row],[Attended, but did not complete data]]=1),2,3)),"")</f>
        <v>1</v>
      </c>
      <c r="W402">
        <f>IF(AND(tbl_daily[[#This Row],[Attendance Refined]]=1,tbl_daily[[#This Row],[InjuryStatus]]="Full"),1,IF(AND(tbl_daily[[#This Row],[Attendance Refined]]=1,tbl_daily[[#This Row],[InjuryStatus]]="Limited"),2,IF(AND(tbl_daily[[#This Row],[Attendance Refined]]=1,tbl_daily[[#This Row],[InjuryStatus]]="Out"),3,"")))</f>
        <v>1</v>
      </c>
    </row>
    <row r="403" spans="1:23" x14ac:dyDescent="0.25">
      <c r="A403" s="1">
        <v>43851</v>
      </c>
      <c r="B403" t="s">
        <v>437</v>
      </c>
      <c r="C403">
        <v>1</v>
      </c>
      <c r="E403">
        <v>8</v>
      </c>
      <c r="F403">
        <v>9</v>
      </c>
      <c r="G403">
        <v>8</v>
      </c>
      <c r="H403" t="s">
        <v>15</v>
      </c>
      <c r="I403">
        <v>1</v>
      </c>
      <c r="J403">
        <v>4</v>
      </c>
      <c r="K403">
        <v>90</v>
      </c>
      <c r="M403" t="s">
        <v>13</v>
      </c>
      <c r="N403" t="s">
        <v>27</v>
      </c>
      <c r="P403">
        <f>IFERROR(IF(AND(tbl_daily[[#This Row],[Attendance (1 = Here, 0 = Not here)]]=1,tbl_daily[[#This Row],[Attended, but did not complete data]]&lt;&gt;1),tbl_daily[[#This Row],[Stress]]+tbl_daily[[#This Row],[SleepQuality]]+tbl_daily[[#This Row],[Energy]],""),"")</f>
        <v>25</v>
      </c>
      <c r="Q403">
        <f>IFERROR(IF(AND(tbl_daily[[#This Row],[Attendance (1 = Here, 0 = Not here)]]=1,tbl_daily[[#This Row],[Attended, but did not complete data]]&lt;&gt;1),tbl_daily[[#This Row],[LatestRPE]]*tbl_daily[[#This Row],[LatestDuration]],""),"")</f>
        <v>360</v>
      </c>
      <c r="R403">
        <f>IF(tbl_daily[[#This Row],[CodeName]]&lt;&gt;"",1,"")</f>
        <v>1</v>
      </c>
      <c r="S403" t="str">
        <f>IF(AND(tbl_daily[[#This Row],[Date]]&gt;=DATE(2019,8,1),tbl_daily[[#This Row],[Date]]&lt;=DATE(2020,6,1)),"2019-2020")</f>
        <v>2019-2020</v>
      </c>
      <c r="T403" t="str">
        <f>IFERROR(INDEX(tbl_prof[Cohort of Interest],MATCH(tbl_daily[[#This Row],[CodeName]],tbl_prof[CodeName],0)),"")</f>
        <v>Athletes</v>
      </c>
      <c r="U403" t="str">
        <f>IFERROR(AVERAGEIFS(tbl_perf[Grade],tbl_perf[CodeName],tbl_daily[[#This Row],[CodeName]],tbl_perf[Date],tbl_daily[[#This Row],[Date]]),"")</f>
        <v/>
      </c>
      <c r="V403">
        <f>IFERROR(IF(AND(tbl_daily[[#This Row],[Attendance (1 = Here, 0 = Not here)]]=1,tbl_daily[[#This Row],[Attended, but did not complete data]]&lt;&gt;1),1,IF(AND(tbl_daily[[#This Row],[Attendance (1 = Here, 0 = Not here)]]=1,tbl_daily[[#This Row],[Attended, but did not complete data]]=1),2,3)),"")</f>
        <v>1</v>
      </c>
      <c r="W403">
        <f>IF(AND(tbl_daily[[#This Row],[Attendance Refined]]=1,tbl_daily[[#This Row],[InjuryStatus]]="Full"),1,IF(AND(tbl_daily[[#This Row],[Attendance Refined]]=1,tbl_daily[[#This Row],[InjuryStatus]]="Limited"),2,IF(AND(tbl_daily[[#This Row],[Attendance Refined]]=1,tbl_daily[[#This Row],[InjuryStatus]]="Out"),3,"")))</f>
        <v>1</v>
      </c>
    </row>
    <row r="404" spans="1:23" x14ac:dyDescent="0.25">
      <c r="A404" s="1">
        <v>43851</v>
      </c>
      <c r="B404" t="s">
        <v>432</v>
      </c>
      <c r="C404">
        <v>1</v>
      </c>
      <c r="E404">
        <v>8</v>
      </c>
      <c r="F404">
        <v>8</v>
      </c>
      <c r="G404">
        <v>8</v>
      </c>
      <c r="H404" t="s">
        <v>32</v>
      </c>
      <c r="I404">
        <v>1</v>
      </c>
      <c r="J404">
        <v>6</v>
      </c>
      <c r="K404">
        <v>60</v>
      </c>
      <c r="M404" t="s">
        <v>13</v>
      </c>
      <c r="N404" t="s">
        <v>19</v>
      </c>
      <c r="P404">
        <f>IFERROR(IF(AND(tbl_daily[[#This Row],[Attendance (1 = Here, 0 = Not here)]]=1,tbl_daily[[#This Row],[Attended, but did not complete data]]&lt;&gt;1),tbl_daily[[#This Row],[Stress]]+tbl_daily[[#This Row],[SleepQuality]]+tbl_daily[[#This Row],[Energy]],""),"")</f>
        <v>24</v>
      </c>
      <c r="Q404">
        <f>IFERROR(IF(AND(tbl_daily[[#This Row],[Attendance (1 = Here, 0 = Not here)]]=1,tbl_daily[[#This Row],[Attended, but did not complete data]]&lt;&gt;1),tbl_daily[[#This Row],[LatestRPE]]*tbl_daily[[#This Row],[LatestDuration]],""),"")</f>
        <v>360</v>
      </c>
      <c r="R404">
        <f>IF(tbl_daily[[#This Row],[CodeName]]&lt;&gt;"",1,"")</f>
        <v>1</v>
      </c>
      <c r="S404" t="str">
        <f>IF(AND(tbl_daily[[#This Row],[Date]]&gt;=DATE(2019,8,1),tbl_daily[[#This Row],[Date]]&lt;=DATE(2020,6,1)),"2019-2020")</f>
        <v>2019-2020</v>
      </c>
      <c r="T404" t="str">
        <f>IFERROR(INDEX(tbl_prof[Cohort of Interest],MATCH(tbl_daily[[#This Row],[CodeName]],tbl_prof[CodeName],0)),"")</f>
        <v>Athletes</v>
      </c>
      <c r="U404" t="str">
        <f>IFERROR(AVERAGEIFS(tbl_perf[Grade],tbl_perf[CodeName],tbl_daily[[#This Row],[CodeName]],tbl_perf[Date],tbl_daily[[#This Row],[Date]]),"")</f>
        <v/>
      </c>
      <c r="V404">
        <f>IFERROR(IF(AND(tbl_daily[[#This Row],[Attendance (1 = Here, 0 = Not here)]]=1,tbl_daily[[#This Row],[Attended, but did not complete data]]&lt;&gt;1),1,IF(AND(tbl_daily[[#This Row],[Attendance (1 = Here, 0 = Not here)]]=1,tbl_daily[[#This Row],[Attended, but did not complete data]]=1),2,3)),"")</f>
        <v>1</v>
      </c>
      <c r="W404">
        <f>IF(AND(tbl_daily[[#This Row],[Attendance Refined]]=1,tbl_daily[[#This Row],[InjuryStatus]]="Full"),1,IF(AND(tbl_daily[[#This Row],[Attendance Refined]]=1,tbl_daily[[#This Row],[InjuryStatus]]="Limited"),2,IF(AND(tbl_daily[[#This Row],[Attendance Refined]]=1,tbl_daily[[#This Row],[InjuryStatus]]="Out"),3,"")))</f>
        <v>2</v>
      </c>
    </row>
    <row r="405" spans="1:23" x14ac:dyDescent="0.25">
      <c r="A405" s="1">
        <v>43851</v>
      </c>
      <c r="B405" t="s">
        <v>429</v>
      </c>
      <c r="C405">
        <v>1</v>
      </c>
      <c r="E405">
        <v>7</v>
      </c>
      <c r="F405">
        <v>8</v>
      </c>
      <c r="G405">
        <v>8</v>
      </c>
      <c r="H405" t="s">
        <v>15</v>
      </c>
      <c r="I405">
        <v>1</v>
      </c>
      <c r="J405">
        <v>8</v>
      </c>
      <c r="K405">
        <v>60</v>
      </c>
      <c r="M405" t="s">
        <v>13</v>
      </c>
      <c r="N405" t="s">
        <v>26</v>
      </c>
      <c r="P405">
        <f>IFERROR(IF(AND(tbl_daily[[#This Row],[Attendance (1 = Here, 0 = Not here)]]=1,tbl_daily[[#This Row],[Attended, but did not complete data]]&lt;&gt;1),tbl_daily[[#This Row],[Stress]]+tbl_daily[[#This Row],[SleepQuality]]+tbl_daily[[#This Row],[Energy]],""),"")</f>
        <v>23</v>
      </c>
      <c r="Q405">
        <f>IFERROR(IF(AND(tbl_daily[[#This Row],[Attendance (1 = Here, 0 = Not here)]]=1,tbl_daily[[#This Row],[Attended, but did not complete data]]&lt;&gt;1),tbl_daily[[#This Row],[LatestRPE]]*tbl_daily[[#This Row],[LatestDuration]],""),"")</f>
        <v>480</v>
      </c>
      <c r="R405">
        <f>IF(tbl_daily[[#This Row],[CodeName]]&lt;&gt;"",1,"")</f>
        <v>1</v>
      </c>
      <c r="S405" t="str">
        <f>IF(AND(tbl_daily[[#This Row],[Date]]&gt;=DATE(2019,8,1),tbl_daily[[#This Row],[Date]]&lt;=DATE(2020,6,1)),"2019-2020")</f>
        <v>2019-2020</v>
      </c>
      <c r="T405" t="str">
        <f>IFERROR(INDEX(tbl_prof[Cohort of Interest],MATCH(tbl_daily[[#This Row],[CodeName]],tbl_prof[CodeName],0)),"")</f>
        <v>Gen Pop</v>
      </c>
      <c r="U405" t="str">
        <f>IFERROR(AVERAGEIFS(tbl_perf[Grade],tbl_perf[CodeName],tbl_daily[[#This Row],[CodeName]],tbl_perf[Date],tbl_daily[[#This Row],[Date]]),"")</f>
        <v/>
      </c>
      <c r="V405">
        <f>IFERROR(IF(AND(tbl_daily[[#This Row],[Attendance (1 = Here, 0 = Not here)]]=1,tbl_daily[[#This Row],[Attended, but did not complete data]]&lt;&gt;1),1,IF(AND(tbl_daily[[#This Row],[Attendance (1 = Here, 0 = Not here)]]=1,tbl_daily[[#This Row],[Attended, but did not complete data]]=1),2,3)),"")</f>
        <v>1</v>
      </c>
      <c r="W405">
        <f>IF(AND(tbl_daily[[#This Row],[Attendance Refined]]=1,tbl_daily[[#This Row],[InjuryStatus]]="Full"),1,IF(AND(tbl_daily[[#This Row],[Attendance Refined]]=1,tbl_daily[[#This Row],[InjuryStatus]]="Limited"),2,IF(AND(tbl_daily[[#This Row],[Attendance Refined]]=1,tbl_daily[[#This Row],[InjuryStatus]]="Out"),3,"")))</f>
        <v>1</v>
      </c>
    </row>
    <row r="406" spans="1:23" x14ac:dyDescent="0.25">
      <c r="A406" s="1">
        <v>43851</v>
      </c>
      <c r="B406" t="s">
        <v>427</v>
      </c>
      <c r="C406">
        <v>1</v>
      </c>
      <c r="E406">
        <v>3</v>
      </c>
      <c r="F406">
        <v>4</v>
      </c>
      <c r="G406">
        <v>4</v>
      </c>
      <c r="H406" t="s">
        <v>32</v>
      </c>
      <c r="I406">
        <v>1</v>
      </c>
      <c r="J406">
        <v>3</v>
      </c>
      <c r="K406">
        <v>180</v>
      </c>
      <c r="M406" t="s">
        <v>13</v>
      </c>
      <c r="N406" t="s">
        <v>17</v>
      </c>
      <c r="P406">
        <f>IFERROR(IF(AND(tbl_daily[[#This Row],[Attendance (1 = Here, 0 = Not here)]]=1,tbl_daily[[#This Row],[Attended, but did not complete data]]&lt;&gt;1),tbl_daily[[#This Row],[Stress]]+tbl_daily[[#This Row],[SleepQuality]]+tbl_daily[[#This Row],[Energy]],""),"")</f>
        <v>11</v>
      </c>
      <c r="Q406">
        <f>IFERROR(IF(AND(tbl_daily[[#This Row],[Attendance (1 = Here, 0 = Not here)]]=1,tbl_daily[[#This Row],[Attended, but did not complete data]]&lt;&gt;1),tbl_daily[[#This Row],[LatestRPE]]*tbl_daily[[#This Row],[LatestDuration]],""),"")</f>
        <v>540</v>
      </c>
      <c r="R406">
        <f>IF(tbl_daily[[#This Row],[CodeName]]&lt;&gt;"",1,"")</f>
        <v>1</v>
      </c>
      <c r="S406" t="str">
        <f>IF(AND(tbl_daily[[#This Row],[Date]]&gt;=DATE(2019,8,1),tbl_daily[[#This Row],[Date]]&lt;=DATE(2020,6,1)),"2019-2020")</f>
        <v>2019-2020</v>
      </c>
      <c r="T406" t="str">
        <f>IFERROR(INDEX(tbl_prof[Cohort of Interest],MATCH(tbl_daily[[#This Row],[CodeName]],tbl_prof[CodeName],0)),"")</f>
        <v>Special</v>
      </c>
      <c r="U406" t="str">
        <f>IFERROR(AVERAGEIFS(tbl_perf[Grade],tbl_perf[CodeName],tbl_daily[[#This Row],[CodeName]],tbl_perf[Date],tbl_daily[[#This Row],[Date]]),"")</f>
        <v/>
      </c>
      <c r="V406">
        <f>IFERROR(IF(AND(tbl_daily[[#This Row],[Attendance (1 = Here, 0 = Not here)]]=1,tbl_daily[[#This Row],[Attended, but did not complete data]]&lt;&gt;1),1,IF(AND(tbl_daily[[#This Row],[Attendance (1 = Here, 0 = Not here)]]=1,tbl_daily[[#This Row],[Attended, but did not complete data]]=1),2,3)),"")</f>
        <v>1</v>
      </c>
      <c r="W406">
        <f>IF(AND(tbl_daily[[#This Row],[Attendance Refined]]=1,tbl_daily[[#This Row],[InjuryStatus]]="Full"),1,IF(AND(tbl_daily[[#This Row],[Attendance Refined]]=1,tbl_daily[[#This Row],[InjuryStatus]]="Limited"),2,IF(AND(tbl_daily[[#This Row],[Attendance Refined]]=1,tbl_daily[[#This Row],[InjuryStatus]]="Out"),3,"")))</f>
        <v>2</v>
      </c>
    </row>
    <row r="407" spans="1:23" x14ac:dyDescent="0.25">
      <c r="A407" s="1">
        <v>43851</v>
      </c>
      <c r="B407" t="s">
        <v>428</v>
      </c>
      <c r="C407">
        <v>1</v>
      </c>
      <c r="E407">
        <v>1</v>
      </c>
      <c r="F407">
        <v>9</v>
      </c>
      <c r="G407">
        <v>7</v>
      </c>
      <c r="H407" t="s">
        <v>15</v>
      </c>
      <c r="I407">
        <v>1</v>
      </c>
      <c r="J407">
        <v>3</v>
      </c>
      <c r="K407">
        <v>180</v>
      </c>
      <c r="M407" t="s">
        <v>13</v>
      </c>
      <c r="N407" t="s">
        <v>19</v>
      </c>
      <c r="P407">
        <f>IFERROR(IF(AND(tbl_daily[[#This Row],[Attendance (1 = Here, 0 = Not here)]]=1,tbl_daily[[#This Row],[Attended, but did not complete data]]&lt;&gt;1),tbl_daily[[#This Row],[Stress]]+tbl_daily[[#This Row],[SleepQuality]]+tbl_daily[[#This Row],[Energy]],""),"")</f>
        <v>17</v>
      </c>
      <c r="Q407">
        <f>IFERROR(IF(AND(tbl_daily[[#This Row],[Attendance (1 = Here, 0 = Not here)]]=1,tbl_daily[[#This Row],[Attended, but did not complete data]]&lt;&gt;1),tbl_daily[[#This Row],[LatestRPE]]*tbl_daily[[#This Row],[LatestDuration]],""),"")</f>
        <v>540</v>
      </c>
      <c r="R407">
        <f>IF(tbl_daily[[#This Row],[CodeName]]&lt;&gt;"",1,"")</f>
        <v>1</v>
      </c>
      <c r="S407" t="str">
        <f>IF(AND(tbl_daily[[#This Row],[Date]]&gt;=DATE(2019,8,1),tbl_daily[[#This Row],[Date]]&lt;=DATE(2020,6,1)),"2019-2020")</f>
        <v>2019-2020</v>
      </c>
      <c r="T407" t="str">
        <f>IFERROR(INDEX(tbl_prof[Cohort of Interest],MATCH(tbl_daily[[#This Row],[CodeName]],tbl_prof[CodeName],0)),"")</f>
        <v>Special</v>
      </c>
      <c r="U407" t="str">
        <f>IFERROR(AVERAGEIFS(tbl_perf[Grade],tbl_perf[CodeName],tbl_daily[[#This Row],[CodeName]],tbl_perf[Date],tbl_daily[[#This Row],[Date]]),"")</f>
        <v/>
      </c>
      <c r="V407">
        <f>IFERROR(IF(AND(tbl_daily[[#This Row],[Attendance (1 = Here, 0 = Not here)]]=1,tbl_daily[[#This Row],[Attended, but did not complete data]]&lt;&gt;1),1,IF(AND(tbl_daily[[#This Row],[Attendance (1 = Here, 0 = Not here)]]=1,tbl_daily[[#This Row],[Attended, but did not complete data]]=1),2,3)),"")</f>
        <v>1</v>
      </c>
      <c r="W407">
        <f>IF(AND(tbl_daily[[#This Row],[Attendance Refined]]=1,tbl_daily[[#This Row],[InjuryStatus]]="Full"),1,IF(AND(tbl_daily[[#This Row],[Attendance Refined]]=1,tbl_daily[[#This Row],[InjuryStatus]]="Limited"),2,IF(AND(tbl_daily[[#This Row],[Attendance Refined]]=1,tbl_daily[[#This Row],[InjuryStatus]]="Out"),3,"")))</f>
        <v>1</v>
      </c>
    </row>
    <row r="408" spans="1:23" x14ac:dyDescent="0.25">
      <c r="A408" s="1">
        <v>43851</v>
      </c>
      <c r="B408" t="s">
        <v>441</v>
      </c>
      <c r="C408">
        <v>1</v>
      </c>
      <c r="E408">
        <v>8</v>
      </c>
      <c r="F408">
        <v>2</v>
      </c>
      <c r="G408">
        <v>2</v>
      </c>
      <c r="H408" t="s">
        <v>32</v>
      </c>
      <c r="I408">
        <v>1</v>
      </c>
      <c r="J408">
        <v>8</v>
      </c>
      <c r="K408">
        <v>70</v>
      </c>
      <c r="M408" t="s">
        <v>13</v>
      </c>
      <c r="N408" t="s">
        <v>33</v>
      </c>
      <c r="P408">
        <f>IFERROR(IF(AND(tbl_daily[[#This Row],[Attendance (1 = Here, 0 = Not here)]]=1,tbl_daily[[#This Row],[Attended, but did not complete data]]&lt;&gt;1),tbl_daily[[#This Row],[Stress]]+tbl_daily[[#This Row],[SleepQuality]]+tbl_daily[[#This Row],[Energy]],""),"")</f>
        <v>12</v>
      </c>
      <c r="Q408">
        <f>IFERROR(IF(AND(tbl_daily[[#This Row],[Attendance (1 = Here, 0 = Not here)]]=1,tbl_daily[[#This Row],[Attended, but did not complete data]]&lt;&gt;1),tbl_daily[[#This Row],[LatestRPE]]*tbl_daily[[#This Row],[LatestDuration]],""),"")</f>
        <v>560</v>
      </c>
      <c r="R408">
        <f>IF(tbl_daily[[#This Row],[CodeName]]&lt;&gt;"",1,"")</f>
        <v>1</v>
      </c>
      <c r="S408" t="str">
        <f>IF(AND(tbl_daily[[#This Row],[Date]]&gt;=DATE(2019,8,1),tbl_daily[[#This Row],[Date]]&lt;=DATE(2020,6,1)),"2019-2020")</f>
        <v>2019-2020</v>
      </c>
      <c r="T408" t="str">
        <f>IFERROR(INDEX(tbl_prof[Cohort of Interest],MATCH(tbl_daily[[#This Row],[CodeName]],tbl_prof[CodeName],0)),"")</f>
        <v>Athletes</v>
      </c>
      <c r="U408" t="str">
        <f>IFERROR(AVERAGEIFS(tbl_perf[Grade],tbl_perf[CodeName],tbl_daily[[#This Row],[CodeName]],tbl_perf[Date],tbl_daily[[#This Row],[Date]]),"")</f>
        <v/>
      </c>
      <c r="V408">
        <f>IFERROR(IF(AND(tbl_daily[[#This Row],[Attendance (1 = Here, 0 = Not here)]]=1,tbl_daily[[#This Row],[Attended, but did not complete data]]&lt;&gt;1),1,IF(AND(tbl_daily[[#This Row],[Attendance (1 = Here, 0 = Not here)]]=1,tbl_daily[[#This Row],[Attended, but did not complete data]]=1),2,3)),"")</f>
        <v>1</v>
      </c>
      <c r="W408">
        <f>IF(AND(tbl_daily[[#This Row],[Attendance Refined]]=1,tbl_daily[[#This Row],[InjuryStatus]]="Full"),1,IF(AND(tbl_daily[[#This Row],[Attendance Refined]]=1,tbl_daily[[#This Row],[InjuryStatus]]="Limited"),2,IF(AND(tbl_daily[[#This Row],[Attendance Refined]]=1,tbl_daily[[#This Row],[InjuryStatus]]="Out"),3,"")))</f>
        <v>2</v>
      </c>
    </row>
    <row r="409" spans="1:23" x14ac:dyDescent="0.25">
      <c r="A409" s="1">
        <v>43851</v>
      </c>
      <c r="B409" t="s">
        <v>416</v>
      </c>
      <c r="C409">
        <v>1</v>
      </c>
      <c r="E409">
        <v>4</v>
      </c>
      <c r="F409">
        <v>7</v>
      </c>
      <c r="G409">
        <v>5</v>
      </c>
      <c r="H409" t="s">
        <v>32</v>
      </c>
      <c r="I409">
        <v>1</v>
      </c>
      <c r="J409">
        <v>5</v>
      </c>
      <c r="K409">
        <v>120</v>
      </c>
      <c r="M409" t="s">
        <v>13</v>
      </c>
      <c r="N409" t="s">
        <v>19</v>
      </c>
      <c r="P409">
        <f>IFERROR(IF(AND(tbl_daily[[#This Row],[Attendance (1 = Here, 0 = Not here)]]=1,tbl_daily[[#This Row],[Attended, but did not complete data]]&lt;&gt;1),tbl_daily[[#This Row],[Stress]]+tbl_daily[[#This Row],[SleepQuality]]+tbl_daily[[#This Row],[Energy]],""),"")</f>
        <v>16</v>
      </c>
      <c r="Q409">
        <f>IFERROR(IF(AND(tbl_daily[[#This Row],[Attendance (1 = Here, 0 = Not here)]]=1,tbl_daily[[#This Row],[Attended, but did not complete data]]&lt;&gt;1),tbl_daily[[#This Row],[LatestRPE]]*tbl_daily[[#This Row],[LatestDuration]],""),"")</f>
        <v>600</v>
      </c>
      <c r="R409">
        <f>IF(tbl_daily[[#This Row],[CodeName]]&lt;&gt;"",1,"")</f>
        <v>1</v>
      </c>
      <c r="S409" t="str">
        <f>IF(AND(tbl_daily[[#This Row],[Date]]&gt;=DATE(2019,8,1),tbl_daily[[#This Row],[Date]]&lt;=DATE(2020,6,1)),"2019-2020")</f>
        <v>2019-2020</v>
      </c>
      <c r="T409" t="str">
        <f>IFERROR(INDEX(tbl_prof[Cohort of Interest],MATCH(tbl_daily[[#This Row],[CodeName]],tbl_prof[CodeName],0)),"")</f>
        <v>Special</v>
      </c>
      <c r="U409" t="str">
        <f>IFERROR(AVERAGEIFS(tbl_perf[Grade],tbl_perf[CodeName],tbl_daily[[#This Row],[CodeName]],tbl_perf[Date],tbl_daily[[#This Row],[Date]]),"")</f>
        <v/>
      </c>
      <c r="V409">
        <f>IFERROR(IF(AND(tbl_daily[[#This Row],[Attendance (1 = Here, 0 = Not here)]]=1,tbl_daily[[#This Row],[Attended, but did not complete data]]&lt;&gt;1),1,IF(AND(tbl_daily[[#This Row],[Attendance (1 = Here, 0 = Not here)]]=1,tbl_daily[[#This Row],[Attended, but did not complete data]]=1),2,3)),"")</f>
        <v>1</v>
      </c>
      <c r="W409">
        <f>IF(AND(tbl_daily[[#This Row],[Attendance Refined]]=1,tbl_daily[[#This Row],[InjuryStatus]]="Full"),1,IF(AND(tbl_daily[[#This Row],[Attendance Refined]]=1,tbl_daily[[#This Row],[InjuryStatus]]="Limited"),2,IF(AND(tbl_daily[[#This Row],[Attendance Refined]]=1,tbl_daily[[#This Row],[InjuryStatus]]="Out"),3,"")))</f>
        <v>2</v>
      </c>
    </row>
    <row r="410" spans="1:23" x14ac:dyDescent="0.25">
      <c r="A410" s="1">
        <v>43851</v>
      </c>
      <c r="B410" t="s">
        <v>418</v>
      </c>
      <c r="C410">
        <v>1</v>
      </c>
      <c r="E410">
        <v>4</v>
      </c>
      <c r="F410">
        <v>8</v>
      </c>
      <c r="G410">
        <v>4</v>
      </c>
      <c r="H410" t="s">
        <v>32</v>
      </c>
      <c r="I410">
        <v>1</v>
      </c>
      <c r="J410">
        <v>5</v>
      </c>
      <c r="K410">
        <v>130</v>
      </c>
      <c r="M410" t="s">
        <v>13</v>
      </c>
      <c r="N410" t="s">
        <v>21</v>
      </c>
      <c r="P410">
        <f>IFERROR(IF(AND(tbl_daily[[#This Row],[Attendance (1 = Here, 0 = Not here)]]=1,tbl_daily[[#This Row],[Attended, but did not complete data]]&lt;&gt;1),tbl_daily[[#This Row],[Stress]]+tbl_daily[[#This Row],[SleepQuality]]+tbl_daily[[#This Row],[Energy]],""),"")</f>
        <v>16</v>
      </c>
      <c r="Q410">
        <f>IFERROR(IF(AND(tbl_daily[[#This Row],[Attendance (1 = Here, 0 = Not here)]]=1,tbl_daily[[#This Row],[Attended, but did not complete data]]&lt;&gt;1),tbl_daily[[#This Row],[LatestRPE]]*tbl_daily[[#This Row],[LatestDuration]],""),"")</f>
        <v>650</v>
      </c>
      <c r="R410">
        <f>IF(tbl_daily[[#This Row],[CodeName]]&lt;&gt;"",1,"")</f>
        <v>1</v>
      </c>
      <c r="S410" t="str">
        <f>IF(AND(tbl_daily[[#This Row],[Date]]&gt;=DATE(2019,8,1),tbl_daily[[#This Row],[Date]]&lt;=DATE(2020,6,1)),"2019-2020")</f>
        <v>2019-2020</v>
      </c>
      <c r="T410" t="str">
        <f>IFERROR(INDEX(tbl_prof[Cohort of Interest],MATCH(tbl_daily[[#This Row],[CodeName]],tbl_prof[CodeName],0)),"")</f>
        <v>Special</v>
      </c>
      <c r="U410" t="str">
        <f>IFERROR(AVERAGEIFS(tbl_perf[Grade],tbl_perf[CodeName],tbl_daily[[#This Row],[CodeName]],tbl_perf[Date],tbl_daily[[#This Row],[Date]]),"")</f>
        <v/>
      </c>
      <c r="V410">
        <f>IFERROR(IF(AND(tbl_daily[[#This Row],[Attendance (1 = Here, 0 = Not here)]]=1,tbl_daily[[#This Row],[Attended, but did not complete data]]&lt;&gt;1),1,IF(AND(tbl_daily[[#This Row],[Attendance (1 = Here, 0 = Not here)]]=1,tbl_daily[[#This Row],[Attended, but did not complete data]]=1),2,3)),"")</f>
        <v>1</v>
      </c>
      <c r="W410">
        <f>IF(AND(tbl_daily[[#This Row],[Attendance Refined]]=1,tbl_daily[[#This Row],[InjuryStatus]]="Full"),1,IF(AND(tbl_daily[[#This Row],[Attendance Refined]]=1,tbl_daily[[#This Row],[InjuryStatus]]="Limited"),2,IF(AND(tbl_daily[[#This Row],[Attendance Refined]]=1,tbl_daily[[#This Row],[InjuryStatus]]="Out"),3,"")))</f>
        <v>2</v>
      </c>
    </row>
    <row r="411" spans="1:23" x14ac:dyDescent="0.25">
      <c r="A411" s="1">
        <v>43851</v>
      </c>
      <c r="B411" t="s">
        <v>415</v>
      </c>
      <c r="C411">
        <v>1</v>
      </c>
      <c r="E411">
        <v>7</v>
      </c>
      <c r="F411">
        <v>6</v>
      </c>
      <c r="G411">
        <v>6</v>
      </c>
      <c r="H411" t="s">
        <v>15</v>
      </c>
      <c r="I411">
        <v>0</v>
      </c>
      <c r="J411">
        <v>5</v>
      </c>
      <c r="K411">
        <v>180</v>
      </c>
      <c r="M411" t="s">
        <v>13</v>
      </c>
      <c r="N411" t="s">
        <v>18</v>
      </c>
      <c r="P411">
        <f>IFERROR(IF(AND(tbl_daily[[#This Row],[Attendance (1 = Here, 0 = Not here)]]=1,tbl_daily[[#This Row],[Attended, but did not complete data]]&lt;&gt;1),tbl_daily[[#This Row],[Stress]]+tbl_daily[[#This Row],[SleepQuality]]+tbl_daily[[#This Row],[Energy]],""),"")</f>
        <v>19</v>
      </c>
      <c r="Q411">
        <f>IFERROR(IF(AND(tbl_daily[[#This Row],[Attendance (1 = Here, 0 = Not here)]]=1,tbl_daily[[#This Row],[Attended, but did not complete data]]&lt;&gt;1),tbl_daily[[#This Row],[LatestRPE]]*tbl_daily[[#This Row],[LatestDuration]],""),"")</f>
        <v>900</v>
      </c>
      <c r="R411">
        <f>IF(tbl_daily[[#This Row],[CodeName]]&lt;&gt;"",1,"")</f>
        <v>1</v>
      </c>
      <c r="S411" t="str">
        <f>IF(AND(tbl_daily[[#This Row],[Date]]&gt;=DATE(2019,8,1),tbl_daily[[#This Row],[Date]]&lt;=DATE(2020,6,1)),"2019-2020")</f>
        <v>2019-2020</v>
      </c>
      <c r="T411" t="str">
        <f>IFERROR(INDEX(tbl_prof[Cohort of Interest],MATCH(tbl_daily[[#This Row],[CodeName]],tbl_prof[CodeName],0)),"")</f>
        <v>Youth</v>
      </c>
      <c r="U411" t="str">
        <f>IFERROR(AVERAGEIFS(tbl_perf[Grade],tbl_perf[CodeName],tbl_daily[[#This Row],[CodeName]],tbl_perf[Date],tbl_daily[[#This Row],[Date]]),"")</f>
        <v/>
      </c>
      <c r="V411">
        <f>IFERROR(IF(AND(tbl_daily[[#This Row],[Attendance (1 = Here, 0 = Not here)]]=1,tbl_daily[[#This Row],[Attended, but did not complete data]]&lt;&gt;1),1,IF(AND(tbl_daily[[#This Row],[Attendance (1 = Here, 0 = Not here)]]=1,tbl_daily[[#This Row],[Attended, but did not complete data]]=1),2,3)),"")</f>
        <v>1</v>
      </c>
      <c r="W411">
        <f>IF(AND(tbl_daily[[#This Row],[Attendance Refined]]=1,tbl_daily[[#This Row],[InjuryStatus]]="Full"),1,IF(AND(tbl_daily[[#This Row],[Attendance Refined]]=1,tbl_daily[[#This Row],[InjuryStatus]]="Limited"),2,IF(AND(tbl_daily[[#This Row],[Attendance Refined]]=1,tbl_daily[[#This Row],[InjuryStatus]]="Out"),3,"")))</f>
        <v>1</v>
      </c>
    </row>
    <row r="412" spans="1:23" x14ac:dyDescent="0.25">
      <c r="A412" s="1">
        <v>43851</v>
      </c>
      <c r="B412" t="s">
        <v>434</v>
      </c>
      <c r="C412">
        <v>1</v>
      </c>
      <c r="E412">
        <v>4</v>
      </c>
      <c r="F412">
        <v>6</v>
      </c>
      <c r="G412">
        <v>7</v>
      </c>
      <c r="H412" t="s">
        <v>15</v>
      </c>
      <c r="I412">
        <v>1</v>
      </c>
      <c r="J412">
        <v>8</v>
      </c>
      <c r="K412">
        <v>120</v>
      </c>
      <c r="M412" t="s">
        <v>13</v>
      </c>
      <c r="N412" t="s">
        <v>20</v>
      </c>
      <c r="P412">
        <f>IFERROR(IF(AND(tbl_daily[[#This Row],[Attendance (1 = Here, 0 = Not here)]]=1,tbl_daily[[#This Row],[Attended, but did not complete data]]&lt;&gt;1),tbl_daily[[#This Row],[Stress]]+tbl_daily[[#This Row],[SleepQuality]]+tbl_daily[[#This Row],[Energy]],""),"")</f>
        <v>17</v>
      </c>
      <c r="Q412">
        <f>IFERROR(IF(AND(tbl_daily[[#This Row],[Attendance (1 = Here, 0 = Not here)]]=1,tbl_daily[[#This Row],[Attended, but did not complete data]]&lt;&gt;1),tbl_daily[[#This Row],[LatestRPE]]*tbl_daily[[#This Row],[LatestDuration]],""),"")</f>
        <v>960</v>
      </c>
      <c r="R412">
        <f>IF(tbl_daily[[#This Row],[CodeName]]&lt;&gt;"",1,"")</f>
        <v>1</v>
      </c>
      <c r="S412" t="str">
        <f>IF(AND(tbl_daily[[#This Row],[Date]]&gt;=DATE(2019,8,1),tbl_daily[[#This Row],[Date]]&lt;=DATE(2020,6,1)),"2019-2020")</f>
        <v>2019-2020</v>
      </c>
      <c r="T412" t="str">
        <f>IFERROR(INDEX(tbl_prof[Cohort of Interest],MATCH(tbl_daily[[#This Row],[CodeName]],tbl_prof[CodeName],0)),"")</f>
        <v>Athletes</v>
      </c>
      <c r="U412" t="str">
        <f>IFERROR(AVERAGEIFS(tbl_perf[Grade],tbl_perf[CodeName],tbl_daily[[#This Row],[CodeName]],tbl_perf[Date],tbl_daily[[#This Row],[Date]]),"")</f>
        <v/>
      </c>
      <c r="V412">
        <f>IFERROR(IF(AND(tbl_daily[[#This Row],[Attendance (1 = Here, 0 = Not here)]]=1,tbl_daily[[#This Row],[Attended, but did not complete data]]&lt;&gt;1),1,IF(AND(tbl_daily[[#This Row],[Attendance (1 = Here, 0 = Not here)]]=1,tbl_daily[[#This Row],[Attended, but did not complete data]]=1),2,3)),"")</f>
        <v>1</v>
      </c>
      <c r="W412">
        <f>IF(AND(tbl_daily[[#This Row],[Attendance Refined]]=1,tbl_daily[[#This Row],[InjuryStatus]]="Full"),1,IF(AND(tbl_daily[[#This Row],[Attendance Refined]]=1,tbl_daily[[#This Row],[InjuryStatus]]="Limited"),2,IF(AND(tbl_daily[[#This Row],[Attendance Refined]]=1,tbl_daily[[#This Row],[InjuryStatus]]="Out"),3,"")))</f>
        <v>1</v>
      </c>
    </row>
    <row r="413" spans="1:23" x14ac:dyDescent="0.25">
      <c r="A413" s="1">
        <v>43851</v>
      </c>
      <c r="B413" t="s">
        <v>435</v>
      </c>
      <c r="C413">
        <v>1</v>
      </c>
      <c r="E413">
        <v>3</v>
      </c>
      <c r="F413">
        <v>7</v>
      </c>
      <c r="G413">
        <v>7</v>
      </c>
      <c r="H413" t="s">
        <v>15</v>
      </c>
      <c r="I413">
        <v>1</v>
      </c>
      <c r="J413">
        <v>8</v>
      </c>
      <c r="K413">
        <v>120</v>
      </c>
      <c r="M413" t="s">
        <v>13</v>
      </c>
      <c r="N413" t="s">
        <v>19</v>
      </c>
      <c r="P413">
        <f>IFERROR(IF(AND(tbl_daily[[#This Row],[Attendance (1 = Here, 0 = Not here)]]=1,tbl_daily[[#This Row],[Attended, but did not complete data]]&lt;&gt;1),tbl_daily[[#This Row],[Stress]]+tbl_daily[[#This Row],[SleepQuality]]+tbl_daily[[#This Row],[Energy]],""),"")</f>
        <v>17</v>
      </c>
      <c r="Q413">
        <f>IFERROR(IF(AND(tbl_daily[[#This Row],[Attendance (1 = Here, 0 = Not here)]]=1,tbl_daily[[#This Row],[Attended, but did not complete data]]&lt;&gt;1),tbl_daily[[#This Row],[LatestRPE]]*tbl_daily[[#This Row],[LatestDuration]],""),"")</f>
        <v>960</v>
      </c>
      <c r="R413">
        <f>IF(tbl_daily[[#This Row],[CodeName]]&lt;&gt;"",1,"")</f>
        <v>1</v>
      </c>
      <c r="S413" t="str">
        <f>IF(AND(tbl_daily[[#This Row],[Date]]&gt;=DATE(2019,8,1),tbl_daily[[#This Row],[Date]]&lt;=DATE(2020,6,1)),"2019-2020")</f>
        <v>2019-2020</v>
      </c>
      <c r="T413" t="str">
        <f>IFERROR(INDEX(tbl_prof[Cohort of Interest],MATCH(tbl_daily[[#This Row],[CodeName]],tbl_prof[CodeName],0)),"")</f>
        <v>Athletes</v>
      </c>
      <c r="U413" t="str">
        <f>IFERROR(AVERAGEIFS(tbl_perf[Grade],tbl_perf[CodeName],tbl_daily[[#This Row],[CodeName]],tbl_perf[Date],tbl_daily[[#This Row],[Date]]),"")</f>
        <v/>
      </c>
      <c r="V413">
        <f>IFERROR(IF(AND(tbl_daily[[#This Row],[Attendance (1 = Here, 0 = Not here)]]=1,tbl_daily[[#This Row],[Attended, but did not complete data]]&lt;&gt;1),1,IF(AND(tbl_daily[[#This Row],[Attendance (1 = Here, 0 = Not here)]]=1,tbl_daily[[#This Row],[Attended, but did not complete data]]=1),2,3)),"")</f>
        <v>1</v>
      </c>
      <c r="W413">
        <f>IF(AND(tbl_daily[[#This Row],[Attendance Refined]]=1,tbl_daily[[#This Row],[InjuryStatus]]="Full"),1,IF(AND(tbl_daily[[#This Row],[Attendance Refined]]=1,tbl_daily[[#This Row],[InjuryStatus]]="Limited"),2,IF(AND(tbl_daily[[#This Row],[Attendance Refined]]=1,tbl_daily[[#This Row],[InjuryStatus]]="Out"),3,"")))</f>
        <v>1</v>
      </c>
    </row>
    <row r="414" spans="1:23" x14ac:dyDescent="0.25">
      <c r="A414" s="1">
        <v>43851</v>
      </c>
      <c r="B414" t="s">
        <v>422</v>
      </c>
      <c r="C414">
        <v>1</v>
      </c>
      <c r="E414">
        <v>5</v>
      </c>
      <c r="F414">
        <v>6</v>
      </c>
      <c r="G414">
        <v>7</v>
      </c>
      <c r="H414" t="s">
        <v>15</v>
      </c>
      <c r="I414">
        <v>1</v>
      </c>
      <c r="J414">
        <v>6</v>
      </c>
      <c r="K414">
        <v>180</v>
      </c>
      <c r="M414" t="s">
        <v>13</v>
      </c>
      <c r="N414" t="s">
        <v>22</v>
      </c>
      <c r="P414">
        <f>IFERROR(IF(AND(tbl_daily[[#This Row],[Attendance (1 = Here, 0 = Not here)]]=1,tbl_daily[[#This Row],[Attended, but did not complete data]]&lt;&gt;1),tbl_daily[[#This Row],[Stress]]+tbl_daily[[#This Row],[SleepQuality]]+tbl_daily[[#This Row],[Energy]],""),"")</f>
        <v>18</v>
      </c>
      <c r="Q414">
        <f>IFERROR(IF(AND(tbl_daily[[#This Row],[Attendance (1 = Here, 0 = Not here)]]=1,tbl_daily[[#This Row],[Attended, but did not complete data]]&lt;&gt;1),tbl_daily[[#This Row],[LatestRPE]]*tbl_daily[[#This Row],[LatestDuration]],""),"")</f>
        <v>1080</v>
      </c>
      <c r="R414">
        <f>IF(tbl_daily[[#This Row],[CodeName]]&lt;&gt;"",1,"")</f>
        <v>1</v>
      </c>
      <c r="S414" t="str">
        <f>IF(AND(tbl_daily[[#This Row],[Date]]&gt;=DATE(2019,8,1),tbl_daily[[#This Row],[Date]]&lt;=DATE(2020,6,1)),"2019-2020")</f>
        <v>2019-2020</v>
      </c>
      <c r="T414" t="str">
        <f>IFERROR(INDEX(tbl_prof[Cohort of Interest],MATCH(tbl_daily[[#This Row],[CodeName]],tbl_prof[CodeName],0)),"")</f>
        <v>Athletes</v>
      </c>
      <c r="U414" t="str">
        <f>IFERROR(AVERAGEIFS(tbl_perf[Grade],tbl_perf[CodeName],tbl_daily[[#This Row],[CodeName]],tbl_perf[Date],tbl_daily[[#This Row],[Date]]),"")</f>
        <v/>
      </c>
      <c r="V414">
        <f>IFERROR(IF(AND(tbl_daily[[#This Row],[Attendance (1 = Here, 0 = Not here)]]=1,tbl_daily[[#This Row],[Attended, but did not complete data]]&lt;&gt;1),1,IF(AND(tbl_daily[[#This Row],[Attendance (1 = Here, 0 = Not here)]]=1,tbl_daily[[#This Row],[Attended, but did not complete data]]=1),2,3)),"")</f>
        <v>1</v>
      </c>
      <c r="W414">
        <f>IF(AND(tbl_daily[[#This Row],[Attendance Refined]]=1,tbl_daily[[#This Row],[InjuryStatus]]="Full"),1,IF(AND(tbl_daily[[#This Row],[Attendance Refined]]=1,tbl_daily[[#This Row],[InjuryStatus]]="Limited"),2,IF(AND(tbl_daily[[#This Row],[Attendance Refined]]=1,tbl_daily[[#This Row],[InjuryStatus]]="Out"),3,"")))</f>
        <v>1</v>
      </c>
    </row>
    <row r="415" spans="1:23" x14ac:dyDescent="0.25">
      <c r="A415" s="1">
        <v>43851</v>
      </c>
      <c r="B415" t="s">
        <v>421</v>
      </c>
      <c r="C415">
        <v>1</v>
      </c>
      <c r="E415">
        <v>9</v>
      </c>
      <c r="F415">
        <v>10</v>
      </c>
      <c r="G415">
        <v>10</v>
      </c>
      <c r="H415" t="s">
        <v>15</v>
      </c>
      <c r="I415">
        <v>1</v>
      </c>
      <c r="J415">
        <v>8</v>
      </c>
      <c r="K415">
        <v>240</v>
      </c>
      <c r="M415" t="s">
        <v>13</v>
      </c>
      <c r="N415" t="s">
        <v>18</v>
      </c>
      <c r="P415">
        <f>IFERROR(IF(AND(tbl_daily[[#This Row],[Attendance (1 = Here, 0 = Not here)]]=1,tbl_daily[[#This Row],[Attended, but did not complete data]]&lt;&gt;1),tbl_daily[[#This Row],[Stress]]+tbl_daily[[#This Row],[SleepQuality]]+tbl_daily[[#This Row],[Energy]],""),"")</f>
        <v>29</v>
      </c>
      <c r="Q415">
        <f>IFERROR(IF(AND(tbl_daily[[#This Row],[Attendance (1 = Here, 0 = Not here)]]=1,tbl_daily[[#This Row],[Attended, but did not complete data]]&lt;&gt;1),tbl_daily[[#This Row],[LatestRPE]]*tbl_daily[[#This Row],[LatestDuration]],""),"")</f>
        <v>1920</v>
      </c>
      <c r="R415">
        <f>IF(tbl_daily[[#This Row],[CodeName]]&lt;&gt;"",1,"")</f>
        <v>1</v>
      </c>
      <c r="S415" t="str">
        <f>IF(AND(tbl_daily[[#This Row],[Date]]&gt;=DATE(2019,8,1),tbl_daily[[#This Row],[Date]]&lt;=DATE(2020,6,1)),"2019-2020")</f>
        <v>2019-2020</v>
      </c>
      <c r="T415" t="str">
        <f>IFERROR(INDEX(tbl_prof[Cohort of Interest],MATCH(tbl_daily[[#This Row],[CodeName]],tbl_prof[CodeName],0)),"")</f>
        <v>Athletes</v>
      </c>
      <c r="U415" t="str">
        <f>IFERROR(AVERAGEIFS(tbl_perf[Grade],tbl_perf[CodeName],tbl_daily[[#This Row],[CodeName]],tbl_perf[Date],tbl_daily[[#This Row],[Date]]),"")</f>
        <v/>
      </c>
      <c r="V415">
        <f>IFERROR(IF(AND(tbl_daily[[#This Row],[Attendance (1 = Here, 0 = Not here)]]=1,tbl_daily[[#This Row],[Attended, but did not complete data]]&lt;&gt;1),1,IF(AND(tbl_daily[[#This Row],[Attendance (1 = Here, 0 = Not here)]]=1,tbl_daily[[#This Row],[Attended, but did not complete data]]=1),2,3)),"")</f>
        <v>1</v>
      </c>
      <c r="W415">
        <f>IF(AND(tbl_daily[[#This Row],[Attendance Refined]]=1,tbl_daily[[#This Row],[InjuryStatus]]="Full"),1,IF(AND(tbl_daily[[#This Row],[Attendance Refined]]=1,tbl_daily[[#This Row],[InjuryStatus]]="Limited"),2,IF(AND(tbl_daily[[#This Row],[Attendance Refined]]=1,tbl_daily[[#This Row],[InjuryStatus]]="Out"),3,"")))</f>
        <v>1</v>
      </c>
    </row>
    <row r="416" spans="1:23" x14ac:dyDescent="0.25">
      <c r="A416" s="1">
        <v>43851</v>
      </c>
      <c r="B416" t="s">
        <v>419</v>
      </c>
      <c r="C416">
        <v>0</v>
      </c>
      <c r="D416">
        <v>1</v>
      </c>
      <c r="E416">
        <v>4</v>
      </c>
      <c r="F416">
        <v>10</v>
      </c>
      <c r="G416">
        <v>8</v>
      </c>
      <c r="H416" t="s">
        <v>32</v>
      </c>
      <c r="I416">
        <v>0</v>
      </c>
      <c r="J416">
        <v>0</v>
      </c>
      <c r="K416">
        <v>0</v>
      </c>
      <c r="M416" t="s">
        <v>13</v>
      </c>
      <c r="P416" t="str">
        <f>IFERROR(IF(AND(tbl_daily[[#This Row],[Attendance (1 = Here, 0 = Not here)]]=1,tbl_daily[[#This Row],[Attended, but did not complete data]]&lt;&gt;1),tbl_daily[[#This Row],[Stress]]+tbl_daily[[#This Row],[SleepQuality]]+tbl_daily[[#This Row],[Energy]],""),"")</f>
        <v/>
      </c>
      <c r="Q416" t="str">
        <f>IFERROR(IF(AND(tbl_daily[[#This Row],[Attendance (1 = Here, 0 = Not here)]]=1,tbl_daily[[#This Row],[Attended, but did not complete data]]&lt;&gt;1),tbl_daily[[#This Row],[LatestRPE]]*tbl_daily[[#This Row],[LatestDuration]],""),"")</f>
        <v/>
      </c>
      <c r="R416">
        <f>IF(tbl_daily[[#This Row],[CodeName]]&lt;&gt;"",1,"")</f>
        <v>1</v>
      </c>
      <c r="S416" t="str">
        <f>IF(AND(tbl_daily[[#This Row],[Date]]&gt;=DATE(2019,8,1),tbl_daily[[#This Row],[Date]]&lt;=DATE(2020,6,1)),"2019-2020")</f>
        <v>2019-2020</v>
      </c>
      <c r="T416" t="str">
        <f>IFERROR(INDEX(tbl_prof[Cohort of Interest],MATCH(tbl_daily[[#This Row],[CodeName]],tbl_prof[CodeName],0)),"")</f>
        <v>Youth</v>
      </c>
      <c r="U416" t="str">
        <f>IFERROR(AVERAGEIFS(tbl_perf[Grade],tbl_perf[CodeName],tbl_daily[[#This Row],[CodeName]],tbl_perf[Date],tbl_daily[[#This Row],[Date]]),"")</f>
        <v/>
      </c>
      <c r="V416">
        <f>IFERROR(IF(AND(tbl_daily[[#This Row],[Attendance (1 = Here, 0 = Not here)]]=1,tbl_daily[[#This Row],[Attended, but did not complete data]]&lt;&gt;1),1,IF(AND(tbl_daily[[#This Row],[Attendance (1 = Here, 0 = Not here)]]=1,tbl_daily[[#This Row],[Attended, but did not complete data]]=1),2,3)),"")</f>
        <v>3</v>
      </c>
      <c r="W416" t="str">
        <f>IF(AND(tbl_daily[[#This Row],[Attendance Refined]]=1,tbl_daily[[#This Row],[InjuryStatus]]="Full"),1,IF(AND(tbl_daily[[#This Row],[Attendance Refined]]=1,tbl_daily[[#This Row],[InjuryStatus]]="Limited"),2,IF(AND(tbl_daily[[#This Row],[Attendance Refined]]=1,tbl_daily[[#This Row],[InjuryStatus]]="Out"),3,"")))</f>
        <v/>
      </c>
    </row>
    <row r="417" spans="1:23" x14ac:dyDescent="0.25">
      <c r="A417" s="1">
        <v>43851</v>
      </c>
      <c r="B417" t="s">
        <v>438</v>
      </c>
      <c r="C417">
        <v>0</v>
      </c>
      <c r="D417">
        <v>1</v>
      </c>
      <c r="H417" s="2"/>
      <c r="M417" t="s">
        <v>13</v>
      </c>
      <c r="P417" t="str">
        <f>IFERROR(IF(AND(tbl_daily[[#This Row],[Attendance (1 = Here, 0 = Not here)]]=1,tbl_daily[[#This Row],[Attended, but did not complete data]]&lt;&gt;1),tbl_daily[[#This Row],[Stress]]+tbl_daily[[#This Row],[SleepQuality]]+tbl_daily[[#This Row],[Energy]],""),"")</f>
        <v/>
      </c>
      <c r="Q417" t="str">
        <f>IFERROR(IF(AND(tbl_daily[[#This Row],[Attendance (1 = Here, 0 = Not here)]]=1,tbl_daily[[#This Row],[Attended, but did not complete data]]&lt;&gt;1),tbl_daily[[#This Row],[LatestRPE]]*tbl_daily[[#This Row],[LatestDuration]],""),"")</f>
        <v/>
      </c>
      <c r="R417">
        <f>IF(tbl_daily[[#This Row],[CodeName]]&lt;&gt;"",1,"")</f>
        <v>1</v>
      </c>
      <c r="S417" t="str">
        <f>IF(AND(tbl_daily[[#This Row],[Date]]&gt;=DATE(2019,8,1),tbl_daily[[#This Row],[Date]]&lt;=DATE(2020,6,1)),"2019-2020")</f>
        <v>2019-2020</v>
      </c>
      <c r="T417" t="str">
        <f>IFERROR(INDEX(tbl_prof[Cohort of Interest],MATCH(tbl_daily[[#This Row],[CodeName]],tbl_prof[CodeName],0)),"")</f>
        <v>Youth</v>
      </c>
      <c r="U417" t="str">
        <f>IFERROR(AVERAGEIFS(tbl_perf[Grade],tbl_perf[CodeName],tbl_daily[[#This Row],[CodeName]],tbl_perf[Date],tbl_daily[[#This Row],[Date]]),"")</f>
        <v/>
      </c>
      <c r="V417">
        <f>IFERROR(IF(AND(tbl_daily[[#This Row],[Attendance (1 = Here, 0 = Not here)]]=1,tbl_daily[[#This Row],[Attended, but did not complete data]]&lt;&gt;1),1,IF(AND(tbl_daily[[#This Row],[Attendance (1 = Here, 0 = Not here)]]=1,tbl_daily[[#This Row],[Attended, but did not complete data]]=1),2,3)),"")</f>
        <v>3</v>
      </c>
      <c r="W417" t="str">
        <f>IF(AND(tbl_daily[[#This Row],[Attendance Refined]]=1,tbl_daily[[#This Row],[InjuryStatus]]="Full"),1,IF(AND(tbl_daily[[#This Row],[Attendance Refined]]=1,tbl_daily[[#This Row],[InjuryStatus]]="Limited"),2,IF(AND(tbl_daily[[#This Row],[Attendance Refined]]=1,tbl_daily[[#This Row],[InjuryStatus]]="Out"),3,"")))</f>
        <v/>
      </c>
    </row>
  </sheetData>
  <phoneticPr fontId="5"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451F80-FEE4-42E3-A786-F17B82D48423}">
  <dimension ref="A1:E129"/>
  <sheetViews>
    <sheetView workbookViewId="0">
      <selection sqref="A1:AG1"/>
    </sheetView>
  </sheetViews>
  <sheetFormatPr defaultRowHeight="15" x14ac:dyDescent="0.25"/>
  <cols>
    <col min="1" max="1" width="13.42578125" bestFit="1" customWidth="1"/>
    <col min="2" max="3" width="13.42578125" customWidth="1"/>
  </cols>
  <sheetData>
    <row r="1" spans="1:5" x14ac:dyDescent="0.25">
      <c r="A1" t="s">
        <v>0</v>
      </c>
      <c r="B1" t="s">
        <v>1</v>
      </c>
      <c r="C1" t="s">
        <v>365</v>
      </c>
    </row>
    <row r="2" spans="1:5" x14ac:dyDescent="0.25">
      <c r="A2" s="1">
        <v>43858</v>
      </c>
      <c r="B2" t="s">
        <v>411</v>
      </c>
      <c r="C2">
        <v>80</v>
      </c>
      <c r="E2" t="s">
        <v>401</v>
      </c>
    </row>
    <row r="3" spans="1:5" x14ac:dyDescent="0.25">
      <c r="A3" s="1">
        <v>43858</v>
      </c>
      <c r="B3" t="s">
        <v>412</v>
      </c>
      <c r="C3">
        <v>83</v>
      </c>
    </row>
    <row r="4" spans="1:5" x14ac:dyDescent="0.25">
      <c r="A4" s="1">
        <v>43858</v>
      </c>
      <c r="B4" t="s">
        <v>413</v>
      </c>
      <c r="C4">
        <v>89</v>
      </c>
    </row>
    <row r="5" spans="1:5" x14ac:dyDescent="0.25">
      <c r="A5" s="1">
        <v>43858</v>
      </c>
      <c r="B5" t="s">
        <v>414</v>
      </c>
      <c r="C5">
        <v>96</v>
      </c>
    </row>
    <row r="6" spans="1:5" x14ac:dyDescent="0.25">
      <c r="A6" s="1">
        <v>43858</v>
      </c>
      <c r="B6" t="s">
        <v>415</v>
      </c>
      <c r="C6">
        <v>92</v>
      </c>
    </row>
    <row r="7" spans="1:5" x14ac:dyDescent="0.25">
      <c r="A7" s="1">
        <v>43858</v>
      </c>
      <c r="B7" t="s">
        <v>416</v>
      </c>
      <c r="C7">
        <v>75</v>
      </c>
    </row>
    <row r="8" spans="1:5" x14ac:dyDescent="0.25">
      <c r="A8" s="1">
        <v>43858</v>
      </c>
      <c r="B8" t="s">
        <v>417</v>
      </c>
      <c r="C8">
        <v>83</v>
      </c>
    </row>
    <row r="9" spans="1:5" x14ac:dyDescent="0.25">
      <c r="A9" s="1">
        <v>43858</v>
      </c>
      <c r="B9" t="s">
        <v>418</v>
      </c>
      <c r="C9">
        <v>99</v>
      </c>
    </row>
    <row r="10" spans="1:5" x14ac:dyDescent="0.25">
      <c r="A10" s="1">
        <v>43858</v>
      </c>
      <c r="B10" t="s">
        <v>419</v>
      </c>
      <c r="C10">
        <v>82</v>
      </c>
    </row>
    <row r="11" spans="1:5" x14ac:dyDescent="0.25">
      <c r="A11" s="1">
        <v>43858</v>
      </c>
      <c r="B11" t="s">
        <v>420</v>
      </c>
      <c r="C11">
        <v>92</v>
      </c>
    </row>
    <row r="12" spans="1:5" x14ac:dyDescent="0.25">
      <c r="A12" s="1">
        <v>43858</v>
      </c>
      <c r="B12" t="s">
        <v>421</v>
      </c>
      <c r="C12">
        <v>83</v>
      </c>
    </row>
    <row r="13" spans="1:5" x14ac:dyDescent="0.25">
      <c r="A13" s="1">
        <v>43858</v>
      </c>
      <c r="B13" t="s">
        <v>422</v>
      </c>
      <c r="C13">
        <v>87</v>
      </c>
    </row>
    <row r="14" spans="1:5" x14ac:dyDescent="0.25">
      <c r="A14" s="1">
        <v>43858</v>
      </c>
      <c r="B14" t="s">
        <v>423</v>
      </c>
      <c r="C14">
        <v>76</v>
      </c>
    </row>
    <row r="15" spans="1:5" x14ac:dyDescent="0.25">
      <c r="A15" s="1">
        <v>43858</v>
      </c>
      <c r="B15" t="s">
        <v>424</v>
      </c>
      <c r="C15">
        <v>90</v>
      </c>
    </row>
    <row r="16" spans="1:5" x14ac:dyDescent="0.25">
      <c r="A16" s="1">
        <v>43858</v>
      </c>
      <c r="B16" t="s">
        <v>425</v>
      </c>
      <c r="C16">
        <v>87</v>
      </c>
    </row>
    <row r="17" spans="1:3" x14ac:dyDescent="0.25">
      <c r="A17" s="1">
        <v>43858</v>
      </c>
      <c r="B17" t="s">
        <v>426</v>
      </c>
      <c r="C17">
        <v>97</v>
      </c>
    </row>
    <row r="18" spans="1:3" x14ac:dyDescent="0.25">
      <c r="A18" s="1">
        <v>43858</v>
      </c>
      <c r="B18" t="s">
        <v>427</v>
      </c>
      <c r="C18">
        <v>97</v>
      </c>
    </row>
    <row r="19" spans="1:3" x14ac:dyDescent="0.25">
      <c r="A19" s="1">
        <v>43858</v>
      </c>
      <c r="B19" t="s">
        <v>428</v>
      </c>
      <c r="C19">
        <v>99</v>
      </c>
    </row>
    <row r="20" spans="1:3" x14ac:dyDescent="0.25">
      <c r="A20" s="1">
        <v>43858</v>
      </c>
      <c r="B20" t="s">
        <v>410</v>
      </c>
      <c r="C20">
        <v>90</v>
      </c>
    </row>
    <row r="21" spans="1:3" x14ac:dyDescent="0.25">
      <c r="A21" s="1">
        <v>43858</v>
      </c>
      <c r="B21" t="s">
        <v>429</v>
      </c>
      <c r="C21">
        <v>87</v>
      </c>
    </row>
    <row r="22" spans="1:3" x14ac:dyDescent="0.25">
      <c r="A22" s="1">
        <v>43858</v>
      </c>
      <c r="B22" t="s">
        <v>434</v>
      </c>
      <c r="C22">
        <v>88</v>
      </c>
    </row>
    <row r="23" spans="1:3" x14ac:dyDescent="0.25">
      <c r="A23" s="1">
        <v>43858</v>
      </c>
      <c r="B23" t="s">
        <v>430</v>
      </c>
      <c r="C23">
        <v>99</v>
      </c>
    </row>
    <row r="24" spans="1:3" x14ac:dyDescent="0.25">
      <c r="A24" s="1">
        <v>43858</v>
      </c>
      <c r="B24" t="s">
        <v>435</v>
      </c>
      <c r="C24">
        <v>91</v>
      </c>
    </row>
    <row r="25" spans="1:3" x14ac:dyDescent="0.25">
      <c r="A25" s="1">
        <v>43858</v>
      </c>
      <c r="B25" t="s">
        <v>436</v>
      </c>
      <c r="C25">
        <v>79</v>
      </c>
    </row>
    <row r="26" spans="1:3" x14ac:dyDescent="0.25">
      <c r="A26" s="1">
        <v>43858</v>
      </c>
      <c r="B26" t="s">
        <v>437</v>
      </c>
      <c r="C26">
        <v>95</v>
      </c>
    </row>
    <row r="27" spans="1:3" x14ac:dyDescent="0.25">
      <c r="A27" s="1">
        <v>43858</v>
      </c>
      <c r="B27" t="s">
        <v>438</v>
      </c>
      <c r="C27">
        <v>84</v>
      </c>
    </row>
    <row r="28" spans="1:3" x14ac:dyDescent="0.25">
      <c r="A28" s="1">
        <v>43858</v>
      </c>
      <c r="B28" t="s">
        <v>431</v>
      </c>
      <c r="C28">
        <v>93</v>
      </c>
    </row>
    <row r="29" spans="1:3" x14ac:dyDescent="0.25">
      <c r="A29" s="1">
        <v>43858</v>
      </c>
      <c r="B29" t="s">
        <v>432</v>
      </c>
      <c r="C29">
        <v>89</v>
      </c>
    </row>
    <row r="30" spans="1:3" x14ac:dyDescent="0.25">
      <c r="A30" s="1">
        <v>43858</v>
      </c>
      <c r="B30" t="s">
        <v>439</v>
      </c>
      <c r="C30">
        <v>82</v>
      </c>
    </row>
    <row r="31" spans="1:3" x14ac:dyDescent="0.25">
      <c r="A31" s="1">
        <v>43858</v>
      </c>
      <c r="B31" t="s">
        <v>433</v>
      </c>
      <c r="C31">
        <v>84</v>
      </c>
    </row>
    <row r="32" spans="1:3" x14ac:dyDescent="0.25">
      <c r="A32" s="1">
        <v>43858</v>
      </c>
      <c r="B32" t="s">
        <v>440</v>
      </c>
      <c r="C32">
        <v>100</v>
      </c>
    </row>
    <row r="33" spans="1:3" x14ac:dyDescent="0.25">
      <c r="A33" s="1">
        <v>43858</v>
      </c>
      <c r="B33" t="s">
        <v>441</v>
      </c>
      <c r="C33">
        <v>86</v>
      </c>
    </row>
    <row r="34" spans="1:3" x14ac:dyDescent="0.25">
      <c r="A34" s="1">
        <v>43865</v>
      </c>
      <c r="B34" t="s">
        <v>411</v>
      </c>
      <c r="C34">
        <v>87</v>
      </c>
    </row>
    <row r="35" spans="1:3" x14ac:dyDescent="0.25">
      <c r="A35" s="1">
        <v>43865</v>
      </c>
      <c r="B35" t="s">
        <v>412</v>
      </c>
      <c r="C35">
        <v>84</v>
      </c>
    </row>
    <row r="36" spans="1:3" x14ac:dyDescent="0.25">
      <c r="A36" s="1">
        <v>43865</v>
      </c>
      <c r="B36" t="s">
        <v>413</v>
      </c>
      <c r="C36">
        <v>97</v>
      </c>
    </row>
    <row r="37" spans="1:3" x14ac:dyDescent="0.25">
      <c r="A37" s="1">
        <v>43865</v>
      </c>
      <c r="B37" t="s">
        <v>414</v>
      </c>
      <c r="C37">
        <v>100</v>
      </c>
    </row>
    <row r="38" spans="1:3" x14ac:dyDescent="0.25">
      <c r="A38" s="1">
        <v>43865</v>
      </c>
      <c r="B38" t="s">
        <v>415</v>
      </c>
      <c r="C38">
        <v>98</v>
      </c>
    </row>
    <row r="39" spans="1:3" x14ac:dyDescent="0.25">
      <c r="A39" s="1">
        <v>43865</v>
      </c>
      <c r="B39" t="s">
        <v>416</v>
      </c>
      <c r="C39">
        <v>78</v>
      </c>
    </row>
    <row r="40" spans="1:3" x14ac:dyDescent="0.25">
      <c r="A40" s="1">
        <v>43865</v>
      </c>
      <c r="B40" t="s">
        <v>417</v>
      </c>
      <c r="C40">
        <v>90</v>
      </c>
    </row>
    <row r="41" spans="1:3" x14ac:dyDescent="0.25">
      <c r="A41" s="1">
        <v>43865</v>
      </c>
      <c r="B41" t="s">
        <v>418</v>
      </c>
      <c r="C41">
        <v>96</v>
      </c>
    </row>
    <row r="42" spans="1:3" x14ac:dyDescent="0.25">
      <c r="A42" s="1">
        <v>43865</v>
      </c>
      <c r="B42" t="s">
        <v>419</v>
      </c>
      <c r="C42">
        <v>98</v>
      </c>
    </row>
    <row r="43" spans="1:3" x14ac:dyDescent="0.25">
      <c r="A43" s="1">
        <v>43865</v>
      </c>
      <c r="B43" t="s">
        <v>420</v>
      </c>
      <c r="C43">
        <v>91</v>
      </c>
    </row>
    <row r="44" spans="1:3" x14ac:dyDescent="0.25">
      <c r="A44" s="1">
        <v>43865</v>
      </c>
      <c r="B44" t="s">
        <v>421</v>
      </c>
      <c r="C44">
        <v>85</v>
      </c>
    </row>
    <row r="45" spans="1:3" x14ac:dyDescent="0.25">
      <c r="A45" s="1">
        <v>43865</v>
      </c>
      <c r="B45" t="s">
        <v>422</v>
      </c>
      <c r="C45">
        <v>75</v>
      </c>
    </row>
    <row r="46" spans="1:3" x14ac:dyDescent="0.25">
      <c r="A46" s="1">
        <v>43865</v>
      </c>
      <c r="B46" t="s">
        <v>423</v>
      </c>
      <c r="C46">
        <v>78</v>
      </c>
    </row>
    <row r="47" spans="1:3" x14ac:dyDescent="0.25">
      <c r="A47" s="1">
        <v>43865</v>
      </c>
      <c r="B47" t="s">
        <v>424</v>
      </c>
      <c r="C47">
        <v>92</v>
      </c>
    </row>
    <row r="48" spans="1:3" x14ac:dyDescent="0.25">
      <c r="A48" s="1">
        <v>43865</v>
      </c>
      <c r="B48" t="s">
        <v>425</v>
      </c>
      <c r="C48">
        <v>87</v>
      </c>
    </row>
    <row r="49" spans="1:3" x14ac:dyDescent="0.25">
      <c r="A49" s="1">
        <v>43865</v>
      </c>
      <c r="B49" t="s">
        <v>426</v>
      </c>
      <c r="C49">
        <v>96</v>
      </c>
    </row>
    <row r="50" spans="1:3" x14ac:dyDescent="0.25">
      <c r="A50" s="1">
        <v>43865</v>
      </c>
      <c r="B50" t="s">
        <v>427</v>
      </c>
      <c r="C50">
        <v>78</v>
      </c>
    </row>
    <row r="51" spans="1:3" x14ac:dyDescent="0.25">
      <c r="A51" s="1">
        <v>43865</v>
      </c>
      <c r="B51" t="s">
        <v>428</v>
      </c>
      <c r="C51">
        <v>82</v>
      </c>
    </row>
    <row r="52" spans="1:3" x14ac:dyDescent="0.25">
      <c r="A52" s="1">
        <v>43865</v>
      </c>
      <c r="B52" t="s">
        <v>410</v>
      </c>
      <c r="C52">
        <v>84</v>
      </c>
    </row>
    <row r="53" spans="1:3" x14ac:dyDescent="0.25">
      <c r="A53" s="1">
        <v>43865</v>
      </c>
      <c r="B53" t="s">
        <v>429</v>
      </c>
      <c r="C53">
        <v>81</v>
      </c>
    </row>
    <row r="54" spans="1:3" x14ac:dyDescent="0.25">
      <c r="A54" s="1">
        <v>43865</v>
      </c>
      <c r="B54" t="s">
        <v>434</v>
      </c>
      <c r="C54">
        <v>80</v>
      </c>
    </row>
    <row r="55" spans="1:3" x14ac:dyDescent="0.25">
      <c r="A55" s="1">
        <v>43865</v>
      </c>
      <c r="B55" t="s">
        <v>430</v>
      </c>
      <c r="C55">
        <v>82</v>
      </c>
    </row>
    <row r="56" spans="1:3" x14ac:dyDescent="0.25">
      <c r="A56" s="1">
        <v>43865</v>
      </c>
      <c r="B56" t="s">
        <v>435</v>
      </c>
      <c r="C56">
        <v>83</v>
      </c>
    </row>
    <row r="57" spans="1:3" x14ac:dyDescent="0.25">
      <c r="A57" s="1">
        <v>43865</v>
      </c>
      <c r="B57" t="s">
        <v>436</v>
      </c>
      <c r="C57">
        <v>87</v>
      </c>
    </row>
    <row r="58" spans="1:3" x14ac:dyDescent="0.25">
      <c r="A58" s="1">
        <v>43865</v>
      </c>
      <c r="B58" t="s">
        <v>437</v>
      </c>
      <c r="C58">
        <v>87</v>
      </c>
    </row>
    <row r="59" spans="1:3" x14ac:dyDescent="0.25">
      <c r="A59" s="1">
        <v>43865</v>
      </c>
      <c r="B59" t="s">
        <v>438</v>
      </c>
      <c r="C59">
        <v>94</v>
      </c>
    </row>
    <row r="60" spans="1:3" x14ac:dyDescent="0.25">
      <c r="A60" s="1">
        <v>43865</v>
      </c>
      <c r="B60" t="s">
        <v>431</v>
      </c>
      <c r="C60">
        <v>96</v>
      </c>
    </row>
    <row r="61" spans="1:3" x14ac:dyDescent="0.25">
      <c r="A61" s="1">
        <v>43865</v>
      </c>
      <c r="B61" t="s">
        <v>432</v>
      </c>
      <c r="C61">
        <v>84</v>
      </c>
    </row>
    <row r="62" spans="1:3" x14ac:dyDescent="0.25">
      <c r="A62" s="1">
        <v>43865</v>
      </c>
      <c r="B62" t="s">
        <v>439</v>
      </c>
      <c r="C62">
        <v>96</v>
      </c>
    </row>
    <row r="63" spans="1:3" x14ac:dyDescent="0.25">
      <c r="A63" s="1">
        <v>43865</v>
      </c>
      <c r="B63" t="s">
        <v>433</v>
      </c>
      <c r="C63">
        <v>89</v>
      </c>
    </row>
    <row r="64" spans="1:3" x14ac:dyDescent="0.25">
      <c r="A64" s="1">
        <v>43865</v>
      </c>
      <c r="B64" t="s">
        <v>440</v>
      </c>
      <c r="C64">
        <v>75</v>
      </c>
    </row>
    <row r="65" spans="1:3" x14ac:dyDescent="0.25">
      <c r="A65" s="1">
        <v>43865</v>
      </c>
      <c r="B65" t="s">
        <v>441</v>
      </c>
      <c r="C65">
        <v>98</v>
      </c>
    </row>
    <row r="66" spans="1:3" x14ac:dyDescent="0.25">
      <c r="A66" s="1">
        <v>43881</v>
      </c>
      <c r="B66" t="s">
        <v>411</v>
      </c>
      <c r="C66">
        <v>78</v>
      </c>
    </row>
    <row r="67" spans="1:3" x14ac:dyDescent="0.25">
      <c r="A67" s="1">
        <v>43881</v>
      </c>
      <c r="B67" t="s">
        <v>412</v>
      </c>
      <c r="C67">
        <v>86</v>
      </c>
    </row>
    <row r="68" spans="1:3" x14ac:dyDescent="0.25">
      <c r="A68" s="1">
        <v>43881</v>
      </c>
      <c r="B68" t="s">
        <v>413</v>
      </c>
      <c r="C68">
        <v>84</v>
      </c>
    </row>
    <row r="69" spans="1:3" x14ac:dyDescent="0.25">
      <c r="A69" s="1">
        <v>43881</v>
      </c>
      <c r="B69" t="s">
        <v>414</v>
      </c>
      <c r="C69">
        <v>100</v>
      </c>
    </row>
    <row r="70" spans="1:3" x14ac:dyDescent="0.25">
      <c r="A70" s="1">
        <v>43881</v>
      </c>
      <c r="B70" t="s">
        <v>415</v>
      </c>
      <c r="C70">
        <v>99</v>
      </c>
    </row>
    <row r="71" spans="1:3" x14ac:dyDescent="0.25">
      <c r="A71" s="1">
        <v>43881</v>
      </c>
      <c r="B71" t="s">
        <v>416</v>
      </c>
      <c r="C71">
        <v>91</v>
      </c>
    </row>
    <row r="72" spans="1:3" x14ac:dyDescent="0.25">
      <c r="A72" s="1">
        <v>43881</v>
      </c>
      <c r="B72" t="s">
        <v>417</v>
      </c>
      <c r="C72">
        <v>91</v>
      </c>
    </row>
    <row r="73" spans="1:3" x14ac:dyDescent="0.25">
      <c r="A73" s="1">
        <v>43881</v>
      </c>
      <c r="B73" t="s">
        <v>418</v>
      </c>
      <c r="C73">
        <v>100</v>
      </c>
    </row>
    <row r="74" spans="1:3" x14ac:dyDescent="0.25">
      <c r="A74" s="1">
        <v>43881</v>
      </c>
      <c r="B74" t="s">
        <v>419</v>
      </c>
      <c r="C74">
        <v>90</v>
      </c>
    </row>
    <row r="75" spans="1:3" x14ac:dyDescent="0.25">
      <c r="A75" s="1">
        <v>43881</v>
      </c>
      <c r="B75" t="s">
        <v>420</v>
      </c>
      <c r="C75">
        <v>86</v>
      </c>
    </row>
    <row r="76" spans="1:3" x14ac:dyDescent="0.25">
      <c r="A76" s="1">
        <v>43881</v>
      </c>
      <c r="B76" t="s">
        <v>421</v>
      </c>
      <c r="C76">
        <v>95</v>
      </c>
    </row>
    <row r="77" spans="1:3" x14ac:dyDescent="0.25">
      <c r="A77" s="1">
        <v>43881</v>
      </c>
      <c r="B77" t="s">
        <v>422</v>
      </c>
      <c r="C77">
        <v>95</v>
      </c>
    </row>
    <row r="78" spans="1:3" x14ac:dyDescent="0.25">
      <c r="A78" s="1">
        <v>43881</v>
      </c>
      <c r="B78" t="s">
        <v>423</v>
      </c>
      <c r="C78">
        <v>93</v>
      </c>
    </row>
    <row r="79" spans="1:3" x14ac:dyDescent="0.25">
      <c r="A79" s="1">
        <v>43881</v>
      </c>
      <c r="B79" t="s">
        <v>424</v>
      </c>
      <c r="C79">
        <v>78</v>
      </c>
    </row>
    <row r="80" spans="1:3" x14ac:dyDescent="0.25">
      <c r="A80" s="1">
        <v>43881</v>
      </c>
      <c r="B80" t="s">
        <v>425</v>
      </c>
      <c r="C80">
        <v>79</v>
      </c>
    </row>
    <row r="81" spans="1:3" x14ac:dyDescent="0.25">
      <c r="A81" s="1">
        <v>43881</v>
      </c>
      <c r="B81" t="s">
        <v>426</v>
      </c>
      <c r="C81">
        <v>76</v>
      </c>
    </row>
    <row r="82" spans="1:3" x14ac:dyDescent="0.25">
      <c r="A82" s="1">
        <v>43881</v>
      </c>
      <c r="B82" t="s">
        <v>427</v>
      </c>
      <c r="C82">
        <v>100</v>
      </c>
    </row>
    <row r="83" spans="1:3" x14ac:dyDescent="0.25">
      <c r="A83" s="1">
        <v>43881</v>
      </c>
      <c r="B83" t="s">
        <v>428</v>
      </c>
      <c r="C83">
        <v>99</v>
      </c>
    </row>
    <row r="84" spans="1:3" x14ac:dyDescent="0.25">
      <c r="A84" s="1">
        <v>43881</v>
      </c>
      <c r="B84" t="s">
        <v>410</v>
      </c>
      <c r="C84">
        <v>79</v>
      </c>
    </row>
    <row r="85" spans="1:3" x14ac:dyDescent="0.25">
      <c r="A85" s="1">
        <v>43881</v>
      </c>
      <c r="B85" t="s">
        <v>429</v>
      </c>
      <c r="C85">
        <v>82</v>
      </c>
    </row>
    <row r="86" spans="1:3" x14ac:dyDescent="0.25">
      <c r="A86" s="1">
        <v>43881</v>
      </c>
      <c r="B86" t="s">
        <v>434</v>
      </c>
      <c r="C86">
        <v>83</v>
      </c>
    </row>
    <row r="87" spans="1:3" x14ac:dyDescent="0.25">
      <c r="A87" s="1">
        <v>43881</v>
      </c>
      <c r="B87" t="s">
        <v>430</v>
      </c>
      <c r="C87">
        <v>77</v>
      </c>
    </row>
    <row r="88" spans="1:3" x14ac:dyDescent="0.25">
      <c r="A88" s="1">
        <v>43881</v>
      </c>
      <c r="B88" t="s">
        <v>435</v>
      </c>
      <c r="C88">
        <v>79</v>
      </c>
    </row>
    <row r="89" spans="1:3" x14ac:dyDescent="0.25">
      <c r="A89" s="1">
        <v>43881</v>
      </c>
      <c r="B89" t="s">
        <v>436</v>
      </c>
      <c r="C89">
        <v>92</v>
      </c>
    </row>
    <row r="90" spans="1:3" x14ac:dyDescent="0.25">
      <c r="A90" s="1">
        <v>43881</v>
      </c>
      <c r="B90" t="s">
        <v>437</v>
      </c>
      <c r="C90">
        <v>99</v>
      </c>
    </row>
    <row r="91" spans="1:3" x14ac:dyDescent="0.25">
      <c r="A91" s="1">
        <v>43881</v>
      </c>
      <c r="B91" t="s">
        <v>438</v>
      </c>
      <c r="C91">
        <v>86</v>
      </c>
    </row>
    <row r="92" spans="1:3" x14ac:dyDescent="0.25">
      <c r="A92" s="1">
        <v>43881</v>
      </c>
      <c r="B92" t="s">
        <v>431</v>
      </c>
      <c r="C92">
        <v>92</v>
      </c>
    </row>
    <row r="93" spans="1:3" x14ac:dyDescent="0.25">
      <c r="A93" s="1">
        <v>43881</v>
      </c>
      <c r="B93" t="s">
        <v>432</v>
      </c>
      <c r="C93">
        <v>88</v>
      </c>
    </row>
    <row r="94" spans="1:3" x14ac:dyDescent="0.25">
      <c r="A94" s="1">
        <v>43881</v>
      </c>
      <c r="B94" t="s">
        <v>439</v>
      </c>
      <c r="C94">
        <v>97</v>
      </c>
    </row>
    <row r="95" spans="1:3" x14ac:dyDescent="0.25">
      <c r="A95" s="1">
        <v>43881</v>
      </c>
      <c r="B95" t="s">
        <v>433</v>
      </c>
      <c r="C95">
        <v>78</v>
      </c>
    </row>
    <row r="96" spans="1:3" x14ac:dyDescent="0.25">
      <c r="A96" s="1">
        <v>43881</v>
      </c>
      <c r="B96" t="s">
        <v>440</v>
      </c>
      <c r="C96">
        <v>88</v>
      </c>
    </row>
    <row r="97" spans="1:3" x14ac:dyDescent="0.25">
      <c r="A97" s="1">
        <v>43881</v>
      </c>
      <c r="B97" t="s">
        <v>441</v>
      </c>
      <c r="C97">
        <v>98</v>
      </c>
    </row>
    <row r="98" spans="1:3" x14ac:dyDescent="0.25">
      <c r="A98" s="1">
        <v>43895</v>
      </c>
      <c r="B98" t="s">
        <v>411</v>
      </c>
      <c r="C98">
        <v>75</v>
      </c>
    </row>
    <row r="99" spans="1:3" x14ac:dyDescent="0.25">
      <c r="A99" s="1">
        <v>43895</v>
      </c>
      <c r="B99" t="s">
        <v>412</v>
      </c>
      <c r="C99">
        <v>91</v>
      </c>
    </row>
    <row r="100" spans="1:3" x14ac:dyDescent="0.25">
      <c r="A100" s="1">
        <v>43895</v>
      </c>
      <c r="B100" t="s">
        <v>413</v>
      </c>
      <c r="C100">
        <v>80</v>
      </c>
    </row>
    <row r="101" spans="1:3" x14ac:dyDescent="0.25">
      <c r="A101" s="1">
        <v>43895</v>
      </c>
      <c r="B101" t="s">
        <v>414</v>
      </c>
      <c r="C101">
        <v>90</v>
      </c>
    </row>
    <row r="102" spans="1:3" x14ac:dyDescent="0.25">
      <c r="A102" s="1">
        <v>43895</v>
      </c>
      <c r="B102" t="s">
        <v>415</v>
      </c>
      <c r="C102">
        <v>80</v>
      </c>
    </row>
    <row r="103" spans="1:3" x14ac:dyDescent="0.25">
      <c r="A103" s="1">
        <v>43895</v>
      </c>
      <c r="B103" t="s">
        <v>416</v>
      </c>
      <c r="C103">
        <v>98</v>
      </c>
    </row>
    <row r="104" spans="1:3" x14ac:dyDescent="0.25">
      <c r="A104" s="1">
        <v>43895</v>
      </c>
      <c r="B104" t="s">
        <v>417</v>
      </c>
      <c r="C104">
        <v>96</v>
      </c>
    </row>
    <row r="105" spans="1:3" x14ac:dyDescent="0.25">
      <c r="A105" s="1">
        <v>43895</v>
      </c>
      <c r="B105" t="s">
        <v>418</v>
      </c>
      <c r="C105">
        <v>83</v>
      </c>
    </row>
    <row r="106" spans="1:3" x14ac:dyDescent="0.25">
      <c r="A106" s="1">
        <v>43895</v>
      </c>
      <c r="B106" t="s">
        <v>419</v>
      </c>
      <c r="C106">
        <v>81</v>
      </c>
    </row>
    <row r="107" spans="1:3" x14ac:dyDescent="0.25">
      <c r="A107" s="1">
        <v>43895</v>
      </c>
      <c r="B107" t="s">
        <v>420</v>
      </c>
      <c r="C107">
        <v>76</v>
      </c>
    </row>
    <row r="108" spans="1:3" x14ac:dyDescent="0.25">
      <c r="A108" s="1">
        <v>43895</v>
      </c>
      <c r="B108" t="s">
        <v>421</v>
      </c>
      <c r="C108">
        <v>100</v>
      </c>
    </row>
    <row r="109" spans="1:3" x14ac:dyDescent="0.25">
      <c r="A109" s="1">
        <v>43895</v>
      </c>
      <c r="B109" t="s">
        <v>422</v>
      </c>
      <c r="C109">
        <v>87</v>
      </c>
    </row>
    <row r="110" spans="1:3" x14ac:dyDescent="0.25">
      <c r="A110" s="1">
        <v>43895</v>
      </c>
      <c r="B110" t="s">
        <v>423</v>
      </c>
      <c r="C110">
        <v>100</v>
      </c>
    </row>
    <row r="111" spans="1:3" x14ac:dyDescent="0.25">
      <c r="A111" s="1">
        <v>43895</v>
      </c>
      <c r="B111" t="s">
        <v>424</v>
      </c>
      <c r="C111">
        <v>94</v>
      </c>
    </row>
    <row r="112" spans="1:3" x14ac:dyDescent="0.25">
      <c r="A112" s="1">
        <v>43895</v>
      </c>
      <c r="B112" t="s">
        <v>425</v>
      </c>
      <c r="C112">
        <v>98</v>
      </c>
    </row>
    <row r="113" spans="1:3" x14ac:dyDescent="0.25">
      <c r="A113" s="1">
        <v>43895</v>
      </c>
      <c r="B113" t="s">
        <v>426</v>
      </c>
      <c r="C113">
        <v>99</v>
      </c>
    </row>
    <row r="114" spans="1:3" x14ac:dyDescent="0.25">
      <c r="A114" s="1">
        <v>43895</v>
      </c>
      <c r="B114" t="s">
        <v>427</v>
      </c>
      <c r="C114">
        <v>79</v>
      </c>
    </row>
    <row r="115" spans="1:3" x14ac:dyDescent="0.25">
      <c r="A115" s="1">
        <v>43895</v>
      </c>
      <c r="B115" t="s">
        <v>428</v>
      </c>
      <c r="C115">
        <v>90</v>
      </c>
    </row>
    <row r="116" spans="1:3" x14ac:dyDescent="0.25">
      <c r="A116" s="1">
        <v>43895</v>
      </c>
      <c r="B116" t="s">
        <v>410</v>
      </c>
      <c r="C116">
        <v>95</v>
      </c>
    </row>
    <row r="117" spans="1:3" x14ac:dyDescent="0.25">
      <c r="A117" s="1">
        <v>43895</v>
      </c>
      <c r="B117" t="s">
        <v>429</v>
      </c>
      <c r="C117">
        <v>75</v>
      </c>
    </row>
    <row r="118" spans="1:3" x14ac:dyDescent="0.25">
      <c r="A118" s="1">
        <v>43895</v>
      </c>
      <c r="B118" t="s">
        <v>434</v>
      </c>
      <c r="C118">
        <v>90</v>
      </c>
    </row>
    <row r="119" spans="1:3" x14ac:dyDescent="0.25">
      <c r="A119" s="1">
        <v>43895</v>
      </c>
      <c r="B119" t="s">
        <v>430</v>
      </c>
      <c r="C119">
        <v>81</v>
      </c>
    </row>
    <row r="120" spans="1:3" x14ac:dyDescent="0.25">
      <c r="A120" s="1">
        <v>43895</v>
      </c>
      <c r="B120" t="s">
        <v>435</v>
      </c>
      <c r="C120">
        <v>95</v>
      </c>
    </row>
    <row r="121" spans="1:3" x14ac:dyDescent="0.25">
      <c r="A121" s="1">
        <v>43895</v>
      </c>
      <c r="B121" t="s">
        <v>436</v>
      </c>
      <c r="C121">
        <v>78</v>
      </c>
    </row>
    <row r="122" spans="1:3" x14ac:dyDescent="0.25">
      <c r="A122" s="1">
        <v>43895</v>
      </c>
      <c r="B122" t="s">
        <v>437</v>
      </c>
      <c r="C122">
        <v>84</v>
      </c>
    </row>
    <row r="123" spans="1:3" x14ac:dyDescent="0.25">
      <c r="A123" s="1">
        <v>43895</v>
      </c>
      <c r="B123" t="s">
        <v>438</v>
      </c>
      <c r="C123">
        <v>82</v>
      </c>
    </row>
    <row r="124" spans="1:3" x14ac:dyDescent="0.25">
      <c r="A124" s="1">
        <v>43895</v>
      </c>
      <c r="B124" t="s">
        <v>431</v>
      </c>
      <c r="C124">
        <v>75</v>
      </c>
    </row>
    <row r="125" spans="1:3" x14ac:dyDescent="0.25">
      <c r="A125" s="1">
        <v>43895</v>
      </c>
      <c r="B125" t="s">
        <v>432</v>
      </c>
      <c r="C125">
        <v>83</v>
      </c>
    </row>
    <row r="126" spans="1:3" x14ac:dyDescent="0.25">
      <c r="A126" s="1">
        <v>43895</v>
      </c>
      <c r="B126" t="s">
        <v>439</v>
      </c>
      <c r="C126">
        <v>76</v>
      </c>
    </row>
    <row r="127" spans="1:3" x14ac:dyDescent="0.25">
      <c r="A127" s="1">
        <v>43895</v>
      </c>
      <c r="B127" t="s">
        <v>433</v>
      </c>
      <c r="C127">
        <v>93</v>
      </c>
    </row>
    <row r="128" spans="1:3" x14ac:dyDescent="0.25">
      <c r="A128" s="1">
        <v>43895</v>
      </c>
      <c r="B128" t="s">
        <v>440</v>
      </c>
      <c r="C128">
        <v>87</v>
      </c>
    </row>
    <row r="129" spans="1:3" x14ac:dyDescent="0.25">
      <c r="A129" s="1">
        <v>43895</v>
      </c>
      <c r="B129" t="s">
        <v>441</v>
      </c>
      <c r="C129">
        <v>99</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94371-1F81-4162-870D-FBBABD1A6CED}">
  <dimension ref="A1:N35"/>
  <sheetViews>
    <sheetView workbookViewId="0">
      <selection sqref="A1:AG1"/>
    </sheetView>
  </sheetViews>
  <sheetFormatPr defaultRowHeight="15" x14ac:dyDescent="0.25"/>
  <cols>
    <col min="1" max="1" width="17.5703125" customWidth="1"/>
    <col min="2" max="2" width="19.140625" bestFit="1" customWidth="1"/>
    <col min="3" max="3" width="12.42578125" bestFit="1" customWidth="1"/>
  </cols>
  <sheetData>
    <row r="1" spans="1:14" x14ac:dyDescent="0.25">
      <c r="A1" t="s">
        <v>1</v>
      </c>
      <c r="B1" t="s">
        <v>343</v>
      </c>
      <c r="C1" t="s">
        <v>342</v>
      </c>
    </row>
    <row r="2" spans="1:14" ht="19.5" x14ac:dyDescent="0.4">
      <c r="A2" t="s">
        <v>411</v>
      </c>
      <c r="B2" t="s">
        <v>72</v>
      </c>
      <c r="C2" t="s">
        <v>341</v>
      </c>
      <c r="J2" s="7" t="s">
        <v>72</v>
      </c>
      <c r="K2" s="59"/>
      <c r="N2" s="59"/>
    </row>
    <row r="3" spans="1:14" x14ac:dyDescent="0.25">
      <c r="A3" t="s">
        <v>412</v>
      </c>
      <c r="B3" t="s">
        <v>338</v>
      </c>
      <c r="C3" t="s">
        <v>341</v>
      </c>
      <c r="E3" t="s">
        <v>403</v>
      </c>
      <c r="J3" s="8" t="s">
        <v>338</v>
      </c>
    </row>
    <row r="4" spans="1:14" x14ac:dyDescent="0.25">
      <c r="A4" t="s">
        <v>413</v>
      </c>
      <c r="B4" t="s">
        <v>340</v>
      </c>
      <c r="C4" t="s">
        <v>341</v>
      </c>
      <c r="E4" t="s">
        <v>404</v>
      </c>
      <c r="J4" s="7" t="s">
        <v>340</v>
      </c>
    </row>
    <row r="5" spans="1:14" x14ac:dyDescent="0.25">
      <c r="A5" t="s">
        <v>414</v>
      </c>
      <c r="B5" t="s">
        <v>338</v>
      </c>
      <c r="C5" t="s">
        <v>341</v>
      </c>
      <c r="J5" s="8" t="s">
        <v>339</v>
      </c>
    </row>
    <row r="6" spans="1:14" x14ac:dyDescent="0.25">
      <c r="A6" t="s">
        <v>415</v>
      </c>
      <c r="B6" t="s">
        <v>340</v>
      </c>
      <c r="C6" t="s">
        <v>341</v>
      </c>
    </row>
    <row r="7" spans="1:14" x14ac:dyDescent="0.25">
      <c r="A7" t="s">
        <v>416</v>
      </c>
      <c r="B7" t="s">
        <v>339</v>
      </c>
      <c r="C7" t="s">
        <v>341</v>
      </c>
    </row>
    <row r="8" spans="1:14" x14ac:dyDescent="0.25">
      <c r="A8" t="s">
        <v>417</v>
      </c>
      <c r="B8" t="s">
        <v>338</v>
      </c>
      <c r="C8" t="s">
        <v>341</v>
      </c>
    </row>
    <row r="9" spans="1:14" x14ac:dyDescent="0.25">
      <c r="A9" t="s">
        <v>418</v>
      </c>
      <c r="B9" t="s">
        <v>339</v>
      </c>
      <c r="C9" t="s">
        <v>341</v>
      </c>
    </row>
    <row r="10" spans="1:14" x14ac:dyDescent="0.25">
      <c r="A10" t="s">
        <v>419</v>
      </c>
      <c r="B10" t="s">
        <v>340</v>
      </c>
      <c r="C10" t="s">
        <v>341</v>
      </c>
    </row>
    <row r="11" spans="1:14" x14ac:dyDescent="0.25">
      <c r="A11" t="s">
        <v>420</v>
      </c>
      <c r="B11" t="s">
        <v>72</v>
      </c>
      <c r="C11" t="s">
        <v>341</v>
      </c>
    </row>
    <row r="12" spans="1:14" x14ac:dyDescent="0.25">
      <c r="A12" t="s">
        <v>421</v>
      </c>
      <c r="B12" t="s">
        <v>72</v>
      </c>
      <c r="C12" t="s">
        <v>341</v>
      </c>
    </row>
    <row r="13" spans="1:14" x14ac:dyDescent="0.25">
      <c r="A13" t="s">
        <v>422</v>
      </c>
      <c r="B13" t="s">
        <v>72</v>
      </c>
      <c r="C13" t="s">
        <v>341</v>
      </c>
    </row>
    <row r="14" spans="1:14" x14ac:dyDescent="0.25">
      <c r="A14" t="s">
        <v>423</v>
      </c>
      <c r="B14" t="s">
        <v>340</v>
      </c>
      <c r="C14" t="s">
        <v>341</v>
      </c>
    </row>
    <row r="15" spans="1:14" x14ac:dyDescent="0.25">
      <c r="A15" t="s">
        <v>424</v>
      </c>
      <c r="B15" t="s">
        <v>339</v>
      </c>
      <c r="C15" t="s">
        <v>341</v>
      </c>
    </row>
    <row r="16" spans="1:14" x14ac:dyDescent="0.25">
      <c r="A16" t="s">
        <v>425</v>
      </c>
      <c r="B16" t="s">
        <v>72</v>
      </c>
      <c r="C16" t="s">
        <v>341</v>
      </c>
    </row>
    <row r="17" spans="1:3" x14ac:dyDescent="0.25">
      <c r="A17" t="s">
        <v>426</v>
      </c>
      <c r="B17" t="s">
        <v>339</v>
      </c>
      <c r="C17" t="s">
        <v>341</v>
      </c>
    </row>
    <row r="18" spans="1:3" x14ac:dyDescent="0.25">
      <c r="A18" t="s">
        <v>453</v>
      </c>
      <c r="B18" t="s">
        <v>455</v>
      </c>
      <c r="C18" t="s">
        <v>341</v>
      </c>
    </row>
    <row r="19" spans="1:3" x14ac:dyDescent="0.25">
      <c r="A19" t="s">
        <v>454</v>
      </c>
      <c r="B19" t="s">
        <v>456</v>
      </c>
      <c r="C19" t="s">
        <v>341</v>
      </c>
    </row>
    <row r="20" spans="1:3" x14ac:dyDescent="0.25">
      <c r="A20" t="s">
        <v>427</v>
      </c>
      <c r="B20" t="s">
        <v>339</v>
      </c>
      <c r="C20" t="s">
        <v>341</v>
      </c>
    </row>
    <row r="21" spans="1:3" x14ac:dyDescent="0.25">
      <c r="A21" t="s">
        <v>428</v>
      </c>
      <c r="B21" t="s">
        <v>339</v>
      </c>
      <c r="C21" t="s">
        <v>341</v>
      </c>
    </row>
    <row r="22" spans="1:3" x14ac:dyDescent="0.25">
      <c r="A22" t="s">
        <v>410</v>
      </c>
      <c r="B22" t="s">
        <v>338</v>
      </c>
      <c r="C22" t="s">
        <v>341</v>
      </c>
    </row>
    <row r="23" spans="1:3" x14ac:dyDescent="0.25">
      <c r="A23" t="s">
        <v>429</v>
      </c>
      <c r="B23" t="s">
        <v>338</v>
      </c>
      <c r="C23" t="s">
        <v>341</v>
      </c>
    </row>
    <row r="24" spans="1:3" x14ac:dyDescent="0.25">
      <c r="A24" t="s">
        <v>434</v>
      </c>
      <c r="B24" t="s">
        <v>72</v>
      </c>
      <c r="C24" t="s">
        <v>341</v>
      </c>
    </row>
    <row r="25" spans="1:3" x14ac:dyDescent="0.25">
      <c r="A25" t="s">
        <v>430</v>
      </c>
      <c r="B25" t="s">
        <v>338</v>
      </c>
      <c r="C25" t="s">
        <v>341</v>
      </c>
    </row>
    <row r="26" spans="1:3" x14ac:dyDescent="0.25">
      <c r="A26" t="s">
        <v>435</v>
      </c>
      <c r="B26" t="s">
        <v>72</v>
      </c>
      <c r="C26" t="s">
        <v>341</v>
      </c>
    </row>
    <row r="27" spans="1:3" x14ac:dyDescent="0.25">
      <c r="A27" t="s">
        <v>436</v>
      </c>
      <c r="B27" t="s">
        <v>72</v>
      </c>
      <c r="C27" t="s">
        <v>341</v>
      </c>
    </row>
    <row r="28" spans="1:3" x14ac:dyDescent="0.25">
      <c r="A28" t="s">
        <v>437</v>
      </c>
      <c r="B28" t="s">
        <v>72</v>
      </c>
      <c r="C28" t="s">
        <v>341</v>
      </c>
    </row>
    <row r="29" spans="1:3" x14ac:dyDescent="0.25">
      <c r="A29" t="s">
        <v>438</v>
      </c>
      <c r="B29" t="s">
        <v>340</v>
      </c>
      <c r="C29" t="s">
        <v>341</v>
      </c>
    </row>
    <row r="30" spans="1:3" x14ac:dyDescent="0.25">
      <c r="A30" t="s">
        <v>431</v>
      </c>
      <c r="B30" t="s">
        <v>339</v>
      </c>
      <c r="C30" t="s">
        <v>341</v>
      </c>
    </row>
    <row r="31" spans="1:3" x14ac:dyDescent="0.25">
      <c r="A31" t="s">
        <v>432</v>
      </c>
      <c r="B31" t="s">
        <v>72</v>
      </c>
      <c r="C31" t="s">
        <v>341</v>
      </c>
    </row>
    <row r="32" spans="1:3" x14ac:dyDescent="0.25">
      <c r="A32" t="s">
        <v>439</v>
      </c>
      <c r="B32" t="s">
        <v>339</v>
      </c>
      <c r="C32" t="s">
        <v>341</v>
      </c>
    </row>
    <row r="33" spans="1:3" x14ac:dyDescent="0.25">
      <c r="A33" t="s">
        <v>433</v>
      </c>
      <c r="B33" t="s">
        <v>72</v>
      </c>
      <c r="C33" t="s">
        <v>341</v>
      </c>
    </row>
    <row r="34" spans="1:3" x14ac:dyDescent="0.25">
      <c r="A34" t="s">
        <v>440</v>
      </c>
      <c r="B34" t="s">
        <v>340</v>
      </c>
      <c r="C34" t="s">
        <v>341</v>
      </c>
    </row>
    <row r="35" spans="1:3" x14ac:dyDescent="0.25">
      <c r="A35" t="s">
        <v>441</v>
      </c>
      <c r="B35" t="s">
        <v>72</v>
      </c>
      <c r="C35" t="s">
        <v>341</v>
      </c>
    </row>
  </sheetData>
  <phoneticPr fontId="5"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3E16F6-37DE-495F-9057-84CF0505D272}">
  <dimension ref="A1:T42"/>
  <sheetViews>
    <sheetView workbookViewId="0">
      <selection sqref="A1:AG1"/>
    </sheetView>
  </sheetViews>
  <sheetFormatPr defaultRowHeight="15" x14ac:dyDescent="0.25"/>
  <cols>
    <col min="1" max="9" width="14.7109375" customWidth="1"/>
    <col min="11" max="11" width="26.5703125" bestFit="1" customWidth="1"/>
    <col min="12" max="12" width="9.140625" customWidth="1"/>
    <col min="13" max="13" width="9.140625" customWidth="1" collapsed="1"/>
    <col min="15" max="15" width="9.28515625" customWidth="1"/>
    <col min="16" max="16" width="9.140625" customWidth="1" collapsed="1"/>
    <col min="18" max="19" width="9.140625" customWidth="1"/>
    <col min="20" max="20" width="9.140625" collapsed="1"/>
  </cols>
  <sheetData>
    <row r="1" spans="1:11" ht="60" customHeight="1" x14ac:dyDescent="0.25">
      <c r="A1" s="116" t="s">
        <v>311</v>
      </c>
      <c r="B1" s="116"/>
      <c r="C1" s="116"/>
      <c r="D1" s="116"/>
      <c r="E1" s="116"/>
      <c r="F1" s="116"/>
      <c r="G1" s="116"/>
      <c r="H1" s="116"/>
      <c r="I1" s="116"/>
    </row>
    <row r="2" spans="1:11" ht="15" customHeight="1" x14ac:dyDescent="0.25">
      <c r="A2" s="105" t="s">
        <v>346</v>
      </c>
      <c r="B2" s="106"/>
      <c r="C2" s="105" t="s">
        <v>345</v>
      </c>
      <c r="D2" s="106"/>
      <c r="E2" s="105" t="s">
        <v>364</v>
      </c>
      <c r="F2" s="117"/>
      <c r="G2" s="117"/>
      <c r="H2" s="117"/>
      <c r="I2" s="106"/>
      <c r="K2" s="4"/>
    </row>
    <row r="3" spans="1:11" x14ac:dyDescent="0.25">
      <c r="A3" s="107"/>
      <c r="B3" s="108"/>
      <c r="C3" s="107"/>
      <c r="D3" s="108"/>
      <c r="E3" s="107"/>
      <c r="F3" s="118"/>
      <c r="G3" s="118"/>
      <c r="H3" s="118"/>
      <c r="I3" s="108"/>
      <c r="K3" s="4" t="s">
        <v>459</v>
      </c>
    </row>
    <row r="4" spans="1:11" x14ac:dyDescent="0.25">
      <c r="A4" s="109"/>
      <c r="B4" s="110"/>
      <c r="C4" s="107"/>
      <c r="D4" s="108"/>
      <c r="E4" s="107"/>
      <c r="F4" s="118"/>
      <c r="G4" s="118"/>
      <c r="H4" s="118"/>
      <c r="I4" s="108"/>
      <c r="K4" s="4" t="s">
        <v>460</v>
      </c>
    </row>
    <row r="5" spans="1:11" x14ac:dyDescent="0.25">
      <c r="A5" s="105" t="s">
        <v>358</v>
      </c>
      <c r="B5" s="106"/>
      <c r="C5" s="107"/>
      <c r="D5" s="108"/>
      <c r="E5" s="107"/>
      <c r="F5" s="118"/>
      <c r="G5" s="118"/>
      <c r="H5" s="118"/>
      <c r="I5" s="108"/>
      <c r="K5" s="4" t="s">
        <v>461</v>
      </c>
    </row>
    <row r="6" spans="1:11" x14ac:dyDescent="0.25">
      <c r="A6" s="107"/>
      <c r="B6" s="108"/>
      <c r="C6" s="107"/>
      <c r="D6" s="108"/>
      <c r="E6" s="107"/>
      <c r="F6" s="118"/>
      <c r="G6" s="118"/>
      <c r="H6" s="118"/>
      <c r="I6" s="108"/>
    </row>
    <row r="7" spans="1:11" x14ac:dyDescent="0.25">
      <c r="A7" s="109"/>
      <c r="B7" s="110"/>
      <c r="C7" s="109"/>
      <c r="D7" s="110"/>
      <c r="E7" s="109"/>
      <c r="F7" s="119"/>
      <c r="G7" s="119"/>
      <c r="H7" s="119"/>
      <c r="I7" s="110"/>
    </row>
    <row r="8" spans="1:11" ht="15" customHeight="1" x14ac:dyDescent="0.25">
      <c r="A8" s="114" t="s">
        <v>350</v>
      </c>
      <c r="B8" s="114"/>
      <c r="C8" s="114" t="s">
        <v>351</v>
      </c>
      <c r="D8" s="114"/>
      <c r="E8" s="114" t="s">
        <v>352</v>
      </c>
      <c r="F8" s="114"/>
      <c r="G8" s="114" t="s">
        <v>353</v>
      </c>
      <c r="H8" s="114" t="s">
        <v>354</v>
      </c>
      <c r="I8" s="114"/>
    </row>
    <row r="9" spans="1:11" x14ac:dyDescent="0.25">
      <c r="A9" s="114"/>
      <c r="B9" s="114"/>
      <c r="C9" s="114"/>
      <c r="D9" s="114"/>
      <c r="E9" s="114"/>
      <c r="F9" s="114"/>
      <c r="G9" s="114"/>
      <c r="H9" s="114"/>
      <c r="I9" s="114"/>
    </row>
    <row r="10" spans="1:11" x14ac:dyDescent="0.25">
      <c r="A10" s="114" t="s">
        <v>349</v>
      </c>
      <c r="B10" s="114"/>
      <c r="C10" s="114" t="s">
        <v>349</v>
      </c>
      <c r="D10" s="114"/>
      <c r="E10" s="114" t="s">
        <v>348</v>
      </c>
      <c r="F10" s="114"/>
      <c r="G10" s="6" t="s">
        <v>349</v>
      </c>
      <c r="H10" s="114" t="s">
        <v>349</v>
      </c>
      <c r="I10" s="114"/>
    </row>
    <row r="11" spans="1:11" ht="25.5" customHeight="1" x14ac:dyDescent="0.25">
      <c r="A11" s="114" t="s">
        <v>357</v>
      </c>
      <c r="B11" s="114"/>
      <c r="C11" s="114" t="s">
        <v>357</v>
      </c>
      <c r="D11" s="114"/>
      <c r="E11" s="114" t="s">
        <v>357</v>
      </c>
      <c r="F11" s="114"/>
      <c r="G11" s="6" t="s">
        <v>357</v>
      </c>
      <c r="H11" s="114" t="s">
        <v>357</v>
      </c>
      <c r="I11" s="114"/>
      <c r="K11" s="9" t="s">
        <v>402</v>
      </c>
    </row>
    <row r="12" spans="1:11" x14ac:dyDescent="0.25">
      <c r="A12" s="115" t="s">
        <v>347</v>
      </c>
      <c r="B12" s="115"/>
      <c r="C12" s="115"/>
      <c r="D12" s="115"/>
      <c r="E12" s="115"/>
      <c r="F12" s="115"/>
      <c r="G12" s="115"/>
      <c r="H12" s="115"/>
      <c r="I12" s="115"/>
    </row>
    <row r="13" spans="1:11" x14ac:dyDescent="0.25">
      <c r="A13" s="112" t="s">
        <v>355</v>
      </c>
      <c r="B13" s="112"/>
      <c r="C13" s="112"/>
      <c r="D13" s="112"/>
      <c r="E13" s="112"/>
      <c r="F13" s="112"/>
      <c r="G13" s="112"/>
      <c r="H13" s="112"/>
      <c r="I13" s="112"/>
    </row>
    <row r="14" spans="1:11" x14ac:dyDescent="0.25">
      <c r="A14" s="112"/>
      <c r="B14" s="112"/>
      <c r="C14" s="112"/>
      <c r="D14" s="112"/>
      <c r="E14" s="112"/>
      <c r="F14" s="112"/>
      <c r="G14" s="112"/>
      <c r="H14" s="112"/>
      <c r="I14" s="112"/>
    </row>
    <row r="15" spans="1:11" x14ac:dyDescent="0.25">
      <c r="A15" s="112"/>
      <c r="B15" s="112"/>
      <c r="C15" s="112"/>
      <c r="D15" s="112"/>
      <c r="E15" s="112"/>
      <c r="F15" s="112"/>
      <c r="G15" s="112"/>
      <c r="H15" s="112"/>
      <c r="I15" s="112"/>
      <c r="K15" t="s">
        <v>407</v>
      </c>
    </row>
    <row r="16" spans="1:11" x14ac:dyDescent="0.25">
      <c r="A16" s="112"/>
      <c r="B16" s="112"/>
      <c r="C16" s="112"/>
      <c r="D16" s="112"/>
      <c r="E16" s="112"/>
      <c r="F16" s="112"/>
      <c r="G16" s="112"/>
      <c r="H16" s="112"/>
      <c r="I16" s="112"/>
    </row>
    <row r="17" spans="1:9" x14ac:dyDescent="0.25">
      <c r="A17" s="112"/>
      <c r="B17" s="112"/>
      <c r="C17" s="112"/>
      <c r="D17" s="112"/>
      <c r="E17" s="112"/>
      <c r="F17" s="112"/>
      <c r="G17" s="112"/>
      <c r="H17" s="112"/>
      <c r="I17" s="112"/>
    </row>
    <row r="18" spans="1:9" x14ac:dyDescent="0.25">
      <c r="A18" s="112"/>
      <c r="B18" s="112"/>
      <c r="C18" s="112"/>
      <c r="D18" s="112"/>
      <c r="E18" s="112"/>
      <c r="F18" s="112"/>
      <c r="G18" s="112"/>
      <c r="H18" s="112"/>
      <c r="I18" s="112"/>
    </row>
    <row r="19" spans="1:9" x14ac:dyDescent="0.25">
      <c r="A19" s="112"/>
      <c r="B19" s="112"/>
      <c r="C19" s="112"/>
      <c r="D19" s="112"/>
      <c r="E19" s="112"/>
      <c r="F19" s="112"/>
      <c r="G19" s="112"/>
      <c r="H19" s="112"/>
      <c r="I19" s="112"/>
    </row>
    <row r="20" spans="1:9" x14ac:dyDescent="0.25">
      <c r="A20" s="112"/>
      <c r="B20" s="112"/>
      <c r="C20" s="112"/>
      <c r="D20" s="112"/>
      <c r="E20" s="112"/>
      <c r="F20" s="112"/>
      <c r="G20" s="112"/>
      <c r="H20" s="112"/>
      <c r="I20" s="112"/>
    </row>
    <row r="21" spans="1:9" x14ac:dyDescent="0.25">
      <c r="A21" s="112"/>
      <c r="B21" s="112"/>
      <c r="C21" s="112"/>
      <c r="D21" s="112"/>
      <c r="E21" s="112"/>
      <c r="F21" s="112"/>
      <c r="G21" s="112"/>
      <c r="H21" s="112"/>
      <c r="I21" s="112"/>
    </row>
    <row r="22" spans="1:9" x14ac:dyDescent="0.25">
      <c r="A22" s="112"/>
      <c r="B22" s="112"/>
      <c r="C22" s="112"/>
      <c r="D22" s="112"/>
      <c r="E22" s="112"/>
      <c r="F22" s="112"/>
      <c r="G22" s="112"/>
      <c r="H22" s="112"/>
      <c r="I22" s="112"/>
    </row>
    <row r="23" spans="1:9" x14ac:dyDescent="0.25">
      <c r="A23" s="112"/>
      <c r="B23" s="112"/>
      <c r="C23" s="112"/>
      <c r="D23" s="112"/>
      <c r="E23" s="112"/>
      <c r="F23" s="112"/>
      <c r="G23" s="112"/>
      <c r="H23" s="112"/>
      <c r="I23" s="112"/>
    </row>
    <row r="24" spans="1:9" x14ac:dyDescent="0.25">
      <c r="A24" s="112"/>
      <c r="B24" s="112"/>
      <c r="C24" s="112"/>
      <c r="D24" s="112"/>
      <c r="E24" s="112"/>
      <c r="F24" s="112"/>
      <c r="G24" s="112"/>
      <c r="H24" s="112"/>
      <c r="I24" s="112"/>
    </row>
    <row r="25" spans="1:9" x14ac:dyDescent="0.25">
      <c r="A25" s="112"/>
      <c r="B25" s="112"/>
      <c r="C25" s="112"/>
      <c r="D25" s="112"/>
      <c r="E25" s="112"/>
      <c r="F25" s="112"/>
      <c r="G25" s="112"/>
      <c r="H25" s="112"/>
      <c r="I25" s="112"/>
    </row>
    <row r="26" spans="1:9" x14ac:dyDescent="0.25">
      <c r="A26" s="113" t="s">
        <v>356</v>
      </c>
      <c r="B26" s="113"/>
      <c r="C26" s="113"/>
      <c r="D26" s="113"/>
      <c r="E26" s="113"/>
      <c r="F26" s="113"/>
      <c r="G26" s="113"/>
      <c r="H26" s="113"/>
      <c r="I26" s="113"/>
    </row>
    <row r="27" spans="1:9" x14ac:dyDescent="0.25">
      <c r="A27" s="113"/>
      <c r="B27" s="113"/>
      <c r="C27" s="113"/>
      <c r="D27" s="113"/>
      <c r="E27" s="113"/>
      <c r="F27" s="113"/>
      <c r="G27" s="113"/>
      <c r="H27" s="113"/>
      <c r="I27" s="113"/>
    </row>
    <row r="28" spans="1:9" x14ac:dyDescent="0.25">
      <c r="A28" s="113"/>
      <c r="B28" s="113"/>
      <c r="C28" s="113"/>
      <c r="D28" s="113"/>
      <c r="E28" s="113"/>
      <c r="F28" s="113"/>
      <c r="G28" s="113"/>
      <c r="H28" s="113"/>
      <c r="I28" s="113"/>
    </row>
    <row r="29" spans="1:9" x14ac:dyDescent="0.25">
      <c r="A29" s="111" t="s">
        <v>362</v>
      </c>
      <c r="B29" s="111"/>
      <c r="C29" s="111" t="s">
        <v>359</v>
      </c>
      <c r="D29" s="111"/>
      <c r="E29" s="111"/>
      <c r="F29" s="111" t="s">
        <v>361</v>
      </c>
      <c r="G29" s="111"/>
      <c r="H29" s="111"/>
      <c r="I29" s="111"/>
    </row>
    <row r="30" spans="1:9" x14ac:dyDescent="0.25">
      <c r="A30" s="112" t="s">
        <v>360</v>
      </c>
      <c r="B30" s="112"/>
      <c r="C30" s="112"/>
      <c r="D30" s="112"/>
      <c r="E30" s="112"/>
      <c r="F30" s="112"/>
      <c r="G30" s="112"/>
      <c r="H30" s="112"/>
      <c r="I30" s="112"/>
    </row>
    <row r="31" spans="1:9" x14ac:dyDescent="0.25">
      <c r="A31" s="112"/>
      <c r="B31" s="112"/>
      <c r="C31" s="112"/>
      <c r="D31" s="112"/>
      <c r="E31" s="112"/>
      <c r="F31" s="112"/>
      <c r="G31" s="112"/>
      <c r="H31" s="112"/>
      <c r="I31" s="112"/>
    </row>
    <row r="32" spans="1:9" x14ac:dyDescent="0.25">
      <c r="A32" s="112"/>
      <c r="B32" s="112"/>
      <c r="C32" s="112"/>
      <c r="D32" s="112"/>
      <c r="E32" s="112"/>
      <c r="F32" s="112"/>
      <c r="G32" s="112"/>
      <c r="H32" s="112"/>
      <c r="I32" s="112"/>
    </row>
    <row r="33" spans="1:9" x14ac:dyDescent="0.25">
      <c r="A33" s="112"/>
      <c r="B33" s="112"/>
      <c r="C33" s="112"/>
      <c r="D33" s="112"/>
      <c r="E33" s="112"/>
      <c r="F33" s="112"/>
      <c r="G33" s="112"/>
      <c r="H33" s="112"/>
      <c r="I33" s="112"/>
    </row>
    <row r="34" spans="1:9" x14ac:dyDescent="0.25">
      <c r="A34" s="112"/>
      <c r="B34" s="112"/>
      <c r="C34" s="112"/>
      <c r="D34" s="112"/>
      <c r="E34" s="112"/>
      <c r="F34" s="112"/>
      <c r="G34" s="112"/>
      <c r="H34" s="112"/>
      <c r="I34" s="112"/>
    </row>
    <row r="35" spans="1:9" x14ac:dyDescent="0.25">
      <c r="A35" s="112"/>
      <c r="B35" s="112"/>
      <c r="C35" s="112"/>
      <c r="D35" s="112"/>
      <c r="E35" s="112"/>
      <c r="F35" s="112"/>
      <c r="G35" s="112"/>
      <c r="H35" s="112"/>
      <c r="I35" s="112"/>
    </row>
    <row r="36" spans="1:9" x14ac:dyDescent="0.25">
      <c r="A36" s="112"/>
      <c r="B36" s="112"/>
      <c r="C36" s="112"/>
      <c r="D36" s="112"/>
      <c r="E36" s="112"/>
      <c r="F36" s="112"/>
      <c r="G36" s="112"/>
      <c r="H36" s="112"/>
      <c r="I36" s="112"/>
    </row>
    <row r="37" spans="1:9" x14ac:dyDescent="0.25">
      <c r="A37" s="112"/>
      <c r="B37" s="112"/>
      <c r="C37" s="112"/>
      <c r="D37" s="112"/>
      <c r="E37" s="112"/>
      <c r="F37" s="112"/>
      <c r="G37" s="112"/>
      <c r="H37" s="112"/>
      <c r="I37" s="112"/>
    </row>
    <row r="38" spans="1:9" x14ac:dyDescent="0.25">
      <c r="A38" s="112"/>
      <c r="B38" s="112"/>
      <c r="C38" s="112"/>
      <c r="D38" s="112"/>
      <c r="E38" s="112"/>
      <c r="F38" s="112"/>
      <c r="G38" s="112"/>
      <c r="H38" s="112"/>
      <c r="I38" s="112"/>
    </row>
    <row r="39" spans="1:9" x14ac:dyDescent="0.25">
      <c r="A39" s="112"/>
      <c r="B39" s="112"/>
      <c r="C39" s="112"/>
      <c r="D39" s="112"/>
      <c r="E39" s="112"/>
      <c r="F39" s="112"/>
      <c r="G39" s="112"/>
      <c r="H39" s="112"/>
      <c r="I39" s="112"/>
    </row>
    <row r="40" spans="1:9" x14ac:dyDescent="0.25">
      <c r="A40" s="112"/>
      <c r="B40" s="112"/>
      <c r="C40" s="112"/>
      <c r="D40" s="112"/>
      <c r="E40" s="112"/>
      <c r="F40" s="112"/>
      <c r="G40" s="112"/>
      <c r="H40" s="112"/>
      <c r="I40" s="112"/>
    </row>
    <row r="42" spans="1:9" x14ac:dyDescent="0.25">
      <c r="A42" s="104" t="s">
        <v>363</v>
      </c>
      <c r="B42" s="104"/>
      <c r="C42" s="104"/>
      <c r="D42" s="104"/>
      <c r="E42" s="104"/>
      <c r="F42" s="104"/>
      <c r="G42" s="104"/>
      <c r="H42" s="104"/>
      <c r="I42" s="104"/>
    </row>
  </sheetData>
  <mergeCells count="26">
    <mergeCell ref="H8:I9"/>
    <mergeCell ref="H10:I10"/>
    <mergeCell ref="A1:I1"/>
    <mergeCell ref="C2:D7"/>
    <mergeCell ref="E2:I7"/>
    <mergeCell ref="C8:D9"/>
    <mergeCell ref="C10:D10"/>
    <mergeCell ref="A8:B9"/>
    <mergeCell ref="A10:B10"/>
    <mergeCell ref="G8:G9"/>
    <mergeCell ref="A42:I42"/>
    <mergeCell ref="A2:B4"/>
    <mergeCell ref="A5:B7"/>
    <mergeCell ref="A29:B29"/>
    <mergeCell ref="A30:I40"/>
    <mergeCell ref="F29:I29"/>
    <mergeCell ref="C29:E29"/>
    <mergeCell ref="A26:I28"/>
    <mergeCell ref="A11:B11"/>
    <mergeCell ref="C11:D11"/>
    <mergeCell ref="E11:F11"/>
    <mergeCell ref="H11:I11"/>
    <mergeCell ref="A12:I12"/>
    <mergeCell ref="A13:I25"/>
    <mergeCell ref="E8:F9"/>
    <mergeCell ref="E10:F10"/>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24E97-E655-4F8C-99C6-BBCBE35E1CC2}">
  <sheetPr>
    <tabColor rgb="FFFF0000"/>
    <pageSetUpPr fitToPage="1"/>
  </sheetPr>
  <dimension ref="A1:AM91"/>
  <sheetViews>
    <sheetView showGridLines="0" tabSelected="1" zoomScaleNormal="100" workbookViewId="0">
      <selection sqref="A1:AG1"/>
    </sheetView>
  </sheetViews>
  <sheetFormatPr defaultRowHeight="15" outlineLevelCol="1" x14ac:dyDescent="0.25"/>
  <cols>
    <col min="1" max="1" width="17.85546875" customWidth="1"/>
    <col min="2" max="2" width="14.42578125" customWidth="1"/>
    <col min="3" max="3" width="11.5703125" customWidth="1"/>
    <col min="4" max="5" width="11.5703125" hidden="1" customWidth="1" outlineLevel="1"/>
    <col min="6" max="6" width="11.5703125" customWidth="1" collapsed="1"/>
    <col min="7" max="8" width="11.5703125" hidden="1" customWidth="1" outlineLevel="1"/>
    <col min="9" max="9" width="11.5703125" customWidth="1" collapsed="1"/>
    <col min="10" max="11" width="11.5703125" hidden="1" customWidth="1" outlineLevel="1"/>
    <col min="12" max="12" width="11.5703125" customWidth="1" collapsed="1"/>
    <col min="13" max="14" width="11.5703125" hidden="1" customWidth="1" outlineLevel="1"/>
    <col min="15" max="15" width="11.5703125" customWidth="1" collapsed="1"/>
    <col min="16" max="17" width="11.5703125" hidden="1" customWidth="1" outlineLevel="1"/>
    <col min="18" max="18" width="11.5703125" customWidth="1" collapsed="1"/>
    <col min="19" max="20" width="11.5703125" hidden="1" customWidth="1" outlineLevel="1"/>
    <col min="21" max="21" width="11.5703125" customWidth="1" collapsed="1"/>
    <col min="22" max="23" width="11.5703125" hidden="1" customWidth="1" outlineLevel="1"/>
    <col min="24" max="24" width="11.5703125" customWidth="1" collapsed="1"/>
    <col min="25" max="26" width="11.5703125" hidden="1" customWidth="1" outlineLevel="1"/>
    <col min="27" max="27" width="11.5703125" customWidth="1" collapsed="1"/>
    <col min="28" max="29" width="11.5703125" hidden="1" customWidth="1" outlineLevel="1"/>
    <col min="30" max="30" width="11.5703125" customWidth="1" collapsed="1"/>
    <col min="31" max="32" width="11.5703125" hidden="1" customWidth="1" outlineLevel="1"/>
    <col min="33" max="33" width="12" customWidth="1" collapsed="1"/>
    <col min="34" max="35" width="7.7109375" hidden="1" customWidth="1" outlineLevel="1"/>
    <col min="36" max="36" width="9.140625" style="25" collapsed="1"/>
  </cols>
  <sheetData>
    <row r="1" spans="1:39" ht="35.25" customHeight="1" x14ac:dyDescent="0.25">
      <c r="A1" s="147" t="str">
        <f>_xlfn.CONCAT("Team Report For ",TEXT($B$3, "MM/DD/YYYY"))</f>
        <v>Team Report For 03/05/2020</v>
      </c>
      <c r="B1" s="147"/>
      <c r="C1" s="147"/>
      <c r="D1" s="147"/>
      <c r="E1" s="147"/>
      <c r="F1" s="147"/>
      <c r="G1" s="147"/>
      <c r="H1" s="147"/>
      <c r="I1" s="147"/>
      <c r="J1" s="147"/>
      <c r="K1" s="147"/>
      <c r="L1" s="147"/>
      <c r="M1" s="147"/>
      <c r="N1" s="147"/>
      <c r="O1" s="147"/>
      <c r="P1" s="147"/>
      <c r="Q1" s="147"/>
      <c r="R1" s="147"/>
      <c r="S1" s="147"/>
      <c r="T1" s="147"/>
      <c r="U1" s="147"/>
      <c r="V1" s="147"/>
      <c r="W1" s="147"/>
      <c r="X1" s="147"/>
      <c r="Y1" s="147"/>
      <c r="Z1" s="147"/>
      <c r="AA1" s="147"/>
      <c r="AB1" s="147"/>
      <c r="AC1" s="147"/>
      <c r="AD1" s="147"/>
      <c r="AE1" s="147"/>
      <c r="AF1" s="147"/>
      <c r="AG1" s="147"/>
      <c r="AH1" s="16"/>
      <c r="AI1" s="16"/>
      <c r="AJ1" s="54"/>
    </row>
    <row r="2" spans="1:39" s="25" customFormat="1" ht="5.0999999999999996" customHeight="1" thickBot="1" x14ac:dyDescent="0.3">
      <c r="A2" s="24"/>
      <c r="B2" s="24"/>
      <c r="C2" s="24"/>
      <c r="D2" s="24"/>
      <c r="E2" s="24"/>
      <c r="F2" s="24"/>
      <c r="G2" s="24"/>
      <c r="H2" s="24"/>
      <c r="I2" s="24"/>
      <c r="J2" s="24"/>
      <c r="K2" s="24"/>
      <c r="L2" s="24"/>
      <c r="M2" s="24"/>
      <c r="N2" s="24"/>
      <c r="O2" s="24"/>
      <c r="P2" s="24"/>
      <c r="Q2" s="24"/>
      <c r="R2" s="24"/>
      <c r="S2" s="24"/>
      <c r="T2" s="24"/>
      <c r="U2" s="24"/>
      <c r="V2" s="24"/>
      <c r="W2" s="24"/>
      <c r="X2" s="24"/>
      <c r="Y2" s="24"/>
      <c r="Z2" s="24"/>
      <c r="AA2" s="24"/>
      <c r="AB2" s="24"/>
      <c r="AC2" s="24"/>
      <c r="AD2" s="24"/>
      <c r="AE2" s="24"/>
      <c r="AF2" s="24"/>
      <c r="AG2" s="24"/>
      <c r="AH2" s="24"/>
      <c r="AI2" s="24"/>
      <c r="AJ2" s="24"/>
    </row>
    <row r="3" spans="1:39" s="25" customFormat="1" ht="18" customHeight="1" x14ac:dyDescent="0.25">
      <c r="A3" s="120" t="s">
        <v>371</v>
      </c>
      <c r="B3" s="122">
        <f>IFERROR(IF(Reference!$H$3="","No data",Reference!$H$3),"")</f>
        <v>43895</v>
      </c>
      <c r="C3" s="124"/>
      <c r="D3" s="24"/>
      <c r="E3" s="24"/>
      <c r="G3" s="24"/>
      <c r="H3" s="24"/>
      <c r="I3" s="24"/>
      <c r="J3" s="24"/>
      <c r="K3" s="24"/>
      <c r="R3" s="148" t="s">
        <v>372</v>
      </c>
      <c r="S3" s="149"/>
      <c r="T3" s="149"/>
      <c r="U3" s="150"/>
      <c r="V3" s="27"/>
      <c r="W3" s="27"/>
      <c r="X3" s="151" t="s">
        <v>400</v>
      </c>
      <c r="Y3" s="152"/>
      <c r="Z3" s="152"/>
      <c r="AA3" s="153"/>
      <c r="AB3" s="28"/>
      <c r="AC3" s="28"/>
      <c r="AD3" s="148" t="s">
        <v>369</v>
      </c>
      <c r="AE3" s="149"/>
      <c r="AF3" s="149"/>
      <c r="AG3" s="150"/>
      <c r="AH3" s="24"/>
      <c r="AI3" s="24"/>
      <c r="AJ3" s="24"/>
    </row>
    <row r="4" spans="1:39" s="25" customFormat="1" ht="18" customHeight="1" thickBot="1" x14ac:dyDescent="0.3">
      <c r="A4" s="121"/>
      <c r="B4" s="123"/>
      <c r="C4" s="124"/>
      <c r="D4" s="24"/>
      <c r="E4" s="24"/>
      <c r="F4" s="24"/>
      <c r="G4" s="24"/>
      <c r="H4" s="24"/>
      <c r="I4" s="24"/>
      <c r="J4" s="24"/>
      <c r="K4" s="24"/>
      <c r="R4" s="138"/>
      <c r="S4" s="139"/>
      <c r="T4" s="139"/>
      <c r="U4" s="140"/>
      <c r="X4" s="138"/>
      <c r="Y4" s="139"/>
      <c r="Z4" s="139"/>
      <c r="AA4" s="140"/>
      <c r="AB4" s="42"/>
      <c r="AC4" s="42"/>
      <c r="AD4" s="138"/>
      <c r="AE4" s="139"/>
      <c r="AF4" s="139"/>
      <c r="AG4" s="140"/>
      <c r="AH4" s="24"/>
      <c r="AI4" s="24"/>
      <c r="AJ4" s="24"/>
    </row>
    <row r="5" spans="1:39" s="25" customFormat="1" ht="18" customHeight="1" thickBot="1" x14ac:dyDescent="0.3">
      <c r="A5" s="86" t="s">
        <v>375</v>
      </c>
      <c r="B5" s="87">
        <v>7</v>
      </c>
      <c r="C5" s="24"/>
      <c r="D5" s="24"/>
      <c r="E5" s="24"/>
      <c r="F5" s="24"/>
      <c r="G5" s="24"/>
      <c r="H5" s="24"/>
      <c r="I5" s="24"/>
      <c r="J5" s="24"/>
      <c r="K5" s="24"/>
      <c r="R5" s="138"/>
      <c r="S5" s="139"/>
      <c r="T5" s="139"/>
      <c r="U5" s="140"/>
      <c r="X5" s="138"/>
      <c r="Y5" s="139"/>
      <c r="Z5" s="139"/>
      <c r="AA5" s="140"/>
      <c r="AB5" s="42"/>
      <c r="AC5" s="42"/>
      <c r="AD5" s="138"/>
      <c r="AE5" s="139"/>
      <c r="AF5" s="139"/>
      <c r="AG5" s="140"/>
      <c r="AH5" s="24"/>
      <c r="AI5" s="24"/>
      <c r="AJ5" s="24"/>
    </row>
    <row r="6" spans="1:39" s="25" customFormat="1" ht="18" customHeight="1" thickBot="1" x14ac:dyDescent="0.3">
      <c r="A6" s="86" t="s">
        <v>344</v>
      </c>
      <c r="B6" s="87" t="s">
        <v>341</v>
      </c>
      <c r="C6" s="24"/>
      <c r="D6" s="24"/>
      <c r="E6" s="24"/>
      <c r="F6" s="24"/>
      <c r="G6" s="24"/>
      <c r="H6" s="24"/>
      <c r="I6" s="24"/>
      <c r="J6" s="24"/>
      <c r="K6" s="24"/>
      <c r="L6" s="24"/>
      <c r="M6" s="24"/>
      <c r="N6" s="24"/>
      <c r="O6" s="24"/>
      <c r="P6" s="24"/>
      <c r="Q6" s="24"/>
      <c r="R6" s="144">
        <f>IFERROR(IF($B$5="",
SUMIFS(tbl_daily[Ones],tbl_daily[Attendance Refined],1,tbl_daily[Date],$B$3,tbl_daily[Academic Year],$B$6,tbl_daily[Ones],1)/
SUMIFS(tbl_daily[Ones],tbl_daily[Date],$B$3,tbl_daily[Academic Year],$B$6,tbl_daily[Ones],1),
SUMIFS(tbl_daily[Ones],tbl_daily[Attendance Refined],1,tbl_daily[Date],"&lt;="&amp;$B$3,tbl_daily[Date],"&gt;="&amp;$B$3-$B$5,tbl_daily[Academic Year],$B$6,tbl_daily[Ones],1)/
SUMIFS(tbl_daily[Ones],tbl_daily[Date],"&lt;="&amp;$B$3,tbl_daily[Date],"&gt;="&amp;$B$3-$B$5,tbl_daily[Academic Year],$B$6,tbl_daily[Ones],1)),"")</f>
        <v>0.89393939393939392</v>
      </c>
      <c r="S6" s="145"/>
      <c r="T6" s="145"/>
      <c r="U6" s="146"/>
      <c r="V6" s="26"/>
      <c r="W6" s="26"/>
      <c r="X6" s="144">
        <f>IFERROR(IF($B$5="",
SUMIFS(tbl_daily[Ones],tbl_daily[Injury Refined],1,tbl_daily[Date],$B$3,tbl_daily[Academic Year],$B$6,tbl_daily[Ones],1)/
SUMIFS(tbl_daily[Ones],tbl_daily[Date],$B$3,tbl_daily[Academic Year],$B$6,tbl_daily[Attendance Refined],1,tbl_daily[Ones],1),
SUMIFS(tbl_daily[Ones],tbl_daily[Injury Refined],1,tbl_daily[Date],"&lt;="&amp;$B$3,tbl_daily[Date],"&gt;="&amp;$B$3-$B$5,tbl_daily[Academic Year],$B$6,tbl_daily[Ones],1)/
SUMIFS(tbl_daily[Ones],tbl_daily[Date],"&lt;="&amp;$B$3,tbl_daily[Date],"&gt;="&amp;$B$3-$B$5,tbl_daily[Academic Year],$B$6,tbl_daily[Attendance Refined],1,tbl_daily[Ones],1)),"")</f>
        <v>0.76271186440677963</v>
      </c>
      <c r="Y6" s="145"/>
      <c r="Z6" s="145"/>
      <c r="AA6" s="146"/>
      <c r="AB6" s="29"/>
      <c r="AC6" s="29"/>
      <c r="AD6" s="144">
        <f>IFERROR(IF($B$5="",
SUMIFS(tbl_daily[Ones],tbl_daily[Exercise24Hr],1,tbl_daily[Date],$B$3,tbl_daily[Academic Year],$B$6,tbl_daily[Ones],1)/
SUMIFS(tbl_daily[Ones],tbl_daily[Date],$B$3,tbl_daily[Academic Year],$B$6,tbl_daily[Attendance Refined],1,tbl_daily[Ones],1),
SUMIFS(tbl_daily[Ones],tbl_daily[Exercise24Hr],1,tbl_daily[Date],"&lt;="&amp;$B$3,tbl_daily[Date],"&gt;="&amp;$B$3-$B$5,tbl_daily[Academic Year],$B$6,tbl_daily[Ones],1)/
SUMIFS(tbl_daily[Ones],tbl_daily[Date],"&lt;="&amp;$B$3,tbl_daily[Date],"&gt;="&amp;$B$3-$B$5,tbl_daily[Academic Year],$B$6,tbl_daily[Attendance Refined],1,tbl_daily[Ones],1)),"")</f>
        <v>0.64406779661016944</v>
      </c>
      <c r="AE6" s="145"/>
      <c r="AF6" s="145"/>
      <c r="AG6" s="146"/>
      <c r="AH6" s="24"/>
      <c r="AI6" s="24"/>
      <c r="AJ6" s="24"/>
    </row>
    <row r="7" spans="1:39" s="25" customFormat="1" ht="18" customHeight="1" thickBot="1" x14ac:dyDescent="0.3">
      <c r="A7" s="24"/>
      <c r="B7" s="24"/>
      <c r="C7" s="24"/>
      <c r="D7" s="24"/>
      <c r="E7" s="24"/>
      <c r="F7" s="24"/>
      <c r="G7" s="24"/>
      <c r="H7" s="24"/>
      <c r="I7" s="24"/>
      <c r="J7" s="24"/>
      <c r="K7" s="24"/>
      <c r="L7" s="24"/>
      <c r="M7" s="24"/>
      <c r="N7" s="24"/>
      <c r="O7" s="24"/>
      <c r="P7" s="24"/>
      <c r="Q7" s="24"/>
      <c r="R7" s="141">
        <f>SUMIFS(tbl_daily[Ones],tbl_daily[Attendance Refined],1,tbl_daily[Academic Year],$B$6,tbl_daily[Ones],1)/
SUMIFS(tbl_daily[Ones],tbl_daily[Academic Year],$B$6,tbl_daily[Ones],1)</f>
        <v>0.91346153846153844</v>
      </c>
      <c r="S7" s="142"/>
      <c r="T7" s="142"/>
      <c r="U7" s="143"/>
      <c r="V7" s="26"/>
      <c r="W7" s="26"/>
      <c r="X7" s="141">
        <f>SUMIFS(tbl_daily[Ones],tbl_daily[Injury Refined],1,tbl_daily[Academic Year],$B$6,tbl_daily[Ones],1)/
SUMIFS(tbl_daily[Ones],tbl_daily[Academic Year],$B$6,tbl_daily[Attendance Refined],1,tbl_daily[Ones],1)</f>
        <v>0.75526315789473686</v>
      </c>
      <c r="Y7" s="142"/>
      <c r="Z7" s="142"/>
      <c r="AA7" s="143"/>
      <c r="AB7" s="29"/>
      <c r="AC7" s="29"/>
      <c r="AD7" s="141">
        <f>SUMIFS(tbl_daily[Ones],tbl_daily[Exercise24Hr],1,tbl_daily[Academic Year],$B$6,tbl_daily[Ones],1)/
SUMIFS(tbl_daily[Ones],tbl_daily[Academic Year],$B$6,tbl_daily[Attendance Refined],1,tbl_daily[Ones],1)</f>
        <v>0.67105263157894735</v>
      </c>
      <c r="AE7" s="142"/>
      <c r="AF7" s="142"/>
      <c r="AG7" s="143"/>
      <c r="AH7" s="24"/>
      <c r="AI7" s="24"/>
      <c r="AJ7" s="24"/>
    </row>
    <row r="8" spans="1:39" ht="18" customHeight="1" x14ac:dyDescent="0.25">
      <c r="A8" s="25"/>
      <c r="C8" s="25"/>
      <c r="D8" s="43"/>
      <c r="E8" s="43"/>
      <c r="F8" s="43"/>
      <c r="G8" s="43"/>
      <c r="H8" s="43"/>
      <c r="I8" s="43"/>
      <c r="J8" s="43"/>
      <c r="K8" s="43"/>
      <c r="L8" s="43"/>
      <c r="M8" s="43"/>
      <c r="N8" s="43"/>
      <c r="O8" s="43"/>
      <c r="P8" s="43"/>
      <c r="Q8" s="43"/>
      <c r="R8" s="148" t="s">
        <v>367</v>
      </c>
      <c r="S8" s="149"/>
      <c r="T8" s="149"/>
      <c r="U8" s="150"/>
      <c r="V8" s="44"/>
      <c r="W8" s="44"/>
      <c r="X8" s="154" t="s">
        <v>188</v>
      </c>
      <c r="Y8" s="155"/>
      <c r="Z8" s="155"/>
      <c r="AA8" s="155"/>
      <c r="AB8" s="45"/>
      <c r="AC8" s="45"/>
      <c r="AD8" s="148" t="s">
        <v>220</v>
      </c>
      <c r="AE8" s="149"/>
      <c r="AF8" s="149"/>
      <c r="AG8" s="150"/>
      <c r="AH8" s="43"/>
      <c r="AI8" s="43"/>
    </row>
    <row r="9" spans="1:39" ht="18" customHeight="1" x14ac:dyDescent="0.25">
      <c r="A9" s="25"/>
      <c r="C9" s="25"/>
      <c r="D9" s="43"/>
      <c r="E9" s="43"/>
      <c r="F9" s="25"/>
      <c r="G9" s="46"/>
      <c r="H9" s="46"/>
      <c r="I9" s="46"/>
      <c r="J9" s="46"/>
      <c r="K9" s="46"/>
      <c r="L9" s="25"/>
      <c r="M9" s="46"/>
      <c r="N9" s="46"/>
      <c r="O9" s="46"/>
      <c r="P9" s="46"/>
      <c r="Q9" s="46"/>
      <c r="R9" s="138"/>
      <c r="S9" s="139"/>
      <c r="T9" s="139"/>
      <c r="U9" s="140"/>
      <c r="V9" s="25"/>
      <c r="W9" s="25"/>
      <c r="X9" s="138"/>
      <c r="Y9" s="139"/>
      <c r="Z9" s="139"/>
      <c r="AA9" s="139"/>
      <c r="AB9" s="42"/>
      <c r="AC9" s="42"/>
      <c r="AD9" s="138"/>
      <c r="AE9" s="139"/>
      <c r="AF9" s="139"/>
      <c r="AG9" s="140"/>
      <c r="AH9" s="25"/>
      <c r="AI9" s="25"/>
      <c r="AK9" s="10"/>
      <c r="AL9" s="10"/>
      <c r="AM9" s="10"/>
    </row>
    <row r="10" spans="1:39" ht="18" customHeight="1" x14ac:dyDescent="0.25">
      <c r="A10" s="25"/>
      <c r="B10" s="14"/>
      <c r="C10" s="25"/>
      <c r="D10" s="43"/>
      <c r="E10" s="43"/>
      <c r="F10" s="25"/>
      <c r="G10" s="47"/>
      <c r="H10" s="47"/>
      <c r="I10" s="47"/>
      <c r="J10" s="47"/>
      <c r="K10" s="47"/>
      <c r="L10" s="25"/>
      <c r="M10" s="47"/>
      <c r="N10" s="47"/>
      <c r="O10" s="47"/>
      <c r="P10" s="47"/>
      <c r="Q10" s="47"/>
      <c r="R10" s="138"/>
      <c r="S10" s="139"/>
      <c r="T10" s="139"/>
      <c r="U10" s="140"/>
      <c r="V10" s="25"/>
      <c r="W10" s="25"/>
      <c r="X10" s="138"/>
      <c r="Y10" s="139"/>
      <c r="Z10" s="139"/>
      <c r="AA10" s="139"/>
      <c r="AB10" s="42"/>
      <c r="AC10" s="42"/>
      <c r="AD10" s="138"/>
      <c r="AE10" s="139"/>
      <c r="AF10" s="139"/>
      <c r="AG10" s="140"/>
      <c r="AH10" s="25"/>
      <c r="AI10" s="25"/>
      <c r="AK10" s="10"/>
      <c r="AL10" s="10"/>
      <c r="AM10" s="10"/>
    </row>
    <row r="11" spans="1:39" ht="18" customHeight="1" x14ac:dyDescent="0.25">
      <c r="A11" s="25"/>
      <c r="B11" s="14"/>
      <c r="C11" s="25"/>
      <c r="D11" s="43"/>
      <c r="E11" s="43"/>
      <c r="F11" s="25"/>
      <c r="G11" s="48"/>
      <c r="H11" s="48"/>
      <c r="I11" s="48"/>
      <c r="J11" s="48"/>
      <c r="K11" s="48"/>
      <c r="L11" s="25"/>
      <c r="M11" s="48"/>
      <c r="N11" s="48"/>
      <c r="O11" s="48"/>
      <c r="P11" s="48"/>
      <c r="Q11" s="48"/>
      <c r="R11" s="132">
        <f>IFERROR(IF($B$5="",
AVERAGEIFS(tbl_daily[Readiness Score],tbl_daily[Date],$B$3,tbl_daily[Academic Year],$B$6,tbl_daily[Attendance Refined],1,tbl_daily[Ones],1),
AVERAGEIFS(tbl_daily[Readiness Score],tbl_daily[Date],"&lt;="&amp;$B$3,tbl_daily[Date],"&gt;="&amp;$B$3-$B$5,tbl_daily[Academic Year],$B$6,tbl_daily[Attendance Refined],1,tbl_daily[Ones],1)),"")</f>
        <v>19.661016949152543</v>
      </c>
      <c r="S11" s="133"/>
      <c r="T11" s="133"/>
      <c r="U11" s="134"/>
      <c r="V11" s="49"/>
      <c r="W11" s="49"/>
      <c r="X11" s="132">
        <f>IFERROR(IF($B$5="",
AVERAGEIFS(tbl_daily[sRPE],tbl_daily[Date],$B$3,tbl_daily[Academic Year],$B$6,tbl_daily[Attendance Refined],1,tbl_daily[Ones],1),
AVERAGEIFS(tbl_daily[sRPE],tbl_daily[Date],"&lt;="&amp;$B$3,tbl_daily[Date],"&gt;="&amp;$B$3-$B$5,tbl_daily[Academic Year],$B$6,tbl_daily[Attendance Refined],1,tbl_daily[Ones],1)),"")</f>
        <v>293.89830508474574</v>
      </c>
      <c r="Y11" s="133"/>
      <c r="Z11" s="133"/>
      <c r="AA11" s="133"/>
      <c r="AB11" s="50"/>
      <c r="AC11" s="50"/>
      <c r="AD11" s="132">
        <f>IFERROR(IF($B$5="",
AVERAGEIFS(tbl_daily[Grades],tbl_daily[Date],$B$3,tbl_daily[Academic Year],$B$6,tbl_daily[Attendance Refined],1,tbl_daily[Ones],1),
AVERAGEIFS(tbl_daily[Grades],tbl_daily[Date],"&lt;="&amp;$B$3,tbl_daily[Date],"&gt;="&amp;$B$3-$B$5,tbl_daily[Academic Year],$B$6,tbl_daily[Attendance Refined],1,tbl_daily[Ones],1)),"")</f>
        <v>87.857142857142861</v>
      </c>
      <c r="AE11" s="133"/>
      <c r="AF11" s="133"/>
      <c r="AG11" s="134"/>
      <c r="AH11" s="25"/>
      <c r="AI11" s="25"/>
      <c r="AK11" s="10"/>
      <c r="AL11" s="10"/>
      <c r="AM11" s="10"/>
    </row>
    <row r="12" spans="1:39" ht="18" customHeight="1" thickBot="1" x14ac:dyDescent="0.3">
      <c r="A12" s="25"/>
      <c r="B12" s="14"/>
      <c r="C12" s="25"/>
      <c r="D12" s="43"/>
      <c r="E12" s="43"/>
      <c r="F12" s="51"/>
      <c r="G12" s="46"/>
      <c r="H12" s="46"/>
      <c r="I12" s="46"/>
      <c r="J12" s="46"/>
      <c r="K12" s="46"/>
      <c r="L12" s="46"/>
      <c r="M12" s="46"/>
      <c r="N12" s="46"/>
      <c r="O12" s="46"/>
      <c r="P12" s="46"/>
      <c r="Q12" s="46"/>
      <c r="R12" s="135">
        <f>AVERAGEIFS(tbl_daily[Readiness Score],tbl_daily[Academic Year],$B$6,tbl_daily[Attendance Refined],1,tbl_daily[Ones],1)</f>
        <v>18.957894736842107</v>
      </c>
      <c r="S12" s="136"/>
      <c r="T12" s="136"/>
      <c r="U12" s="137"/>
      <c r="V12" s="52"/>
      <c r="W12" s="52"/>
      <c r="X12" s="135">
        <f>AVERAGEIFS(tbl_daily[sRPE],tbl_daily[Academic Year],$B$6,tbl_daily[Attendance Refined],1,tbl_daily[Ones],1)</f>
        <v>280.86842105263156</v>
      </c>
      <c r="Y12" s="136"/>
      <c r="Z12" s="136"/>
      <c r="AA12" s="136"/>
      <c r="AB12" s="53"/>
      <c r="AC12" s="53"/>
      <c r="AD12" s="135">
        <f>AVERAGEIFS(tbl_daily[Grades],tbl_daily[Academic Year],$B$6,tbl_daily[Attendance Refined],1,tbl_daily[Ones],1)</f>
        <v>88.043478260869563</v>
      </c>
      <c r="AE12" s="136"/>
      <c r="AF12" s="136"/>
      <c r="AG12" s="137"/>
      <c r="AH12" s="51"/>
      <c r="AI12" s="51"/>
      <c r="AJ12" s="51"/>
      <c r="AK12" s="10"/>
      <c r="AL12" s="10"/>
      <c r="AM12" s="10"/>
    </row>
    <row r="13" spans="1:39" s="25" customFormat="1" ht="5.0999999999999996" customHeight="1" x14ac:dyDescent="0.25"/>
    <row r="14" spans="1:39" s="5" customFormat="1" ht="60.75" customHeight="1" x14ac:dyDescent="0.25">
      <c r="A14" s="57" t="s">
        <v>442</v>
      </c>
      <c r="B14" s="57" t="s">
        <v>443</v>
      </c>
      <c r="C14" s="57" t="s">
        <v>372</v>
      </c>
      <c r="D14" s="57" t="s">
        <v>378</v>
      </c>
      <c r="E14" s="57" t="s">
        <v>388</v>
      </c>
      <c r="F14" s="57" t="s">
        <v>376</v>
      </c>
      <c r="G14" s="57" t="s">
        <v>379</v>
      </c>
      <c r="H14" s="57" t="s">
        <v>389</v>
      </c>
      <c r="I14" s="57" t="s">
        <v>369</v>
      </c>
      <c r="J14" s="57" t="s">
        <v>398</v>
      </c>
      <c r="K14" s="57" t="s">
        <v>399</v>
      </c>
      <c r="L14" s="57" t="s">
        <v>4</v>
      </c>
      <c r="M14" s="57" t="s">
        <v>380</v>
      </c>
      <c r="N14" s="57" t="s">
        <v>390</v>
      </c>
      <c r="O14" s="57" t="s">
        <v>377</v>
      </c>
      <c r="P14" s="57" t="s">
        <v>381</v>
      </c>
      <c r="Q14" s="57" t="s">
        <v>391</v>
      </c>
      <c r="R14" s="57" t="s">
        <v>6</v>
      </c>
      <c r="S14" s="57" t="s">
        <v>382</v>
      </c>
      <c r="T14" s="57" t="s">
        <v>392</v>
      </c>
      <c r="U14" s="57" t="s">
        <v>219</v>
      </c>
      <c r="V14" s="57" t="s">
        <v>383</v>
      </c>
      <c r="W14" s="57" t="s">
        <v>393</v>
      </c>
      <c r="X14" s="57" t="s">
        <v>368</v>
      </c>
      <c r="Y14" s="57" t="s">
        <v>384</v>
      </c>
      <c r="Z14" s="57" t="s">
        <v>394</v>
      </c>
      <c r="AA14" s="57" t="s">
        <v>370</v>
      </c>
      <c r="AB14" s="57" t="s">
        <v>385</v>
      </c>
      <c r="AC14" s="57" t="s">
        <v>395</v>
      </c>
      <c r="AD14" s="57" t="s">
        <v>188</v>
      </c>
      <c r="AE14" s="57" t="s">
        <v>386</v>
      </c>
      <c r="AF14" s="57" t="s">
        <v>396</v>
      </c>
      <c r="AG14" s="57" t="s">
        <v>220</v>
      </c>
      <c r="AH14" s="5" t="s">
        <v>387</v>
      </c>
      <c r="AI14" s="5" t="s">
        <v>397</v>
      </c>
      <c r="AJ14" s="55"/>
    </row>
    <row r="15" spans="1:39" x14ac:dyDescent="0.25">
      <c r="A15" s="9" t="s">
        <v>411</v>
      </c>
      <c r="B15" s="22" t="str">
        <f>INDEX(tbl_prof[Cohort of Interest],MATCH(Table3[[#This Row],[Athlete Name]],tbl_prof[CodeName],0))</f>
        <v>Athletes</v>
      </c>
      <c r="C15" s="76">
        <f>IFERROR(IF($B$5="",
AVERAGEIFS(tbl_daily[Attendance Refined],tbl_daily[Date],$B$3,tbl_daily[CodeName],Table3[[#This Row],[Athlete Name]],tbl_daily[Academic Year],$B$6,tbl_daily[Ones],1),
AVERAGEIFS(tbl_daily[Attendance Refined],tbl_daily[Date],"&lt;="&amp;$B$3,tbl_daily[Date],"&gt;="&amp;$B$3-$B$5,tbl_daily[CodeName],Table3[[#This Row],[Athlete Name]],tbl_daily[Academic Year],$B$6,tbl_daily[Ones],1)),"")</f>
        <v>1</v>
      </c>
      <c r="D15" s="76">
        <f>IFERROR(AVERAGEIFS(tbl_daily[Attendance Refined],tbl_daily[CodeName],Table3[[#This Row],[Athlete Name]],tbl_daily[Academic Year],$B$6,tbl_daily[Ones],1),"")</f>
        <v>1.3076923076923077</v>
      </c>
      <c r="E15" s="76" cm="1">
        <f t="array" ref="E15">_xlfn.STDEV.P(IF(tbl_daily[CodeName]=Table3[[#This Row],[Athlete Name]],IF(tbl_daily[Academic Year]=$B$6,tbl_daily[Attendance Refined])))</f>
        <v>0.72160242458821988</v>
      </c>
      <c r="F15" s="76">
        <f>IFERROR(IF($B$5="",
AVERAGEIFS(tbl_daily[Injury Refined],tbl_daily[Date],$B$3,tbl_daily[CodeName],Table3[[#This Row],[Athlete Name]],tbl_daily[Academic Year],$B$6,tbl_daily[Ones],1),
AVERAGEIFS(tbl_daily[Injury Refined],tbl_daily[Date],"&lt;="&amp;$B$3,tbl_daily[Date],"&gt;="&amp;$B$3-$B$5,tbl_daily[CodeName],Table3[[#This Row],[Athlete Name]],tbl_daily[Academic Year],$B$6,tbl_daily[Ones],1)),"")</f>
        <v>2</v>
      </c>
      <c r="G15" s="76">
        <f>IFERROR(AVERAGEIFS(tbl_daily[Injury Refined],tbl_daily[CodeName],Table3[[#This Row],[Athlete Name]],tbl_daily[Academic Year],$B$6,tbl_daily[Ones],1),"")</f>
        <v>1.9090909090909092</v>
      </c>
      <c r="H15" s="76" cm="1">
        <f t="array" ref="H15">_xlfn.STDEV.P(IF(tbl_daily[CodeName]=Table3[[#This Row],[Athlete Name]],IF(tbl_daily[Academic Year]=$B$6,tbl_daily[Injury Refined])))</f>
        <v>0.28747978728803447</v>
      </c>
      <c r="I15" s="76">
        <f>IFERROR(IF($B$5="",
AVERAGEIFS(tbl_daily[Exercise24Hr],tbl_daily[Date],$B$3,tbl_daily[CodeName],Table3[[#This Row],[Athlete Name]],tbl_daily[Academic Year],$B$6,tbl_daily[Ones],1),
AVERAGEIFS(tbl_daily[Exercise24Hr],tbl_daily[Date],"&lt;="&amp;$B$3,tbl_daily[Date],"&gt;="&amp;$B$3-$B$5,tbl_daily[CodeName],Table3[[#This Row],[Athlete Name]],tbl_daily[Academic Year],$B$6,tbl_daily[Ones],1)),"")</f>
        <v>0.5</v>
      </c>
      <c r="J15" s="11">
        <f>IFERROR(AVERAGEIFS(tbl_daily[Exercise24Hr],tbl_daily[CodeName],Table3[[#This Row],[Athlete Name]],tbl_daily[Academic Year],$B$6,tbl_daily[Ones],1),"")</f>
        <v>0.81818181818181823</v>
      </c>
      <c r="K15" s="11" cm="1">
        <f t="array" ref="K15">_xlfn.STDEV.P(IF(tbl_daily[CodeName]=Table3[[#This Row],[Athlete Name]],IF(tbl_daily[Academic Year]=$B$6,tbl_daily[Exercise24Hr])))</f>
        <v>0.46153846153846156</v>
      </c>
      <c r="L15" s="23">
        <f>IFERROR(IF($B$5="",
AVERAGEIFS(tbl_daily[Stress],tbl_daily[Date],$B$3,tbl_daily[CodeName],Table3[[#This Row],[Athlete Name]],tbl_daily[Academic Year],$B$6,tbl_daily[Ones],1),
AVERAGEIFS(tbl_daily[Stress],tbl_daily[Date],"&lt;="&amp;$B$3,tbl_daily[Date],"&gt;="&amp;$B$3-$B$5,tbl_daily[CodeName],Table3[[#This Row],[Athlete Name]],tbl_daily[Academic Year],$B$6,tbl_daily[Ones],1)),"")</f>
        <v>4</v>
      </c>
      <c r="M15" s="23">
        <f>IFERROR(AVERAGEIFS(tbl_daily[Stress],tbl_daily[CodeName],Table3[[#This Row],[Athlete Name]],tbl_daily[Academic Year],$B$6,tbl_daily[Ones],1),"")</f>
        <v>4.5454545454545459</v>
      </c>
      <c r="N15" s="23" cm="1">
        <f t="array" ref="N15">_xlfn.STDEV.P(IF(tbl_daily[CodeName]=Table3[[#This Row],[Athlete Name]],IF(tbl_daily[Academic Year]=$B$6,IF(tbl_daily[Stress]&lt;&gt;"",tbl_daily[Stress]))))</f>
        <v>0.7820295697311479</v>
      </c>
      <c r="O15" s="23">
        <f>IFERROR(IF($B$5="",
AVERAGEIFS(tbl_daily[SleepQuality],tbl_daily[Date],$B$3,tbl_daily[CodeName],Table3[[#This Row],[Athlete Name]],tbl_daily[Academic Year],$B$6,tbl_daily[Ones],1),
AVERAGEIFS(tbl_daily[SleepQuality],tbl_daily[Date],"&lt;="&amp;$B$3,tbl_daily[Date],"&gt;="&amp;$B$3-$B$5,tbl_daily[CodeName],Table3[[#This Row],[Athlete Name]],tbl_daily[Academic Year],$B$6,tbl_daily[Ones],1)),"")</f>
        <v>5.5</v>
      </c>
      <c r="P15" s="23">
        <f>IFERROR(AVERAGEIFS(tbl_daily[SleepQuality],tbl_daily[CodeName],Table3[[#This Row],[Athlete Name]],tbl_daily[Academic Year],$B$6,tbl_daily[Ones],1),"")</f>
        <v>6.2727272727272725</v>
      </c>
      <c r="Q15" s="23" cm="1">
        <f t="array" ref="Q15">_xlfn.STDEV.P(IF(tbl_daily[CodeName]=Table3[[#This Row],[Athlete Name]],IF(tbl_daily[Academic Year]=$B$6,IF(tbl_daily[SleepQuality]&lt;&gt;"",tbl_daily[SleepQuality]))))</f>
        <v>2.4155145919248042</v>
      </c>
      <c r="R15" s="23">
        <f>IFERROR(IF($B$5="",
AVERAGEIFS(tbl_daily[Energy],tbl_daily[Date],$B$3,tbl_daily[CodeName],Table3[[#This Row],[Athlete Name]],tbl_daily[Academic Year],$B$6,tbl_daily[Ones],1),
AVERAGEIFS(tbl_daily[Energy],tbl_daily[Date],"&lt;="&amp;$B$3,tbl_daily[Date],"&gt;="&amp;$B$3-$B$5,tbl_daily[CodeName],Table3[[#This Row],[Athlete Name]],tbl_daily[Academic Year],$B$6,tbl_daily[Ones],1)),"")</f>
        <v>6.5</v>
      </c>
      <c r="S15" s="23">
        <f>IFERROR(AVERAGEIFS(tbl_daily[Energy],tbl_daily[CodeName],Table3[[#This Row],[Athlete Name]],tbl_daily[Academic Year],$B$6,tbl_daily[Ones],1),"")</f>
        <v>6.4545454545454541</v>
      </c>
      <c r="T15" s="23" cm="1">
        <f t="array" ref="T15">_xlfn.STDEV.P(IF(tbl_daily[CodeName]=Table3[[#This Row],[Athlete Name]],IF(tbl_daily[Academic Year]=$B$6,IF(tbl_daily[Energy]&lt;&gt;"",tbl_daily[Energy]))))</f>
        <v>1.4373989364401722</v>
      </c>
      <c r="U15" s="23">
        <f>IFERROR(IF($B$5="",
AVERAGEIFS(tbl_daily[Readiness Score],tbl_daily[Date],$B$3,tbl_daily[CodeName],Table3[[#This Row],[Athlete Name]],tbl_daily[Academic Year],$B$6,tbl_daily[Ones],1),
AVERAGEIFS(tbl_daily[Readiness Score],tbl_daily[Date],"&lt;="&amp;$B$3,tbl_daily[Date],"&gt;="&amp;$B$3-$B$5,tbl_daily[CodeName],Table3[[#This Row],[Athlete Name]],tbl_daily[Academic Year],$B$6,tbl_daily[Ones],1)),"")</f>
        <v>16</v>
      </c>
      <c r="V15" s="23">
        <f>IFERROR(AVERAGEIFS(tbl_daily[Readiness Score],tbl_daily[CodeName],Table3[[#This Row],[Athlete Name]],tbl_daily[Academic Year],$B$6,tbl_daily[Ones],1),"")</f>
        <v>17.272727272727273</v>
      </c>
      <c r="W15" s="23" cm="1">
        <f t="array" ref="W15">_xlfn.STDEV.P(IF(tbl_daily[CodeName]=Table3[[#This Row],[Athlete Name]],IF(tbl_daily[Academic Year]=$B$6,IF(tbl_daily[Readiness Score]&lt;&gt;"",tbl_daily[Readiness Score]))))</f>
        <v>3.6454432101388039</v>
      </c>
      <c r="X15" s="23">
        <f>IFERROR(IF($B$5="",
AVERAGEIFS(tbl_daily[LatestRPE],tbl_daily[Date],$B$3,tbl_daily[CodeName],Table3[[#This Row],[Athlete Name]],tbl_daily[Academic Year],$B$6,tbl_daily[Ones],1),
AVERAGEIFS(tbl_daily[LatestRPE],tbl_daily[Date],"&lt;="&amp;$B$3,tbl_daily[Date],"&gt;="&amp;$B$3-$B$5,tbl_daily[CodeName],Table3[[#This Row],[Athlete Name]],tbl_daily[Academic Year],$B$6,tbl_daily[Ones],1)),"")</f>
        <v>3.5</v>
      </c>
      <c r="Y15" s="23">
        <f>IFERROR(AVERAGEIFS(tbl_daily[LatestRPE],tbl_daily[CodeName],Table3[[#This Row],[Athlete Name]],tbl_daily[Academic Year],$B$6,tbl_daily[Ones],1),"")</f>
        <v>4.7272727272727275</v>
      </c>
      <c r="Z15" s="23" cm="1">
        <f t="array" ref="Z15">_xlfn.STDEV.P(IF(tbl_daily[CodeName]=Table3[[#This Row],[Athlete Name]],IF(tbl_daily[Academic Year]=$B$6,IF(tbl_daily[LatestRPE]&lt;&gt;"",tbl_daily[LatestRPE]))))</f>
        <v>2.4155145919248042</v>
      </c>
      <c r="AA15" s="23">
        <f>IFERROR(IF($B$5="",
AVERAGEIFS(tbl_daily[LatestDuration],tbl_daily[Date],$B$3,tbl_daily[CodeName],Table3[[#This Row],[Athlete Name]],tbl_daily[Academic Year],$B$6,tbl_daily[Ones],1),
AVERAGEIFS(tbl_daily[LatestDuration],tbl_daily[Date],"&lt;="&amp;$B$3,tbl_daily[Date],"&gt;="&amp;$B$3-$B$5,tbl_daily[CodeName],Table3[[#This Row],[Athlete Name]],tbl_daily[Academic Year],$B$6,tbl_daily[Ones],1)),"")</f>
        <v>40</v>
      </c>
      <c r="AB15" s="23">
        <f>IFERROR(AVERAGEIFS(tbl_daily[LatestDuration],tbl_daily[CodeName],Table3[[#This Row],[Athlete Name]],tbl_daily[Academic Year],$B$6,tbl_daily[Ones],1),"")</f>
        <v>40.909090909090907</v>
      </c>
      <c r="AC15" s="23" cm="1">
        <f t="array" ref="AC15">_xlfn.STDEV.P(IF(tbl_daily[CodeName]=Table3[[#This Row],[Athlete Name]],IF(tbl_daily[Academic Year]=$B$6,IF(tbl_daily[LatestDuration]&lt;&gt;"",tbl_daily[LatestDuration]))))</f>
        <v>24.384997420003014</v>
      </c>
      <c r="AD15" s="23">
        <f>IFERROR(IF($B$5="",
AVERAGEIFS(tbl_daily[sRPE],tbl_daily[Date],$B$3,tbl_daily[CodeName],Table3[[#This Row],[Athlete Name]],tbl_daily[Academic Year],$B$6,tbl_daily[Ones],1),
AVERAGEIFS(tbl_daily[sRPE],tbl_daily[Date],"&lt;="&amp;$B$3,tbl_daily[Date],"&gt;="&amp;$B$3-$B$5,tbl_daily[CodeName],Table3[[#This Row],[Athlete Name]],tbl_daily[Academic Year],$B$6,tbl_daily[Ones],1)),"")</f>
        <v>280</v>
      </c>
      <c r="AE15" s="23">
        <f>IFERROR(AVERAGEIFS(tbl_daily[sRPE],tbl_daily[CodeName],Table3[[#This Row],[Athlete Name]],tbl_daily[Academic Year],$B$6,tbl_daily[Ones],1),"")</f>
        <v>245.45454545454547</v>
      </c>
      <c r="AF15" s="23" cm="1">
        <f t="array" ref="AF15">_xlfn.STDEV.P(IF(tbl_daily[CodeName]=Table3[[#This Row],[Athlete Name]],IF(tbl_daily[Academic Year]=$B$6,IF(tbl_daily[sRPE]&lt;&gt;"",tbl_daily[sRPE]))))</f>
        <v>169.22892705464429</v>
      </c>
      <c r="AG15" s="23">
        <f>IFERROR(IF($B$5="",
AVERAGEIFS(tbl_daily[Grades],tbl_daily[Date],$B$3,tbl_daily[CodeName],Table3[[#This Row],[Athlete Name]],tbl_daily[Academic Year],$B$6,tbl_daily[Ones],1),
AVERAGEIFS(tbl_daily[Grades],tbl_daily[Date],"&lt;="&amp;$B$3,tbl_daily[Date],"&gt;="&amp;$B$3-$B$5,tbl_daily[CodeName],Table3[[#This Row],[Athlete Name]],tbl_daily[Academic Year],$B$6,tbl_daily[Ones],1)),"")</f>
        <v>75</v>
      </c>
      <c r="AH15" s="11">
        <f>IFERROR(AVERAGEIFS(tbl_daily[Grades],tbl_daily[CodeName],Table3[[#This Row],[Athlete Name]],tbl_daily[Academic Year],$B$6,tbl_daily[Ones],1),"")</f>
        <v>80</v>
      </c>
      <c r="AI15" s="11" cm="1">
        <f t="array" ref="AI15">_xlfn.STDEV.P(IF(tbl_daily[CodeName]=Table3[[#This Row],[Athlete Name]],IF(tbl_daily[Academic Year]=$B$6,IF(tbl_daily[Grades]&lt;&gt;"",tbl_daily[Grades]))))</f>
        <v>4.4158804331639239</v>
      </c>
    </row>
    <row r="16" spans="1:39" x14ac:dyDescent="0.25">
      <c r="A16" s="77" t="s">
        <v>412</v>
      </c>
      <c r="B16" s="83" t="str">
        <f>INDEX(tbl_prof[Cohort of Interest],MATCH(Table3[[#This Row],[Athlete Name]],tbl_prof[CodeName],0))</f>
        <v>Gen Pop</v>
      </c>
      <c r="C16" s="76">
        <f>IFERROR(IF($B$5="",
AVERAGEIFS(tbl_daily[Attendance Refined],tbl_daily[Date],$B$3,tbl_daily[CodeName],Table3[[#This Row],[Athlete Name]],tbl_daily[Academic Year],$B$6,tbl_daily[Ones],1),
AVERAGEIFS(tbl_daily[Attendance Refined],tbl_daily[Date],"&lt;="&amp;$B$3,tbl_daily[Date],"&gt;="&amp;$B$3-$B$5,tbl_daily[CodeName],Table3[[#This Row],[Athlete Name]],tbl_daily[Academic Year],$B$6,tbl_daily[Ones],1)),"")</f>
        <v>1</v>
      </c>
      <c r="D16" s="76">
        <f>IFERROR(AVERAGEIFS(tbl_daily[Attendance Refined],tbl_daily[CodeName],Table3[[#This Row],[Athlete Name]],tbl_daily[Academic Year],$B$6,tbl_daily[Ones],1),"")</f>
        <v>1</v>
      </c>
      <c r="E16" s="76" cm="1">
        <f t="array" ref="E16">_xlfn.STDEV.P(IF(tbl_daily[CodeName]=Table3[[#This Row],[Athlete Name]],IF(tbl_daily[Academic Year]=$B$6,tbl_daily[Attendance Refined])))</f>
        <v>0</v>
      </c>
      <c r="F16" s="76">
        <f>IFERROR(IF($B$5="",
AVERAGEIFS(tbl_daily[Injury Refined],tbl_daily[Date],$B$3,tbl_daily[CodeName],Table3[[#This Row],[Athlete Name]],tbl_daily[Academic Year],$B$6,tbl_daily[Ones],1),
AVERAGEIFS(tbl_daily[Injury Refined],tbl_daily[Date],"&lt;="&amp;$B$3,tbl_daily[Date],"&gt;="&amp;$B$3-$B$5,tbl_daily[CodeName],Table3[[#This Row],[Athlete Name]],tbl_daily[Academic Year],$B$6,tbl_daily[Ones],1)),"")</f>
        <v>1</v>
      </c>
      <c r="G16" s="76">
        <f>IFERROR(AVERAGEIFS(tbl_daily[Injury Refined],tbl_daily[CodeName],Table3[[#This Row],[Athlete Name]],tbl_daily[Academic Year],$B$6,tbl_daily[Ones],1),"")</f>
        <v>1</v>
      </c>
      <c r="H16" s="76" cm="1">
        <f t="array" ref="H16">_xlfn.STDEV.P(IF(tbl_daily[CodeName]=Table3[[#This Row],[Athlete Name]],IF(tbl_daily[Academic Year]=$B$6,tbl_daily[Injury Refined])))</f>
        <v>0</v>
      </c>
      <c r="I16" s="76">
        <f>IFERROR(IF($B$5="",
AVERAGEIFS(tbl_daily[Exercise24Hr],tbl_daily[Date],$B$3,tbl_daily[CodeName],Table3[[#This Row],[Athlete Name]],tbl_daily[Academic Year],$B$6,tbl_daily[Ones],1),
AVERAGEIFS(tbl_daily[Exercise24Hr],tbl_daily[Date],"&lt;="&amp;$B$3,tbl_daily[Date],"&gt;="&amp;$B$3-$B$5,tbl_daily[CodeName],Table3[[#This Row],[Athlete Name]],tbl_daily[Academic Year],$B$6,tbl_daily[Ones],1)),"")</f>
        <v>0.5</v>
      </c>
      <c r="J16" s="11">
        <f>IFERROR(AVERAGEIFS(tbl_daily[Exercise24Hr],tbl_daily[CodeName],Table3[[#This Row],[Athlete Name]],tbl_daily[Academic Year],$B$6,tbl_daily[Ones],1),"")</f>
        <v>0.46153846153846156</v>
      </c>
      <c r="K16" s="11" cm="1">
        <f t="array" ref="K16">_xlfn.STDEV.P(IF(tbl_daily[CodeName]=Table3[[#This Row],[Athlete Name]],IF(tbl_daily[Academic Year]=$B$6,tbl_daily[Exercise24Hr])))</f>
        <v>0.49851851526214308</v>
      </c>
      <c r="L16" s="23">
        <f>IFERROR(IF($B$5="",
AVERAGEIFS(tbl_daily[Stress],tbl_daily[Date],$B$3,tbl_daily[CodeName],Table3[[#This Row],[Athlete Name]],tbl_daily[Academic Year],$B$6,tbl_daily[Ones],1),
AVERAGEIFS(tbl_daily[Stress],tbl_daily[Date],"&lt;="&amp;$B$3,tbl_daily[Date],"&gt;="&amp;$B$3-$B$5,tbl_daily[CodeName],Table3[[#This Row],[Athlete Name]],tbl_daily[Academic Year],$B$6,tbl_daily[Ones],1)),"")</f>
        <v>7</v>
      </c>
      <c r="M16" s="23">
        <f>IFERROR(AVERAGEIFS(tbl_daily[Stress],tbl_daily[CodeName],Table3[[#This Row],[Athlete Name]],tbl_daily[Academic Year],$B$6,tbl_daily[Ones],1),"")</f>
        <v>6.3076923076923075</v>
      </c>
      <c r="N16" s="23" cm="1">
        <f t="array" ref="N16">_xlfn.STDEV.P(IF(tbl_daily[CodeName]=Table3[[#This Row],[Athlete Name]],IF(tbl_daily[Academic Year]=$B$6,IF(tbl_daily[Stress]&lt;&gt;"",tbl_daily[Stress]))))</f>
        <v>1.3803352649943355</v>
      </c>
      <c r="O16" s="23">
        <f>IFERROR(IF($B$5="",
AVERAGEIFS(tbl_daily[SleepQuality],tbl_daily[Date],$B$3,tbl_daily[CodeName],Table3[[#This Row],[Athlete Name]],tbl_daily[Academic Year],$B$6,tbl_daily[Ones],1),
AVERAGEIFS(tbl_daily[SleepQuality],tbl_daily[Date],"&lt;="&amp;$B$3,tbl_daily[Date],"&gt;="&amp;$B$3-$B$5,tbl_daily[CodeName],Table3[[#This Row],[Athlete Name]],tbl_daily[Academic Year],$B$6,tbl_daily[Ones],1)),"")</f>
        <v>3</v>
      </c>
      <c r="P16" s="23">
        <f>IFERROR(AVERAGEIFS(tbl_daily[SleepQuality],tbl_daily[CodeName],Table3[[#This Row],[Athlete Name]],tbl_daily[Academic Year],$B$6,tbl_daily[Ones],1),"")</f>
        <v>3.4615384615384617</v>
      </c>
      <c r="Q16" s="23" cm="1">
        <f t="array" ref="Q16">_xlfn.STDEV.P(IF(tbl_daily[CodeName]=Table3[[#This Row],[Athlete Name]],IF(tbl_daily[Academic Year]=$B$6,IF(tbl_daily[SleepQuality]&lt;&gt;"",tbl_daily[SleepQuality]))))</f>
        <v>1.8652854850741756</v>
      </c>
      <c r="R16" s="23">
        <f>IFERROR(IF($B$5="",
AVERAGEIFS(tbl_daily[Energy],tbl_daily[Date],$B$3,tbl_daily[CodeName],Table3[[#This Row],[Athlete Name]],tbl_daily[Academic Year],$B$6,tbl_daily[Ones],1),
AVERAGEIFS(tbl_daily[Energy],tbl_daily[Date],"&lt;="&amp;$B$3,tbl_daily[Date],"&gt;="&amp;$B$3-$B$5,tbl_daily[CodeName],Table3[[#This Row],[Athlete Name]],tbl_daily[Academic Year],$B$6,tbl_daily[Ones],1)),"")</f>
        <v>5</v>
      </c>
      <c r="S16" s="23">
        <f>IFERROR(AVERAGEIFS(tbl_daily[Energy],tbl_daily[CodeName],Table3[[#This Row],[Athlete Name]],tbl_daily[Academic Year],$B$6,tbl_daily[Ones],1),"")</f>
        <v>5</v>
      </c>
      <c r="T16" s="23" cm="1">
        <f t="array" ref="T16">_xlfn.STDEV.P(IF(tbl_daily[CodeName]=Table3[[#This Row],[Athlete Name]],IF(tbl_daily[Academic Year]=$B$6,IF(tbl_daily[Energy]&lt;&gt;"",tbl_daily[Energy]))))</f>
        <v>1.1766968108291043</v>
      </c>
      <c r="U16" s="23">
        <f>IFERROR(IF($B$5="",
AVERAGEIFS(tbl_daily[Readiness Score],tbl_daily[Date],$B$3,tbl_daily[CodeName],Table3[[#This Row],[Athlete Name]],tbl_daily[Academic Year],$B$6,tbl_daily[Ones],1),
AVERAGEIFS(tbl_daily[Readiness Score],tbl_daily[Date],"&lt;="&amp;$B$3,tbl_daily[Date],"&gt;="&amp;$B$3-$B$5,tbl_daily[CodeName],Table3[[#This Row],[Athlete Name]],tbl_daily[Academic Year],$B$6,tbl_daily[Ones],1)),"")</f>
        <v>15</v>
      </c>
      <c r="V16" s="23">
        <f>IFERROR(AVERAGEIFS(tbl_daily[Readiness Score],tbl_daily[CodeName],Table3[[#This Row],[Athlete Name]],tbl_daily[Academic Year],$B$6,tbl_daily[Ones],1),"")</f>
        <v>14.76923076923077</v>
      </c>
      <c r="W16" s="23" cm="1">
        <f t="array" ref="W16">_xlfn.STDEV.P(IF(tbl_daily[CodeName]=Table3[[#This Row],[Athlete Name]],IF(tbl_daily[Academic Year]=$B$6,IF(tbl_daily[Readiness Score]&lt;&gt;"",tbl_daily[Readiness Score]))))</f>
        <v>3.1902217466658032</v>
      </c>
      <c r="X16" s="23">
        <f>IFERROR(IF($B$5="",
AVERAGEIFS(tbl_daily[LatestRPE],tbl_daily[Date],$B$3,tbl_daily[CodeName],Table3[[#This Row],[Athlete Name]],tbl_daily[Academic Year],$B$6,tbl_daily[Ones],1),
AVERAGEIFS(tbl_daily[LatestRPE],tbl_daily[Date],"&lt;="&amp;$B$3,tbl_daily[Date],"&gt;="&amp;$B$3-$B$5,tbl_daily[CodeName],Table3[[#This Row],[Athlete Name]],tbl_daily[Academic Year],$B$6,tbl_daily[Ones],1)),"")</f>
        <v>2</v>
      </c>
      <c r="Y16" s="23">
        <f>IFERROR(AVERAGEIFS(tbl_daily[LatestRPE],tbl_daily[CodeName],Table3[[#This Row],[Athlete Name]],tbl_daily[Academic Year],$B$6,tbl_daily[Ones],1),"")</f>
        <v>1.8461538461538463</v>
      </c>
      <c r="Z16" s="23" cm="1">
        <f t="array" ref="Z16">_xlfn.STDEV.P(IF(tbl_daily[CodeName]=Table3[[#This Row],[Athlete Name]],IF(tbl_daily[Academic Year]=$B$6,IF(tbl_daily[LatestRPE]&lt;&gt;"",tbl_daily[LatestRPE]))))</f>
        <v>2.0322838174804474</v>
      </c>
      <c r="AA16" s="23">
        <f>IFERROR(IF($B$5="",
AVERAGEIFS(tbl_daily[LatestDuration],tbl_daily[Date],$B$3,tbl_daily[CodeName],Table3[[#This Row],[Athlete Name]],tbl_daily[Academic Year],$B$6,tbl_daily[Ones],1),
AVERAGEIFS(tbl_daily[LatestDuration],tbl_daily[Date],"&lt;="&amp;$B$3,tbl_daily[Date],"&gt;="&amp;$B$3-$B$5,tbl_daily[CodeName],Table3[[#This Row],[Athlete Name]],tbl_daily[Academic Year],$B$6,tbl_daily[Ones],1)),"")</f>
        <v>15</v>
      </c>
      <c r="AB16" s="23">
        <f>IFERROR(AVERAGEIFS(tbl_daily[LatestDuration],tbl_daily[CodeName],Table3[[#This Row],[Athlete Name]],tbl_daily[Academic Year],$B$6,tbl_daily[Ones],1),"")</f>
        <v>12.692307692307692</v>
      </c>
      <c r="AC16" s="23" cm="1">
        <f t="array" ref="AC16">_xlfn.STDEV.P(IF(tbl_daily[CodeName]=Table3[[#This Row],[Athlete Name]],IF(tbl_daily[Academic Year]=$B$6,IF(tbl_daily[LatestDuration]&lt;&gt;"",tbl_daily[LatestDuration]))))</f>
        <v>14.225570776082252</v>
      </c>
      <c r="AD16" s="23">
        <f>IFERROR(IF($B$5="",
AVERAGEIFS(tbl_daily[sRPE],tbl_daily[Date],$B$3,tbl_daily[CodeName],Table3[[#This Row],[Athlete Name]],tbl_daily[Academic Year],$B$6,tbl_daily[Ones],1),
AVERAGEIFS(tbl_daily[sRPE],tbl_daily[Date],"&lt;="&amp;$B$3,tbl_daily[Date],"&gt;="&amp;$B$3-$B$5,tbl_daily[CodeName],Table3[[#This Row],[Athlete Name]],tbl_daily[Academic Year],$B$6,tbl_daily[Ones],1)),"")</f>
        <v>60</v>
      </c>
      <c r="AE16" s="23">
        <f>IFERROR(AVERAGEIFS(tbl_daily[sRPE],tbl_daily[CodeName],Table3[[#This Row],[Athlete Name]],tbl_daily[Academic Year],$B$6,tbl_daily[Ones],1),"")</f>
        <v>50.769230769230766</v>
      </c>
      <c r="AF16" s="23" cm="1">
        <f t="array" ref="AF16">_xlfn.STDEV.P(IF(tbl_daily[CodeName]=Table3[[#This Row],[Athlete Name]],IF(tbl_daily[Academic Year]=$B$6,IF(tbl_daily[sRPE]&lt;&gt;"",tbl_daily[sRPE]))))</f>
        <v>58.106207593911563</v>
      </c>
      <c r="AG16" s="23">
        <f>IFERROR(IF($B$5="",
AVERAGEIFS(tbl_daily[Grades],tbl_daily[Date],$B$3,tbl_daily[CodeName],Table3[[#This Row],[Athlete Name]],tbl_daily[Academic Year],$B$6,tbl_daily[Ones],1),
AVERAGEIFS(tbl_daily[Grades],tbl_daily[Date],"&lt;="&amp;$B$3,tbl_daily[Date],"&gt;="&amp;$B$3-$B$5,tbl_daily[CodeName],Table3[[#This Row],[Athlete Name]],tbl_daily[Academic Year],$B$6,tbl_daily[Ones],1)),"")</f>
        <v>91</v>
      </c>
      <c r="AH16" s="11">
        <f>IFERROR(AVERAGEIFS(tbl_daily[Grades],tbl_daily[CodeName],Table3[[#This Row],[Athlete Name]],tbl_daily[Academic Year],$B$6,tbl_daily[Ones],1),"")</f>
        <v>86</v>
      </c>
      <c r="AI16" s="11" cm="1">
        <f t="array" ref="AI16">_xlfn.STDEV.P(IF(tbl_daily[CodeName]=Table3[[#This Row],[Athlete Name]],IF(tbl_daily[Academic Year]=$B$6,IF(tbl_daily[Grades]&lt;&gt;"",tbl_daily[Grades]))))</f>
        <v>3.082207001484488</v>
      </c>
    </row>
    <row r="17" spans="1:35" x14ac:dyDescent="0.25">
      <c r="A17" s="78" t="s">
        <v>413</v>
      </c>
      <c r="B17" s="84" t="str">
        <f>INDEX(tbl_prof[Cohort of Interest],MATCH(Table3[[#This Row],[Athlete Name]],tbl_prof[CodeName],0))</f>
        <v>Youth</v>
      </c>
      <c r="C17" s="76">
        <f>IFERROR(IF($B$5="",
AVERAGEIFS(tbl_daily[Attendance Refined],tbl_daily[Date],$B$3,tbl_daily[CodeName],Table3[[#This Row],[Athlete Name]],tbl_daily[Academic Year],$B$6,tbl_daily[Ones],1),
AVERAGEIFS(tbl_daily[Attendance Refined],tbl_daily[Date],"&lt;="&amp;$B$3,tbl_daily[Date],"&gt;="&amp;$B$3-$B$5,tbl_daily[CodeName],Table3[[#This Row],[Athlete Name]],tbl_daily[Academic Year],$B$6,tbl_daily[Ones],1)),"")</f>
        <v>1</v>
      </c>
      <c r="D17" s="76">
        <f>IFERROR(AVERAGEIFS(tbl_daily[Attendance Refined],tbl_daily[CodeName],Table3[[#This Row],[Athlete Name]],tbl_daily[Academic Year],$B$6,tbl_daily[Ones],1),"")</f>
        <v>1</v>
      </c>
      <c r="E17" s="76" cm="1">
        <f t="array" ref="E17">_xlfn.STDEV.P(IF(tbl_daily[CodeName]=Table3[[#This Row],[Athlete Name]],IF(tbl_daily[Academic Year]=$B$6,tbl_daily[Attendance Refined])))</f>
        <v>0</v>
      </c>
      <c r="F17" s="76">
        <f>IFERROR(IF($B$5="",
AVERAGEIFS(tbl_daily[Injury Refined],tbl_daily[Date],$B$3,tbl_daily[CodeName],Table3[[#This Row],[Athlete Name]],tbl_daily[Academic Year],$B$6,tbl_daily[Ones],1),
AVERAGEIFS(tbl_daily[Injury Refined],tbl_daily[Date],"&lt;="&amp;$B$3,tbl_daily[Date],"&gt;="&amp;$B$3-$B$5,tbl_daily[CodeName],Table3[[#This Row],[Athlete Name]],tbl_daily[Academic Year],$B$6,tbl_daily[Ones],1)),"")</f>
        <v>1</v>
      </c>
      <c r="G17" s="76">
        <f>IFERROR(AVERAGEIFS(tbl_daily[Injury Refined],tbl_daily[CodeName],Table3[[#This Row],[Athlete Name]],tbl_daily[Academic Year],$B$6,tbl_daily[Ones],1),"")</f>
        <v>1</v>
      </c>
      <c r="H17" s="76" cm="1">
        <f t="array" ref="H17">_xlfn.STDEV.P(IF(tbl_daily[CodeName]=Table3[[#This Row],[Athlete Name]],IF(tbl_daily[Academic Year]=$B$6,tbl_daily[Injury Refined])))</f>
        <v>0</v>
      </c>
      <c r="I17" s="76">
        <f>IFERROR(IF($B$5="",
AVERAGEIFS(tbl_daily[Exercise24Hr],tbl_daily[Date],$B$3,tbl_daily[CodeName],Table3[[#This Row],[Athlete Name]],tbl_daily[Academic Year],$B$6,tbl_daily[Ones],1),
AVERAGEIFS(tbl_daily[Exercise24Hr],tbl_daily[Date],"&lt;="&amp;$B$3,tbl_daily[Date],"&gt;="&amp;$B$3-$B$5,tbl_daily[CodeName],Table3[[#This Row],[Athlete Name]],tbl_daily[Academic Year],$B$6,tbl_daily[Ones],1)),"")</f>
        <v>1</v>
      </c>
      <c r="J17" s="11">
        <f>IFERROR(AVERAGEIFS(tbl_daily[Exercise24Hr],tbl_daily[CodeName],Table3[[#This Row],[Athlete Name]],tbl_daily[Academic Year],$B$6,tbl_daily[Ones],1),"")</f>
        <v>0.92307692307692313</v>
      </c>
      <c r="K17" s="11" cm="1">
        <f t="array" ref="K17">_xlfn.STDEV.P(IF(tbl_daily[CodeName]=Table3[[#This Row],[Athlete Name]],IF(tbl_daily[Academic Year]=$B$6,tbl_daily[Exercise24Hr])))</f>
        <v>0.26646935501059649</v>
      </c>
      <c r="L17" s="23">
        <f>IFERROR(IF($B$5="",
AVERAGEIFS(tbl_daily[Stress],tbl_daily[Date],$B$3,tbl_daily[CodeName],Table3[[#This Row],[Athlete Name]],tbl_daily[Academic Year],$B$6,tbl_daily[Ones],1),
AVERAGEIFS(tbl_daily[Stress],tbl_daily[Date],"&lt;="&amp;$B$3,tbl_daily[Date],"&gt;="&amp;$B$3-$B$5,tbl_daily[CodeName],Table3[[#This Row],[Athlete Name]],tbl_daily[Academic Year],$B$6,tbl_daily[Ones],1)),"")</f>
        <v>5</v>
      </c>
      <c r="M17" s="23">
        <f>IFERROR(AVERAGEIFS(tbl_daily[Stress],tbl_daily[CodeName],Table3[[#This Row],[Athlete Name]],tbl_daily[Academic Year],$B$6,tbl_daily[Ones],1),"")</f>
        <v>4.5384615384615383</v>
      </c>
      <c r="N17" s="23" cm="1">
        <f t="array" ref="N17">_xlfn.STDEV.P(IF(tbl_daily[CodeName]=Table3[[#This Row],[Athlete Name]],IF(tbl_daily[Academic Year]=$B$6,IF(tbl_daily[Stress]&lt;&gt;"",tbl_daily[Stress]))))</f>
        <v>0.49851851526214308</v>
      </c>
      <c r="O17" s="23">
        <f>IFERROR(IF($B$5="",
AVERAGEIFS(tbl_daily[SleepQuality],tbl_daily[Date],$B$3,tbl_daily[CodeName],Table3[[#This Row],[Athlete Name]],tbl_daily[Academic Year],$B$6,tbl_daily[Ones],1),
AVERAGEIFS(tbl_daily[SleepQuality],tbl_daily[Date],"&lt;="&amp;$B$3,tbl_daily[Date],"&gt;="&amp;$B$3-$B$5,tbl_daily[CodeName],Table3[[#This Row],[Athlete Name]],tbl_daily[Academic Year],$B$6,tbl_daily[Ones],1)),"")</f>
        <v>4.5</v>
      </c>
      <c r="P17" s="23">
        <f>IFERROR(AVERAGEIFS(tbl_daily[SleepQuality],tbl_daily[CodeName],Table3[[#This Row],[Athlete Name]],tbl_daily[Academic Year],$B$6,tbl_daily[Ones],1),"")</f>
        <v>5.1538461538461542</v>
      </c>
      <c r="Q17" s="23" cm="1">
        <f t="array" ref="Q17">_xlfn.STDEV.P(IF(tbl_daily[CodeName]=Table3[[#This Row],[Athlete Name]],IF(tbl_daily[Academic Year]=$B$6,IF(tbl_daily[SleepQuality]&lt;&gt;"",tbl_daily[SleepQuality]))))</f>
        <v>1.2917581249035897</v>
      </c>
      <c r="R17" s="23">
        <f>IFERROR(IF($B$5="",
AVERAGEIFS(tbl_daily[Energy],tbl_daily[Date],$B$3,tbl_daily[CodeName],Table3[[#This Row],[Athlete Name]],tbl_daily[Academic Year],$B$6,tbl_daily[Ones],1),
AVERAGEIFS(tbl_daily[Energy],tbl_daily[Date],"&lt;="&amp;$B$3,tbl_daily[Date],"&gt;="&amp;$B$3-$B$5,tbl_daily[CodeName],Table3[[#This Row],[Athlete Name]],tbl_daily[Academic Year],$B$6,tbl_daily[Ones],1)),"")</f>
        <v>4.5</v>
      </c>
      <c r="S17" s="23">
        <f>IFERROR(AVERAGEIFS(tbl_daily[Energy],tbl_daily[CodeName],Table3[[#This Row],[Athlete Name]],tbl_daily[Academic Year],$B$6,tbl_daily[Ones],1),"")</f>
        <v>5.5384615384615383</v>
      </c>
      <c r="T17" s="23" cm="1">
        <f t="array" ref="T17">_xlfn.STDEV.P(IF(tbl_daily[CodeName]=Table3[[#This Row],[Athlete Name]],IF(tbl_daily[Academic Year]=$B$6,IF(tbl_daily[Energy]&lt;&gt;"",tbl_daily[Energy]))))</f>
        <v>1.2162606385262997</v>
      </c>
      <c r="U17" s="23">
        <f>IFERROR(IF($B$5="",
AVERAGEIFS(tbl_daily[Readiness Score],tbl_daily[Date],$B$3,tbl_daily[CodeName],Table3[[#This Row],[Athlete Name]],tbl_daily[Academic Year],$B$6,tbl_daily[Ones],1),
AVERAGEIFS(tbl_daily[Readiness Score],tbl_daily[Date],"&lt;="&amp;$B$3,tbl_daily[Date],"&gt;="&amp;$B$3-$B$5,tbl_daily[CodeName],Table3[[#This Row],[Athlete Name]],tbl_daily[Academic Year],$B$6,tbl_daily[Ones],1)),"")</f>
        <v>14</v>
      </c>
      <c r="V17" s="23">
        <f>IFERROR(AVERAGEIFS(tbl_daily[Readiness Score],tbl_daily[CodeName],Table3[[#This Row],[Athlete Name]],tbl_daily[Academic Year],$B$6,tbl_daily[Ones],1),"")</f>
        <v>15.23076923076923</v>
      </c>
      <c r="W17" s="23" cm="1">
        <f t="array" ref="W17">_xlfn.STDEV.P(IF(tbl_daily[CodeName]=Table3[[#This Row],[Athlete Name]],IF(tbl_daily[Academic Year]=$B$6,IF(tbl_daily[Readiness Score]&lt;&gt;"",tbl_daily[Readiness Score]))))</f>
        <v>2.1892691493473397</v>
      </c>
      <c r="X17" s="23">
        <f>IFERROR(IF($B$5="",
AVERAGEIFS(tbl_daily[LatestRPE],tbl_daily[Date],$B$3,tbl_daily[CodeName],Table3[[#This Row],[Athlete Name]],tbl_daily[Academic Year],$B$6,tbl_daily[Ones],1),
AVERAGEIFS(tbl_daily[LatestRPE],tbl_daily[Date],"&lt;="&amp;$B$3,tbl_daily[Date],"&gt;="&amp;$B$3-$B$5,tbl_daily[CodeName],Table3[[#This Row],[Athlete Name]],tbl_daily[Academic Year],$B$6,tbl_daily[Ones],1)),"")</f>
        <v>7</v>
      </c>
      <c r="Y17" s="23">
        <f>IFERROR(AVERAGEIFS(tbl_daily[LatestRPE],tbl_daily[CodeName],Table3[[#This Row],[Athlete Name]],tbl_daily[Academic Year],$B$6,tbl_daily[Ones],1),"")</f>
        <v>5.5384615384615383</v>
      </c>
      <c r="Z17" s="23" cm="1">
        <f t="array" ref="Z17">_xlfn.STDEV.P(IF(tbl_daily[CodeName]=Table3[[#This Row],[Athlete Name]],IF(tbl_daily[Academic Year]=$B$6,IF(tbl_daily[LatestRPE]&lt;&gt;"",tbl_daily[LatestRPE]))))</f>
        <v>2.0611940010729635</v>
      </c>
      <c r="AA17" s="23">
        <f>IFERROR(IF($B$5="",
AVERAGEIFS(tbl_daily[LatestDuration],tbl_daily[Date],$B$3,tbl_daily[CodeName],Table3[[#This Row],[Athlete Name]],tbl_daily[Academic Year],$B$6,tbl_daily[Ones],1),
AVERAGEIFS(tbl_daily[LatestDuration],tbl_daily[Date],"&lt;="&amp;$B$3,tbl_daily[Date],"&gt;="&amp;$B$3-$B$5,tbl_daily[CodeName],Table3[[#This Row],[Athlete Name]],tbl_daily[Academic Year],$B$6,tbl_daily[Ones],1)),"")</f>
        <v>35</v>
      </c>
      <c r="AB17" s="23">
        <f>IFERROR(AVERAGEIFS(tbl_daily[LatestDuration],tbl_daily[CodeName],Table3[[#This Row],[Athlete Name]],tbl_daily[Academic Year],$B$6,tbl_daily[Ones],1),"")</f>
        <v>40</v>
      </c>
      <c r="AC17" s="23" cm="1">
        <f t="array" ref="AC17">_xlfn.STDEV.P(IF(tbl_daily[CodeName]=Table3[[#This Row],[Athlete Name]],IF(tbl_daily[Academic Year]=$B$6,IF(tbl_daily[LatestDuration]&lt;&gt;"",tbl_daily[LatestDuration]))))</f>
        <v>14.806443503784736</v>
      </c>
      <c r="AD17" s="23">
        <f>IFERROR(IF($B$5="",
AVERAGEIFS(tbl_daily[sRPE],tbl_daily[Date],$B$3,tbl_daily[CodeName],Table3[[#This Row],[Athlete Name]],tbl_daily[Academic Year],$B$6,tbl_daily[Ones],1),
AVERAGEIFS(tbl_daily[sRPE],tbl_daily[Date],"&lt;="&amp;$B$3,tbl_daily[Date],"&gt;="&amp;$B$3-$B$5,tbl_daily[CodeName],Table3[[#This Row],[Athlete Name]],tbl_daily[Academic Year],$B$6,tbl_daily[Ones],1)),"")</f>
        <v>250</v>
      </c>
      <c r="AE17" s="23">
        <f>IFERROR(AVERAGEIFS(tbl_daily[sRPE],tbl_daily[CodeName],Table3[[#This Row],[Athlete Name]],tbl_daily[Academic Year],$B$6,tbl_daily[Ones],1),"")</f>
        <v>239.23076923076923</v>
      </c>
      <c r="AF17" s="23" cm="1">
        <f t="array" ref="AF17">_xlfn.STDEV.P(IF(tbl_daily[CodeName]=Table3[[#This Row],[Athlete Name]],IF(tbl_daily[Academic Year]=$B$6,IF(tbl_daily[sRPE]&lt;&gt;"",tbl_daily[sRPE]))))</f>
        <v>101.93976641297233</v>
      </c>
      <c r="AG17" s="23">
        <f>IFERROR(IF($B$5="",
AVERAGEIFS(tbl_daily[Grades],tbl_daily[Date],$B$3,tbl_daily[CodeName],Table3[[#This Row],[Athlete Name]],tbl_daily[Academic Year],$B$6,tbl_daily[Ones],1),
AVERAGEIFS(tbl_daily[Grades],tbl_daily[Date],"&lt;="&amp;$B$3,tbl_daily[Date],"&gt;="&amp;$B$3-$B$5,tbl_daily[CodeName],Table3[[#This Row],[Athlete Name]],tbl_daily[Academic Year],$B$6,tbl_daily[Ones],1)),"")</f>
        <v>80</v>
      </c>
      <c r="AH17" s="11">
        <f>IFERROR(AVERAGEIFS(tbl_daily[Grades],tbl_daily[CodeName],Table3[[#This Row],[Athlete Name]],tbl_daily[Academic Year],$B$6,tbl_daily[Ones],1),"")</f>
        <v>87.5</v>
      </c>
      <c r="AI17" s="11" cm="1">
        <f t="array" ref="AI17">_xlfn.STDEV.P(IF(tbl_daily[CodeName]=Table3[[#This Row],[Athlete Name]],IF(tbl_daily[Academic Year]=$B$6,IF(tbl_daily[Grades]&lt;&gt;"",tbl_daily[Grades]))))</f>
        <v>6.3442887702247601</v>
      </c>
    </row>
    <row r="18" spans="1:35" x14ac:dyDescent="0.25">
      <c r="A18" s="77" t="s">
        <v>414</v>
      </c>
      <c r="B18" s="83" t="str">
        <f>INDEX(tbl_prof[Cohort of Interest],MATCH(Table3[[#This Row],[Athlete Name]],tbl_prof[CodeName],0))</f>
        <v>Gen Pop</v>
      </c>
      <c r="C18" s="76">
        <f>IFERROR(IF($B$5="",
AVERAGEIFS(tbl_daily[Attendance Refined],tbl_daily[Date],$B$3,tbl_daily[CodeName],Table3[[#This Row],[Athlete Name]],tbl_daily[Academic Year],$B$6,tbl_daily[Ones],1),
AVERAGEIFS(tbl_daily[Attendance Refined],tbl_daily[Date],"&lt;="&amp;$B$3,tbl_daily[Date],"&gt;="&amp;$B$3-$B$5,tbl_daily[CodeName],Table3[[#This Row],[Athlete Name]],tbl_daily[Academic Year],$B$6,tbl_daily[Ones],1)),"")</f>
        <v>2</v>
      </c>
      <c r="D18" s="76">
        <f>IFERROR(AVERAGEIFS(tbl_daily[Attendance Refined],tbl_daily[CodeName],Table3[[#This Row],[Athlete Name]],tbl_daily[Academic Year],$B$6,tbl_daily[Ones],1),"")</f>
        <v>1.1666666666666667</v>
      </c>
      <c r="E18" s="76" cm="1">
        <f t="array" ref="E18">_xlfn.STDEV.P(IF(tbl_daily[CodeName]=Table3[[#This Row],[Athlete Name]],IF(tbl_daily[Academic Year]=$B$6,tbl_daily[Attendance Refined])))</f>
        <v>0.55277079839256671</v>
      </c>
      <c r="F18" s="76">
        <f>IFERROR(IF($B$5="",
AVERAGEIFS(tbl_daily[Injury Refined],tbl_daily[Date],$B$3,tbl_daily[CodeName],Table3[[#This Row],[Athlete Name]],tbl_daily[Academic Year],$B$6,tbl_daily[Ones],1),
AVERAGEIFS(tbl_daily[Injury Refined],tbl_daily[Date],"&lt;="&amp;$B$3,tbl_daily[Date],"&gt;="&amp;$B$3-$B$5,tbl_daily[CodeName],Table3[[#This Row],[Athlete Name]],tbl_daily[Academic Year],$B$6,tbl_daily[Ones],1)),"")</f>
        <v>1</v>
      </c>
      <c r="G18" s="76">
        <f>IFERROR(AVERAGEIFS(tbl_daily[Injury Refined],tbl_daily[CodeName],Table3[[#This Row],[Athlete Name]],tbl_daily[Academic Year],$B$6,tbl_daily[Ones],1),"")</f>
        <v>1</v>
      </c>
      <c r="H18" s="76" cm="1">
        <f t="array" ref="H18">_xlfn.STDEV.P(IF(tbl_daily[CodeName]=Table3[[#This Row],[Athlete Name]],IF(tbl_daily[Academic Year]=$B$6,tbl_daily[Injury Refined])))</f>
        <v>0</v>
      </c>
      <c r="I18" s="76">
        <f>IFERROR(IF($B$5="",
AVERAGEIFS(tbl_daily[Exercise24Hr],tbl_daily[Date],$B$3,tbl_daily[CodeName],Table3[[#This Row],[Athlete Name]],tbl_daily[Academic Year],$B$6,tbl_daily[Ones],1),
AVERAGEIFS(tbl_daily[Exercise24Hr],tbl_daily[Date],"&lt;="&amp;$B$3,tbl_daily[Date],"&gt;="&amp;$B$3-$B$5,tbl_daily[CodeName],Table3[[#This Row],[Athlete Name]],tbl_daily[Academic Year],$B$6,tbl_daily[Ones],1)),"")</f>
        <v>1</v>
      </c>
      <c r="J18" s="11">
        <f>IFERROR(AVERAGEIFS(tbl_daily[Exercise24Hr],tbl_daily[CodeName],Table3[[#This Row],[Athlete Name]],tbl_daily[Academic Year],$B$6,tbl_daily[Ones],1),"")</f>
        <v>0.63636363636363635</v>
      </c>
      <c r="K18" s="11" cm="1">
        <f t="array" ref="K18">_xlfn.STDEV.P(IF(tbl_daily[CodeName]=Table3[[#This Row],[Athlete Name]],IF(tbl_daily[Academic Year]=$B$6,tbl_daily[Exercise24Hr])))</f>
        <v>0.49300664859163468</v>
      </c>
      <c r="L18" s="23">
        <f>IFERROR(IF($B$5="",
AVERAGEIFS(tbl_daily[Stress],tbl_daily[Date],$B$3,tbl_daily[CodeName],Table3[[#This Row],[Athlete Name]],tbl_daily[Academic Year],$B$6,tbl_daily[Ones],1),
AVERAGEIFS(tbl_daily[Stress],tbl_daily[Date],"&lt;="&amp;$B$3,tbl_daily[Date],"&gt;="&amp;$B$3-$B$5,tbl_daily[CodeName],Table3[[#This Row],[Athlete Name]],tbl_daily[Academic Year],$B$6,tbl_daily[Ones],1)),"")</f>
        <v>5</v>
      </c>
      <c r="M18" s="23">
        <f>IFERROR(AVERAGEIFS(tbl_daily[Stress],tbl_daily[CodeName],Table3[[#This Row],[Athlete Name]],tbl_daily[Academic Year],$B$6,tbl_daily[Ones],1),"")</f>
        <v>5.2727272727272725</v>
      </c>
      <c r="N18" s="23" cm="1">
        <f t="array" ref="N18">_xlfn.STDEV.P(IF(tbl_daily[CodeName]=Table3[[#This Row],[Athlete Name]],IF(tbl_daily[Academic Year]=$B$6,IF(tbl_daily[Stress]&lt;&gt;"",tbl_daily[Stress]))))</f>
        <v>1.2128785512842122</v>
      </c>
      <c r="O18" s="23">
        <f>IFERROR(IF($B$5="",
AVERAGEIFS(tbl_daily[SleepQuality],tbl_daily[Date],$B$3,tbl_daily[CodeName],Table3[[#This Row],[Athlete Name]],tbl_daily[Academic Year],$B$6,tbl_daily[Ones],1),
AVERAGEIFS(tbl_daily[SleepQuality],tbl_daily[Date],"&lt;="&amp;$B$3,tbl_daily[Date],"&gt;="&amp;$B$3-$B$5,tbl_daily[CodeName],Table3[[#This Row],[Athlete Name]],tbl_daily[Academic Year],$B$6,tbl_daily[Ones],1)),"")</f>
        <v>6</v>
      </c>
      <c r="P18" s="23">
        <f>IFERROR(AVERAGEIFS(tbl_daily[SleepQuality],tbl_daily[CodeName],Table3[[#This Row],[Athlete Name]],tbl_daily[Academic Year],$B$6,tbl_daily[Ones],1),"")</f>
        <v>7</v>
      </c>
      <c r="Q18" s="23" cm="1">
        <f t="array" ref="Q18">_xlfn.STDEV.P(IF(tbl_daily[CodeName]=Table3[[#This Row],[Athlete Name]],IF(tbl_daily[Academic Year]=$B$6,IF(tbl_daily[SleepQuality]&lt;&gt;"",tbl_daily[SleepQuality]))))</f>
        <v>1.1281521496355325</v>
      </c>
      <c r="R18" s="23">
        <f>IFERROR(IF($B$5="",
AVERAGEIFS(tbl_daily[Energy],tbl_daily[Date],$B$3,tbl_daily[CodeName],Table3[[#This Row],[Athlete Name]],tbl_daily[Academic Year],$B$6,tbl_daily[Ones],1),
AVERAGEIFS(tbl_daily[Energy],tbl_daily[Date],"&lt;="&amp;$B$3,tbl_daily[Date],"&gt;="&amp;$B$3-$B$5,tbl_daily[CodeName],Table3[[#This Row],[Athlete Name]],tbl_daily[Academic Year],$B$6,tbl_daily[Ones],1)),"")</f>
        <v>6</v>
      </c>
      <c r="S18" s="23">
        <f>IFERROR(AVERAGEIFS(tbl_daily[Energy],tbl_daily[CodeName],Table3[[#This Row],[Athlete Name]],tbl_daily[Academic Year],$B$6,tbl_daily[Ones],1),"")</f>
        <v>6.8181818181818183</v>
      </c>
      <c r="T18" s="23" cm="1">
        <f t="array" ref="T18">_xlfn.STDEV.P(IF(tbl_daily[CodeName]=Table3[[#This Row],[Athlete Name]],IF(tbl_daily[Academic Year]=$B$6,IF(tbl_daily[Energy]&lt;&gt;"",tbl_daily[Energy]))))</f>
        <v>1.1134044285378082</v>
      </c>
      <c r="U18" s="23">
        <f>IFERROR(IF($B$5="",
AVERAGEIFS(tbl_daily[Readiness Score],tbl_daily[Date],$B$3,tbl_daily[CodeName],Table3[[#This Row],[Athlete Name]],tbl_daily[Academic Year],$B$6,tbl_daily[Ones],1),
AVERAGEIFS(tbl_daily[Readiness Score],tbl_daily[Date],"&lt;="&amp;$B$3,tbl_daily[Date],"&gt;="&amp;$B$3-$B$5,tbl_daily[CodeName],Table3[[#This Row],[Athlete Name]],tbl_daily[Academic Year],$B$6,tbl_daily[Ones],1)),"")</f>
        <v>17</v>
      </c>
      <c r="V18" s="23">
        <f>IFERROR(AVERAGEIFS(tbl_daily[Readiness Score],tbl_daily[CodeName],Table3[[#This Row],[Athlete Name]],tbl_daily[Academic Year],$B$6,tbl_daily[Ones],1),"")</f>
        <v>19.09090909090909</v>
      </c>
      <c r="W18" s="23" cm="1">
        <f t="array" ref="W18">_xlfn.STDEV.P(IF(tbl_daily[CodeName]=Table3[[#This Row],[Athlete Name]],IF(tbl_daily[Academic Year]=$B$6,IF(tbl_daily[Readiness Score]&lt;&gt;"",tbl_daily[Readiness Score]))))</f>
        <v>2.5389527352307164</v>
      </c>
      <c r="X18" s="23">
        <f>IFERROR(IF($B$5="",
AVERAGEIFS(tbl_daily[LatestRPE],tbl_daily[Date],$B$3,tbl_daily[CodeName],Table3[[#This Row],[Athlete Name]],tbl_daily[Academic Year],$B$6,tbl_daily[Ones],1),
AVERAGEIFS(tbl_daily[LatestRPE],tbl_daily[Date],"&lt;="&amp;$B$3,tbl_daily[Date],"&gt;="&amp;$B$3-$B$5,tbl_daily[CodeName],Table3[[#This Row],[Athlete Name]],tbl_daily[Academic Year],$B$6,tbl_daily[Ones],1)),"")</f>
        <v>4</v>
      </c>
      <c r="Y18" s="23">
        <f>IFERROR(AVERAGEIFS(tbl_daily[LatestRPE],tbl_daily[CodeName],Table3[[#This Row],[Athlete Name]],tbl_daily[Academic Year],$B$6,tbl_daily[Ones],1),"")</f>
        <v>3.0909090909090908</v>
      </c>
      <c r="Z18" s="23" cm="1">
        <f t="array" ref="Z18">_xlfn.STDEV.P(IF(tbl_daily[CodeName]=Table3[[#This Row],[Athlete Name]],IF(tbl_daily[Academic Year]=$B$6,IF(tbl_daily[LatestRPE]&lt;&gt;"",tbl_daily[LatestRPE]))))</f>
        <v>2.5028908905338554</v>
      </c>
      <c r="AA18" s="23">
        <f>IFERROR(IF($B$5="",
AVERAGEIFS(tbl_daily[LatestDuration],tbl_daily[Date],$B$3,tbl_daily[CodeName],Table3[[#This Row],[Athlete Name]],tbl_daily[Academic Year],$B$6,tbl_daily[Ones],1),
AVERAGEIFS(tbl_daily[LatestDuration],tbl_daily[Date],"&lt;="&amp;$B$3,tbl_daily[Date],"&gt;="&amp;$B$3-$B$5,tbl_daily[CodeName],Table3[[#This Row],[Athlete Name]],tbl_daily[Academic Year],$B$6,tbl_daily[Ones],1)),"")</f>
        <v>15</v>
      </c>
      <c r="AB18" s="23">
        <f>IFERROR(AVERAGEIFS(tbl_daily[LatestDuration],tbl_daily[CodeName],Table3[[#This Row],[Athlete Name]],tbl_daily[Academic Year],$B$6,tbl_daily[Ones],1),"")</f>
        <v>20.90909090909091</v>
      </c>
      <c r="AC18" s="23" cm="1">
        <f t="array" ref="AC18">_xlfn.STDEV.P(IF(tbl_daily[CodeName]=Table3[[#This Row],[Athlete Name]],IF(tbl_daily[Academic Year]=$B$6,IF(tbl_daily[LatestDuration]&lt;&gt;"",tbl_daily[LatestDuration]))))</f>
        <v>25.833222251605129</v>
      </c>
      <c r="AD18" s="23">
        <f>IFERROR(IF($B$5="",
AVERAGEIFS(tbl_daily[sRPE],tbl_daily[Date],$B$3,tbl_daily[CodeName],Table3[[#This Row],[Athlete Name]],tbl_daily[Academic Year],$B$6,tbl_daily[Ones],1),
AVERAGEIFS(tbl_daily[sRPE],tbl_daily[Date],"&lt;="&amp;$B$3,tbl_daily[Date],"&gt;="&amp;$B$3-$B$5,tbl_daily[CodeName],Table3[[#This Row],[Athlete Name]],tbl_daily[Academic Year],$B$6,tbl_daily[Ones],1)),"")</f>
        <v>60</v>
      </c>
      <c r="AE18" s="23">
        <f>IFERROR(AVERAGEIFS(tbl_daily[sRPE],tbl_daily[CodeName],Table3[[#This Row],[Athlete Name]],tbl_daily[Academic Year],$B$6,tbl_daily[Ones],1),"")</f>
        <v>109.54545454545455</v>
      </c>
      <c r="AF18" s="23" cm="1">
        <f t="array" ref="AF18">_xlfn.STDEV.P(IF(tbl_daily[CodeName]=Table3[[#This Row],[Athlete Name]],IF(tbl_daily[Academic Year]=$B$6,IF(tbl_daily[sRPE]&lt;&gt;"",tbl_daily[sRPE]))))</f>
        <v>140.36404851564549</v>
      </c>
      <c r="AG18" s="23">
        <f>IFERROR(IF($B$5="",
AVERAGEIFS(tbl_daily[Grades],tbl_daily[Date],$B$3,tbl_daily[CodeName],Table3[[#This Row],[Athlete Name]],tbl_daily[Academic Year],$B$6,tbl_daily[Ones],1),
AVERAGEIFS(tbl_daily[Grades],tbl_daily[Date],"&lt;="&amp;$B$3,tbl_daily[Date],"&gt;="&amp;$B$3-$B$5,tbl_daily[CodeName],Table3[[#This Row],[Athlete Name]],tbl_daily[Academic Year],$B$6,tbl_daily[Ones],1)),"")</f>
        <v>90</v>
      </c>
      <c r="AH18" s="11">
        <f>IFERROR(AVERAGEIFS(tbl_daily[Grades],tbl_daily[CodeName],Table3[[#This Row],[Athlete Name]],tbl_daily[Academic Year],$B$6,tbl_daily[Ones],1),"")</f>
        <v>96.5</v>
      </c>
      <c r="AI18" s="11" cm="1">
        <f t="array" ref="AI18">_xlfn.STDEV.P(IF(tbl_daily[CodeName]=Table3[[#This Row],[Athlete Name]],IF(tbl_daily[Academic Year]=$B$6,IF(tbl_daily[Grades]&lt;&gt;"",tbl_daily[Grades]))))</f>
        <v>4.0926763859362252</v>
      </c>
    </row>
    <row r="19" spans="1:35" x14ac:dyDescent="0.25">
      <c r="A19" s="78" t="s">
        <v>415</v>
      </c>
      <c r="B19" s="84" t="str">
        <f>INDEX(tbl_prof[Cohort of Interest],MATCH(Table3[[#This Row],[Athlete Name]],tbl_prof[CodeName],0))</f>
        <v>Youth</v>
      </c>
      <c r="C19" s="76">
        <f>IFERROR(IF($B$5="",
AVERAGEIFS(tbl_daily[Attendance Refined],tbl_daily[Date],$B$3,tbl_daily[CodeName],Table3[[#This Row],[Athlete Name]],tbl_daily[Academic Year],$B$6,tbl_daily[Ones],1),
AVERAGEIFS(tbl_daily[Attendance Refined],tbl_daily[Date],"&lt;="&amp;$B$3,tbl_daily[Date],"&gt;="&amp;$B$3-$B$5,tbl_daily[CodeName],Table3[[#This Row],[Athlete Name]],tbl_daily[Academic Year],$B$6,tbl_daily[Ones],1)),"")</f>
        <v>1</v>
      </c>
      <c r="D19" s="76">
        <f>IFERROR(AVERAGEIFS(tbl_daily[Attendance Refined],tbl_daily[CodeName],Table3[[#This Row],[Athlete Name]],tbl_daily[Academic Year],$B$6,tbl_daily[Ones],1),"")</f>
        <v>1.4615384615384615</v>
      </c>
      <c r="E19" s="76" cm="1">
        <f t="array" ref="E19">_xlfn.STDEV.P(IF(tbl_daily[CodeName]=Table3[[#This Row],[Athlete Name]],IF(tbl_daily[Academic Year]=$B$6,tbl_daily[Attendance Refined])))</f>
        <v>0.8426500884694863</v>
      </c>
      <c r="F19" s="76">
        <f>IFERROR(IF($B$5="",
AVERAGEIFS(tbl_daily[Injury Refined],tbl_daily[Date],$B$3,tbl_daily[CodeName],Table3[[#This Row],[Athlete Name]],tbl_daily[Academic Year],$B$6,tbl_daily[Ones],1),
AVERAGEIFS(tbl_daily[Injury Refined],tbl_daily[Date],"&lt;="&amp;$B$3,tbl_daily[Date],"&gt;="&amp;$B$3-$B$5,tbl_daily[CodeName],Table3[[#This Row],[Athlete Name]],tbl_daily[Academic Year],$B$6,tbl_daily[Ones],1)),"")</f>
        <v>1</v>
      </c>
      <c r="G19" s="76">
        <f>IFERROR(AVERAGEIFS(tbl_daily[Injury Refined],tbl_daily[CodeName],Table3[[#This Row],[Athlete Name]],tbl_daily[Academic Year],$B$6,tbl_daily[Ones],1),"")</f>
        <v>1</v>
      </c>
      <c r="H19" s="76" cm="1">
        <f t="array" ref="H19">_xlfn.STDEV.P(IF(tbl_daily[CodeName]=Table3[[#This Row],[Athlete Name]],IF(tbl_daily[Academic Year]=$B$6,tbl_daily[Injury Refined])))</f>
        <v>0</v>
      </c>
      <c r="I19" s="76">
        <f>IFERROR(IF($B$5="",
AVERAGEIFS(tbl_daily[Exercise24Hr],tbl_daily[Date],$B$3,tbl_daily[CodeName],Table3[[#This Row],[Athlete Name]],tbl_daily[Academic Year],$B$6,tbl_daily[Ones],1),
AVERAGEIFS(tbl_daily[Exercise24Hr],tbl_daily[Date],"&lt;="&amp;$B$3,tbl_daily[Date],"&gt;="&amp;$B$3-$B$5,tbl_daily[CodeName],Table3[[#This Row],[Athlete Name]],tbl_daily[Academic Year],$B$6,tbl_daily[Ones],1)),"")</f>
        <v>0.5</v>
      </c>
      <c r="J19" s="11">
        <f>IFERROR(AVERAGEIFS(tbl_daily[Exercise24Hr],tbl_daily[CodeName],Table3[[#This Row],[Athlete Name]],tbl_daily[Academic Year],$B$6,tbl_daily[Ones],1),"")</f>
        <v>0.2</v>
      </c>
      <c r="K19" s="11" cm="1">
        <f t="array" ref="K19">_xlfn.STDEV.P(IF(tbl_daily[CodeName]=Table3[[#This Row],[Athlete Name]],IF(tbl_daily[Academic Year]=$B$6,tbl_daily[Exercise24Hr])))</f>
        <v>0.36080121229410994</v>
      </c>
      <c r="L19" s="23">
        <f>IFERROR(IF($B$5="",
AVERAGEIFS(tbl_daily[Stress],tbl_daily[Date],$B$3,tbl_daily[CodeName],Table3[[#This Row],[Athlete Name]],tbl_daily[Academic Year],$B$6,tbl_daily[Ones],1),
AVERAGEIFS(tbl_daily[Stress],tbl_daily[Date],"&lt;="&amp;$B$3,tbl_daily[Date],"&gt;="&amp;$B$3-$B$5,tbl_daily[CodeName],Table3[[#This Row],[Athlete Name]],tbl_daily[Academic Year],$B$6,tbl_daily[Ones],1)),"")</f>
        <v>6.5</v>
      </c>
      <c r="M19" s="23">
        <f>IFERROR(AVERAGEIFS(tbl_daily[Stress],tbl_daily[CodeName],Table3[[#This Row],[Athlete Name]],tbl_daily[Academic Year],$B$6,tbl_daily[Ones],1),"")</f>
        <v>4.8</v>
      </c>
      <c r="N19" s="23" cm="1">
        <f t="array" ref="N19">_xlfn.STDEV.P(IF(tbl_daily[CodeName]=Table3[[#This Row],[Athlete Name]],IF(tbl_daily[Academic Year]=$B$6,IF(tbl_daily[Stress]&lt;&gt;"",tbl_daily[Stress]))))</f>
        <v>1.9390719429665315</v>
      </c>
      <c r="O19" s="23">
        <f>IFERROR(IF($B$5="",
AVERAGEIFS(tbl_daily[SleepQuality],tbl_daily[Date],$B$3,tbl_daily[CodeName],Table3[[#This Row],[Athlete Name]],tbl_daily[Academic Year],$B$6,tbl_daily[Ones],1),
AVERAGEIFS(tbl_daily[SleepQuality],tbl_daily[Date],"&lt;="&amp;$B$3,tbl_daily[Date],"&gt;="&amp;$B$3-$B$5,tbl_daily[CodeName],Table3[[#This Row],[Athlete Name]],tbl_daily[Academic Year],$B$6,tbl_daily[Ones],1)),"")</f>
        <v>5</v>
      </c>
      <c r="P19" s="23">
        <f>IFERROR(AVERAGEIFS(tbl_daily[SleepQuality],tbl_daily[CodeName],Table3[[#This Row],[Athlete Name]],tbl_daily[Academic Year],$B$6,tbl_daily[Ones],1),"")</f>
        <v>5.0999999999999996</v>
      </c>
      <c r="Q19" s="23" cm="1">
        <f t="array" ref="Q19">_xlfn.STDEV.P(IF(tbl_daily[CodeName]=Table3[[#This Row],[Athlete Name]],IF(tbl_daily[Academic Year]=$B$6,IF(tbl_daily[SleepQuality]&lt;&gt;"",tbl_daily[SleepQuality]))))</f>
        <v>1.972308292331602</v>
      </c>
      <c r="R19" s="23">
        <f>IFERROR(IF($B$5="",
AVERAGEIFS(tbl_daily[Energy],tbl_daily[Date],$B$3,tbl_daily[CodeName],Table3[[#This Row],[Athlete Name]],tbl_daily[Academic Year],$B$6,tbl_daily[Ones],1),
AVERAGEIFS(tbl_daily[Energy],tbl_daily[Date],"&lt;="&amp;$B$3,tbl_daily[Date],"&gt;="&amp;$B$3-$B$5,tbl_daily[CodeName],Table3[[#This Row],[Athlete Name]],tbl_daily[Academic Year],$B$6,tbl_daily[Ones],1)),"")</f>
        <v>5.5</v>
      </c>
      <c r="S19" s="23">
        <f>IFERROR(AVERAGEIFS(tbl_daily[Energy],tbl_daily[CodeName],Table3[[#This Row],[Athlete Name]],tbl_daily[Academic Year],$B$6,tbl_daily[Ones],1),"")</f>
        <v>4.8</v>
      </c>
      <c r="T19" s="23" cm="1">
        <f t="array" ref="T19">_xlfn.STDEV.P(IF(tbl_daily[CodeName]=Table3[[#This Row],[Athlete Name]],IF(tbl_daily[Academic Year]=$B$6,IF(tbl_daily[Energy]&lt;&gt;"",tbl_daily[Energy]))))</f>
        <v>1.7776388834631178</v>
      </c>
      <c r="U19" s="23">
        <f>IFERROR(IF($B$5="",
AVERAGEIFS(tbl_daily[Readiness Score],tbl_daily[Date],$B$3,tbl_daily[CodeName],Table3[[#This Row],[Athlete Name]],tbl_daily[Academic Year],$B$6,tbl_daily[Ones],1),
AVERAGEIFS(tbl_daily[Readiness Score],tbl_daily[Date],"&lt;="&amp;$B$3,tbl_daily[Date],"&gt;="&amp;$B$3-$B$5,tbl_daily[CodeName],Table3[[#This Row],[Athlete Name]],tbl_daily[Academic Year],$B$6,tbl_daily[Ones],1)),"")</f>
        <v>17</v>
      </c>
      <c r="V19" s="23">
        <f>IFERROR(AVERAGEIFS(tbl_daily[Readiness Score],tbl_daily[CodeName],Table3[[#This Row],[Athlete Name]],tbl_daily[Academic Year],$B$6,tbl_daily[Ones],1),"")</f>
        <v>14.7</v>
      </c>
      <c r="W19" s="23" cm="1">
        <f t="array" ref="W19">_xlfn.STDEV.P(IF(tbl_daily[CodeName]=Table3[[#This Row],[Athlete Name]],IF(tbl_daily[Academic Year]=$B$6,IF(tbl_daily[Readiness Score]&lt;&gt;"",tbl_daily[Readiness Score]))))</f>
        <v>5.0009999000199947</v>
      </c>
      <c r="X19" s="23">
        <f>IFERROR(IF($B$5="",
AVERAGEIFS(tbl_daily[LatestRPE],tbl_daily[Date],$B$3,tbl_daily[CodeName],Table3[[#This Row],[Athlete Name]],tbl_daily[Academic Year],$B$6,tbl_daily[Ones],1),
AVERAGEIFS(tbl_daily[LatestRPE],tbl_daily[Date],"&lt;="&amp;$B$3,tbl_daily[Date],"&gt;="&amp;$B$3-$B$5,tbl_daily[CodeName],Table3[[#This Row],[Athlete Name]],tbl_daily[Academic Year],$B$6,tbl_daily[Ones],1)),"")</f>
        <v>6</v>
      </c>
      <c r="Y19" s="23">
        <f>IFERROR(AVERAGEIFS(tbl_daily[LatestRPE],tbl_daily[CodeName],Table3[[#This Row],[Athlete Name]],tbl_daily[Academic Year],$B$6,tbl_daily[Ones],1),"")</f>
        <v>5.5</v>
      </c>
      <c r="Z19" s="23" cm="1">
        <f t="array" ref="Z19">_xlfn.STDEV.P(IF(tbl_daily[CodeName]=Table3[[#This Row],[Athlete Name]],IF(tbl_daily[Academic Year]=$B$6,IF(tbl_daily[LatestRPE]&lt;&gt;"",tbl_daily[LatestRPE]))))</f>
        <v>0.5</v>
      </c>
      <c r="AA19" s="23">
        <f>IFERROR(IF($B$5="",
AVERAGEIFS(tbl_daily[LatestDuration],tbl_daily[Date],$B$3,tbl_daily[CodeName],Table3[[#This Row],[Athlete Name]],tbl_daily[Academic Year],$B$6,tbl_daily[Ones],1),
AVERAGEIFS(tbl_daily[LatestDuration],tbl_daily[Date],"&lt;="&amp;$B$3,tbl_daily[Date],"&gt;="&amp;$B$3-$B$5,tbl_daily[CodeName],Table3[[#This Row],[Athlete Name]],tbl_daily[Academic Year],$B$6,tbl_daily[Ones],1)),"")</f>
        <v>45</v>
      </c>
      <c r="AB19" s="23">
        <f>IFERROR(AVERAGEIFS(tbl_daily[LatestDuration],tbl_daily[CodeName],Table3[[#This Row],[Athlete Name]],tbl_daily[Academic Year],$B$6,tbl_daily[Ones],1),"")</f>
        <v>48.5</v>
      </c>
      <c r="AC19" s="23" cm="1">
        <f t="array" ref="AC19">_xlfn.STDEV.P(IF(tbl_daily[CodeName]=Table3[[#This Row],[Athlete Name]],IF(tbl_daily[Academic Year]=$B$6,IF(tbl_daily[LatestDuration]&lt;&gt;"",tbl_daily[LatestDuration]))))</f>
        <v>44.556144357428416</v>
      </c>
      <c r="AD19" s="23">
        <f>IFERROR(IF($B$5="",
AVERAGEIFS(tbl_daily[sRPE],tbl_daily[Date],$B$3,tbl_daily[CodeName],Table3[[#This Row],[Athlete Name]],tbl_daily[Academic Year],$B$6,tbl_daily[Ones],1),
AVERAGEIFS(tbl_daily[sRPE],tbl_daily[Date],"&lt;="&amp;$B$3,tbl_daily[Date],"&gt;="&amp;$B$3-$B$5,tbl_daily[CodeName],Table3[[#This Row],[Athlete Name]],tbl_daily[Academic Year],$B$6,tbl_daily[Ones],1)),"")</f>
        <v>270</v>
      </c>
      <c r="AE19" s="23">
        <f>IFERROR(AVERAGEIFS(tbl_daily[sRPE],tbl_daily[CodeName],Table3[[#This Row],[Athlete Name]],tbl_daily[Academic Year],$B$6,tbl_daily[Ones],1),"")</f>
        <v>260.5</v>
      </c>
      <c r="AF19" s="23" cm="1">
        <f t="array" ref="AF19">_xlfn.STDEV.P(IF(tbl_daily[CodeName]=Table3[[#This Row],[Athlete Name]],IF(tbl_daily[Academic Year]=$B$6,IF(tbl_daily[sRPE]&lt;&gt;"",tbl_daily[sRPE]))))</f>
        <v>219.09415784086988</v>
      </c>
      <c r="AG19" s="23">
        <f>IFERROR(IF($B$5="",
AVERAGEIFS(tbl_daily[Grades],tbl_daily[Date],$B$3,tbl_daily[CodeName],Table3[[#This Row],[Athlete Name]],tbl_daily[Academic Year],$B$6,tbl_daily[Ones],1),
AVERAGEIFS(tbl_daily[Grades],tbl_daily[Date],"&lt;="&amp;$B$3,tbl_daily[Date],"&gt;="&amp;$B$3-$B$5,tbl_daily[CodeName],Table3[[#This Row],[Athlete Name]],tbl_daily[Academic Year],$B$6,tbl_daily[Ones],1)),"")</f>
        <v>80</v>
      </c>
      <c r="AH19" s="11">
        <f>IFERROR(AVERAGEIFS(tbl_daily[Grades],tbl_daily[CodeName],Table3[[#This Row],[Athlete Name]],tbl_daily[Academic Year],$B$6,tbl_daily[Ones],1),"")</f>
        <v>92.25</v>
      </c>
      <c r="AI19" s="11" cm="1">
        <f t="array" ref="AI19">_xlfn.STDEV.P(IF(tbl_daily[CodeName]=Table3[[#This Row],[Athlete Name]],IF(tbl_daily[Academic Year]=$B$6,IF(tbl_daily[Grades]&lt;&gt;"",tbl_daily[Grades]))))</f>
        <v>7.5622417311270871</v>
      </c>
    </row>
    <row r="20" spans="1:35" x14ac:dyDescent="0.25">
      <c r="A20" s="77" t="s">
        <v>416</v>
      </c>
      <c r="B20" s="83" t="str">
        <f>INDEX(tbl_prof[Cohort of Interest],MATCH(Table3[[#This Row],[Athlete Name]],tbl_prof[CodeName],0))</f>
        <v>Special</v>
      </c>
      <c r="C20" s="76">
        <f>IFERROR(IF($B$5="",
AVERAGEIFS(tbl_daily[Attendance Refined],tbl_daily[Date],$B$3,tbl_daily[CodeName],Table3[[#This Row],[Athlete Name]],tbl_daily[Academic Year],$B$6,tbl_daily[Ones],1),
AVERAGEIFS(tbl_daily[Attendance Refined],tbl_daily[Date],"&lt;="&amp;$B$3,tbl_daily[Date],"&gt;="&amp;$B$3-$B$5,tbl_daily[CodeName],Table3[[#This Row],[Athlete Name]],tbl_daily[Academic Year],$B$6,tbl_daily[Ones],1)),"")</f>
        <v>1</v>
      </c>
      <c r="D20" s="76">
        <f>IFERROR(AVERAGEIFS(tbl_daily[Attendance Refined],tbl_daily[CodeName],Table3[[#This Row],[Athlete Name]],tbl_daily[Academic Year],$B$6,tbl_daily[Ones],1),"")</f>
        <v>1.1538461538461537</v>
      </c>
      <c r="E20" s="76" cm="1">
        <f t="array" ref="E20">_xlfn.STDEV.P(IF(tbl_daily[CodeName]=Table3[[#This Row],[Athlete Name]],IF(tbl_daily[Academic Year]=$B$6,tbl_daily[Attendance Refined])))</f>
        <v>0.53293871002119297</v>
      </c>
      <c r="F20" s="76">
        <f>IFERROR(IF($B$5="",
AVERAGEIFS(tbl_daily[Injury Refined],tbl_daily[Date],$B$3,tbl_daily[CodeName],Table3[[#This Row],[Athlete Name]],tbl_daily[Academic Year],$B$6,tbl_daily[Ones],1),
AVERAGEIFS(tbl_daily[Injury Refined],tbl_daily[Date],"&lt;="&amp;$B$3,tbl_daily[Date],"&gt;="&amp;$B$3-$B$5,tbl_daily[CodeName],Table3[[#This Row],[Athlete Name]],tbl_daily[Academic Year],$B$6,tbl_daily[Ones],1)),"")</f>
        <v>1.5</v>
      </c>
      <c r="G20" s="76">
        <f>IFERROR(AVERAGEIFS(tbl_daily[Injury Refined],tbl_daily[CodeName],Table3[[#This Row],[Athlete Name]],tbl_daily[Academic Year],$B$6,tbl_daily[Ones],1),"")</f>
        <v>1.9166666666666667</v>
      </c>
      <c r="H20" s="76" cm="1">
        <f t="array" ref="H20">_xlfn.STDEV.P(IF(tbl_daily[CodeName]=Table3[[#This Row],[Athlete Name]],IF(tbl_daily[Academic Year]=$B$6,tbl_daily[Injury Refined])))</f>
        <v>0.27638539919628335</v>
      </c>
      <c r="I20" s="76">
        <f>IFERROR(IF($B$5="",
AVERAGEIFS(tbl_daily[Exercise24Hr],tbl_daily[Date],$B$3,tbl_daily[CodeName],Table3[[#This Row],[Athlete Name]],tbl_daily[Academic Year],$B$6,tbl_daily[Ones],1),
AVERAGEIFS(tbl_daily[Exercise24Hr],tbl_daily[Date],"&lt;="&amp;$B$3,tbl_daily[Date],"&gt;="&amp;$B$3-$B$5,tbl_daily[CodeName],Table3[[#This Row],[Athlete Name]],tbl_daily[Academic Year],$B$6,tbl_daily[Ones],1)),"")</f>
        <v>1</v>
      </c>
      <c r="J20" s="11">
        <f>IFERROR(AVERAGEIFS(tbl_daily[Exercise24Hr],tbl_daily[CodeName],Table3[[#This Row],[Athlete Name]],tbl_daily[Academic Year],$B$6,tbl_daily[Ones],1),"")</f>
        <v>0.75</v>
      </c>
      <c r="K20" s="11" cm="1">
        <f t="array" ref="K20">_xlfn.STDEV.P(IF(tbl_daily[CodeName]=Table3[[#This Row],[Athlete Name]],IF(tbl_daily[Academic Year]=$B$6,tbl_daily[Exercise24Hr])))</f>
        <v>0.46153846153846156</v>
      </c>
      <c r="L20" s="23">
        <f>IFERROR(IF($B$5="",
AVERAGEIFS(tbl_daily[Stress],tbl_daily[Date],$B$3,tbl_daily[CodeName],Table3[[#This Row],[Athlete Name]],tbl_daily[Academic Year],$B$6,tbl_daily[Ones],1),
AVERAGEIFS(tbl_daily[Stress],tbl_daily[Date],"&lt;="&amp;$B$3,tbl_daily[Date],"&gt;="&amp;$B$3-$B$5,tbl_daily[CodeName],Table3[[#This Row],[Athlete Name]],tbl_daily[Academic Year],$B$6,tbl_daily[Ones],1)),"")</f>
        <v>7</v>
      </c>
      <c r="M20" s="23">
        <f>IFERROR(AVERAGEIFS(tbl_daily[Stress],tbl_daily[CodeName],Table3[[#This Row],[Athlete Name]],tbl_daily[Academic Year],$B$6,tbl_daily[Ones],1),"")</f>
        <v>5.833333333333333</v>
      </c>
      <c r="N20" s="23" cm="1">
        <f t="array" ref="N20">_xlfn.STDEV.P(IF(tbl_daily[CodeName]=Table3[[#This Row],[Athlete Name]],IF(tbl_daily[Academic Year]=$B$6,IF(tbl_daily[Stress]&lt;&gt;"",tbl_daily[Stress]))))</f>
        <v>1.1426091000668408</v>
      </c>
      <c r="O20" s="23">
        <f>IFERROR(IF($B$5="",
AVERAGEIFS(tbl_daily[SleepQuality],tbl_daily[Date],$B$3,tbl_daily[CodeName],Table3[[#This Row],[Athlete Name]],tbl_daily[Academic Year],$B$6,tbl_daily[Ones],1),
AVERAGEIFS(tbl_daily[SleepQuality],tbl_daily[Date],"&lt;="&amp;$B$3,tbl_daily[Date],"&gt;="&amp;$B$3-$B$5,tbl_daily[CodeName],Table3[[#This Row],[Athlete Name]],tbl_daily[Academic Year],$B$6,tbl_daily[Ones],1)),"")</f>
        <v>3.5</v>
      </c>
      <c r="P20" s="23">
        <f>IFERROR(AVERAGEIFS(tbl_daily[SleepQuality],tbl_daily[CodeName],Table3[[#This Row],[Athlete Name]],tbl_daily[Academic Year],$B$6,tbl_daily[Ones],1),"")</f>
        <v>5.833333333333333</v>
      </c>
      <c r="Q20" s="23" cm="1">
        <f t="array" ref="Q20">_xlfn.STDEV.P(IF(tbl_daily[CodeName]=Table3[[#This Row],[Athlete Name]],IF(tbl_daily[Academic Year]=$B$6,IF(tbl_daily[SleepQuality]&lt;&gt;"",tbl_daily[SleepQuality]))))</f>
        <v>1.4624940645653537</v>
      </c>
      <c r="R20" s="23">
        <f>IFERROR(IF($B$5="",
AVERAGEIFS(tbl_daily[Energy],tbl_daily[Date],$B$3,tbl_daily[CodeName],Table3[[#This Row],[Athlete Name]],tbl_daily[Academic Year],$B$6,tbl_daily[Ones],1),
AVERAGEIFS(tbl_daily[Energy],tbl_daily[Date],"&lt;="&amp;$B$3,tbl_daily[Date],"&gt;="&amp;$B$3-$B$5,tbl_daily[CodeName],Table3[[#This Row],[Athlete Name]],tbl_daily[Academic Year],$B$6,tbl_daily[Ones],1)),"")</f>
        <v>6</v>
      </c>
      <c r="S20" s="23">
        <f>IFERROR(AVERAGEIFS(tbl_daily[Energy],tbl_daily[CodeName],Table3[[#This Row],[Athlete Name]],tbl_daily[Academic Year],$B$6,tbl_daily[Ones],1),"")</f>
        <v>5.333333333333333</v>
      </c>
      <c r="T20" s="23" cm="1">
        <f t="array" ref="T20">_xlfn.STDEV.P(IF(tbl_daily[CodeName]=Table3[[#This Row],[Athlete Name]],IF(tbl_daily[Academic Year]=$B$6,IF(tbl_daily[Energy]&lt;&gt;"",tbl_daily[Energy]))))</f>
        <v>0.84983658559879749</v>
      </c>
      <c r="U20" s="23">
        <f>IFERROR(IF($B$5="",
AVERAGEIFS(tbl_daily[Readiness Score],tbl_daily[Date],$B$3,tbl_daily[CodeName],Table3[[#This Row],[Athlete Name]],tbl_daily[Academic Year],$B$6,tbl_daily[Ones],1),
AVERAGEIFS(tbl_daily[Readiness Score],tbl_daily[Date],"&lt;="&amp;$B$3,tbl_daily[Date],"&gt;="&amp;$B$3-$B$5,tbl_daily[CodeName],Table3[[#This Row],[Athlete Name]],tbl_daily[Academic Year],$B$6,tbl_daily[Ones],1)),"")</f>
        <v>16.5</v>
      </c>
      <c r="V20" s="23">
        <f>IFERROR(AVERAGEIFS(tbl_daily[Readiness Score],tbl_daily[CodeName],Table3[[#This Row],[Athlete Name]],tbl_daily[Academic Year],$B$6,tbl_daily[Ones],1),"")</f>
        <v>17</v>
      </c>
      <c r="W20" s="23" cm="1">
        <f t="array" ref="W20">_xlfn.STDEV.P(IF(tbl_daily[CodeName]=Table3[[#This Row],[Athlete Name]],IF(tbl_daily[Academic Year]=$B$6,IF(tbl_daily[Readiness Score]&lt;&gt;"",tbl_daily[Readiness Score]))))</f>
        <v>2.2730302828309759</v>
      </c>
      <c r="X20" s="23">
        <f>IFERROR(IF($B$5="",
AVERAGEIFS(tbl_daily[LatestRPE],tbl_daily[Date],$B$3,tbl_daily[CodeName],Table3[[#This Row],[Athlete Name]],tbl_daily[Academic Year],$B$6,tbl_daily[Ones],1),
AVERAGEIFS(tbl_daily[LatestRPE],tbl_daily[Date],"&lt;="&amp;$B$3,tbl_daily[Date],"&gt;="&amp;$B$3-$B$5,tbl_daily[CodeName],Table3[[#This Row],[Athlete Name]],tbl_daily[Academic Year],$B$6,tbl_daily[Ones],1)),"")</f>
        <v>8.5</v>
      </c>
      <c r="Y20" s="23">
        <f>IFERROR(AVERAGEIFS(tbl_daily[LatestRPE],tbl_daily[CodeName],Table3[[#This Row],[Athlete Name]],tbl_daily[Academic Year],$B$6,tbl_daily[Ones],1),"")</f>
        <v>5.5454545454545459</v>
      </c>
      <c r="Z20" s="23" cm="1">
        <f t="array" ref="Z20">_xlfn.STDEV.P(IF(tbl_daily[CodeName]=Table3[[#This Row],[Athlete Name]],IF(tbl_daily[Academic Year]=$B$6,IF(tbl_daily[LatestRPE]&lt;&gt;"",tbl_daily[LatestRPE]))))</f>
        <v>2.8719216361693296</v>
      </c>
      <c r="AA20" s="23">
        <f>IFERROR(IF($B$5="",
AVERAGEIFS(tbl_daily[LatestDuration],tbl_daily[Date],$B$3,tbl_daily[CodeName],Table3[[#This Row],[Athlete Name]],tbl_daily[Academic Year],$B$6,tbl_daily[Ones],1),
AVERAGEIFS(tbl_daily[LatestDuration],tbl_daily[Date],"&lt;="&amp;$B$3,tbl_daily[Date],"&gt;="&amp;$B$3-$B$5,tbl_daily[CodeName],Table3[[#This Row],[Athlete Name]],tbl_daily[Academic Year],$B$6,tbl_daily[Ones],1)),"")</f>
        <v>105</v>
      </c>
      <c r="AB20" s="23">
        <f>IFERROR(AVERAGEIFS(tbl_daily[LatestDuration],tbl_daily[CodeName],Table3[[#This Row],[Athlete Name]],tbl_daily[Academic Year],$B$6,tbl_daily[Ones],1),"")</f>
        <v>45</v>
      </c>
      <c r="AC20" s="23" cm="1">
        <f t="array" ref="AC20">_xlfn.STDEV.P(IF(tbl_daily[CodeName]=Table3[[#This Row],[Athlete Name]],IF(tbl_daily[Academic Year]=$B$6,IF(tbl_daily[LatestDuration]&lt;&gt;"",tbl_daily[LatestDuration]))))</f>
        <v>40.926763859362246</v>
      </c>
      <c r="AD20" s="23">
        <f>IFERROR(IF($B$5="",
AVERAGEIFS(tbl_daily[sRPE],tbl_daily[Date],$B$3,tbl_daily[CodeName],Table3[[#This Row],[Athlete Name]],tbl_daily[Academic Year],$B$6,tbl_daily[Ones],1),
AVERAGEIFS(tbl_daily[sRPE],tbl_daily[Date],"&lt;="&amp;$B$3,tbl_daily[Date],"&gt;="&amp;$B$3-$B$5,tbl_daily[CodeName],Table3[[#This Row],[Athlete Name]],tbl_daily[Academic Year],$B$6,tbl_daily[Ones],1)),"")</f>
        <v>885</v>
      </c>
      <c r="AE20" s="23">
        <f>IFERROR(AVERAGEIFS(tbl_daily[sRPE],tbl_daily[CodeName],Table3[[#This Row],[Athlete Name]],tbl_daily[Academic Year],$B$6,tbl_daily[Ones],1),"")</f>
        <v>311.66666666666669</v>
      </c>
      <c r="AF20" s="23" cm="1">
        <f t="array" ref="AF20">_xlfn.STDEV.P(IF(tbl_daily[CodeName]=Table3[[#This Row],[Athlete Name]],IF(tbl_daily[Academic Year]=$B$6,IF(tbl_daily[sRPE]&lt;&gt;"",tbl_daily[sRPE]))))</f>
        <v>302.81549204461487</v>
      </c>
      <c r="AG20" s="23">
        <f>IFERROR(IF($B$5="",
AVERAGEIFS(tbl_daily[Grades],tbl_daily[Date],$B$3,tbl_daily[CodeName],Table3[[#This Row],[Athlete Name]],tbl_daily[Academic Year],$B$6,tbl_daily[Ones],1),
AVERAGEIFS(tbl_daily[Grades],tbl_daily[Date],"&lt;="&amp;$B$3,tbl_daily[Date],"&gt;="&amp;$B$3-$B$5,tbl_daily[CodeName],Table3[[#This Row],[Athlete Name]],tbl_daily[Academic Year],$B$6,tbl_daily[Ones],1)),"")</f>
        <v>98</v>
      </c>
      <c r="AH20" s="11">
        <f>IFERROR(AVERAGEIFS(tbl_daily[Grades],tbl_daily[CodeName],Table3[[#This Row],[Athlete Name]],tbl_daily[Academic Year],$B$6,tbl_daily[Ones],1),"")</f>
        <v>85.5</v>
      </c>
      <c r="AI20" s="11" cm="1">
        <f t="array" ref="AI20">_xlfn.STDEV.P(IF(tbl_daily[CodeName]=Table3[[#This Row],[Athlete Name]],IF(tbl_daily[Academic Year]=$B$6,IF(tbl_daily[Grades]&lt;&gt;"",tbl_daily[Grades]))))</f>
        <v>9.3941471140279678</v>
      </c>
    </row>
    <row r="21" spans="1:35" x14ac:dyDescent="0.25">
      <c r="A21" s="78" t="s">
        <v>417</v>
      </c>
      <c r="B21" s="84" t="str">
        <f>INDEX(tbl_prof[Cohort of Interest],MATCH(Table3[[#This Row],[Athlete Name]],tbl_prof[CodeName],0))</f>
        <v>Gen Pop</v>
      </c>
      <c r="C21" s="76">
        <f>IFERROR(IF($B$5="",
AVERAGEIFS(tbl_daily[Attendance Refined],tbl_daily[Date],$B$3,tbl_daily[CodeName],Table3[[#This Row],[Athlete Name]],tbl_daily[Academic Year],$B$6,tbl_daily[Ones],1),
AVERAGEIFS(tbl_daily[Attendance Refined],tbl_daily[Date],"&lt;="&amp;$B$3,tbl_daily[Date],"&gt;="&amp;$B$3-$B$5,tbl_daily[CodeName],Table3[[#This Row],[Athlete Name]],tbl_daily[Academic Year],$B$6,tbl_daily[Ones],1)),"")</f>
        <v>1</v>
      </c>
      <c r="D21" s="76">
        <f>IFERROR(AVERAGEIFS(tbl_daily[Attendance Refined],tbl_daily[CodeName],Table3[[#This Row],[Athlete Name]],tbl_daily[Academic Year],$B$6,tbl_daily[Ones],1),"")</f>
        <v>1.1538461538461537</v>
      </c>
      <c r="E21" s="76" cm="1">
        <f t="array" ref="E21">_xlfn.STDEV.P(IF(tbl_daily[CodeName]=Table3[[#This Row],[Athlete Name]],IF(tbl_daily[Academic Year]=$B$6,tbl_daily[Attendance Refined])))</f>
        <v>0.53293871002119297</v>
      </c>
      <c r="F21" s="76">
        <f>IFERROR(IF($B$5="",
AVERAGEIFS(tbl_daily[Injury Refined],tbl_daily[Date],$B$3,tbl_daily[CodeName],Table3[[#This Row],[Athlete Name]],tbl_daily[Academic Year],$B$6,tbl_daily[Ones],1),
AVERAGEIFS(tbl_daily[Injury Refined],tbl_daily[Date],"&lt;="&amp;$B$3,tbl_daily[Date],"&gt;="&amp;$B$3-$B$5,tbl_daily[CodeName],Table3[[#This Row],[Athlete Name]],tbl_daily[Academic Year],$B$6,tbl_daily[Ones],1)),"")</f>
        <v>1</v>
      </c>
      <c r="G21" s="76">
        <f>IFERROR(AVERAGEIFS(tbl_daily[Injury Refined],tbl_daily[CodeName],Table3[[#This Row],[Athlete Name]],tbl_daily[Academic Year],$B$6,tbl_daily[Ones],1),"")</f>
        <v>1</v>
      </c>
      <c r="H21" s="76" cm="1">
        <f t="array" ref="H21">_xlfn.STDEV.P(IF(tbl_daily[CodeName]=Table3[[#This Row],[Athlete Name]],IF(tbl_daily[Academic Year]=$B$6,tbl_daily[Injury Refined])))</f>
        <v>0</v>
      </c>
      <c r="I21" s="76">
        <f>IFERROR(IF($B$5="",
AVERAGEIFS(tbl_daily[Exercise24Hr],tbl_daily[Date],$B$3,tbl_daily[CodeName],Table3[[#This Row],[Athlete Name]],tbl_daily[Academic Year],$B$6,tbl_daily[Ones],1),
AVERAGEIFS(tbl_daily[Exercise24Hr],tbl_daily[Date],"&lt;="&amp;$B$3,tbl_daily[Date],"&gt;="&amp;$B$3-$B$5,tbl_daily[CodeName],Table3[[#This Row],[Athlete Name]],tbl_daily[Academic Year],$B$6,tbl_daily[Ones],1)),"")</f>
        <v>0.5</v>
      </c>
      <c r="J21" s="11">
        <f>IFERROR(AVERAGEIFS(tbl_daily[Exercise24Hr],tbl_daily[CodeName],Table3[[#This Row],[Athlete Name]],tbl_daily[Academic Year],$B$6,tbl_daily[Ones],1),"")</f>
        <v>0.5</v>
      </c>
      <c r="K21" s="11" cm="1">
        <f t="array" ref="K21">_xlfn.STDEV.P(IF(tbl_daily[CodeName]=Table3[[#This Row],[Athlete Name]],IF(tbl_daily[Academic Year]=$B$6,tbl_daily[Exercise24Hr])))</f>
        <v>0.49851851526214308</v>
      </c>
      <c r="L21" s="23">
        <f>IFERROR(IF($B$5="",
AVERAGEIFS(tbl_daily[Stress],tbl_daily[Date],$B$3,tbl_daily[CodeName],Table3[[#This Row],[Athlete Name]],tbl_daily[Academic Year],$B$6,tbl_daily[Ones],1),
AVERAGEIFS(tbl_daily[Stress],tbl_daily[Date],"&lt;="&amp;$B$3,tbl_daily[Date],"&gt;="&amp;$B$3-$B$5,tbl_daily[CodeName],Table3[[#This Row],[Athlete Name]],tbl_daily[Academic Year],$B$6,tbl_daily[Ones],1)),"")</f>
        <v>8.5</v>
      </c>
      <c r="M21" s="23">
        <f>IFERROR(AVERAGEIFS(tbl_daily[Stress],tbl_daily[CodeName],Table3[[#This Row],[Athlete Name]],tbl_daily[Academic Year],$B$6,tbl_daily[Ones],1),"")</f>
        <v>7.416666666666667</v>
      </c>
      <c r="N21" s="23" cm="1">
        <f t="array" ref="N21">_xlfn.STDEV.P(IF(tbl_daily[CodeName]=Table3[[#This Row],[Athlete Name]],IF(tbl_daily[Academic Year]=$B$6,IF(tbl_daily[Stress]&lt;&gt;"",tbl_daily[Stress]))))</f>
        <v>1.8465433171800283</v>
      </c>
      <c r="O21" s="23">
        <f>IFERROR(IF($B$5="",
AVERAGEIFS(tbl_daily[SleepQuality],tbl_daily[Date],$B$3,tbl_daily[CodeName],Table3[[#This Row],[Athlete Name]],tbl_daily[Academic Year],$B$6,tbl_daily[Ones],1),
AVERAGEIFS(tbl_daily[SleepQuality],tbl_daily[Date],"&lt;="&amp;$B$3,tbl_daily[Date],"&gt;="&amp;$B$3-$B$5,tbl_daily[CodeName],Table3[[#This Row],[Athlete Name]],tbl_daily[Academic Year],$B$6,tbl_daily[Ones],1)),"")</f>
        <v>7</v>
      </c>
      <c r="P21" s="23">
        <f>IFERROR(AVERAGEIFS(tbl_daily[SleepQuality],tbl_daily[CodeName],Table3[[#This Row],[Athlete Name]],tbl_daily[Academic Year],$B$6,tbl_daily[Ones],1),"")</f>
        <v>6.666666666666667</v>
      </c>
      <c r="Q21" s="23" cm="1">
        <f t="array" ref="Q21">_xlfn.STDEV.P(IF(tbl_daily[CodeName]=Table3[[#This Row],[Athlete Name]],IF(tbl_daily[Academic Year]=$B$6,IF(tbl_daily[SleepQuality]&lt;&gt;"",tbl_daily[SleepQuality]))))</f>
        <v>1.9293061504650375</v>
      </c>
      <c r="R21" s="23">
        <f>IFERROR(IF($B$5="",
AVERAGEIFS(tbl_daily[Energy],tbl_daily[Date],$B$3,tbl_daily[CodeName],Table3[[#This Row],[Athlete Name]],tbl_daily[Academic Year],$B$6,tbl_daily[Ones],1),
AVERAGEIFS(tbl_daily[Energy],tbl_daily[Date],"&lt;="&amp;$B$3,tbl_daily[Date],"&gt;="&amp;$B$3-$B$5,tbl_daily[CodeName],Table3[[#This Row],[Athlete Name]],tbl_daily[Academic Year],$B$6,tbl_daily[Ones],1)),"")</f>
        <v>8</v>
      </c>
      <c r="S21" s="23">
        <f>IFERROR(AVERAGEIFS(tbl_daily[Energy],tbl_daily[CodeName],Table3[[#This Row],[Athlete Name]],tbl_daily[Academic Year],$B$6,tbl_daily[Ones],1),"")</f>
        <v>5.916666666666667</v>
      </c>
      <c r="T21" s="23" cm="1">
        <f t="array" ref="T21">_xlfn.STDEV.P(IF(tbl_daily[CodeName]=Table3[[#This Row],[Athlete Name]],IF(tbl_daily[Academic Year]=$B$6,IF(tbl_daily[Energy]&lt;&gt;"",tbl_daily[Energy]))))</f>
        <v>1.6562172428626492</v>
      </c>
      <c r="U21" s="23">
        <f>IFERROR(IF($B$5="",
AVERAGEIFS(tbl_daily[Readiness Score],tbl_daily[Date],$B$3,tbl_daily[CodeName],Table3[[#This Row],[Athlete Name]],tbl_daily[Academic Year],$B$6,tbl_daily[Ones],1),
AVERAGEIFS(tbl_daily[Readiness Score],tbl_daily[Date],"&lt;="&amp;$B$3,tbl_daily[Date],"&gt;="&amp;$B$3-$B$5,tbl_daily[CodeName],Table3[[#This Row],[Athlete Name]],tbl_daily[Academic Year],$B$6,tbl_daily[Ones],1)),"")</f>
        <v>23.5</v>
      </c>
      <c r="V21" s="23">
        <f>IFERROR(AVERAGEIFS(tbl_daily[Readiness Score],tbl_daily[CodeName],Table3[[#This Row],[Athlete Name]],tbl_daily[Academic Year],$B$6,tbl_daily[Ones],1),"")</f>
        <v>20</v>
      </c>
      <c r="W21" s="23" cm="1">
        <f t="array" ref="W21">_xlfn.STDEV.P(IF(tbl_daily[CodeName]=Table3[[#This Row],[Athlete Name]],IF(tbl_daily[Academic Year]=$B$6,IF(tbl_daily[Readiness Score]&lt;&gt;"",tbl_daily[Readiness Score]))))</f>
        <v>3.488074922742725</v>
      </c>
      <c r="X21" s="23">
        <f>IFERROR(IF($B$5="",
AVERAGEIFS(tbl_daily[LatestRPE],tbl_daily[Date],$B$3,tbl_daily[CodeName],Table3[[#This Row],[Athlete Name]],tbl_daily[Academic Year],$B$6,tbl_daily[Ones],1),
AVERAGEIFS(tbl_daily[LatestRPE],tbl_daily[Date],"&lt;="&amp;$B$3,tbl_daily[Date],"&gt;="&amp;$B$3-$B$5,tbl_daily[CodeName],Table3[[#This Row],[Athlete Name]],tbl_daily[Academic Year],$B$6,tbl_daily[Ones],1)),"")</f>
        <v>3.5</v>
      </c>
      <c r="Y21" s="23">
        <f>IFERROR(AVERAGEIFS(tbl_daily[LatestRPE],tbl_daily[CodeName],Table3[[#This Row],[Athlete Name]],tbl_daily[Academic Year],$B$6,tbl_daily[Ones],1),"")</f>
        <v>3.3333333333333335</v>
      </c>
      <c r="Z21" s="23" cm="1">
        <f t="array" ref="Z21">_xlfn.STDEV.P(IF(tbl_daily[CodeName]=Table3[[#This Row],[Athlete Name]],IF(tbl_daily[Academic Year]=$B$6,IF(tbl_daily[LatestRPE]&lt;&gt;"",tbl_daily[LatestRPE]))))</f>
        <v>3.3747427885527643</v>
      </c>
      <c r="AA21" s="23">
        <f>IFERROR(IF($B$5="",
AVERAGEIFS(tbl_daily[LatestDuration],tbl_daily[Date],$B$3,tbl_daily[CodeName],Table3[[#This Row],[Athlete Name]],tbl_daily[Academic Year],$B$6,tbl_daily[Ones],1),
AVERAGEIFS(tbl_daily[LatestDuration],tbl_daily[Date],"&lt;="&amp;$B$3,tbl_daily[Date],"&gt;="&amp;$B$3-$B$5,tbl_daily[CodeName],Table3[[#This Row],[Athlete Name]],tbl_daily[Academic Year],$B$6,tbl_daily[Ones],1)),"")</f>
        <v>30</v>
      </c>
      <c r="AB21" s="23">
        <f>IFERROR(AVERAGEIFS(tbl_daily[LatestDuration],tbl_daily[CodeName],Table3[[#This Row],[Athlete Name]],tbl_daily[Academic Year],$B$6,tbl_daily[Ones],1),"")</f>
        <v>28.75</v>
      </c>
      <c r="AC21" s="23" cm="1">
        <f t="array" ref="AC21">_xlfn.STDEV.P(IF(tbl_daily[CodeName]=Table3[[#This Row],[Athlete Name]],IF(tbl_daily[Academic Year]=$B$6,IF(tbl_daily[LatestDuration]&lt;&gt;"",tbl_daily[LatestDuration]))))</f>
        <v>29.020466915609749</v>
      </c>
      <c r="AD21" s="23">
        <f>IFERROR(IF($B$5="",
AVERAGEIFS(tbl_daily[sRPE],tbl_daily[Date],$B$3,tbl_daily[CodeName],Table3[[#This Row],[Athlete Name]],tbl_daily[Academic Year],$B$6,tbl_daily[Ones],1),
AVERAGEIFS(tbl_daily[sRPE],tbl_daily[Date],"&lt;="&amp;$B$3,tbl_daily[Date],"&gt;="&amp;$B$3-$B$5,tbl_daily[CodeName],Table3[[#This Row],[Athlete Name]],tbl_daily[Academic Year],$B$6,tbl_daily[Ones],1)),"")</f>
        <v>210</v>
      </c>
      <c r="AE21" s="23">
        <f>IFERROR(AVERAGEIFS(tbl_daily[sRPE],tbl_daily[CodeName],Table3[[#This Row],[Athlete Name]],tbl_daily[Academic Year],$B$6,tbl_daily[Ones],1),"")</f>
        <v>193.75</v>
      </c>
      <c r="AF21" s="23" cm="1">
        <f t="array" ref="AF21">_xlfn.STDEV.P(IF(tbl_daily[CodeName]=Table3[[#This Row],[Athlete Name]],IF(tbl_daily[Academic Year]=$B$6,IF(tbl_daily[sRPE]&lt;&gt;"",tbl_daily[sRPE]))))</f>
        <v>200.44871538625534</v>
      </c>
      <c r="AG21" s="23">
        <f>IFERROR(IF($B$5="",
AVERAGEIFS(tbl_daily[Grades],tbl_daily[Date],$B$3,tbl_daily[CodeName],Table3[[#This Row],[Athlete Name]],tbl_daily[Academic Year],$B$6,tbl_daily[Ones],1),
AVERAGEIFS(tbl_daily[Grades],tbl_daily[Date],"&lt;="&amp;$B$3,tbl_daily[Date],"&gt;="&amp;$B$3-$B$5,tbl_daily[CodeName],Table3[[#This Row],[Athlete Name]],tbl_daily[Academic Year],$B$6,tbl_daily[Ones],1)),"")</f>
        <v>96</v>
      </c>
      <c r="AH21" s="11">
        <f>IFERROR(AVERAGEIFS(tbl_daily[Grades],tbl_daily[CodeName],Table3[[#This Row],[Athlete Name]],tbl_daily[Academic Year],$B$6,tbl_daily[Ones],1),"")</f>
        <v>90</v>
      </c>
      <c r="AI21" s="11" cm="1">
        <f t="array" ref="AI21">_xlfn.STDEV.P(IF(tbl_daily[CodeName]=Table3[[#This Row],[Athlete Name]],IF(tbl_daily[Academic Year]=$B$6,IF(tbl_daily[Grades]&lt;&gt;"",tbl_daily[Grades]))))</f>
        <v>4.636809247747852</v>
      </c>
    </row>
    <row r="22" spans="1:35" x14ac:dyDescent="0.25">
      <c r="A22" s="77" t="s">
        <v>418</v>
      </c>
      <c r="B22" s="83" t="str">
        <f>INDEX(tbl_prof[Cohort of Interest],MATCH(Table3[[#This Row],[Athlete Name]],tbl_prof[CodeName],0))</f>
        <v>Special</v>
      </c>
      <c r="C22" s="76">
        <f>IFERROR(IF($B$5="",
AVERAGEIFS(tbl_daily[Attendance Refined],tbl_daily[Date],$B$3,tbl_daily[CodeName],Table3[[#This Row],[Athlete Name]],tbl_daily[Academic Year],$B$6,tbl_daily[Ones],1),
AVERAGEIFS(tbl_daily[Attendance Refined],tbl_daily[Date],"&lt;="&amp;$B$3,tbl_daily[Date],"&gt;="&amp;$B$3-$B$5,tbl_daily[CodeName],Table3[[#This Row],[Athlete Name]],tbl_daily[Academic Year],$B$6,tbl_daily[Ones],1)),"")</f>
        <v>1</v>
      </c>
      <c r="D22" s="76">
        <f>IFERROR(AVERAGEIFS(tbl_daily[Attendance Refined],tbl_daily[CodeName],Table3[[#This Row],[Athlete Name]],tbl_daily[Academic Year],$B$6,tbl_daily[Ones],1),"")</f>
        <v>1</v>
      </c>
      <c r="E22" s="76" cm="1">
        <f t="array" ref="E22">_xlfn.STDEV.P(IF(tbl_daily[CodeName]=Table3[[#This Row],[Athlete Name]],IF(tbl_daily[Academic Year]=$B$6,tbl_daily[Attendance Refined])))</f>
        <v>0</v>
      </c>
      <c r="F22" s="76">
        <f>IFERROR(IF($B$5="",
AVERAGEIFS(tbl_daily[Injury Refined],tbl_daily[Date],$B$3,tbl_daily[CodeName],Table3[[#This Row],[Athlete Name]],tbl_daily[Academic Year],$B$6,tbl_daily[Ones],1),
AVERAGEIFS(tbl_daily[Injury Refined],tbl_daily[Date],"&lt;="&amp;$B$3,tbl_daily[Date],"&gt;="&amp;$B$3-$B$5,tbl_daily[CodeName],Table3[[#This Row],[Athlete Name]],tbl_daily[Academic Year],$B$6,tbl_daily[Ones],1)),"")</f>
        <v>1</v>
      </c>
      <c r="G22" s="76">
        <f>IFERROR(AVERAGEIFS(tbl_daily[Injury Refined],tbl_daily[CodeName],Table3[[#This Row],[Athlete Name]],tbl_daily[Academic Year],$B$6,tbl_daily[Ones],1),"")</f>
        <v>1.3846153846153846</v>
      </c>
      <c r="H22" s="76" cm="1">
        <f t="array" ref="H22">_xlfn.STDEV.P(IF(tbl_daily[CodeName]=Table3[[#This Row],[Athlete Name]],IF(tbl_daily[Academic Year]=$B$6,tbl_daily[Injury Refined])))</f>
        <v>0.48650425541051989</v>
      </c>
      <c r="I22" s="76">
        <f>IFERROR(IF($B$5="",
AVERAGEIFS(tbl_daily[Exercise24Hr],tbl_daily[Date],$B$3,tbl_daily[CodeName],Table3[[#This Row],[Athlete Name]],tbl_daily[Academic Year],$B$6,tbl_daily[Ones],1),
AVERAGEIFS(tbl_daily[Exercise24Hr],tbl_daily[Date],"&lt;="&amp;$B$3,tbl_daily[Date],"&gt;="&amp;$B$3-$B$5,tbl_daily[CodeName],Table3[[#This Row],[Athlete Name]],tbl_daily[Academic Year],$B$6,tbl_daily[Ones],1)),"")</f>
        <v>0.5</v>
      </c>
      <c r="J22" s="11">
        <f>IFERROR(AVERAGEIFS(tbl_daily[Exercise24Hr],tbl_daily[CodeName],Table3[[#This Row],[Athlete Name]],tbl_daily[Academic Year],$B$6,tbl_daily[Ones],1),"")</f>
        <v>0.61538461538461542</v>
      </c>
      <c r="K22" s="11" cm="1">
        <f t="array" ref="K22">_xlfn.STDEV.P(IF(tbl_daily[CodeName]=Table3[[#This Row],[Athlete Name]],IF(tbl_daily[Academic Year]=$B$6,tbl_daily[Exercise24Hr])))</f>
        <v>0.48650425541051989</v>
      </c>
      <c r="L22" s="23">
        <f>IFERROR(IF($B$5="",
AVERAGEIFS(tbl_daily[Stress],tbl_daily[Date],$B$3,tbl_daily[CodeName],Table3[[#This Row],[Athlete Name]],tbl_daily[Academic Year],$B$6,tbl_daily[Ones],1),
AVERAGEIFS(tbl_daily[Stress],tbl_daily[Date],"&lt;="&amp;$B$3,tbl_daily[Date],"&gt;="&amp;$B$3-$B$5,tbl_daily[CodeName],Table3[[#This Row],[Athlete Name]],tbl_daily[Academic Year],$B$6,tbl_daily[Ones],1)),"")</f>
        <v>9</v>
      </c>
      <c r="M22" s="23">
        <f>IFERROR(AVERAGEIFS(tbl_daily[Stress],tbl_daily[CodeName],Table3[[#This Row],[Athlete Name]],tbl_daily[Academic Year],$B$6,tbl_daily[Ones],1),"")</f>
        <v>7.8461538461538458</v>
      </c>
      <c r="N22" s="23" cm="1">
        <f t="array" ref="N22">_xlfn.STDEV.P(IF(tbl_daily[CodeName]=Table3[[#This Row],[Athlete Name]],IF(tbl_daily[Academic Year]=$B$6,IF(tbl_daily[Stress]&lt;&gt;"",tbl_daily[Stress]))))</f>
        <v>2.5067954979692804</v>
      </c>
      <c r="O22" s="23">
        <f>IFERROR(IF($B$5="",
AVERAGEIFS(tbl_daily[SleepQuality],tbl_daily[Date],$B$3,tbl_daily[CodeName],Table3[[#This Row],[Athlete Name]],tbl_daily[Academic Year],$B$6,tbl_daily[Ones],1),
AVERAGEIFS(tbl_daily[SleepQuality],tbl_daily[Date],"&lt;="&amp;$B$3,tbl_daily[Date],"&gt;="&amp;$B$3-$B$5,tbl_daily[CodeName],Table3[[#This Row],[Athlete Name]],tbl_daily[Academic Year],$B$6,tbl_daily[Ones],1)),"")</f>
        <v>9.5</v>
      </c>
      <c r="P22" s="23">
        <f>IFERROR(AVERAGEIFS(tbl_daily[SleepQuality],tbl_daily[CodeName],Table3[[#This Row],[Athlete Name]],tbl_daily[Academic Year],$B$6,tbl_daily[Ones],1),"")</f>
        <v>8.7692307692307701</v>
      </c>
      <c r="Q22" s="23" cm="1">
        <f t="array" ref="Q22">_xlfn.STDEV.P(IF(tbl_daily[CodeName]=Table3[[#This Row],[Athlete Name]],IF(tbl_daily[Academic Year]=$B$6,IF(tbl_daily[SleepQuality]&lt;&gt;"",tbl_daily[SleepQuality]))))</f>
        <v>0.97300851082103978</v>
      </c>
      <c r="R22" s="23">
        <f>IFERROR(IF($B$5="",
AVERAGEIFS(tbl_daily[Energy],tbl_daily[Date],$B$3,tbl_daily[CodeName],Table3[[#This Row],[Athlete Name]],tbl_daily[Academic Year],$B$6,tbl_daily[Ones],1),
AVERAGEIFS(tbl_daily[Energy],tbl_daily[Date],"&lt;="&amp;$B$3,tbl_daily[Date],"&gt;="&amp;$B$3-$B$5,tbl_daily[CodeName],Table3[[#This Row],[Athlete Name]],tbl_daily[Academic Year],$B$6,tbl_daily[Ones],1)),"")</f>
        <v>10</v>
      </c>
      <c r="S22" s="23">
        <f>IFERROR(AVERAGEIFS(tbl_daily[Energy],tbl_daily[CodeName],Table3[[#This Row],[Athlete Name]],tbl_daily[Academic Year],$B$6,tbl_daily[Ones],1),"")</f>
        <v>8.4615384615384617</v>
      </c>
      <c r="T22" s="23" cm="1">
        <f t="array" ref="T22">_xlfn.STDEV.P(IF(tbl_daily[CodeName]=Table3[[#This Row],[Athlete Name]],IF(tbl_daily[Academic Year]=$B$6,IF(tbl_daily[Energy]&lt;&gt;"",tbl_daily[Energy]))))</f>
        <v>1.4995068222783021</v>
      </c>
      <c r="U22" s="23">
        <f>IFERROR(IF($B$5="",
AVERAGEIFS(tbl_daily[Readiness Score],tbl_daily[Date],$B$3,tbl_daily[CodeName],Table3[[#This Row],[Athlete Name]],tbl_daily[Academic Year],$B$6,tbl_daily[Ones],1),
AVERAGEIFS(tbl_daily[Readiness Score],tbl_daily[Date],"&lt;="&amp;$B$3,tbl_daily[Date],"&gt;="&amp;$B$3-$B$5,tbl_daily[CodeName],Table3[[#This Row],[Athlete Name]],tbl_daily[Academic Year],$B$6,tbl_daily[Ones],1)),"")</f>
        <v>28.5</v>
      </c>
      <c r="V22" s="23">
        <f>IFERROR(AVERAGEIFS(tbl_daily[Readiness Score],tbl_daily[CodeName],Table3[[#This Row],[Athlete Name]],tbl_daily[Academic Year],$B$6,tbl_daily[Ones],1),"")</f>
        <v>25.076923076923077</v>
      </c>
      <c r="W22" s="23" cm="1">
        <f t="array" ref="W22">_xlfn.STDEV.P(IF(tbl_daily[CodeName]=Table3[[#This Row],[Athlete Name]],IF(tbl_daily[Academic Year]=$B$6,IF(tbl_daily[Readiness Score]&lt;&gt;"",tbl_daily[Readiness Score]))))</f>
        <v>4.0280084497187829</v>
      </c>
      <c r="X22" s="23">
        <f>IFERROR(IF($B$5="",
AVERAGEIFS(tbl_daily[LatestRPE],tbl_daily[Date],$B$3,tbl_daily[CodeName],Table3[[#This Row],[Athlete Name]],tbl_daily[Academic Year],$B$6,tbl_daily[Ones],1),
AVERAGEIFS(tbl_daily[LatestRPE],tbl_daily[Date],"&lt;="&amp;$B$3,tbl_daily[Date],"&gt;="&amp;$B$3-$B$5,tbl_daily[CodeName],Table3[[#This Row],[Athlete Name]],tbl_daily[Academic Year],$B$6,tbl_daily[Ones],1)),"")</f>
        <v>2.5</v>
      </c>
      <c r="Y22" s="23">
        <f>IFERROR(AVERAGEIFS(tbl_daily[LatestRPE],tbl_daily[CodeName],Table3[[#This Row],[Athlete Name]],tbl_daily[Academic Year],$B$6,tbl_daily[Ones],1),"")</f>
        <v>3.6153846153846154</v>
      </c>
      <c r="Z22" s="23" cm="1">
        <f t="array" ref="Z22">_xlfn.STDEV.P(IF(tbl_daily[CodeName]=Table3[[#This Row],[Athlete Name]],IF(tbl_daily[Academic Year]=$B$6,IF(tbl_daily[LatestRPE]&lt;&gt;"",tbl_daily[LatestRPE]))))</f>
        <v>2.9230769230769229</v>
      </c>
      <c r="AA22" s="23">
        <f>IFERROR(IF($B$5="",
AVERAGEIFS(tbl_daily[LatestDuration],tbl_daily[Date],$B$3,tbl_daily[CodeName],Table3[[#This Row],[Athlete Name]],tbl_daily[Academic Year],$B$6,tbl_daily[Ones],1),
AVERAGEIFS(tbl_daily[LatestDuration],tbl_daily[Date],"&lt;="&amp;$B$3,tbl_daily[Date],"&gt;="&amp;$B$3-$B$5,tbl_daily[CodeName],Table3[[#This Row],[Athlete Name]],tbl_daily[Academic Year],$B$6,tbl_daily[Ones],1)),"")</f>
        <v>30</v>
      </c>
      <c r="AB22" s="23">
        <f>IFERROR(AVERAGEIFS(tbl_daily[LatestDuration],tbl_daily[CodeName],Table3[[#This Row],[Athlete Name]],tbl_daily[Academic Year],$B$6,tbl_daily[Ones],1),"")</f>
        <v>70.769230769230774</v>
      </c>
      <c r="AC22" s="23" cm="1">
        <f t="array" ref="AC22">_xlfn.STDEV.P(IF(tbl_daily[CodeName]=Table3[[#This Row],[Athlete Name]],IF(tbl_daily[Academic Year]=$B$6,IF(tbl_daily[LatestDuration]&lt;&gt;"",tbl_daily[LatestDuration]))))</f>
        <v>59.930926710099861</v>
      </c>
      <c r="AD22" s="23">
        <f>IFERROR(IF($B$5="",
AVERAGEIFS(tbl_daily[sRPE],tbl_daily[Date],$B$3,tbl_daily[CodeName],Table3[[#This Row],[Athlete Name]],tbl_daily[Academic Year],$B$6,tbl_daily[Ones],1),
AVERAGEIFS(tbl_daily[sRPE],tbl_daily[Date],"&lt;="&amp;$B$3,tbl_daily[Date],"&gt;="&amp;$B$3-$B$5,tbl_daily[CodeName],Table3[[#This Row],[Athlete Name]],tbl_daily[Academic Year],$B$6,tbl_daily[Ones],1)),"")</f>
        <v>150</v>
      </c>
      <c r="AE22" s="23">
        <f>IFERROR(AVERAGEIFS(tbl_daily[sRPE],tbl_daily[CodeName],Table3[[#This Row],[Athlete Name]],tbl_daily[Academic Year],$B$6,tbl_daily[Ones],1),"")</f>
        <v>420</v>
      </c>
      <c r="AF22" s="23" cm="1">
        <f t="array" ref="AF22">_xlfn.STDEV.P(IF(tbl_daily[CodeName]=Table3[[#This Row],[Athlete Name]],IF(tbl_daily[Academic Year]=$B$6,IF(tbl_daily[sRPE]&lt;&gt;"",tbl_daily[sRPE]))))</f>
        <v>370.63355321561318</v>
      </c>
      <c r="AG22" s="23">
        <f>IFERROR(IF($B$5="",
AVERAGEIFS(tbl_daily[Grades],tbl_daily[Date],$B$3,tbl_daily[CodeName],Table3[[#This Row],[Athlete Name]],tbl_daily[Academic Year],$B$6,tbl_daily[Ones],1),
AVERAGEIFS(tbl_daily[Grades],tbl_daily[Date],"&lt;="&amp;$B$3,tbl_daily[Date],"&gt;="&amp;$B$3-$B$5,tbl_daily[CodeName],Table3[[#This Row],[Athlete Name]],tbl_daily[Academic Year],$B$6,tbl_daily[Ones],1)),"")</f>
        <v>83</v>
      </c>
      <c r="AH22" s="11">
        <f>IFERROR(AVERAGEIFS(tbl_daily[Grades],tbl_daily[CodeName],Table3[[#This Row],[Athlete Name]],tbl_daily[Academic Year],$B$6,tbl_daily[Ones],1),"")</f>
        <v>94.5</v>
      </c>
      <c r="AI22" s="11" cm="1">
        <f t="array" ref="AI22">_xlfn.STDEV.P(IF(tbl_daily[CodeName]=Table3[[#This Row],[Athlete Name]],IF(tbl_daily[Academic Year]=$B$6,IF(tbl_daily[Grades]&lt;&gt;"",tbl_daily[Grades]))))</f>
        <v>6.800735254367722</v>
      </c>
    </row>
    <row r="23" spans="1:35" x14ac:dyDescent="0.25">
      <c r="A23" s="78" t="s">
        <v>419</v>
      </c>
      <c r="B23" s="84" t="str">
        <f>INDEX(tbl_prof[Cohort of Interest],MATCH(Table3[[#This Row],[Athlete Name]],tbl_prof[CodeName],0))</f>
        <v>Youth</v>
      </c>
      <c r="C23" s="76">
        <f>IFERROR(IF($B$5="",
AVERAGEIFS(tbl_daily[Attendance Refined],tbl_daily[Date],$B$3,tbl_daily[CodeName],Table3[[#This Row],[Athlete Name]],tbl_daily[Academic Year],$B$6,tbl_daily[Ones],1),
AVERAGEIFS(tbl_daily[Attendance Refined],tbl_daily[Date],"&lt;="&amp;$B$3,tbl_daily[Date],"&gt;="&amp;$B$3-$B$5,tbl_daily[CodeName],Table3[[#This Row],[Athlete Name]],tbl_daily[Academic Year],$B$6,tbl_daily[Ones],1)),"")</f>
        <v>2</v>
      </c>
      <c r="D23" s="76">
        <f>IFERROR(AVERAGEIFS(tbl_daily[Attendance Refined],tbl_daily[CodeName],Table3[[#This Row],[Athlete Name]],tbl_daily[Academic Year],$B$6,tbl_daily[Ones],1),"")</f>
        <v>1.4615384615384615</v>
      </c>
      <c r="E23" s="76" cm="1">
        <f t="array" ref="E23">_xlfn.STDEV.P(IF(tbl_daily[CodeName]=Table3[[#This Row],[Athlete Name]],IF(tbl_daily[Academic Year]=$B$6,tbl_daily[Attendance Refined])))</f>
        <v>0.8426500884694863</v>
      </c>
      <c r="F23" s="76">
        <f>IFERROR(IF($B$5="",
AVERAGEIFS(tbl_daily[Injury Refined],tbl_daily[Date],$B$3,tbl_daily[CodeName],Table3[[#This Row],[Athlete Name]],tbl_daily[Academic Year],$B$6,tbl_daily[Ones],1),
AVERAGEIFS(tbl_daily[Injury Refined],tbl_daily[Date],"&lt;="&amp;$B$3,tbl_daily[Date],"&gt;="&amp;$B$3-$B$5,tbl_daily[CodeName],Table3[[#This Row],[Athlete Name]],tbl_daily[Academic Year],$B$6,tbl_daily[Ones],1)),"")</f>
        <v>1</v>
      </c>
      <c r="G23" s="76">
        <f>IFERROR(AVERAGEIFS(tbl_daily[Injury Refined],tbl_daily[CodeName],Table3[[#This Row],[Athlete Name]],tbl_daily[Academic Year],$B$6,tbl_daily[Ones],1),"")</f>
        <v>1.1000000000000001</v>
      </c>
      <c r="H23" s="76" cm="1">
        <f t="array" ref="H23">_xlfn.STDEV.P(IF(tbl_daily[CodeName]=Table3[[#This Row],[Athlete Name]],IF(tbl_daily[Academic Year]=$B$6,tbl_daily[Injury Refined])))</f>
        <v>0.3</v>
      </c>
      <c r="I23" s="76">
        <f>IFERROR(IF($B$5="",
AVERAGEIFS(tbl_daily[Exercise24Hr],tbl_daily[Date],$B$3,tbl_daily[CodeName],Table3[[#This Row],[Athlete Name]],tbl_daily[Academic Year],$B$6,tbl_daily[Ones],1),
AVERAGEIFS(tbl_daily[Exercise24Hr],tbl_daily[Date],"&lt;="&amp;$B$3,tbl_daily[Date],"&gt;="&amp;$B$3-$B$5,tbl_daily[CodeName],Table3[[#This Row],[Athlete Name]],tbl_daily[Academic Year],$B$6,tbl_daily[Ones],1)),"")</f>
        <v>0</v>
      </c>
      <c r="J23" s="11">
        <f>IFERROR(AVERAGEIFS(tbl_daily[Exercise24Hr],tbl_daily[CodeName],Table3[[#This Row],[Athlete Name]],tbl_daily[Academic Year],$B$6,tbl_daily[Ones],1),"")</f>
        <v>0.63636363636363635</v>
      </c>
      <c r="K23" s="11" cm="1">
        <f t="array" ref="K23">_xlfn.STDEV.P(IF(tbl_daily[CodeName]=Table3[[#This Row],[Athlete Name]],IF(tbl_daily[Academic Year]=$B$6,tbl_daily[Exercise24Hr])))</f>
        <v>0.49851851526214308</v>
      </c>
      <c r="L23" s="23">
        <f>IFERROR(IF($B$5="",
AVERAGEIFS(tbl_daily[Stress],tbl_daily[Date],$B$3,tbl_daily[CodeName],Table3[[#This Row],[Athlete Name]],tbl_daily[Academic Year],$B$6,tbl_daily[Ones],1),
AVERAGEIFS(tbl_daily[Stress],tbl_daily[Date],"&lt;="&amp;$B$3,tbl_daily[Date],"&gt;="&amp;$B$3-$B$5,tbl_daily[CodeName],Table3[[#This Row],[Athlete Name]],tbl_daily[Academic Year],$B$6,tbl_daily[Ones],1)),"")</f>
        <v>6</v>
      </c>
      <c r="M23" s="23">
        <f>IFERROR(AVERAGEIFS(tbl_daily[Stress],tbl_daily[CodeName],Table3[[#This Row],[Athlete Name]],tbl_daily[Academic Year],$B$6,tbl_daily[Ones],1),"")</f>
        <v>7</v>
      </c>
      <c r="N23" s="23" cm="1">
        <f t="array" ref="N23">_xlfn.STDEV.P(IF(tbl_daily[CodeName]=Table3[[#This Row],[Athlete Name]],IF(tbl_daily[Academic Year]=$B$6,IF(tbl_daily[Stress]&lt;&gt;"",tbl_daily[Stress]))))</f>
        <v>1.7056057308448835</v>
      </c>
      <c r="O23" s="23">
        <f>IFERROR(IF($B$5="",
AVERAGEIFS(tbl_daily[SleepQuality],tbl_daily[Date],$B$3,tbl_daily[CodeName],Table3[[#This Row],[Athlete Name]],tbl_daily[Academic Year],$B$6,tbl_daily[Ones],1),
AVERAGEIFS(tbl_daily[SleepQuality],tbl_daily[Date],"&lt;="&amp;$B$3,tbl_daily[Date],"&gt;="&amp;$B$3-$B$5,tbl_daily[CodeName],Table3[[#This Row],[Athlete Name]],tbl_daily[Academic Year],$B$6,tbl_daily[Ones],1)),"")</f>
        <v>6</v>
      </c>
      <c r="P23" s="23">
        <f>IFERROR(AVERAGEIFS(tbl_daily[SleepQuality],tbl_daily[CodeName],Table3[[#This Row],[Athlete Name]],tbl_daily[Academic Year],$B$6,tbl_daily[Ones],1),"")</f>
        <v>5.6363636363636367</v>
      </c>
      <c r="Q23" s="23" cm="1">
        <f t="array" ref="Q23">_xlfn.STDEV.P(IF(tbl_daily[CodeName]=Table3[[#This Row],[Athlete Name]],IF(tbl_daily[Academic Year]=$B$6,IF(tbl_daily[SleepQuality]&lt;&gt;"",tbl_daily[SleepQuality]))))</f>
        <v>1.4937887931959075</v>
      </c>
      <c r="R23" s="23">
        <f>IFERROR(IF($B$5="",
AVERAGEIFS(tbl_daily[Energy],tbl_daily[Date],$B$3,tbl_daily[CodeName],Table3[[#This Row],[Athlete Name]],tbl_daily[Academic Year],$B$6,tbl_daily[Ones],1),
AVERAGEIFS(tbl_daily[Energy],tbl_daily[Date],"&lt;="&amp;$B$3,tbl_daily[Date],"&gt;="&amp;$B$3-$B$5,tbl_daily[CodeName],Table3[[#This Row],[Athlete Name]],tbl_daily[Academic Year],$B$6,tbl_daily[Ones],1)),"")</f>
        <v>3</v>
      </c>
      <c r="S23" s="23">
        <f>IFERROR(AVERAGEIFS(tbl_daily[Energy],tbl_daily[CodeName],Table3[[#This Row],[Athlete Name]],tbl_daily[Academic Year],$B$6,tbl_daily[Ones],1),"")</f>
        <v>3.2727272727272729</v>
      </c>
      <c r="T23" s="23" cm="1">
        <f t="array" ref="T23">_xlfn.STDEV.P(IF(tbl_daily[CodeName]=Table3[[#This Row],[Athlete Name]],IF(tbl_daily[Academic Year]=$B$6,IF(tbl_daily[Energy]&lt;&gt;"",tbl_daily[Energy]))))</f>
        <v>1.5427784316797402</v>
      </c>
      <c r="U23" s="23">
        <f>IFERROR(IF($B$5="",
AVERAGEIFS(tbl_daily[Readiness Score],tbl_daily[Date],$B$3,tbl_daily[CodeName],Table3[[#This Row],[Athlete Name]],tbl_daily[Academic Year],$B$6,tbl_daily[Ones],1),
AVERAGEIFS(tbl_daily[Readiness Score],tbl_daily[Date],"&lt;="&amp;$B$3,tbl_daily[Date],"&gt;="&amp;$B$3-$B$5,tbl_daily[CodeName],Table3[[#This Row],[Athlete Name]],tbl_daily[Academic Year],$B$6,tbl_daily[Ones],1)),"")</f>
        <v>15</v>
      </c>
      <c r="V23" s="23">
        <f>IFERROR(AVERAGEIFS(tbl_daily[Readiness Score],tbl_daily[CodeName],Table3[[#This Row],[Athlete Name]],tbl_daily[Academic Year],$B$6,tbl_daily[Ones],1),"")</f>
        <v>15.3</v>
      </c>
      <c r="W23" s="23" cm="1">
        <f t="array" ref="W23">_xlfn.STDEV.P(IF(tbl_daily[CodeName]=Table3[[#This Row],[Athlete Name]],IF(tbl_daily[Academic Year]=$B$6,IF(tbl_daily[Readiness Score]&lt;&gt;"",tbl_daily[Readiness Score]))))</f>
        <v>1.4866068747318506</v>
      </c>
      <c r="X23" s="23">
        <f>IFERROR(IF($B$5="",
AVERAGEIFS(tbl_daily[LatestRPE],tbl_daily[Date],$B$3,tbl_daily[CodeName],Table3[[#This Row],[Athlete Name]],tbl_daily[Academic Year],$B$6,tbl_daily[Ones],1),
AVERAGEIFS(tbl_daily[LatestRPE],tbl_daily[Date],"&lt;="&amp;$B$3,tbl_daily[Date],"&gt;="&amp;$B$3-$B$5,tbl_daily[CodeName],Table3[[#This Row],[Athlete Name]],tbl_daily[Academic Year],$B$6,tbl_daily[Ones],1)),"")</f>
        <v>2</v>
      </c>
      <c r="Y23" s="23">
        <f>IFERROR(AVERAGEIFS(tbl_daily[LatestRPE],tbl_daily[CodeName],Table3[[#This Row],[Athlete Name]],tbl_daily[Academic Year],$B$6,tbl_daily[Ones],1),"")</f>
        <v>3</v>
      </c>
      <c r="Z23" s="23" cm="1">
        <f t="array" ref="Z23">_xlfn.STDEV.P(IF(tbl_daily[CodeName]=Table3[[#This Row],[Athlete Name]],IF(tbl_daily[Academic Year]=$B$6,IF(tbl_daily[LatestRPE]&lt;&gt;"",tbl_daily[LatestRPE]))))</f>
        <v>2.1320071635561044</v>
      </c>
      <c r="AA23" s="23">
        <f>IFERROR(IF($B$5="",
AVERAGEIFS(tbl_daily[LatestDuration],tbl_daily[Date],$B$3,tbl_daily[CodeName],Table3[[#This Row],[Athlete Name]],tbl_daily[Academic Year],$B$6,tbl_daily[Ones],1),
AVERAGEIFS(tbl_daily[LatestDuration],tbl_daily[Date],"&lt;="&amp;$B$3,tbl_daily[Date],"&gt;="&amp;$B$3-$B$5,tbl_daily[CodeName],Table3[[#This Row],[Athlete Name]],tbl_daily[Academic Year],$B$6,tbl_daily[Ones],1)),"")</f>
        <v>0</v>
      </c>
      <c r="AB23" s="23">
        <f>IFERROR(AVERAGEIFS(tbl_daily[LatestDuration],tbl_daily[CodeName],Table3[[#This Row],[Athlete Name]],tbl_daily[Academic Year],$B$6,tbl_daily[Ones],1),"")</f>
        <v>20.90909090909091</v>
      </c>
      <c r="AC23" s="23" cm="1">
        <f t="array" ref="AC23">_xlfn.STDEV.P(IF(tbl_daily[CodeName]=Table3[[#This Row],[Athlete Name]],IF(tbl_daily[Academic Year]=$B$6,IF(tbl_daily[LatestDuration]&lt;&gt;"",tbl_daily[LatestDuration]))))</f>
        <v>18.317674254190806</v>
      </c>
      <c r="AD23" s="23">
        <f>IFERROR(IF($B$5="",
AVERAGEIFS(tbl_daily[sRPE],tbl_daily[Date],$B$3,tbl_daily[CodeName],Table3[[#This Row],[Athlete Name]],tbl_daily[Academic Year],$B$6,tbl_daily[Ones],1),
AVERAGEIFS(tbl_daily[sRPE],tbl_daily[Date],"&lt;="&amp;$B$3,tbl_daily[Date],"&gt;="&amp;$B$3-$B$5,tbl_daily[CodeName],Table3[[#This Row],[Athlete Name]],tbl_daily[Academic Year],$B$6,tbl_daily[Ones],1)),"")</f>
        <v>0</v>
      </c>
      <c r="AE23" s="23">
        <f>IFERROR(AVERAGEIFS(tbl_daily[sRPE],tbl_daily[CodeName],Table3[[#This Row],[Athlete Name]],tbl_daily[Academic Year],$B$6,tbl_daily[Ones],1),"")</f>
        <v>106</v>
      </c>
      <c r="AF23" s="23" cm="1">
        <f t="array" ref="AF23">_xlfn.STDEV.P(IF(tbl_daily[CodeName]=Table3[[#This Row],[Athlete Name]],IF(tbl_daily[Academic Year]=$B$6,IF(tbl_daily[sRPE]&lt;&gt;"",tbl_daily[sRPE]))))</f>
        <v>132.22707740852476</v>
      </c>
      <c r="AG23" s="23">
        <f>IFERROR(IF($B$5="",
AVERAGEIFS(tbl_daily[Grades],tbl_daily[Date],$B$3,tbl_daily[CodeName],Table3[[#This Row],[Athlete Name]],tbl_daily[Academic Year],$B$6,tbl_daily[Ones],1),
AVERAGEIFS(tbl_daily[Grades],tbl_daily[Date],"&lt;="&amp;$B$3,tbl_daily[Date],"&gt;="&amp;$B$3-$B$5,tbl_daily[CodeName],Table3[[#This Row],[Athlete Name]],tbl_daily[Academic Year],$B$6,tbl_daily[Ones],1)),"")</f>
        <v>81</v>
      </c>
      <c r="AH23" s="11">
        <f>IFERROR(AVERAGEIFS(tbl_daily[Grades],tbl_daily[CodeName],Table3[[#This Row],[Athlete Name]],tbl_daily[Academic Year],$B$6,tbl_daily[Ones],1),"")</f>
        <v>87.75</v>
      </c>
      <c r="AI23" s="11" cm="1">
        <f t="array" ref="AI23">_xlfn.STDEV.P(IF(tbl_daily[CodeName]=Table3[[#This Row],[Athlete Name]],IF(tbl_daily[Academic Year]=$B$6,IF(tbl_daily[Grades]&lt;&gt;"",tbl_daily[Grades]))))</f>
        <v>6.8693158320170431</v>
      </c>
    </row>
    <row r="24" spans="1:35" x14ac:dyDescent="0.25">
      <c r="A24" s="77" t="s">
        <v>420</v>
      </c>
      <c r="B24" s="83" t="str">
        <f>INDEX(tbl_prof[Cohort of Interest],MATCH(Table3[[#This Row],[Athlete Name]],tbl_prof[CodeName],0))</f>
        <v>Athletes</v>
      </c>
      <c r="C24" s="76">
        <f>IFERROR(IF($B$5="",
AVERAGEIFS(tbl_daily[Attendance Refined],tbl_daily[Date],$B$3,tbl_daily[CodeName],Table3[[#This Row],[Athlete Name]],tbl_daily[Academic Year],$B$6,tbl_daily[Ones],1),
AVERAGEIFS(tbl_daily[Attendance Refined],tbl_daily[Date],"&lt;="&amp;$B$3,tbl_daily[Date],"&gt;="&amp;$B$3-$B$5,tbl_daily[CodeName],Table3[[#This Row],[Athlete Name]],tbl_daily[Academic Year],$B$6,tbl_daily[Ones],1)),"")</f>
        <v>2</v>
      </c>
      <c r="D24" s="76">
        <f>IFERROR(AVERAGEIFS(tbl_daily[Attendance Refined],tbl_daily[CodeName],Table3[[#This Row],[Athlete Name]],tbl_daily[Academic Year],$B$6,tbl_daily[Ones],1),"")</f>
        <v>1.6153846153846154</v>
      </c>
      <c r="E24" s="76" cm="1">
        <f t="array" ref="E24">_xlfn.STDEV.P(IF(tbl_daily[CodeName]=Table3[[#This Row],[Athlete Name]],IF(tbl_daily[Academic Year]=$B$6,tbl_daily[Attendance Refined])))</f>
        <v>0.92307692307692313</v>
      </c>
      <c r="F24" s="76">
        <f>IFERROR(IF($B$5="",
AVERAGEIFS(tbl_daily[Injury Refined],tbl_daily[Date],$B$3,tbl_daily[CodeName],Table3[[#This Row],[Athlete Name]],tbl_daily[Academic Year],$B$6,tbl_daily[Ones],1),
AVERAGEIFS(tbl_daily[Injury Refined],tbl_daily[Date],"&lt;="&amp;$B$3,tbl_daily[Date],"&gt;="&amp;$B$3-$B$5,tbl_daily[CodeName],Table3[[#This Row],[Athlete Name]],tbl_daily[Academic Year],$B$6,tbl_daily[Ones],1)),"")</f>
        <v>1</v>
      </c>
      <c r="G24" s="76">
        <f>IFERROR(AVERAGEIFS(tbl_daily[Injury Refined],tbl_daily[CodeName],Table3[[#This Row],[Athlete Name]],tbl_daily[Academic Year],$B$6,tbl_daily[Ones],1),"")</f>
        <v>1</v>
      </c>
      <c r="H24" s="76" cm="1">
        <f t="array" ref="H24">_xlfn.STDEV.P(IF(tbl_daily[CodeName]=Table3[[#This Row],[Athlete Name]],IF(tbl_daily[Academic Year]=$B$6,tbl_daily[Injury Refined])))</f>
        <v>0</v>
      </c>
      <c r="I24" s="76">
        <f>IFERROR(IF($B$5="",
AVERAGEIFS(tbl_daily[Exercise24Hr],tbl_daily[Date],$B$3,tbl_daily[CodeName],Table3[[#This Row],[Athlete Name]],tbl_daily[Academic Year],$B$6,tbl_daily[Ones],1),
AVERAGEIFS(tbl_daily[Exercise24Hr],tbl_daily[Date],"&lt;="&amp;$B$3,tbl_daily[Date],"&gt;="&amp;$B$3-$B$5,tbl_daily[CodeName],Table3[[#This Row],[Athlete Name]],tbl_daily[Academic Year],$B$6,tbl_daily[Ones],1)),"")</f>
        <v>1</v>
      </c>
      <c r="J24" s="11">
        <f>IFERROR(AVERAGEIFS(tbl_daily[Exercise24Hr],tbl_daily[CodeName],Table3[[#This Row],[Athlete Name]],tbl_daily[Academic Year],$B$6,tbl_daily[Ones],1),"")</f>
        <v>0.55555555555555558</v>
      </c>
      <c r="K24" s="11" cm="1">
        <f t="array" ref="K24">_xlfn.STDEV.P(IF(tbl_daily[CodeName]=Table3[[#This Row],[Athlete Name]],IF(tbl_daily[Academic Year]=$B$6,tbl_daily[Exercise24Hr])))</f>
        <v>0.48650425541051989</v>
      </c>
      <c r="L24" s="23">
        <f>IFERROR(IF($B$5="",
AVERAGEIFS(tbl_daily[Stress],tbl_daily[Date],$B$3,tbl_daily[CodeName],Table3[[#This Row],[Athlete Name]],tbl_daily[Academic Year],$B$6,tbl_daily[Ones],1),
AVERAGEIFS(tbl_daily[Stress],tbl_daily[Date],"&lt;="&amp;$B$3,tbl_daily[Date],"&gt;="&amp;$B$3-$B$5,tbl_daily[CodeName],Table3[[#This Row],[Athlete Name]],tbl_daily[Academic Year],$B$6,tbl_daily[Ones],1)),"")</f>
        <v>3</v>
      </c>
      <c r="M24" s="23">
        <f>IFERROR(AVERAGEIFS(tbl_daily[Stress],tbl_daily[CodeName],Table3[[#This Row],[Athlete Name]],tbl_daily[Academic Year],$B$6,tbl_daily[Ones],1),"")</f>
        <v>5.8888888888888893</v>
      </c>
      <c r="N24" s="23" cm="1">
        <f t="array" ref="N24">_xlfn.STDEV.P(IF(tbl_daily[CodeName]=Table3[[#This Row],[Athlete Name]],IF(tbl_daily[Academic Year]=$B$6,IF(tbl_daily[Stress]&lt;&gt;"",tbl_daily[Stress]))))</f>
        <v>2.6010444246043609</v>
      </c>
      <c r="O24" s="23">
        <f>IFERROR(IF($B$5="",
AVERAGEIFS(tbl_daily[SleepQuality],tbl_daily[Date],$B$3,tbl_daily[CodeName],Table3[[#This Row],[Athlete Name]],tbl_daily[Academic Year],$B$6,tbl_daily[Ones],1),
AVERAGEIFS(tbl_daily[SleepQuality],tbl_daily[Date],"&lt;="&amp;$B$3,tbl_daily[Date],"&gt;="&amp;$B$3-$B$5,tbl_daily[CodeName],Table3[[#This Row],[Athlete Name]],tbl_daily[Academic Year],$B$6,tbl_daily[Ones],1)),"")</f>
        <v>1</v>
      </c>
      <c r="P24" s="23">
        <f>IFERROR(AVERAGEIFS(tbl_daily[SleepQuality],tbl_daily[CodeName],Table3[[#This Row],[Athlete Name]],tbl_daily[Academic Year],$B$6,tbl_daily[Ones],1),"")</f>
        <v>4.666666666666667</v>
      </c>
      <c r="Q24" s="23" cm="1">
        <f t="array" ref="Q24">_xlfn.STDEV.P(IF(tbl_daily[CodeName]=Table3[[#This Row],[Athlete Name]],IF(tbl_daily[Academic Year]=$B$6,IF(tbl_daily[SleepQuality]&lt;&gt;"",tbl_daily[SleepQuality]))))</f>
        <v>3.2998316455372216</v>
      </c>
      <c r="R24" s="23">
        <f>IFERROR(IF($B$5="",
AVERAGEIFS(tbl_daily[Energy],tbl_daily[Date],$B$3,tbl_daily[CodeName],Table3[[#This Row],[Athlete Name]],tbl_daily[Academic Year],$B$6,tbl_daily[Ones],1),
AVERAGEIFS(tbl_daily[Energy],tbl_daily[Date],"&lt;="&amp;$B$3,tbl_daily[Date],"&gt;="&amp;$B$3-$B$5,tbl_daily[CodeName],Table3[[#This Row],[Athlete Name]],tbl_daily[Academic Year],$B$6,tbl_daily[Ones],1)),"")</f>
        <v>2</v>
      </c>
      <c r="S24" s="23">
        <f>IFERROR(AVERAGEIFS(tbl_daily[Energy],tbl_daily[CodeName],Table3[[#This Row],[Athlete Name]],tbl_daily[Academic Year],$B$6,tbl_daily[Ones],1),"")</f>
        <v>6</v>
      </c>
      <c r="T24" s="23" cm="1">
        <f t="array" ref="T24">_xlfn.STDEV.P(IF(tbl_daily[CodeName]=Table3[[#This Row],[Athlete Name]],IF(tbl_daily[Academic Year]=$B$6,IF(tbl_daily[Energy]&lt;&gt;"",tbl_daily[Energy]))))</f>
        <v>2.5495097567963922</v>
      </c>
      <c r="U24" s="23">
        <f>IFERROR(IF($B$5="",
AVERAGEIFS(tbl_daily[Readiness Score],tbl_daily[Date],$B$3,tbl_daily[CodeName],Table3[[#This Row],[Athlete Name]],tbl_daily[Academic Year],$B$6,tbl_daily[Ones],1),
AVERAGEIFS(tbl_daily[Readiness Score],tbl_daily[Date],"&lt;="&amp;$B$3,tbl_daily[Date],"&gt;="&amp;$B$3-$B$5,tbl_daily[CodeName],Table3[[#This Row],[Athlete Name]],tbl_daily[Academic Year],$B$6,tbl_daily[Ones],1)),"")</f>
        <v>6</v>
      </c>
      <c r="V24" s="23">
        <f>IFERROR(AVERAGEIFS(tbl_daily[Readiness Score],tbl_daily[CodeName],Table3[[#This Row],[Athlete Name]],tbl_daily[Academic Year],$B$6,tbl_daily[Ones],1),"")</f>
        <v>15.888888888888889</v>
      </c>
      <c r="W24" s="23" cm="1">
        <f t="array" ref="W24">_xlfn.STDEV.P(IF(tbl_daily[CodeName]=Table3[[#This Row],[Athlete Name]],IF(tbl_daily[Academic Year]=$B$6,IF(tbl_daily[Readiness Score]&lt;&gt;"",tbl_daily[Readiness Score]))))</f>
        <v>6.8547541400831911</v>
      </c>
      <c r="X24" s="23">
        <f>IFERROR(IF($B$5="",
AVERAGEIFS(tbl_daily[LatestRPE],tbl_daily[Date],$B$3,tbl_daily[CodeName],Table3[[#This Row],[Athlete Name]],tbl_daily[Academic Year],$B$6,tbl_daily[Ones],1),
AVERAGEIFS(tbl_daily[LatestRPE],tbl_daily[Date],"&lt;="&amp;$B$3,tbl_daily[Date],"&gt;="&amp;$B$3-$B$5,tbl_daily[CodeName],Table3[[#This Row],[Athlete Name]],tbl_daily[Academic Year],$B$6,tbl_daily[Ones],1)),"")</f>
        <v>4</v>
      </c>
      <c r="Y24" s="23">
        <f>IFERROR(AVERAGEIFS(tbl_daily[LatestRPE],tbl_daily[CodeName],Table3[[#This Row],[Athlete Name]],tbl_daily[Academic Year],$B$6,tbl_daily[Ones],1),"")</f>
        <v>2.8888888888888888</v>
      </c>
      <c r="Z24" s="23" cm="1">
        <f t="array" ref="Z24">_xlfn.STDEV.P(IF(tbl_daily[CodeName]=Table3[[#This Row],[Athlete Name]],IF(tbl_daily[Academic Year]=$B$6,IF(tbl_daily[LatestRPE]&lt;&gt;"",tbl_daily[LatestRPE]))))</f>
        <v>2.6851213274654606</v>
      </c>
      <c r="AA24" s="23">
        <f>IFERROR(IF($B$5="",
AVERAGEIFS(tbl_daily[LatestDuration],tbl_daily[Date],$B$3,tbl_daily[CodeName],Table3[[#This Row],[Athlete Name]],tbl_daily[Academic Year],$B$6,tbl_daily[Ones],1),
AVERAGEIFS(tbl_daily[LatestDuration],tbl_daily[Date],"&lt;="&amp;$B$3,tbl_daily[Date],"&gt;="&amp;$B$3-$B$5,tbl_daily[CodeName],Table3[[#This Row],[Athlete Name]],tbl_daily[Academic Year],$B$6,tbl_daily[Ones],1)),"")</f>
        <v>120</v>
      </c>
      <c r="AB24" s="23">
        <f>IFERROR(AVERAGEIFS(tbl_daily[LatestDuration],tbl_daily[CodeName],Table3[[#This Row],[Athlete Name]],tbl_daily[Academic Year],$B$6,tbl_daily[Ones],1),"")</f>
        <v>33.333333333333336</v>
      </c>
      <c r="AC24" s="23" cm="1">
        <f t="array" ref="AC24">_xlfn.STDEV.P(IF(tbl_daily[CodeName]=Table3[[#This Row],[Athlete Name]],IF(tbl_daily[Academic Year]=$B$6,IF(tbl_daily[LatestDuration]&lt;&gt;"",tbl_daily[LatestDuration]))))</f>
        <v>37.932688922470142</v>
      </c>
      <c r="AD24" s="23">
        <f>IFERROR(IF($B$5="",
AVERAGEIFS(tbl_daily[sRPE],tbl_daily[Date],$B$3,tbl_daily[CodeName],Table3[[#This Row],[Athlete Name]],tbl_daily[Academic Year],$B$6,tbl_daily[Ones],1),
AVERAGEIFS(tbl_daily[sRPE],tbl_daily[Date],"&lt;="&amp;$B$3,tbl_daily[Date],"&gt;="&amp;$B$3-$B$5,tbl_daily[CodeName],Table3[[#This Row],[Athlete Name]],tbl_daily[Academic Year],$B$6,tbl_daily[Ones],1)),"")</f>
        <v>480</v>
      </c>
      <c r="AE24" s="23">
        <f>IFERROR(AVERAGEIFS(tbl_daily[sRPE],tbl_daily[CodeName],Table3[[#This Row],[Athlete Name]],tbl_daily[Academic Year],$B$6,tbl_daily[Ones],1),"")</f>
        <v>163.33333333333334</v>
      </c>
      <c r="AF24" s="23" cm="1">
        <f t="array" ref="AF24">_xlfn.STDEV.P(IF(tbl_daily[CodeName]=Table3[[#This Row],[Athlete Name]],IF(tbl_daily[Academic Year]=$B$6,IF(tbl_daily[sRPE]&lt;&gt;"",tbl_daily[sRPE]))))</f>
        <v>167.54767149149589</v>
      </c>
      <c r="AG24" s="23">
        <f>IFERROR(IF($B$5="",
AVERAGEIFS(tbl_daily[Grades],tbl_daily[Date],$B$3,tbl_daily[CodeName],Table3[[#This Row],[Athlete Name]],tbl_daily[Academic Year],$B$6,tbl_daily[Ones],1),
AVERAGEIFS(tbl_daily[Grades],tbl_daily[Date],"&lt;="&amp;$B$3,tbl_daily[Date],"&gt;="&amp;$B$3-$B$5,tbl_daily[CodeName],Table3[[#This Row],[Athlete Name]],tbl_daily[Academic Year],$B$6,tbl_daily[Ones],1)),"")</f>
        <v>76</v>
      </c>
      <c r="AH24" s="11">
        <f>IFERROR(AVERAGEIFS(tbl_daily[Grades],tbl_daily[CodeName],Table3[[#This Row],[Athlete Name]],tbl_daily[Academic Year],$B$6,tbl_daily[Ones],1),"")</f>
        <v>86.25</v>
      </c>
      <c r="AI24" s="11" cm="1">
        <f t="array" ref="AI24">_xlfn.STDEV.P(IF(tbl_daily[CodeName]=Table3[[#This Row],[Athlete Name]],IF(tbl_daily[Academic Year]=$B$6,IF(tbl_daily[Grades]&lt;&gt;"",tbl_daily[Grades]))))</f>
        <v>6.3393611665529832</v>
      </c>
    </row>
    <row r="25" spans="1:35" x14ac:dyDescent="0.25">
      <c r="A25" s="78" t="s">
        <v>421</v>
      </c>
      <c r="B25" s="84" t="str">
        <f>INDEX(tbl_prof[Cohort of Interest],MATCH(Table3[[#This Row],[Athlete Name]],tbl_prof[CodeName],0))</f>
        <v>Athletes</v>
      </c>
      <c r="C25" s="76">
        <f>IFERROR(IF($B$5="",
AVERAGEIFS(tbl_daily[Attendance Refined],tbl_daily[Date],$B$3,tbl_daily[CodeName],Table3[[#This Row],[Athlete Name]],tbl_daily[Academic Year],$B$6,tbl_daily[Ones],1),
AVERAGEIFS(tbl_daily[Attendance Refined],tbl_daily[Date],"&lt;="&amp;$B$3,tbl_daily[Date],"&gt;="&amp;$B$3-$B$5,tbl_daily[CodeName],Table3[[#This Row],[Athlete Name]],tbl_daily[Academic Year],$B$6,tbl_daily[Ones],1)),"")</f>
        <v>1</v>
      </c>
      <c r="D25" s="76">
        <f>IFERROR(AVERAGEIFS(tbl_daily[Attendance Refined],tbl_daily[CodeName],Table3[[#This Row],[Athlete Name]],tbl_daily[Academic Year],$B$6,tbl_daily[Ones],1),"")</f>
        <v>1.1538461538461537</v>
      </c>
      <c r="E25" s="76" cm="1">
        <f t="array" ref="E25">_xlfn.STDEV.P(IF(tbl_daily[CodeName]=Table3[[#This Row],[Athlete Name]],IF(tbl_daily[Academic Year]=$B$6,tbl_daily[Attendance Refined])))</f>
        <v>0.53293871002119297</v>
      </c>
      <c r="F25" s="76">
        <f>IFERROR(IF($B$5="",
AVERAGEIFS(tbl_daily[Injury Refined],tbl_daily[Date],$B$3,tbl_daily[CodeName],Table3[[#This Row],[Athlete Name]],tbl_daily[Academic Year],$B$6,tbl_daily[Ones],1),
AVERAGEIFS(tbl_daily[Injury Refined],tbl_daily[Date],"&lt;="&amp;$B$3,tbl_daily[Date],"&gt;="&amp;$B$3-$B$5,tbl_daily[CodeName],Table3[[#This Row],[Athlete Name]],tbl_daily[Academic Year],$B$6,tbl_daily[Ones],1)),"")</f>
        <v>1</v>
      </c>
      <c r="G25" s="76">
        <f>IFERROR(AVERAGEIFS(tbl_daily[Injury Refined],tbl_daily[CodeName],Table3[[#This Row],[Athlete Name]],tbl_daily[Academic Year],$B$6,tbl_daily[Ones],1),"")</f>
        <v>1</v>
      </c>
      <c r="H25" s="76" cm="1">
        <f t="array" ref="H25">_xlfn.STDEV.P(IF(tbl_daily[CodeName]=Table3[[#This Row],[Athlete Name]],IF(tbl_daily[Academic Year]=$B$6,tbl_daily[Injury Refined])))</f>
        <v>0</v>
      </c>
      <c r="I25" s="76">
        <f>IFERROR(IF($B$5="",
AVERAGEIFS(tbl_daily[Exercise24Hr],tbl_daily[Date],$B$3,tbl_daily[CodeName],Table3[[#This Row],[Athlete Name]],tbl_daily[Academic Year],$B$6,tbl_daily[Ones],1),
AVERAGEIFS(tbl_daily[Exercise24Hr],tbl_daily[Date],"&lt;="&amp;$B$3,tbl_daily[Date],"&gt;="&amp;$B$3-$B$5,tbl_daily[CodeName],Table3[[#This Row],[Athlete Name]],tbl_daily[Academic Year],$B$6,tbl_daily[Ones],1)),"")</f>
        <v>0</v>
      </c>
      <c r="J25" s="11">
        <f>IFERROR(AVERAGEIFS(tbl_daily[Exercise24Hr],tbl_daily[CodeName],Table3[[#This Row],[Athlete Name]],tbl_daily[Academic Year],$B$6,tbl_daily[Ones],1),"")</f>
        <v>0.66666666666666663</v>
      </c>
      <c r="K25" s="11" cm="1">
        <f t="array" ref="K25">_xlfn.STDEV.P(IF(tbl_daily[CodeName]=Table3[[#This Row],[Athlete Name]],IF(tbl_daily[Academic Year]=$B$6,tbl_daily[Exercise24Hr])))</f>
        <v>0.48650425541051989</v>
      </c>
      <c r="L25" s="23">
        <f>IFERROR(IF($B$5="",
AVERAGEIFS(tbl_daily[Stress],tbl_daily[Date],$B$3,tbl_daily[CodeName],Table3[[#This Row],[Athlete Name]],tbl_daily[Academic Year],$B$6,tbl_daily[Ones],1),
AVERAGEIFS(tbl_daily[Stress],tbl_daily[Date],"&lt;="&amp;$B$3,tbl_daily[Date],"&gt;="&amp;$B$3-$B$5,tbl_daily[CodeName],Table3[[#This Row],[Athlete Name]],tbl_daily[Academic Year],$B$6,tbl_daily[Ones],1)),"")</f>
        <v>7.5</v>
      </c>
      <c r="M25" s="23">
        <f>IFERROR(AVERAGEIFS(tbl_daily[Stress],tbl_daily[CodeName],Table3[[#This Row],[Athlete Name]],tbl_daily[Academic Year],$B$6,tbl_daily[Ones],1),"")</f>
        <v>7.833333333333333</v>
      </c>
      <c r="N25" s="23" cm="1">
        <f t="array" ref="N25">_xlfn.STDEV.P(IF(tbl_daily[CodeName]=Table3[[#This Row],[Athlete Name]],IF(tbl_daily[Academic Year]=$B$6,IF(tbl_daily[Stress]&lt;&gt;"",tbl_daily[Stress]))))</f>
        <v>0.98601329718326935</v>
      </c>
      <c r="O25" s="23">
        <f>IFERROR(IF($B$5="",
AVERAGEIFS(tbl_daily[SleepQuality],tbl_daily[Date],$B$3,tbl_daily[CodeName],Table3[[#This Row],[Athlete Name]],tbl_daily[Academic Year],$B$6,tbl_daily[Ones],1),
AVERAGEIFS(tbl_daily[SleepQuality],tbl_daily[Date],"&lt;="&amp;$B$3,tbl_daily[Date],"&gt;="&amp;$B$3-$B$5,tbl_daily[CodeName],Table3[[#This Row],[Athlete Name]],tbl_daily[Academic Year],$B$6,tbl_daily[Ones],1)),"")</f>
        <v>7.5</v>
      </c>
      <c r="P25" s="23">
        <f>IFERROR(AVERAGEIFS(tbl_daily[SleepQuality],tbl_daily[CodeName],Table3[[#This Row],[Athlete Name]],tbl_daily[Academic Year],$B$6,tbl_daily[Ones],1),"")</f>
        <v>7.25</v>
      </c>
      <c r="Q25" s="23" cm="1">
        <f t="array" ref="Q25">_xlfn.STDEV.P(IF(tbl_daily[CodeName]=Table3[[#This Row],[Athlete Name]],IF(tbl_daily[Academic Year]=$B$6,IF(tbl_daily[SleepQuality]&lt;&gt;"",tbl_daily[SleepQuality]))))</f>
        <v>1.2332207155790618</v>
      </c>
      <c r="R25" s="23">
        <f>IFERROR(IF($B$5="",
AVERAGEIFS(tbl_daily[Energy],tbl_daily[Date],$B$3,tbl_daily[CodeName],Table3[[#This Row],[Athlete Name]],tbl_daily[Academic Year],$B$6,tbl_daily[Ones],1),
AVERAGEIFS(tbl_daily[Energy],tbl_daily[Date],"&lt;="&amp;$B$3,tbl_daily[Date],"&gt;="&amp;$B$3-$B$5,tbl_daily[CodeName],Table3[[#This Row],[Athlete Name]],tbl_daily[Academic Year],$B$6,tbl_daily[Ones],1)),"")</f>
        <v>8</v>
      </c>
      <c r="S25" s="23">
        <f>IFERROR(AVERAGEIFS(tbl_daily[Energy],tbl_daily[CodeName],Table3[[#This Row],[Athlete Name]],tbl_daily[Academic Year],$B$6,tbl_daily[Ones],1),"")</f>
        <v>7.416666666666667</v>
      </c>
      <c r="T25" s="23" cm="1">
        <f t="array" ref="T25">_xlfn.STDEV.P(IF(tbl_daily[CodeName]=Table3[[#This Row],[Athlete Name]],IF(tbl_daily[Academic Year]=$B$6,IF(tbl_daily[Energy]&lt;&gt;"",tbl_daily[Energy]))))</f>
        <v>1.1873172373979173</v>
      </c>
      <c r="U25" s="23">
        <f>IFERROR(IF($B$5="",
AVERAGEIFS(tbl_daily[Readiness Score],tbl_daily[Date],$B$3,tbl_daily[CodeName],Table3[[#This Row],[Athlete Name]],tbl_daily[Academic Year],$B$6,tbl_daily[Ones],1),
AVERAGEIFS(tbl_daily[Readiness Score],tbl_daily[Date],"&lt;="&amp;$B$3,tbl_daily[Date],"&gt;="&amp;$B$3-$B$5,tbl_daily[CodeName],Table3[[#This Row],[Athlete Name]],tbl_daily[Academic Year],$B$6,tbl_daily[Ones],1)),"")</f>
        <v>23</v>
      </c>
      <c r="V25" s="23">
        <f>IFERROR(AVERAGEIFS(tbl_daily[Readiness Score],tbl_daily[CodeName],Table3[[#This Row],[Athlete Name]],tbl_daily[Academic Year],$B$6,tbl_daily[Ones],1),"")</f>
        <v>22.5</v>
      </c>
      <c r="W25" s="23" cm="1">
        <f t="array" ref="W25">_xlfn.STDEV.P(IF(tbl_daily[CodeName]=Table3[[#This Row],[Athlete Name]],IF(tbl_daily[Academic Year]=$B$6,IF(tbl_daily[Readiness Score]&lt;&gt;"",tbl_daily[Readiness Score]))))</f>
        <v>2.9011491975882016</v>
      </c>
      <c r="X25" s="23">
        <f>IFERROR(IF($B$5="",
AVERAGEIFS(tbl_daily[LatestRPE],tbl_daily[Date],$B$3,tbl_daily[CodeName],Table3[[#This Row],[Athlete Name]],tbl_daily[Academic Year],$B$6,tbl_daily[Ones],1),
AVERAGEIFS(tbl_daily[LatestRPE],tbl_daily[Date],"&lt;="&amp;$B$3,tbl_daily[Date],"&gt;="&amp;$B$3-$B$5,tbl_daily[CodeName],Table3[[#This Row],[Athlete Name]],tbl_daily[Academic Year],$B$6,tbl_daily[Ones],1)),"")</f>
        <v>0</v>
      </c>
      <c r="Y25" s="23">
        <f>IFERROR(AVERAGEIFS(tbl_daily[LatestRPE],tbl_daily[CodeName],Table3[[#This Row],[Athlete Name]],tbl_daily[Academic Year],$B$6,tbl_daily[Ones],1),"")</f>
        <v>4.5</v>
      </c>
      <c r="Z25" s="23" cm="1">
        <f t="array" ref="Z25">_xlfn.STDEV.P(IF(tbl_daily[CodeName]=Table3[[#This Row],[Athlete Name]],IF(tbl_daily[Academic Year]=$B$6,IF(tbl_daily[LatestRPE]&lt;&gt;"",tbl_daily[LatestRPE]))))</f>
        <v>3.2532035493238558</v>
      </c>
      <c r="AA25" s="23">
        <f>IFERROR(IF($B$5="",
AVERAGEIFS(tbl_daily[LatestDuration],tbl_daily[Date],$B$3,tbl_daily[CodeName],Table3[[#This Row],[Athlete Name]],tbl_daily[Academic Year],$B$6,tbl_daily[Ones],1),
AVERAGEIFS(tbl_daily[LatestDuration],tbl_daily[Date],"&lt;="&amp;$B$3,tbl_daily[Date],"&gt;="&amp;$B$3-$B$5,tbl_daily[CodeName],Table3[[#This Row],[Athlete Name]],tbl_daily[Academic Year],$B$6,tbl_daily[Ones],1)),"")</f>
        <v>0</v>
      </c>
      <c r="AB25" s="23">
        <f>IFERROR(AVERAGEIFS(tbl_daily[LatestDuration],tbl_daily[CodeName],Table3[[#This Row],[Athlete Name]],tbl_daily[Academic Year],$B$6,tbl_daily[Ones],1),"")</f>
        <v>47.727272727272727</v>
      </c>
      <c r="AC25" s="23" cm="1">
        <f t="array" ref="AC25">_xlfn.STDEV.P(IF(tbl_daily[CodeName]=Table3[[#This Row],[Athlete Name]],IF(tbl_daily[Academic Year]=$B$6,IF(tbl_daily[LatestDuration]&lt;&gt;"",tbl_daily[LatestDuration]))))</f>
        <v>65.169835338264662</v>
      </c>
      <c r="AD25" s="23">
        <f>IFERROR(IF($B$5="",
AVERAGEIFS(tbl_daily[sRPE],tbl_daily[Date],$B$3,tbl_daily[CodeName],Table3[[#This Row],[Athlete Name]],tbl_daily[Academic Year],$B$6,tbl_daily[Ones],1),
AVERAGEIFS(tbl_daily[sRPE],tbl_daily[Date],"&lt;="&amp;$B$3,tbl_daily[Date],"&gt;="&amp;$B$3-$B$5,tbl_daily[CodeName],Table3[[#This Row],[Athlete Name]],tbl_daily[Academic Year],$B$6,tbl_daily[Ones],1)),"")</f>
        <v>0</v>
      </c>
      <c r="AE25" s="23">
        <f>IFERROR(AVERAGEIFS(tbl_daily[sRPE],tbl_daily[CodeName],Table3[[#This Row],[Athlete Name]],tbl_daily[Academic Year],$B$6,tbl_daily[Ones],1),"")</f>
        <v>316.25</v>
      </c>
      <c r="AF25" s="23" cm="1">
        <f t="array" ref="AF25">_xlfn.STDEV.P(IF(tbl_daily[CodeName]=Table3[[#This Row],[Athlete Name]],IF(tbl_daily[Academic Year]=$B$6,IF(tbl_daily[sRPE]&lt;&gt;"",tbl_daily[sRPE]))))</f>
        <v>509.94331792857133</v>
      </c>
      <c r="AG25" s="23">
        <f>IFERROR(IF($B$5="",
AVERAGEIFS(tbl_daily[Grades],tbl_daily[Date],$B$3,tbl_daily[CodeName],Table3[[#This Row],[Athlete Name]],tbl_daily[Academic Year],$B$6,tbl_daily[Ones],1),
AVERAGEIFS(tbl_daily[Grades],tbl_daily[Date],"&lt;="&amp;$B$3,tbl_daily[Date],"&gt;="&amp;$B$3-$B$5,tbl_daily[CodeName],Table3[[#This Row],[Athlete Name]],tbl_daily[Academic Year],$B$6,tbl_daily[Ones],1)),"")</f>
        <v>100</v>
      </c>
      <c r="AH25" s="11">
        <f>IFERROR(AVERAGEIFS(tbl_daily[Grades],tbl_daily[CodeName],Table3[[#This Row],[Athlete Name]],tbl_daily[Academic Year],$B$6,tbl_daily[Ones],1),"")</f>
        <v>90.75</v>
      </c>
      <c r="AI25" s="11" cm="1">
        <f t="array" ref="AI25">_xlfn.STDEV.P(IF(tbl_daily[CodeName]=Table3[[#This Row],[Athlete Name]],IF(tbl_daily[Academic Year]=$B$6,IF(tbl_daily[Grades]&lt;&gt;"",tbl_daily[Grades]))))</f>
        <v>7.0133800695527686</v>
      </c>
    </row>
    <row r="26" spans="1:35" x14ac:dyDescent="0.25">
      <c r="A26" s="77" t="s">
        <v>422</v>
      </c>
      <c r="B26" s="83" t="str">
        <f>INDEX(tbl_prof[Cohort of Interest],MATCH(Table3[[#This Row],[Athlete Name]],tbl_prof[CodeName],0))</f>
        <v>Athletes</v>
      </c>
      <c r="C26" s="76">
        <f>IFERROR(IF($B$5="",
AVERAGEIFS(tbl_daily[Attendance Refined],tbl_daily[Date],$B$3,tbl_daily[CodeName],Table3[[#This Row],[Athlete Name]],tbl_daily[Academic Year],$B$6,tbl_daily[Ones],1),
AVERAGEIFS(tbl_daily[Attendance Refined],tbl_daily[Date],"&lt;="&amp;$B$3,tbl_daily[Date],"&gt;="&amp;$B$3-$B$5,tbl_daily[CodeName],Table3[[#This Row],[Athlete Name]],tbl_daily[Academic Year],$B$6,tbl_daily[Ones],1)),"")</f>
        <v>1</v>
      </c>
      <c r="D26" s="76">
        <f>IFERROR(AVERAGEIFS(tbl_daily[Attendance Refined],tbl_daily[CodeName],Table3[[#This Row],[Athlete Name]],tbl_daily[Academic Year],$B$6,tbl_daily[Ones],1),"")</f>
        <v>1</v>
      </c>
      <c r="E26" s="76" cm="1">
        <f t="array" ref="E26">_xlfn.STDEV.P(IF(tbl_daily[CodeName]=Table3[[#This Row],[Athlete Name]],IF(tbl_daily[Academic Year]=$B$6,tbl_daily[Attendance Refined])))</f>
        <v>0</v>
      </c>
      <c r="F26" s="76">
        <f>IFERROR(IF($B$5="",
AVERAGEIFS(tbl_daily[Injury Refined],tbl_daily[Date],$B$3,tbl_daily[CodeName],Table3[[#This Row],[Athlete Name]],tbl_daily[Academic Year],$B$6,tbl_daily[Ones],1),
AVERAGEIFS(tbl_daily[Injury Refined],tbl_daily[Date],"&lt;="&amp;$B$3,tbl_daily[Date],"&gt;="&amp;$B$3-$B$5,tbl_daily[CodeName],Table3[[#This Row],[Athlete Name]],tbl_daily[Academic Year],$B$6,tbl_daily[Ones],1)),"")</f>
        <v>2</v>
      </c>
      <c r="G26" s="76">
        <f>IFERROR(AVERAGEIFS(tbl_daily[Injury Refined],tbl_daily[CodeName],Table3[[#This Row],[Athlete Name]],tbl_daily[Academic Year],$B$6,tbl_daily[Ones],1),"")</f>
        <v>1.2307692307692308</v>
      </c>
      <c r="H26" s="76" cm="1">
        <f t="array" ref="H26">_xlfn.STDEV.P(IF(tbl_daily[CodeName]=Table3[[#This Row],[Athlete Name]],IF(tbl_daily[Academic Year]=$B$6,tbl_daily[Injury Refined])))</f>
        <v>0.42132504423474315</v>
      </c>
      <c r="I26" s="76">
        <f>IFERROR(IF($B$5="",
AVERAGEIFS(tbl_daily[Exercise24Hr],tbl_daily[Date],$B$3,tbl_daily[CodeName],Table3[[#This Row],[Athlete Name]],tbl_daily[Academic Year],$B$6,tbl_daily[Ones],1),
AVERAGEIFS(tbl_daily[Exercise24Hr],tbl_daily[Date],"&lt;="&amp;$B$3,tbl_daily[Date],"&gt;="&amp;$B$3-$B$5,tbl_daily[CodeName],Table3[[#This Row],[Athlete Name]],tbl_daily[Academic Year],$B$6,tbl_daily[Ones],1)),"")</f>
        <v>1</v>
      </c>
      <c r="J26" s="11">
        <f>IFERROR(AVERAGEIFS(tbl_daily[Exercise24Hr],tbl_daily[CodeName],Table3[[#This Row],[Athlete Name]],tbl_daily[Academic Year],$B$6,tbl_daily[Ones],1),"")</f>
        <v>0.92307692307692313</v>
      </c>
      <c r="K26" s="11" cm="1">
        <f t="array" ref="K26">_xlfn.STDEV.P(IF(tbl_daily[CodeName]=Table3[[#This Row],[Athlete Name]],IF(tbl_daily[Academic Year]=$B$6,tbl_daily[Exercise24Hr])))</f>
        <v>0.26646935501059649</v>
      </c>
      <c r="L26" s="23">
        <f>IFERROR(IF($B$5="",
AVERAGEIFS(tbl_daily[Stress],tbl_daily[Date],$B$3,tbl_daily[CodeName],Table3[[#This Row],[Athlete Name]],tbl_daily[Academic Year],$B$6,tbl_daily[Ones],1),
AVERAGEIFS(tbl_daily[Stress],tbl_daily[Date],"&lt;="&amp;$B$3,tbl_daily[Date],"&gt;="&amp;$B$3-$B$5,tbl_daily[CodeName],Table3[[#This Row],[Athlete Name]],tbl_daily[Academic Year],$B$6,tbl_daily[Ones],1)),"")</f>
        <v>7</v>
      </c>
      <c r="M26" s="23">
        <f>IFERROR(AVERAGEIFS(tbl_daily[Stress],tbl_daily[CodeName],Table3[[#This Row],[Athlete Name]],tbl_daily[Academic Year],$B$6,tbl_daily[Ones],1),"")</f>
        <v>6.6923076923076925</v>
      </c>
      <c r="N26" s="23" cm="1">
        <f t="array" ref="N26">_xlfn.STDEV.P(IF(tbl_daily[CodeName]=Table3[[#This Row],[Athlete Name]],IF(tbl_daily[Academic Year]=$B$6,IF(tbl_daily[Stress]&lt;&gt;"",tbl_daily[Stress]))))</f>
        <v>1.2639751327042295</v>
      </c>
      <c r="O26" s="23">
        <f>IFERROR(IF($B$5="",
AVERAGEIFS(tbl_daily[SleepQuality],tbl_daily[Date],$B$3,tbl_daily[CodeName],Table3[[#This Row],[Athlete Name]],tbl_daily[Academic Year],$B$6,tbl_daily[Ones],1),
AVERAGEIFS(tbl_daily[SleepQuality],tbl_daily[Date],"&lt;="&amp;$B$3,tbl_daily[Date],"&gt;="&amp;$B$3-$B$5,tbl_daily[CodeName],Table3[[#This Row],[Athlete Name]],tbl_daily[Academic Year],$B$6,tbl_daily[Ones],1)),"")</f>
        <v>8</v>
      </c>
      <c r="P26" s="23">
        <f>IFERROR(AVERAGEIFS(tbl_daily[SleepQuality],tbl_daily[CodeName],Table3[[#This Row],[Athlete Name]],tbl_daily[Academic Year],$B$6,tbl_daily[Ones],1),"")</f>
        <v>7.5384615384615383</v>
      </c>
      <c r="Q26" s="23" cm="1">
        <f t="array" ref="Q26">_xlfn.STDEV.P(IF(tbl_daily[CodeName]=Table3[[#This Row],[Athlete Name]],IF(tbl_daily[Academic Year]=$B$6,IF(tbl_daily[SleepQuality]&lt;&gt;"",tbl_daily[SleepQuality]))))</f>
        <v>1.2162606385262997</v>
      </c>
      <c r="R26" s="23">
        <f>IFERROR(IF($B$5="",
AVERAGEIFS(tbl_daily[Energy],tbl_daily[Date],$B$3,tbl_daily[CodeName],Table3[[#This Row],[Athlete Name]],tbl_daily[Academic Year],$B$6,tbl_daily[Ones],1),
AVERAGEIFS(tbl_daily[Energy],tbl_daily[Date],"&lt;="&amp;$B$3,tbl_daily[Date],"&gt;="&amp;$B$3-$B$5,tbl_daily[CodeName],Table3[[#This Row],[Athlete Name]],tbl_daily[Academic Year],$B$6,tbl_daily[Ones],1)),"")</f>
        <v>7.5</v>
      </c>
      <c r="S26" s="23">
        <f>IFERROR(AVERAGEIFS(tbl_daily[Energy],tbl_daily[CodeName],Table3[[#This Row],[Athlete Name]],tbl_daily[Academic Year],$B$6,tbl_daily[Ones],1),"")</f>
        <v>7.2307692307692308</v>
      </c>
      <c r="T26" s="23" cm="1">
        <f t="array" ref="T26">_xlfn.STDEV.P(IF(tbl_daily[CodeName]=Table3[[#This Row],[Athlete Name]],IF(tbl_daily[Academic Year]=$B$6,IF(tbl_daily[Energy]&lt;&gt;"",tbl_daily[Energy]))))</f>
        <v>0.79940806503178952</v>
      </c>
      <c r="U26" s="23">
        <f>IFERROR(IF($B$5="",
AVERAGEIFS(tbl_daily[Readiness Score],tbl_daily[Date],$B$3,tbl_daily[CodeName],Table3[[#This Row],[Athlete Name]],tbl_daily[Academic Year],$B$6,tbl_daily[Ones],1),
AVERAGEIFS(tbl_daily[Readiness Score],tbl_daily[Date],"&lt;="&amp;$B$3,tbl_daily[Date],"&gt;="&amp;$B$3-$B$5,tbl_daily[CodeName],Table3[[#This Row],[Athlete Name]],tbl_daily[Academic Year],$B$6,tbl_daily[Ones],1)),"")</f>
        <v>22.5</v>
      </c>
      <c r="V26" s="23">
        <f>IFERROR(AVERAGEIFS(tbl_daily[Readiness Score],tbl_daily[CodeName],Table3[[#This Row],[Athlete Name]],tbl_daily[Academic Year],$B$6,tbl_daily[Ones],1),"")</f>
        <v>21.46153846153846</v>
      </c>
      <c r="W26" s="23" cm="1">
        <f t="array" ref="W26">_xlfn.STDEV.P(IF(tbl_daily[CodeName]=Table3[[#This Row],[Athlete Name]],IF(tbl_daily[Academic Year]=$B$6,IF(tbl_daily[Readiness Score]&lt;&gt;"",tbl_daily[Readiness Score]))))</f>
        <v>2.9772311508251734</v>
      </c>
      <c r="X26" s="23">
        <f>IFERROR(IF($B$5="",
AVERAGEIFS(tbl_daily[LatestRPE],tbl_daily[Date],$B$3,tbl_daily[CodeName],Table3[[#This Row],[Athlete Name]],tbl_daily[Academic Year],$B$6,tbl_daily[Ones],1),
AVERAGEIFS(tbl_daily[LatestRPE],tbl_daily[Date],"&lt;="&amp;$B$3,tbl_daily[Date],"&gt;="&amp;$B$3-$B$5,tbl_daily[CodeName],Table3[[#This Row],[Athlete Name]],tbl_daily[Academic Year],$B$6,tbl_daily[Ones],1)),"")</f>
        <v>6</v>
      </c>
      <c r="Y26" s="23">
        <f>IFERROR(AVERAGEIFS(tbl_daily[LatestRPE],tbl_daily[CodeName],Table3[[#This Row],[Athlete Name]],tbl_daily[Academic Year],$B$6,tbl_daily[Ones],1),"")</f>
        <v>5.615384615384615</v>
      </c>
      <c r="Z26" s="23" cm="1">
        <f t="array" ref="Z26">_xlfn.STDEV.P(IF(tbl_daily[CodeName]=Table3[[#This Row],[Athlete Name]],IF(tbl_daily[Academic Year]=$B$6,IF(tbl_daily[LatestRPE]&lt;&gt;"",tbl_daily[LatestRPE]))))</f>
        <v>1.9429739908177059</v>
      </c>
      <c r="AA26" s="23">
        <f>IFERROR(IF($B$5="",
AVERAGEIFS(tbl_daily[LatestDuration],tbl_daily[Date],$B$3,tbl_daily[CodeName],Table3[[#This Row],[Athlete Name]],tbl_daily[Academic Year],$B$6,tbl_daily[Ones],1),
AVERAGEIFS(tbl_daily[LatestDuration],tbl_daily[Date],"&lt;="&amp;$B$3,tbl_daily[Date],"&gt;="&amp;$B$3-$B$5,tbl_daily[CodeName],Table3[[#This Row],[Athlete Name]],tbl_daily[Academic Year],$B$6,tbl_daily[Ones],1)),"")</f>
        <v>35</v>
      </c>
      <c r="AB26" s="23">
        <f>IFERROR(AVERAGEIFS(tbl_daily[LatestDuration],tbl_daily[CodeName],Table3[[#This Row],[Athlete Name]],tbl_daily[Academic Year],$B$6,tbl_daily[Ones],1),"")</f>
        <v>70.833333333333329</v>
      </c>
      <c r="AC26" s="23" cm="1">
        <f t="array" ref="AC26">_xlfn.STDEV.P(IF(tbl_daily[CodeName]=Table3[[#This Row],[Athlete Name]],IF(tbl_daily[Academic Year]=$B$6,IF(tbl_daily[LatestDuration]&lt;&gt;"",tbl_daily[LatestDuration]))))</f>
        <v>51.994924966021657</v>
      </c>
      <c r="AD26" s="23">
        <f>IFERROR(IF($B$5="",
AVERAGEIFS(tbl_daily[sRPE],tbl_daily[Date],$B$3,tbl_daily[CodeName],Table3[[#This Row],[Athlete Name]],tbl_daily[Academic Year],$B$6,tbl_daily[Ones],1),
AVERAGEIFS(tbl_daily[sRPE],tbl_daily[Date],"&lt;="&amp;$B$3,tbl_daily[Date],"&gt;="&amp;$B$3-$B$5,tbl_daily[CodeName],Table3[[#This Row],[Athlete Name]],tbl_daily[Academic Year],$B$6,tbl_daily[Ones],1)),"")</f>
        <v>210</v>
      </c>
      <c r="AE26" s="23">
        <f>IFERROR(AVERAGEIFS(tbl_daily[sRPE],tbl_daily[CodeName],Table3[[#This Row],[Athlete Name]],tbl_daily[Academic Year],$B$6,tbl_daily[Ones],1),"")</f>
        <v>396.92307692307691</v>
      </c>
      <c r="AF26" s="23" cm="1">
        <f t="array" ref="AF26">_xlfn.STDEV.P(IF(tbl_daily[CodeName]=Table3[[#This Row],[Athlete Name]],IF(tbl_daily[Academic Year]=$B$6,IF(tbl_daily[sRPE]&lt;&gt;"",tbl_daily[sRPE]))))</f>
        <v>326.34065767548947</v>
      </c>
      <c r="AG26" s="23">
        <f>IFERROR(IF($B$5="",
AVERAGEIFS(tbl_daily[Grades],tbl_daily[Date],$B$3,tbl_daily[CodeName],Table3[[#This Row],[Athlete Name]],tbl_daily[Academic Year],$B$6,tbl_daily[Ones],1),
AVERAGEIFS(tbl_daily[Grades],tbl_daily[Date],"&lt;="&amp;$B$3,tbl_daily[Date],"&gt;="&amp;$B$3-$B$5,tbl_daily[CodeName],Table3[[#This Row],[Athlete Name]],tbl_daily[Academic Year],$B$6,tbl_daily[Ones],1)),"")</f>
        <v>87</v>
      </c>
      <c r="AH26" s="11">
        <f>IFERROR(AVERAGEIFS(tbl_daily[Grades],tbl_daily[CodeName],Table3[[#This Row],[Athlete Name]],tbl_daily[Academic Year],$B$6,tbl_daily[Ones],1),"")</f>
        <v>86</v>
      </c>
      <c r="AI26" s="11" cm="1">
        <f t="array" ref="AI26">_xlfn.STDEV.P(IF(tbl_daily[CodeName]=Table3[[#This Row],[Athlete Name]],IF(tbl_daily[Academic Year]=$B$6,IF(tbl_daily[Grades]&lt;&gt;"",tbl_daily[Grades]))))</f>
        <v>7.1414284285428504</v>
      </c>
    </row>
    <row r="27" spans="1:35" x14ac:dyDescent="0.25">
      <c r="A27" s="78" t="s">
        <v>423</v>
      </c>
      <c r="B27" s="84" t="str">
        <f>INDEX(tbl_prof[Cohort of Interest],MATCH(Table3[[#This Row],[Athlete Name]],tbl_prof[CodeName],0))</f>
        <v>Youth</v>
      </c>
      <c r="C27" s="76">
        <f>IFERROR(IF($B$5="",
AVERAGEIFS(tbl_daily[Attendance Refined],tbl_daily[Date],$B$3,tbl_daily[CodeName],Table3[[#This Row],[Athlete Name]],tbl_daily[Academic Year],$B$6,tbl_daily[Ones],1),
AVERAGEIFS(tbl_daily[Attendance Refined],tbl_daily[Date],"&lt;="&amp;$B$3,tbl_daily[Date],"&gt;="&amp;$B$3-$B$5,tbl_daily[CodeName],Table3[[#This Row],[Athlete Name]],tbl_daily[Academic Year],$B$6,tbl_daily[Ones],1)),"")</f>
        <v>1</v>
      </c>
      <c r="D27" s="76">
        <f>IFERROR(AVERAGEIFS(tbl_daily[Attendance Refined],tbl_daily[CodeName],Table3[[#This Row],[Athlete Name]],tbl_daily[Academic Year],$B$6,tbl_daily[Ones],1),"")</f>
        <v>1</v>
      </c>
      <c r="E27" s="76" cm="1">
        <f t="array" ref="E27">_xlfn.STDEV.P(IF(tbl_daily[CodeName]=Table3[[#This Row],[Athlete Name]],IF(tbl_daily[Academic Year]=$B$6,tbl_daily[Attendance Refined])))</f>
        <v>0</v>
      </c>
      <c r="F27" s="76">
        <f>IFERROR(IF($B$5="",
AVERAGEIFS(tbl_daily[Injury Refined],tbl_daily[Date],$B$3,tbl_daily[CodeName],Table3[[#This Row],[Athlete Name]],tbl_daily[Academic Year],$B$6,tbl_daily[Ones],1),
AVERAGEIFS(tbl_daily[Injury Refined],tbl_daily[Date],"&lt;="&amp;$B$3,tbl_daily[Date],"&gt;="&amp;$B$3-$B$5,tbl_daily[CodeName],Table3[[#This Row],[Athlete Name]],tbl_daily[Academic Year],$B$6,tbl_daily[Ones],1)),"")</f>
        <v>1</v>
      </c>
      <c r="G27" s="76">
        <f>IFERROR(AVERAGEIFS(tbl_daily[Injury Refined],tbl_daily[CodeName],Table3[[#This Row],[Athlete Name]],tbl_daily[Academic Year],$B$6,tbl_daily[Ones],1),"")</f>
        <v>1</v>
      </c>
      <c r="H27" s="76" cm="1">
        <f t="array" ref="H27">_xlfn.STDEV.P(IF(tbl_daily[CodeName]=Table3[[#This Row],[Athlete Name]],IF(tbl_daily[Academic Year]=$B$6,tbl_daily[Injury Refined])))</f>
        <v>0</v>
      </c>
      <c r="I27" s="76">
        <f>IFERROR(IF($B$5="",
AVERAGEIFS(tbl_daily[Exercise24Hr],tbl_daily[Date],$B$3,tbl_daily[CodeName],Table3[[#This Row],[Athlete Name]],tbl_daily[Academic Year],$B$6,tbl_daily[Ones],1),
AVERAGEIFS(tbl_daily[Exercise24Hr],tbl_daily[Date],"&lt;="&amp;$B$3,tbl_daily[Date],"&gt;="&amp;$B$3-$B$5,tbl_daily[CodeName],Table3[[#This Row],[Athlete Name]],tbl_daily[Academic Year],$B$6,tbl_daily[Ones],1)),"")</f>
        <v>0.5</v>
      </c>
      <c r="J27" s="11">
        <f>IFERROR(AVERAGEIFS(tbl_daily[Exercise24Hr],tbl_daily[CodeName],Table3[[#This Row],[Athlete Name]],tbl_daily[Academic Year],$B$6,tbl_daily[Ones],1),"")</f>
        <v>0.53846153846153844</v>
      </c>
      <c r="K27" s="11" cm="1">
        <f t="array" ref="K27">_xlfn.STDEV.P(IF(tbl_daily[CodeName]=Table3[[#This Row],[Athlete Name]],IF(tbl_daily[Academic Year]=$B$6,tbl_daily[Exercise24Hr])))</f>
        <v>0.49851851526214308</v>
      </c>
      <c r="L27" s="23">
        <f>IFERROR(IF($B$5="",
AVERAGEIFS(tbl_daily[Stress],tbl_daily[Date],$B$3,tbl_daily[CodeName],Table3[[#This Row],[Athlete Name]],tbl_daily[Academic Year],$B$6,tbl_daily[Ones],1),
AVERAGEIFS(tbl_daily[Stress],tbl_daily[Date],"&lt;="&amp;$B$3,tbl_daily[Date],"&gt;="&amp;$B$3-$B$5,tbl_daily[CodeName],Table3[[#This Row],[Athlete Name]],tbl_daily[Academic Year],$B$6,tbl_daily[Ones],1)),"")</f>
        <v>6.5</v>
      </c>
      <c r="M27" s="23">
        <f>IFERROR(AVERAGEIFS(tbl_daily[Stress],tbl_daily[CodeName],Table3[[#This Row],[Athlete Name]],tbl_daily[Academic Year],$B$6,tbl_daily[Ones],1),"")</f>
        <v>6.2307692307692308</v>
      </c>
      <c r="N27" s="23" cm="1">
        <f t="array" ref="N27">_xlfn.STDEV.P(IF(tbl_daily[CodeName]=Table3[[#This Row],[Athlete Name]],IF(tbl_daily[Academic Year]=$B$6,IF(tbl_daily[Stress]&lt;&gt;"",tbl_daily[Stress]))))</f>
        <v>1.3674145257408599</v>
      </c>
      <c r="O27" s="23">
        <f>IFERROR(IF($B$5="",
AVERAGEIFS(tbl_daily[SleepQuality],tbl_daily[Date],$B$3,tbl_daily[CodeName],Table3[[#This Row],[Athlete Name]],tbl_daily[Academic Year],$B$6,tbl_daily[Ones],1),
AVERAGEIFS(tbl_daily[SleepQuality],tbl_daily[Date],"&lt;="&amp;$B$3,tbl_daily[Date],"&gt;="&amp;$B$3-$B$5,tbl_daily[CodeName],Table3[[#This Row],[Athlete Name]],tbl_daily[Academic Year],$B$6,tbl_daily[Ones],1)),"")</f>
        <v>7.5</v>
      </c>
      <c r="P27" s="23">
        <f>IFERROR(AVERAGEIFS(tbl_daily[SleepQuality],tbl_daily[CodeName],Table3[[#This Row],[Athlete Name]],tbl_daily[Academic Year],$B$6,tbl_daily[Ones],1),"")</f>
        <v>6.6923076923076925</v>
      </c>
      <c r="Q27" s="23" cm="1">
        <f t="array" ref="Q27">_xlfn.STDEV.P(IF(tbl_daily[CodeName]=Table3[[#This Row],[Athlete Name]],IF(tbl_daily[Academic Year]=$B$6,IF(tbl_daily[SleepQuality]&lt;&gt;"",tbl_daily[SleepQuality]))))</f>
        <v>1.1357556200179539</v>
      </c>
      <c r="R27" s="23">
        <f>IFERROR(IF($B$5="",
AVERAGEIFS(tbl_daily[Energy],tbl_daily[Date],$B$3,tbl_daily[CodeName],Table3[[#This Row],[Athlete Name]],tbl_daily[Academic Year],$B$6,tbl_daily[Ones],1),
AVERAGEIFS(tbl_daily[Energy],tbl_daily[Date],"&lt;="&amp;$B$3,tbl_daily[Date],"&gt;="&amp;$B$3-$B$5,tbl_daily[CodeName],Table3[[#This Row],[Athlete Name]],tbl_daily[Academic Year],$B$6,tbl_daily[Ones],1)),"")</f>
        <v>6.5</v>
      </c>
      <c r="S27" s="23">
        <f>IFERROR(AVERAGEIFS(tbl_daily[Energy],tbl_daily[CodeName],Table3[[#This Row],[Athlete Name]],tbl_daily[Academic Year],$B$6,tbl_daily[Ones],1),"")</f>
        <v>6.6923076923076925</v>
      </c>
      <c r="T27" s="23" cm="1">
        <f t="array" ref="T27">_xlfn.STDEV.P(IF(tbl_daily[CodeName]=Table3[[#This Row],[Athlete Name]],IF(tbl_daily[Academic Year]=$B$6,IF(tbl_daily[Energy]&lt;&gt;"",tbl_daily[Energy]))))</f>
        <v>0.82131371169471623</v>
      </c>
      <c r="U27" s="23">
        <f>IFERROR(IF($B$5="",
AVERAGEIFS(tbl_daily[Readiness Score],tbl_daily[Date],$B$3,tbl_daily[CodeName],Table3[[#This Row],[Athlete Name]],tbl_daily[Academic Year],$B$6,tbl_daily[Ones],1),
AVERAGEIFS(tbl_daily[Readiness Score],tbl_daily[Date],"&lt;="&amp;$B$3,tbl_daily[Date],"&gt;="&amp;$B$3-$B$5,tbl_daily[CodeName],Table3[[#This Row],[Athlete Name]],tbl_daily[Academic Year],$B$6,tbl_daily[Ones],1)),"")</f>
        <v>20.5</v>
      </c>
      <c r="V27" s="23">
        <f>IFERROR(AVERAGEIFS(tbl_daily[Readiness Score],tbl_daily[CodeName],Table3[[#This Row],[Athlete Name]],tbl_daily[Academic Year],$B$6,tbl_daily[Ones],1),"")</f>
        <v>19.615384615384617</v>
      </c>
      <c r="W27" s="23" cm="1">
        <f t="array" ref="W27">_xlfn.STDEV.P(IF(tbl_daily[CodeName]=Table3[[#This Row],[Athlete Name]],IF(tbl_daily[Academic Year]=$B$6,IF(tbl_daily[Readiness Score]&lt;&gt;"",tbl_daily[Readiness Score]))))</f>
        <v>1.4955555457864294</v>
      </c>
      <c r="X27" s="23">
        <f>IFERROR(IF($B$5="",
AVERAGEIFS(tbl_daily[LatestRPE],tbl_daily[Date],$B$3,tbl_daily[CodeName],Table3[[#This Row],[Athlete Name]],tbl_daily[Academic Year],$B$6,tbl_daily[Ones],1),
AVERAGEIFS(tbl_daily[LatestRPE],tbl_daily[Date],"&lt;="&amp;$B$3,tbl_daily[Date],"&gt;="&amp;$B$3-$B$5,tbl_daily[CodeName],Table3[[#This Row],[Athlete Name]],tbl_daily[Academic Year],$B$6,tbl_daily[Ones],1)),"")</f>
        <v>4</v>
      </c>
      <c r="Y27" s="23">
        <f>IFERROR(AVERAGEIFS(tbl_daily[LatestRPE],tbl_daily[CodeName],Table3[[#This Row],[Athlete Name]],tbl_daily[Academic Year],$B$6,tbl_daily[Ones],1),"")</f>
        <v>3.8461538461538463</v>
      </c>
      <c r="Z27" s="23" cm="1">
        <f t="array" ref="Z27">_xlfn.STDEV.P(IF(tbl_daily[CodeName]=Table3[[#This Row],[Athlete Name]],IF(tbl_daily[Academic Year]=$B$6,IF(tbl_daily[LatestRPE]&lt;&gt;"",tbl_daily[LatestRPE]))))</f>
        <v>3.7794210758579219</v>
      </c>
      <c r="AA27" s="23">
        <f>IFERROR(IF($B$5="",
AVERAGEIFS(tbl_daily[LatestDuration],tbl_daily[Date],$B$3,tbl_daily[CodeName],Table3[[#This Row],[Athlete Name]],tbl_daily[Academic Year],$B$6,tbl_daily[Ones],1),
AVERAGEIFS(tbl_daily[LatestDuration],tbl_daily[Date],"&lt;="&amp;$B$3,tbl_daily[Date],"&gt;="&amp;$B$3-$B$5,tbl_daily[CodeName],Table3[[#This Row],[Athlete Name]],tbl_daily[Academic Year],$B$6,tbl_daily[Ones],1)),"")</f>
        <v>22.5</v>
      </c>
      <c r="AB27" s="23">
        <f>IFERROR(AVERAGEIFS(tbl_daily[LatestDuration],tbl_daily[CodeName],Table3[[#This Row],[Athlete Name]],tbl_daily[Academic Year],$B$6,tbl_daily[Ones],1),"")</f>
        <v>49.615384615384613</v>
      </c>
      <c r="AC27" s="23" cm="1">
        <f t="array" ref="AC27">_xlfn.STDEV.P(IF(tbl_daily[CodeName]=Table3[[#This Row],[Athlete Name]],IF(tbl_daily[Academic Year]=$B$6,IF(tbl_daily[LatestDuration]&lt;&gt;"",tbl_daily[LatestDuration]))))</f>
        <v>50.056181454193528</v>
      </c>
      <c r="AD27" s="23">
        <f>IFERROR(IF($B$5="",
AVERAGEIFS(tbl_daily[sRPE],tbl_daily[Date],$B$3,tbl_daily[CodeName],Table3[[#This Row],[Athlete Name]],tbl_daily[Academic Year],$B$6,tbl_daily[Ones],1),
AVERAGEIFS(tbl_daily[sRPE],tbl_daily[Date],"&lt;="&amp;$B$3,tbl_daily[Date],"&gt;="&amp;$B$3-$B$5,tbl_daily[CodeName],Table3[[#This Row],[Athlete Name]],tbl_daily[Academic Year],$B$6,tbl_daily[Ones],1)),"")</f>
        <v>112.5</v>
      </c>
      <c r="AE27" s="23">
        <f>IFERROR(AVERAGEIFS(tbl_daily[sRPE],tbl_daily[CodeName],Table3[[#This Row],[Athlete Name]],tbl_daily[Academic Year],$B$6,tbl_daily[Ones],1),"")</f>
        <v>340.38461538461536</v>
      </c>
      <c r="AF27" s="23" cm="1">
        <f t="array" ref="AF27">_xlfn.STDEV.P(IF(tbl_daily[CodeName]=Table3[[#This Row],[Athlete Name]],IF(tbl_daily[Academic Year]=$B$6,IF(tbl_daily[sRPE]&lt;&gt;"",tbl_daily[sRPE]))))</f>
        <v>397.35888418435633</v>
      </c>
      <c r="AG27" s="23">
        <f>IFERROR(IF($B$5="",
AVERAGEIFS(tbl_daily[Grades],tbl_daily[Date],$B$3,tbl_daily[CodeName],Table3[[#This Row],[Athlete Name]],tbl_daily[Academic Year],$B$6,tbl_daily[Ones],1),
AVERAGEIFS(tbl_daily[Grades],tbl_daily[Date],"&lt;="&amp;$B$3,tbl_daily[Date],"&gt;="&amp;$B$3-$B$5,tbl_daily[CodeName],Table3[[#This Row],[Athlete Name]],tbl_daily[Academic Year],$B$6,tbl_daily[Ones],1)),"")</f>
        <v>100</v>
      </c>
      <c r="AH27" s="11">
        <f>IFERROR(AVERAGEIFS(tbl_daily[Grades],tbl_daily[CodeName],Table3[[#This Row],[Athlete Name]],tbl_daily[Academic Year],$B$6,tbl_daily[Ones],1),"")</f>
        <v>86.75</v>
      </c>
      <c r="AI27" s="11" cm="1">
        <f t="array" ref="AI27">_xlfn.STDEV.P(IF(tbl_daily[CodeName]=Table3[[#This Row],[Athlete Name]],IF(tbl_daily[Academic Year]=$B$6,IF(tbl_daily[Grades]&lt;&gt;"",tbl_daily[Grades]))))</f>
        <v>10.084022015049353</v>
      </c>
    </row>
    <row r="28" spans="1:35" x14ac:dyDescent="0.25">
      <c r="A28" s="77" t="s">
        <v>424</v>
      </c>
      <c r="B28" s="83" t="str">
        <f>INDEX(tbl_prof[Cohort of Interest],MATCH(Table3[[#This Row],[Athlete Name]],tbl_prof[CodeName],0))</f>
        <v>Special</v>
      </c>
      <c r="C28" s="76">
        <f>IFERROR(IF($B$5="",
AVERAGEIFS(tbl_daily[Attendance Refined],tbl_daily[Date],$B$3,tbl_daily[CodeName],Table3[[#This Row],[Athlete Name]],tbl_daily[Academic Year],$B$6,tbl_daily[Ones],1),
AVERAGEIFS(tbl_daily[Attendance Refined],tbl_daily[Date],"&lt;="&amp;$B$3,tbl_daily[Date],"&gt;="&amp;$B$3-$B$5,tbl_daily[CodeName],Table3[[#This Row],[Athlete Name]],tbl_daily[Academic Year],$B$6,tbl_daily[Ones],1)),"")</f>
        <v>1</v>
      </c>
      <c r="D28" s="76">
        <f>IFERROR(AVERAGEIFS(tbl_daily[Attendance Refined],tbl_daily[CodeName],Table3[[#This Row],[Athlete Name]],tbl_daily[Academic Year],$B$6,tbl_daily[Ones],1),"")</f>
        <v>1</v>
      </c>
      <c r="E28" s="76" cm="1">
        <f t="array" ref="E28">_xlfn.STDEV.P(IF(tbl_daily[CodeName]=Table3[[#This Row],[Athlete Name]],IF(tbl_daily[Academic Year]=$B$6,tbl_daily[Attendance Refined])))</f>
        <v>0</v>
      </c>
      <c r="F28" s="76">
        <f>IFERROR(IF($B$5="",
AVERAGEIFS(tbl_daily[Injury Refined],tbl_daily[Date],$B$3,tbl_daily[CodeName],Table3[[#This Row],[Athlete Name]],tbl_daily[Academic Year],$B$6,tbl_daily[Ones],1),
AVERAGEIFS(tbl_daily[Injury Refined],tbl_daily[Date],"&lt;="&amp;$B$3,tbl_daily[Date],"&gt;="&amp;$B$3-$B$5,tbl_daily[CodeName],Table3[[#This Row],[Athlete Name]],tbl_daily[Academic Year],$B$6,tbl_daily[Ones],1)),"")</f>
        <v>1</v>
      </c>
      <c r="G28" s="76">
        <f>IFERROR(AVERAGEIFS(tbl_daily[Injury Refined],tbl_daily[CodeName],Table3[[#This Row],[Athlete Name]],tbl_daily[Academic Year],$B$6,tbl_daily[Ones],1),"")</f>
        <v>1</v>
      </c>
      <c r="H28" s="76" cm="1">
        <f t="array" ref="H28">_xlfn.STDEV.P(IF(tbl_daily[CodeName]=Table3[[#This Row],[Athlete Name]],IF(tbl_daily[Academic Year]=$B$6,tbl_daily[Injury Refined])))</f>
        <v>0</v>
      </c>
      <c r="I28" s="76">
        <f>IFERROR(IF($B$5="",
AVERAGEIFS(tbl_daily[Exercise24Hr],tbl_daily[Date],$B$3,tbl_daily[CodeName],Table3[[#This Row],[Athlete Name]],tbl_daily[Academic Year],$B$6,tbl_daily[Ones],1),
AVERAGEIFS(tbl_daily[Exercise24Hr],tbl_daily[Date],"&lt;="&amp;$B$3,tbl_daily[Date],"&gt;="&amp;$B$3-$B$5,tbl_daily[CodeName],Table3[[#This Row],[Athlete Name]],tbl_daily[Academic Year],$B$6,tbl_daily[Ones],1)),"")</f>
        <v>1</v>
      </c>
      <c r="J28" s="11">
        <f>IFERROR(AVERAGEIFS(tbl_daily[Exercise24Hr],tbl_daily[CodeName],Table3[[#This Row],[Athlete Name]],tbl_daily[Academic Year],$B$6,tbl_daily[Ones],1),"")</f>
        <v>0.69230769230769229</v>
      </c>
      <c r="K28" s="11" cm="1">
        <f t="array" ref="K28">_xlfn.STDEV.P(IF(tbl_daily[CodeName]=Table3[[#This Row],[Athlete Name]],IF(tbl_daily[Academic Year]=$B$6,tbl_daily[Exercise24Hr])))</f>
        <v>0.46153846153846156</v>
      </c>
      <c r="L28" s="23">
        <f>IFERROR(IF($B$5="",
AVERAGEIFS(tbl_daily[Stress],tbl_daily[Date],$B$3,tbl_daily[CodeName],Table3[[#This Row],[Athlete Name]],tbl_daily[Academic Year],$B$6,tbl_daily[Ones],1),
AVERAGEIFS(tbl_daily[Stress],tbl_daily[Date],"&lt;="&amp;$B$3,tbl_daily[Date],"&gt;="&amp;$B$3-$B$5,tbl_daily[CodeName],Table3[[#This Row],[Athlete Name]],tbl_daily[Academic Year],$B$6,tbl_daily[Ones],1)),"")</f>
        <v>6</v>
      </c>
      <c r="M28" s="23">
        <f>IFERROR(AVERAGEIFS(tbl_daily[Stress],tbl_daily[CodeName],Table3[[#This Row],[Athlete Name]],tbl_daily[Academic Year],$B$6,tbl_daily[Ones],1),"")</f>
        <v>5.4615384615384617</v>
      </c>
      <c r="N28" s="23" cm="1">
        <f t="array" ref="N28">_xlfn.STDEV.P(IF(tbl_daily[CodeName]=Table3[[#This Row],[Athlete Name]],IF(tbl_daily[Academic Year]=$B$6,IF(tbl_daily[Stress]&lt;&gt;"",tbl_daily[Stress]))))</f>
        <v>1.2162606385262997</v>
      </c>
      <c r="O28" s="23">
        <f>IFERROR(IF($B$5="",
AVERAGEIFS(tbl_daily[SleepQuality],tbl_daily[Date],$B$3,tbl_daily[CodeName],Table3[[#This Row],[Athlete Name]],tbl_daily[Academic Year],$B$6,tbl_daily[Ones],1),
AVERAGEIFS(tbl_daily[SleepQuality],tbl_daily[Date],"&lt;="&amp;$B$3,tbl_daily[Date],"&gt;="&amp;$B$3-$B$5,tbl_daily[CodeName],Table3[[#This Row],[Athlete Name]],tbl_daily[Academic Year],$B$6,tbl_daily[Ones],1)),"")</f>
        <v>8</v>
      </c>
      <c r="P28" s="23">
        <f>IFERROR(AVERAGEIFS(tbl_daily[SleepQuality],tbl_daily[CodeName],Table3[[#This Row],[Athlete Name]],tbl_daily[Academic Year],$B$6,tbl_daily[Ones],1),"")</f>
        <v>6.5384615384615383</v>
      </c>
      <c r="Q28" s="23" cm="1">
        <f t="array" ref="Q28">_xlfn.STDEV.P(IF(tbl_daily[CodeName]=Table3[[#This Row],[Athlete Name]],IF(tbl_daily[Academic Year]=$B$6,IF(tbl_daily[SleepQuality]&lt;&gt;"",tbl_daily[SleepQuality]))))</f>
        <v>1.4472990555559062</v>
      </c>
      <c r="R28" s="23">
        <f>IFERROR(IF($B$5="",
AVERAGEIFS(tbl_daily[Energy],tbl_daily[Date],$B$3,tbl_daily[CodeName],Table3[[#This Row],[Athlete Name]],tbl_daily[Academic Year],$B$6,tbl_daily[Ones],1),
AVERAGEIFS(tbl_daily[Energy],tbl_daily[Date],"&lt;="&amp;$B$3,tbl_daily[Date],"&gt;="&amp;$B$3-$B$5,tbl_daily[CodeName],Table3[[#This Row],[Athlete Name]],tbl_daily[Academic Year],$B$6,tbl_daily[Ones],1)),"")</f>
        <v>6.5</v>
      </c>
      <c r="S28" s="23">
        <f>IFERROR(AVERAGEIFS(tbl_daily[Energy],tbl_daily[CodeName],Table3[[#This Row],[Athlete Name]],tbl_daily[Academic Year],$B$6,tbl_daily[Ones],1),"")</f>
        <v>5.9230769230769234</v>
      </c>
      <c r="T28" s="23" cm="1">
        <f t="array" ref="T28">_xlfn.STDEV.P(IF(tbl_daily[CodeName]=Table3[[#This Row],[Athlete Name]],IF(tbl_daily[Academic Year]=$B$6,IF(tbl_daily[Energy]&lt;&gt;"",tbl_daily[Energy]))))</f>
        <v>1.0714144828603169</v>
      </c>
      <c r="U28" s="23">
        <f>IFERROR(IF($B$5="",
AVERAGEIFS(tbl_daily[Readiness Score],tbl_daily[Date],$B$3,tbl_daily[CodeName],Table3[[#This Row],[Athlete Name]],tbl_daily[Academic Year],$B$6,tbl_daily[Ones],1),
AVERAGEIFS(tbl_daily[Readiness Score],tbl_daily[Date],"&lt;="&amp;$B$3,tbl_daily[Date],"&gt;="&amp;$B$3-$B$5,tbl_daily[CodeName],Table3[[#This Row],[Athlete Name]],tbl_daily[Academic Year],$B$6,tbl_daily[Ones],1)),"")</f>
        <v>20.5</v>
      </c>
      <c r="V28" s="23">
        <f>IFERROR(AVERAGEIFS(tbl_daily[Readiness Score],tbl_daily[CodeName],Table3[[#This Row],[Athlete Name]],tbl_daily[Academic Year],$B$6,tbl_daily[Ones],1),"")</f>
        <v>17.923076923076923</v>
      </c>
      <c r="W28" s="23" cm="1">
        <f t="array" ref="W28">_xlfn.STDEV.P(IF(tbl_daily[CodeName]=Table3[[#This Row],[Athlete Name]],IF(tbl_daily[Academic Year]=$B$6,IF(tbl_daily[Readiness Score]&lt;&gt;"",tbl_daily[Readiness Score]))))</f>
        <v>3.074999398662567</v>
      </c>
      <c r="X28" s="23">
        <f>IFERROR(IF($B$5="",
AVERAGEIFS(tbl_daily[LatestRPE],tbl_daily[Date],$B$3,tbl_daily[CodeName],Table3[[#This Row],[Athlete Name]],tbl_daily[Academic Year],$B$6,tbl_daily[Ones],1),
AVERAGEIFS(tbl_daily[LatestRPE],tbl_daily[Date],"&lt;="&amp;$B$3,tbl_daily[Date],"&gt;="&amp;$B$3-$B$5,tbl_daily[CodeName],Table3[[#This Row],[Athlete Name]],tbl_daily[Academic Year],$B$6,tbl_daily[Ones],1)),"")</f>
        <v>8</v>
      </c>
      <c r="Y28" s="23">
        <f>IFERROR(AVERAGEIFS(tbl_daily[LatestRPE],tbl_daily[CodeName],Table3[[#This Row],[Athlete Name]],tbl_daily[Academic Year],$B$6,tbl_daily[Ones],1),"")</f>
        <v>4.6923076923076925</v>
      </c>
      <c r="Z28" s="23" cm="1">
        <f t="array" ref="Z28">_xlfn.STDEV.P(IF(tbl_daily[CodeName]=Table3[[#This Row],[Athlete Name]],IF(tbl_daily[Academic Year]=$B$6,IF(tbl_daily[LatestRPE]&lt;&gt;"",tbl_daily[LatestRPE]))))</f>
        <v>3.3600507181294699</v>
      </c>
      <c r="AA28" s="23">
        <f>IFERROR(IF($B$5="",
AVERAGEIFS(tbl_daily[LatestDuration],tbl_daily[Date],$B$3,tbl_daily[CodeName],Table3[[#This Row],[Athlete Name]],tbl_daily[Academic Year],$B$6,tbl_daily[Ones],1),
AVERAGEIFS(tbl_daily[LatestDuration],tbl_daily[Date],"&lt;="&amp;$B$3,tbl_daily[Date],"&gt;="&amp;$B$3-$B$5,tbl_daily[CodeName],Table3[[#This Row],[Athlete Name]],tbl_daily[Academic Year],$B$6,tbl_daily[Ones],1)),"")</f>
        <v>45</v>
      </c>
      <c r="AB28" s="23">
        <f>IFERROR(AVERAGEIFS(tbl_daily[LatestDuration],tbl_daily[CodeName],Table3[[#This Row],[Athlete Name]],tbl_daily[Academic Year],$B$6,tbl_daily[Ones],1),"")</f>
        <v>26.666666666666668</v>
      </c>
      <c r="AC28" s="23" cm="1">
        <f t="array" ref="AC28">_xlfn.STDEV.P(IF(tbl_daily[CodeName]=Table3[[#This Row],[Athlete Name]],IF(tbl_daily[Academic Year]=$B$6,IF(tbl_daily[LatestDuration]&lt;&gt;"",tbl_daily[LatestDuration]))))</f>
        <v>20.241596335818532</v>
      </c>
      <c r="AD28" s="23">
        <f>IFERROR(IF($B$5="",
AVERAGEIFS(tbl_daily[sRPE],tbl_daily[Date],$B$3,tbl_daily[CodeName],Table3[[#This Row],[Athlete Name]],tbl_daily[Academic Year],$B$6,tbl_daily[Ones],1),
AVERAGEIFS(tbl_daily[sRPE],tbl_daily[Date],"&lt;="&amp;$B$3,tbl_daily[Date],"&gt;="&amp;$B$3-$B$5,tbl_daily[CodeName],Table3[[#This Row],[Athlete Name]],tbl_daily[Academic Year],$B$6,tbl_daily[Ones],1)),"")</f>
        <v>360</v>
      </c>
      <c r="AE28" s="23">
        <f>IFERROR(AVERAGEIFS(tbl_daily[sRPE],tbl_daily[CodeName],Table3[[#This Row],[Athlete Name]],tbl_daily[Academic Year],$B$6,tbl_daily[Ones],1),"")</f>
        <v>176.53846153846155</v>
      </c>
      <c r="AF28" s="23" cm="1">
        <f t="array" ref="AF28">_xlfn.STDEV.P(IF(tbl_daily[CodeName]=Table3[[#This Row],[Athlete Name]],IF(tbl_daily[Academic Year]=$B$6,IF(tbl_daily[sRPE]&lt;&gt;"",tbl_daily[sRPE]))))</f>
        <v>159.08856526360759</v>
      </c>
      <c r="AG28" s="23">
        <f>IFERROR(IF($B$5="",
AVERAGEIFS(tbl_daily[Grades],tbl_daily[Date],$B$3,tbl_daily[CodeName],Table3[[#This Row],[Athlete Name]],tbl_daily[Academic Year],$B$6,tbl_daily[Ones],1),
AVERAGEIFS(tbl_daily[Grades],tbl_daily[Date],"&lt;="&amp;$B$3,tbl_daily[Date],"&gt;="&amp;$B$3-$B$5,tbl_daily[CodeName],Table3[[#This Row],[Athlete Name]],tbl_daily[Academic Year],$B$6,tbl_daily[Ones],1)),"")</f>
        <v>94</v>
      </c>
      <c r="AH28" s="11">
        <f>IFERROR(AVERAGEIFS(tbl_daily[Grades],tbl_daily[CodeName],Table3[[#This Row],[Athlete Name]],tbl_daily[Academic Year],$B$6,tbl_daily[Ones],1),"")</f>
        <v>88.5</v>
      </c>
      <c r="AI28" s="11" cm="1">
        <f t="array" ref="AI28">_xlfn.STDEV.P(IF(tbl_daily[CodeName]=Table3[[#This Row],[Athlete Name]],IF(tbl_daily[Academic Year]=$B$6,IF(tbl_daily[Grades]&lt;&gt;"",tbl_daily[Grades]))))</f>
        <v>6.2249497989943663</v>
      </c>
    </row>
    <row r="29" spans="1:35" x14ac:dyDescent="0.25">
      <c r="A29" s="78" t="s">
        <v>425</v>
      </c>
      <c r="B29" s="84" t="str">
        <f>INDEX(tbl_prof[Cohort of Interest],MATCH(Table3[[#This Row],[Athlete Name]],tbl_prof[CodeName],0))</f>
        <v>Athletes</v>
      </c>
      <c r="C29" s="76">
        <f>IFERROR(IF($B$5="",
AVERAGEIFS(tbl_daily[Attendance Refined],tbl_daily[Date],$B$3,tbl_daily[CodeName],Table3[[#This Row],[Athlete Name]],tbl_daily[Academic Year],$B$6,tbl_daily[Ones],1),
AVERAGEIFS(tbl_daily[Attendance Refined],tbl_daily[Date],"&lt;="&amp;$B$3,tbl_daily[Date],"&gt;="&amp;$B$3-$B$5,tbl_daily[CodeName],Table3[[#This Row],[Athlete Name]],tbl_daily[Academic Year],$B$6,tbl_daily[Ones],1)),"")</f>
        <v>1</v>
      </c>
      <c r="D29" s="76">
        <f>IFERROR(AVERAGEIFS(tbl_daily[Attendance Refined],tbl_daily[CodeName],Table3[[#This Row],[Athlete Name]],tbl_daily[Academic Year],$B$6,tbl_daily[Ones],1),"")</f>
        <v>1</v>
      </c>
      <c r="E29" s="76" cm="1">
        <f t="array" ref="E29">_xlfn.STDEV.P(IF(tbl_daily[CodeName]=Table3[[#This Row],[Athlete Name]],IF(tbl_daily[Academic Year]=$B$6,tbl_daily[Attendance Refined])))</f>
        <v>0</v>
      </c>
      <c r="F29" s="76">
        <f>IFERROR(IF($B$5="",
AVERAGEIFS(tbl_daily[Injury Refined],tbl_daily[Date],$B$3,tbl_daily[CodeName],Table3[[#This Row],[Athlete Name]],tbl_daily[Academic Year],$B$6,tbl_daily[Ones],1),
AVERAGEIFS(tbl_daily[Injury Refined],tbl_daily[Date],"&lt;="&amp;$B$3,tbl_daily[Date],"&gt;="&amp;$B$3-$B$5,tbl_daily[CodeName],Table3[[#This Row],[Athlete Name]],tbl_daily[Academic Year],$B$6,tbl_daily[Ones],1)),"")</f>
        <v>1</v>
      </c>
      <c r="G29" s="76">
        <f>IFERROR(AVERAGEIFS(tbl_daily[Injury Refined],tbl_daily[CodeName],Table3[[#This Row],[Athlete Name]],tbl_daily[Academic Year],$B$6,tbl_daily[Ones],1),"")</f>
        <v>1</v>
      </c>
      <c r="H29" s="76" cm="1">
        <f t="array" ref="H29">_xlfn.STDEV.P(IF(tbl_daily[CodeName]=Table3[[#This Row],[Athlete Name]],IF(tbl_daily[Academic Year]=$B$6,tbl_daily[Injury Refined])))</f>
        <v>0</v>
      </c>
      <c r="I29" s="76">
        <f>IFERROR(IF($B$5="",
AVERAGEIFS(tbl_daily[Exercise24Hr],tbl_daily[Date],$B$3,tbl_daily[CodeName],Table3[[#This Row],[Athlete Name]],tbl_daily[Academic Year],$B$6,tbl_daily[Ones],1),
AVERAGEIFS(tbl_daily[Exercise24Hr],tbl_daily[Date],"&lt;="&amp;$B$3,tbl_daily[Date],"&gt;="&amp;$B$3-$B$5,tbl_daily[CodeName],Table3[[#This Row],[Athlete Name]],tbl_daily[Academic Year],$B$6,tbl_daily[Ones],1)),"")</f>
        <v>0</v>
      </c>
      <c r="J29" s="11">
        <f>IFERROR(AVERAGEIFS(tbl_daily[Exercise24Hr],tbl_daily[CodeName],Table3[[#This Row],[Athlete Name]],tbl_daily[Academic Year],$B$6,tbl_daily[Ones],1),"")</f>
        <v>0.76923076923076927</v>
      </c>
      <c r="K29" s="11" cm="1">
        <f t="array" ref="K29">_xlfn.STDEV.P(IF(tbl_daily[CodeName]=Table3[[#This Row],[Athlete Name]],IF(tbl_daily[Academic Year]=$B$6,tbl_daily[Exercise24Hr])))</f>
        <v>0.42132504423474315</v>
      </c>
      <c r="L29" s="23">
        <f>IFERROR(IF($B$5="",
AVERAGEIFS(tbl_daily[Stress],tbl_daily[Date],$B$3,tbl_daily[CodeName],Table3[[#This Row],[Athlete Name]],tbl_daily[Academic Year],$B$6,tbl_daily[Ones],1),
AVERAGEIFS(tbl_daily[Stress],tbl_daily[Date],"&lt;="&amp;$B$3,tbl_daily[Date],"&gt;="&amp;$B$3-$B$5,tbl_daily[CodeName],Table3[[#This Row],[Athlete Name]],tbl_daily[Academic Year],$B$6,tbl_daily[Ones],1)),"")</f>
        <v>6</v>
      </c>
      <c r="M29" s="23">
        <f>IFERROR(AVERAGEIFS(tbl_daily[Stress],tbl_daily[CodeName],Table3[[#This Row],[Athlete Name]],tbl_daily[Academic Year],$B$6,tbl_daily[Ones],1),"")</f>
        <v>4.615384615384615</v>
      </c>
      <c r="N29" s="23" cm="1">
        <f t="array" ref="N29">_xlfn.STDEV.P(IF(tbl_daily[CodeName]=Table3[[#This Row],[Athlete Name]],IF(tbl_daily[Academic Year]=$B$6,IF(tbl_daily[Stress]&lt;&gt;"",tbl_daily[Stress]))))</f>
        <v>1.6426274233894325</v>
      </c>
      <c r="O29" s="23">
        <f>IFERROR(IF($B$5="",
AVERAGEIFS(tbl_daily[SleepQuality],tbl_daily[Date],$B$3,tbl_daily[CodeName],Table3[[#This Row],[Athlete Name]],tbl_daily[Academic Year],$B$6,tbl_daily[Ones],1),
AVERAGEIFS(tbl_daily[SleepQuality],tbl_daily[Date],"&lt;="&amp;$B$3,tbl_daily[Date],"&gt;="&amp;$B$3-$B$5,tbl_daily[CodeName],Table3[[#This Row],[Athlete Name]],tbl_daily[Academic Year],$B$6,tbl_daily[Ones],1)),"")</f>
        <v>6.5</v>
      </c>
      <c r="P29" s="23">
        <f>IFERROR(AVERAGEIFS(tbl_daily[SleepQuality],tbl_daily[CodeName],Table3[[#This Row],[Athlete Name]],tbl_daily[Academic Year],$B$6,tbl_daily[Ones],1),"")</f>
        <v>7.384615384615385</v>
      </c>
      <c r="Q29" s="23" cm="1">
        <f t="array" ref="Q29">_xlfn.STDEV.P(IF(tbl_daily[CodeName]=Table3[[#This Row],[Athlete Name]],IF(tbl_daily[Academic Year]=$B$6,IF(tbl_daily[SleepQuality]&lt;&gt;"",tbl_daily[SleepQuality]))))</f>
        <v>1.0769230769230769</v>
      </c>
      <c r="R29" s="23">
        <f>IFERROR(IF($B$5="",
AVERAGEIFS(tbl_daily[Energy],tbl_daily[Date],$B$3,tbl_daily[CodeName],Table3[[#This Row],[Athlete Name]],tbl_daily[Academic Year],$B$6,tbl_daily[Ones],1),
AVERAGEIFS(tbl_daily[Energy],tbl_daily[Date],"&lt;="&amp;$B$3,tbl_daily[Date],"&gt;="&amp;$B$3-$B$5,tbl_daily[CodeName],Table3[[#This Row],[Athlete Name]],tbl_daily[Academic Year],$B$6,tbl_daily[Ones],1)),"")</f>
        <v>7</v>
      </c>
      <c r="S29" s="23">
        <f>IFERROR(AVERAGEIFS(tbl_daily[Energy],tbl_daily[CodeName],Table3[[#This Row],[Athlete Name]],tbl_daily[Academic Year],$B$6,tbl_daily[Ones],1),"")</f>
        <v>7.384615384615385</v>
      </c>
      <c r="T29" s="23" cm="1">
        <f t="array" ref="T29">_xlfn.STDEV.P(IF(tbl_daily[CodeName]=Table3[[#This Row],[Athlete Name]],IF(tbl_daily[Academic Year]=$B$6,IF(tbl_daily[Energy]&lt;&gt;"",tbl_daily[Energy]))))</f>
        <v>0.83559849932309349</v>
      </c>
      <c r="U29" s="23">
        <f>IFERROR(IF($B$5="",
AVERAGEIFS(tbl_daily[Readiness Score],tbl_daily[Date],$B$3,tbl_daily[CodeName],Table3[[#This Row],[Athlete Name]],tbl_daily[Academic Year],$B$6,tbl_daily[Ones],1),
AVERAGEIFS(tbl_daily[Readiness Score],tbl_daily[Date],"&lt;="&amp;$B$3,tbl_daily[Date],"&gt;="&amp;$B$3-$B$5,tbl_daily[CodeName],Table3[[#This Row],[Athlete Name]],tbl_daily[Academic Year],$B$6,tbl_daily[Ones],1)),"")</f>
        <v>19.5</v>
      </c>
      <c r="V29" s="23">
        <f>IFERROR(AVERAGEIFS(tbl_daily[Readiness Score],tbl_daily[CodeName],Table3[[#This Row],[Athlete Name]],tbl_daily[Academic Year],$B$6,tbl_daily[Ones],1),"")</f>
        <v>19.384615384615383</v>
      </c>
      <c r="W29" s="23" cm="1">
        <f t="array" ref="W29">_xlfn.STDEV.P(IF(tbl_daily[CodeName]=Table3[[#This Row],[Athlete Name]],IF(tbl_daily[Academic Year]=$B$6,IF(tbl_daily[Readiness Score]&lt;&gt;"",tbl_daily[Readiness Score]))))</f>
        <v>1.9029718272081511</v>
      </c>
      <c r="X29" s="23">
        <f>IFERROR(IF($B$5="",
AVERAGEIFS(tbl_daily[LatestRPE],tbl_daily[Date],$B$3,tbl_daily[CodeName],Table3[[#This Row],[Athlete Name]],tbl_daily[Academic Year],$B$6,tbl_daily[Ones],1),
AVERAGEIFS(tbl_daily[LatestRPE],tbl_daily[Date],"&lt;="&amp;$B$3,tbl_daily[Date],"&gt;="&amp;$B$3-$B$5,tbl_daily[CodeName],Table3[[#This Row],[Athlete Name]],tbl_daily[Academic Year],$B$6,tbl_daily[Ones],1)),"")</f>
        <v>0</v>
      </c>
      <c r="Y29" s="23">
        <f>IFERROR(AVERAGEIFS(tbl_daily[LatestRPE],tbl_daily[CodeName],Table3[[#This Row],[Athlete Name]],tbl_daily[Academic Year],$B$6,tbl_daily[Ones],1),"")</f>
        <v>4.5384615384615383</v>
      </c>
      <c r="Z29" s="23" cm="1">
        <f t="array" ref="Z29">_xlfn.STDEV.P(IF(tbl_daily[CodeName]=Table3[[#This Row],[Athlete Name]],IF(tbl_daily[Academic Year]=$B$6,IF(tbl_daily[LatestRPE]&lt;&gt;"",tbl_daily[LatestRPE]))))</f>
        <v>2.619905594757908</v>
      </c>
      <c r="AA29" s="23">
        <f>IFERROR(IF($B$5="",
AVERAGEIFS(tbl_daily[LatestDuration],tbl_daily[Date],$B$3,tbl_daily[CodeName],Table3[[#This Row],[Athlete Name]],tbl_daily[Academic Year],$B$6,tbl_daily[Ones],1),
AVERAGEIFS(tbl_daily[LatestDuration],tbl_daily[Date],"&lt;="&amp;$B$3,tbl_daily[Date],"&gt;="&amp;$B$3-$B$5,tbl_daily[CodeName],Table3[[#This Row],[Athlete Name]],tbl_daily[Academic Year],$B$6,tbl_daily[Ones],1)),"")</f>
        <v>0</v>
      </c>
      <c r="AB29" s="23">
        <f>IFERROR(AVERAGEIFS(tbl_daily[LatestDuration],tbl_daily[CodeName],Table3[[#This Row],[Athlete Name]],tbl_daily[Academic Year],$B$6,tbl_daily[Ones],1),"")</f>
        <v>42.083333333333336</v>
      </c>
      <c r="AC29" s="23" cm="1">
        <f t="array" ref="AC29">_xlfn.STDEV.P(IF(tbl_daily[CodeName]=Table3[[#This Row],[Athlete Name]],IF(tbl_daily[Academic Year]=$B$6,IF(tbl_daily[LatestDuration]&lt;&gt;"",tbl_daily[LatestDuration]))))</f>
        <v>27.94774389622334</v>
      </c>
      <c r="AD29" s="23">
        <f>IFERROR(IF($B$5="",
AVERAGEIFS(tbl_daily[sRPE],tbl_daily[Date],$B$3,tbl_daily[CodeName],Table3[[#This Row],[Athlete Name]],tbl_daily[Academic Year],$B$6,tbl_daily[Ones],1),
AVERAGEIFS(tbl_daily[sRPE],tbl_daily[Date],"&lt;="&amp;$B$3,tbl_daily[Date],"&gt;="&amp;$B$3-$B$5,tbl_daily[CodeName],Table3[[#This Row],[Athlete Name]],tbl_daily[Academic Year],$B$6,tbl_daily[Ones],1)),"")</f>
        <v>0</v>
      </c>
      <c r="AE29" s="23">
        <f>IFERROR(AVERAGEIFS(tbl_daily[sRPE],tbl_daily[CodeName],Table3[[#This Row],[Athlete Name]],tbl_daily[Academic Year],$B$6,tbl_daily[Ones],1),"")</f>
        <v>230.76923076923077</v>
      </c>
      <c r="AF29" s="23" cm="1">
        <f t="array" ref="AF29">_xlfn.STDEV.P(IF(tbl_daily[CodeName]=Table3[[#This Row],[Athlete Name]],IF(tbl_daily[Academic Year]=$B$6,IF(tbl_daily[sRPE]&lt;&gt;"",tbl_daily[sRPE]))))</f>
        <v>177.43737956991771</v>
      </c>
      <c r="AG29" s="23">
        <f>IFERROR(IF($B$5="",
AVERAGEIFS(tbl_daily[Grades],tbl_daily[Date],$B$3,tbl_daily[CodeName],Table3[[#This Row],[Athlete Name]],tbl_daily[Academic Year],$B$6,tbl_daily[Ones],1),
AVERAGEIFS(tbl_daily[Grades],tbl_daily[Date],"&lt;="&amp;$B$3,tbl_daily[Date],"&gt;="&amp;$B$3-$B$5,tbl_daily[CodeName],Table3[[#This Row],[Athlete Name]],tbl_daily[Academic Year],$B$6,tbl_daily[Ones],1)),"")</f>
        <v>98</v>
      </c>
      <c r="AH29" s="11">
        <f>IFERROR(AVERAGEIFS(tbl_daily[Grades],tbl_daily[CodeName],Table3[[#This Row],[Athlete Name]],tbl_daily[Academic Year],$B$6,tbl_daily[Ones],1),"")</f>
        <v>87.75</v>
      </c>
      <c r="AI29" s="11" cm="1">
        <f t="array" ref="AI29">_xlfn.STDEV.P(IF(tbl_daily[CodeName]=Table3[[#This Row],[Athlete Name]],IF(tbl_daily[Academic Year]=$B$6,IF(tbl_daily[Grades]&lt;&gt;"",tbl_daily[Grades]))))</f>
        <v>6.7592529172978875</v>
      </c>
    </row>
    <row r="30" spans="1:35" x14ac:dyDescent="0.25">
      <c r="A30" s="77" t="s">
        <v>426</v>
      </c>
      <c r="B30" s="83" t="str">
        <f>INDEX(tbl_prof[Cohort of Interest],MATCH(Table3[[#This Row],[Athlete Name]],tbl_prof[CodeName],0))</f>
        <v>Special</v>
      </c>
      <c r="C30" s="76">
        <f>IFERROR(IF($B$5="",
AVERAGEIFS(tbl_daily[Attendance Refined],tbl_daily[Date],$B$3,tbl_daily[CodeName],Table3[[#This Row],[Athlete Name]],tbl_daily[Academic Year],$B$6,tbl_daily[Ones],1),
AVERAGEIFS(tbl_daily[Attendance Refined],tbl_daily[Date],"&lt;="&amp;$B$3,tbl_daily[Date],"&gt;="&amp;$B$3-$B$5,tbl_daily[CodeName],Table3[[#This Row],[Athlete Name]],tbl_daily[Academic Year],$B$6,tbl_daily[Ones],1)),"")</f>
        <v>1</v>
      </c>
      <c r="D30" s="76">
        <f>IFERROR(AVERAGEIFS(tbl_daily[Attendance Refined],tbl_daily[CodeName],Table3[[#This Row],[Athlete Name]],tbl_daily[Academic Year],$B$6,tbl_daily[Ones],1),"")</f>
        <v>1.1538461538461537</v>
      </c>
      <c r="E30" s="76" cm="1">
        <f t="array" ref="E30">_xlfn.STDEV.P(IF(tbl_daily[CodeName]=Table3[[#This Row],[Athlete Name]],IF(tbl_daily[Academic Year]=$B$6,tbl_daily[Attendance Refined])))</f>
        <v>0.53293871002119297</v>
      </c>
      <c r="F30" s="76">
        <f>IFERROR(IF($B$5="",
AVERAGEIFS(tbl_daily[Injury Refined],tbl_daily[Date],$B$3,tbl_daily[CodeName],Table3[[#This Row],[Athlete Name]],tbl_daily[Academic Year],$B$6,tbl_daily[Ones],1),
AVERAGEIFS(tbl_daily[Injury Refined],tbl_daily[Date],"&lt;="&amp;$B$3,tbl_daily[Date],"&gt;="&amp;$B$3-$B$5,tbl_daily[CodeName],Table3[[#This Row],[Athlete Name]],tbl_daily[Academic Year],$B$6,tbl_daily[Ones],1)),"")</f>
        <v>1</v>
      </c>
      <c r="G30" s="76">
        <f>IFERROR(AVERAGEIFS(tbl_daily[Injury Refined],tbl_daily[CodeName],Table3[[#This Row],[Athlete Name]],tbl_daily[Academic Year],$B$6,tbl_daily[Ones],1),"")</f>
        <v>1.25</v>
      </c>
      <c r="H30" s="76" cm="1">
        <f t="array" ref="H30">_xlfn.STDEV.P(IF(tbl_daily[CodeName]=Table3[[#This Row],[Athlete Name]],IF(tbl_daily[Academic Year]=$B$6,tbl_daily[Injury Refined])))</f>
        <v>0.4330127018922193</v>
      </c>
      <c r="I30" s="76">
        <f>IFERROR(IF($B$5="",
AVERAGEIFS(tbl_daily[Exercise24Hr],tbl_daily[Date],$B$3,tbl_daily[CodeName],Table3[[#This Row],[Athlete Name]],tbl_daily[Academic Year],$B$6,tbl_daily[Ones],1),
AVERAGEIFS(tbl_daily[Exercise24Hr],tbl_daily[Date],"&lt;="&amp;$B$3,tbl_daily[Date],"&gt;="&amp;$B$3-$B$5,tbl_daily[CodeName],Table3[[#This Row],[Athlete Name]],tbl_daily[Academic Year],$B$6,tbl_daily[Ones],1)),"")</f>
        <v>0.5</v>
      </c>
      <c r="J30" s="11">
        <f>IFERROR(AVERAGEIFS(tbl_daily[Exercise24Hr],tbl_daily[CodeName],Table3[[#This Row],[Athlete Name]],tbl_daily[Academic Year],$B$6,tbl_daily[Ones],1),"")</f>
        <v>0.83333333333333337</v>
      </c>
      <c r="K30" s="11" cm="1">
        <f t="array" ref="K30">_xlfn.STDEV.P(IF(tbl_daily[CodeName]=Table3[[#This Row],[Athlete Name]],IF(tbl_daily[Academic Year]=$B$6,tbl_daily[Exercise24Hr])))</f>
        <v>0.42132504423474315</v>
      </c>
      <c r="L30" s="23">
        <f>IFERROR(IF($B$5="",
AVERAGEIFS(tbl_daily[Stress],tbl_daily[Date],$B$3,tbl_daily[CodeName],Table3[[#This Row],[Athlete Name]],tbl_daily[Academic Year],$B$6,tbl_daily[Ones],1),
AVERAGEIFS(tbl_daily[Stress],tbl_daily[Date],"&lt;="&amp;$B$3,tbl_daily[Date],"&gt;="&amp;$B$3-$B$5,tbl_daily[CodeName],Table3[[#This Row],[Athlete Name]],tbl_daily[Academic Year],$B$6,tbl_daily[Ones],1)),"")</f>
        <v>7</v>
      </c>
      <c r="M30" s="23">
        <f>IFERROR(AVERAGEIFS(tbl_daily[Stress],tbl_daily[CodeName],Table3[[#This Row],[Athlete Name]],tbl_daily[Academic Year],$B$6,tbl_daily[Ones],1),"")</f>
        <v>7.416666666666667</v>
      </c>
      <c r="N30" s="23" cm="1">
        <f t="array" ref="N30">_xlfn.STDEV.P(IF(tbl_daily[CodeName]=Table3[[#This Row],[Athlete Name]],IF(tbl_daily[Academic Year]=$B$6,IF(tbl_daily[Stress]&lt;&gt;"",tbl_daily[Stress]))))</f>
        <v>0.75920279826202486</v>
      </c>
      <c r="O30" s="23">
        <f>IFERROR(IF($B$5="",
AVERAGEIFS(tbl_daily[SleepQuality],tbl_daily[Date],$B$3,tbl_daily[CodeName],Table3[[#This Row],[Athlete Name]],tbl_daily[Academic Year],$B$6,tbl_daily[Ones],1),
AVERAGEIFS(tbl_daily[SleepQuality],tbl_daily[Date],"&lt;="&amp;$B$3,tbl_daily[Date],"&gt;="&amp;$B$3-$B$5,tbl_daily[CodeName],Table3[[#This Row],[Athlete Name]],tbl_daily[Academic Year],$B$6,tbl_daily[Ones],1)),"")</f>
        <v>7</v>
      </c>
      <c r="P30" s="23">
        <f>IFERROR(AVERAGEIFS(tbl_daily[SleepQuality],tbl_daily[CodeName],Table3[[#This Row],[Athlete Name]],tbl_daily[Academic Year],$B$6,tbl_daily[Ones],1),"")</f>
        <v>7.25</v>
      </c>
      <c r="Q30" s="23" cm="1">
        <f t="array" ref="Q30">_xlfn.STDEV.P(IF(tbl_daily[CodeName]=Table3[[#This Row],[Athlete Name]],IF(tbl_daily[Academic Year]=$B$6,IF(tbl_daily[SleepQuality]&lt;&gt;"",tbl_daily[SleepQuality]))))</f>
        <v>1.3616778865306827</v>
      </c>
      <c r="R30" s="23">
        <f>IFERROR(IF($B$5="",
AVERAGEIFS(tbl_daily[Energy],tbl_daily[Date],$B$3,tbl_daily[CodeName],Table3[[#This Row],[Athlete Name]],tbl_daily[Academic Year],$B$6,tbl_daily[Ones],1),
AVERAGEIFS(tbl_daily[Energy],tbl_daily[Date],"&lt;="&amp;$B$3,tbl_daily[Date],"&gt;="&amp;$B$3-$B$5,tbl_daily[CodeName],Table3[[#This Row],[Athlete Name]],tbl_daily[Academic Year],$B$6,tbl_daily[Ones],1)),"")</f>
        <v>7</v>
      </c>
      <c r="S30" s="23">
        <f>IFERROR(AVERAGEIFS(tbl_daily[Energy],tbl_daily[CodeName],Table3[[#This Row],[Athlete Name]],tbl_daily[Academic Year],$B$6,tbl_daily[Ones],1),"")</f>
        <v>6.916666666666667</v>
      </c>
      <c r="T30" s="23" cm="1">
        <f t="array" ref="T30">_xlfn.STDEV.P(IF(tbl_daily[CodeName]=Table3[[#This Row],[Athlete Name]],IF(tbl_daily[Academic Year]=$B$6,IF(tbl_daily[Energy]&lt;&gt;"",tbl_daily[Energy]))))</f>
        <v>1.3202482931462383</v>
      </c>
      <c r="U30" s="23">
        <f>IFERROR(IF($B$5="",
AVERAGEIFS(tbl_daily[Readiness Score],tbl_daily[Date],$B$3,tbl_daily[CodeName],Table3[[#This Row],[Athlete Name]],tbl_daily[Academic Year],$B$6,tbl_daily[Ones],1),
AVERAGEIFS(tbl_daily[Readiness Score],tbl_daily[Date],"&lt;="&amp;$B$3,tbl_daily[Date],"&gt;="&amp;$B$3-$B$5,tbl_daily[CodeName],Table3[[#This Row],[Athlete Name]],tbl_daily[Academic Year],$B$6,tbl_daily[Ones],1)),"")</f>
        <v>21</v>
      </c>
      <c r="V30" s="23">
        <f>IFERROR(AVERAGEIFS(tbl_daily[Readiness Score],tbl_daily[CodeName],Table3[[#This Row],[Athlete Name]],tbl_daily[Academic Year],$B$6,tbl_daily[Ones],1),"")</f>
        <v>21.583333333333332</v>
      </c>
      <c r="W30" s="23" cm="1">
        <f t="array" ref="W30">_xlfn.STDEV.P(IF(tbl_daily[CodeName]=Table3[[#This Row],[Athlete Name]],IF(tbl_daily[Academic Year]=$B$6,IF(tbl_daily[Readiness Score]&lt;&gt;"",tbl_daily[Readiness Score]))))</f>
        <v>3.1743328257901515</v>
      </c>
      <c r="X30" s="23">
        <f>IFERROR(IF($B$5="",
AVERAGEIFS(tbl_daily[LatestRPE],tbl_daily[Date],$B$3,tbl_daily[CodeName],Table3[[#This Row],[Athlete Name]],tbl_daily[Academic Year],$B$6,tbl_daily[Ones],1),
AVERAGEIFS(tbl_daily[LatestRPE],tbl_daily[Date],"&lt;="&amp;$B$3,tbl_daily[Date],"&gt;="&amp;$B$3-$B$5,tbl_daily[CodeName],Table3[[#This Row],[Athlete Name]],tbl_daily[Academic Year],$B$6,tbl_daily[Ones],1)),"")</f>
        <v>6</v>
      </c>
      <c r="Y30" s="23">
        <f>IFERROR(AVERAGEIFS(tbl_daily[LatestRPE],tbl_daily[CodeName],Table3[[#This Row],[Athlete Name]],tbl_daily[Academic Year],$B$6,tbl_daily[Ones],1),"")</f>
        <v>6</v>
      </c>
      <c r="Z30" s="23" cm="1">
        <f t="array" ref="Z30">_xlfn.STDEV.P(IF(tbl_daily[CodeName]=Table3[[#This Row],[Athlete Name]],IF(tbl_daily[Academic Year]=$B$6,IF(tbl_daily[LatestRPE]&lt;&gt;"",tbl_daily[LatestRPE]))))</f>
        <v>1.1547005383792515</v>
      </c>
      <c r="AA30" s="23">
        <f>IFERROR(IF($B$5="",
AVERAGEIFS(tbl_daily[LatestDuration],tbl_daily[Date],$B$3,tbl_daily[CodeName],Table3[[#This Row],[Athlete Name]],tbl_daily[Academic Year],$B$6,tbl_daily[Ones],1),
AVERAGEIFS(tbl_daily[LatestDuration],tbl_daily[Date],"&lt;="&amp;$B$3,tbl_daily[Date],"&gt;="&amp;$B$3-$B$5,tbl_daily[CodeName],Table3[[#This Row],[Athlete Name]],tbl_daily[Academic Year],$B$6,tbl_daily[Ones],1)),"")</f>
        <v>50</v>
      </c>
      <c r="AB30" s="23">
        <f>IFERROR(AVERAGEIFS(tbl_daily[LatestDuration],tbl_daily[CodeName],Table3[[#This Row],[Athlete Name]],tbl_daily[Academic Year],$B$6,tbl_daily[Ones],1),"")</f>
        <v>70</v>
      </c>
      <c r="AC30" s="23" cm="1">
        <f t="array" ref="AC30">_xlfn.STDEV.P(IF(tbl_daily[CodeName]=Table3[[#This Row],[Athlete Name]],IF(tbl_daily[Academic Year]=$B$6,IF(tbl_daily[LatestDuration]&lt;&gt;"",tbl_daily[LatestDuration]))))</f>
        <v>38.188130791298668</v>
      </c>
      <c r="AD30" s="23">
        <f>IFERROR(IF($B$5="",
AVERAGEIFS(tbl_daily[sRPE],tbl_daily[Date],$B$3,tbl_daily[CodeName],Table3[[#This Row],[Athlete Name]],tbl_daily[Academic Year],$B$6,tbl_daily[Ones],1),
AVERAGEIFS(tbl_daily[sRPE],tbl_daily[Date],"&lt;="&amp;$B$3,tbl_daily[Date],"&gt;="&amp;$B$3-$B$5,tbl_daily[CodeName],Table3[[#This Row],[Athlete Name]],tbl_daily[Academic Year],$B$6,tbl_daily[Ones],1)),"")</f>
        <v>290</v>
      </c>
      <c r="AE30" s="23">
        <f>IFERROR(AVERAGEIFS(tbl_daily[sRPE],tbl_daily[CodeName],Table3[[#This Row],[Athlete Name]],tbl_daily[Academic Year],$B$6,tbl_daily[Ones],1),"")</f>
        <v>398.75</v>
      </c>
      <c r="AF30" s="23" cm="1">
        <f t="array" ref="AF30">_xlfn.STDEV.P(IF(tbl_daily[CodeName]=Table3[[#This Row],[Athlete Name]],IF(tbl_daily[Academic Year]=$B$6,IF(tbl_daily[sRPE]&lt;&gt;"",tbl_daily[sRPE]))))</f>
        <v>185.45130762547888</v>
      </c>
      <c r="AG30" s="23">
        <f>IFERROR(IF($B$5="",
AVERAGEIFS(tbl_daily[Grades],tbl_daily[Date],$B$3,tbl_daily[CodeName],Table3[[#This Row],[Athlete Name]],tbl_daily[Academic Year],$B$6,tbl_daily[Ones],1),
AVERAGEIFS(tbl_daily[Grades],tbl_daily[Date],"&lt;="&amp;$B$3,tbl_daily[Date],"&gt;="&amp;$B$3-$B$5,tbl_daily[CodeName],Table3[[#This Row],[Athlete Name]],tbl_daily[Academic Year],$B$6,tbl_daily[Ones],1)),"")</f>
        <v>99</v>
      </c>
      <c r="AH30" s="11">
        <f>IFERROR(AVERAGEIFS(tbl_daily[Grades],tbl_daily[CodeName],Table3[[#This Row],[Athlete Name]],tbl_daily[Academic Year],$B$6,tbl_daily[Ones],1),"")</f>
        <v>92</v>
      </c>
      <c r="AI30" s="11" cm="1">
        <f t="array" ref="AI30">_xlfn.STDEV.P(IF(tbl_daily[CodeName]=Table3[[#This Row],[Athlete Name]],IF(tbl_daily[Academic Year]=$B$6,IF(tbl_daily[Grades]&lt;&gt;"",tbl_daily[Grades]))))</f>
        <v>9.3005376188691375</v>
      </c>
    </row>
    <row r="31" spans="1:35" x14ac:dyDescent="0.25">
      <c r="A31" s="78" t="s">
        <v>427</v>
      </c>
      <c r="B31" s="84" t="str">
        <f>INDEX(tbl_prof[Cohort of Interest],MATCH(Table3[[#This Row],[Athlete Name]],tbl_prof[CodeName],0))</f>
        <v>Special</v>
      </c>
      <c r="C31" s="76">
        <f>IFERROR(IF($B$5="",
AVERAGEIFS(tbl_daily[Attendance Refined],tbl_daily[Date],$B$3,tbl_daily[CodeName],Table3[[#This Row],[Athlete Name]],tbl_daily[Academic Year],$B$6,tbl_daily[Ones],1),
AVERAGEIFS(tbl_daily[Attendance Refined],tbl_daily[Date],"&lt;="&amp;$B$3,tbl_daily[Date],"&gt;="&amp;$B$3-$B$5,tbl_daily[CodeName],Table3[[#This Row],[Athlete Name]],tbl_daily[Academic Year],$B$6,tbl_daily[Ones],1)),"")</f>
        <v>1</v>
      </c>
      <c r="D31" s="76">
        <f>IFERROR(AVERAGEIFS(tbl_daily[Attendance Refined],tbl_daily[CodeName],Table3[[#This Row],[Athlete Name]],tbl_daily[Academic Year],$B$6,tbl_daily[Ones],1),"")</f>
        <v>1.1538461538461537</v>
      </c>
      <c r="E31" s="76" cm="1">
        <f t="array" ref="E31">_xlfn.STDEV.P(IF(tbl_daily[CodeName]=Table3[[#This Row],[Athlete Name]],IF(tbl_daily[Academic Year]=$B$6,tbl_daily[Attendance Refined])))</f>
        <v>0.53293871002119297</v>
      </c>
      <c r="F31" s="76">
        <f>IFERROR(IF($B$5="",
AVERAGEIFS(tbl_daily[Injury Refined],tbl_daily[Date],$B$3,tbl_daily[CodeName],Table3[[#This Row],[Athlete Name]],tbl_daily[Academic Year],$B$6,tbl_daily[Ones],1),
AVERAGEIFS(tbl_daily[Injury Refined],tbl_daily[Date],"&lt;="&amp;$B$3,tbl_daily[Date],"&gt;="&amp;$B$3-$B$5,tbl_daily[CodeName],Table3[[#This Row],[Athlete Name]],tbl_daily[Academic Year],$B$6,tbl_daily[Ones],1)),"")</f>
        <v>1</v>
      </c>
      <c r="G31" s="76">
        <f>IFERROR(AVERAGEIFS(tbl_daily[Injury Refined],tbl_daily[CodeName],Table3[[#This Row],[Athlete Name]],tbl_daily[Academic Year],$B$6,tbl_daily[Ones],1),"")</f>
        <v>1.25</v>
      </c>
      <c r="H31" s="76" cm="1">
        <f t="array" ref="H31">_xlfn.STDEV.P(IF(tbl_daily[CodeName]=Table3[[#This Row],[Athlete Name]],IF(tbl_daily[Academic Year]=$B$6,tbl_daily[Injury Refined])))</f>
        <v>0.4330127018922193</v>
      </c>
      <c r="I31" s="76">
        <f>IFERROR(IF($B$5="",
AVERAGEIFS(tbl_daily[Exercise24Hr],tbl_daily[Date],$B$3,tbl_daily[CodeName],Table3[[#This Row],[Athlete Name]],tbl_daily[Academic Year],$B$6,tbl_daily[Ones],1),
AVERAGEIFS(tbl_daily[Exercise24Hr],tbl_daily[Date],"&lt;="&amp;$B$3,tbl_daily[Date],"&gt;="&amp;$B$3-$B$5,tbl_daily[CodeName],Table3[[#This Row],[Athlete Name]],tbl_daily[Academic Year],$B$6,tbl_daily[Ones],1)),"")</f>
        <v>1</v>
      </c>
      <c r="J31" s="11">
        <f>IFERROR(AVERAGEIFS(tbl_daily[Exercise24Hr],tbl_daily[CodeName],Table3[[#This Row],[Athlete Name]],tbl_daily[Academic Year],$B$6,tbl_daily[Ones],1),"")</f>
        <v>0.69230769230769229</v>
      </c>
      <c r="K31" s="11" cm="1">
        <f t="array" ref="K31">_xlfn.STDEV.P(IF(tbl_daily[CodeName]=Table3[[#This Row],[Athlete Name]],IF(tbl_daily[Academic Year]=$B$6,tbl_daily[Exercise24Hr])))</f>
        <v>0.46153846153846156</v>
      </c>
      <c r="L31" s="23">
        <f>IFERROR(IF($B$5="",
AVERAGEIFS(tbl_daily[Stress],tbl_daily[Date],$B$3,tbl_daily[CodeName],Table3[[#This Row],[Athlete Name]],tbl_daily[Academic Year],$B$6,tbl_daily[Ones],1),
AVERAGEIFS(tbl_daily[Stress],tbl_daily[Date],"&lt;="&amp;$B$3,tbl_daily[Date],"&gt;="&amp;$B$3-$B$5,tbl_daily[CodeName],Table3[[#This Row],[Athlete Name]],tbl_daily[Academic Year],$B$6,tbl_daily[Ones],1)),"")</f>
        <v>7</v>
      </c>
      <c r="M31" s="23">
        <f>IFERROR(AVERAGEIFS(tbl_daily[Stress],tbl_daily[CodeName],Table3[[#This Row],[Athlete Name]],tbl_daily[Academic Year],$B$6,tbl_daily[Ones],1),"")</f>
        <v>6.8461538461538458</v>
      </c>
      <c r="N31" s="23" cm="1">
        <f t="array" ref="N31">_xlfn.STDEV.P(IF(tbl_daily[CodeName]=Table3[[#This Row],[Athlete Name]],IF(tbl_daily[Academic Year]=$B$6,IF(tbl_daily[Stress]&lt;&gt;"",tbl_daily[Stress]))))</f>
        <v>1.5112986695683461</v>
      </c>
      <c r="O31" s="23">
        <f>IFERROR(IF($B$5="",
AVERAGEIFS(tbl_daily[SleepQuality],tbl_daily[Date],$B$3,tbl_daily[CodeName],Table3[[#This Row],[Athlete Name]],tbl_daily[Academic Year],$B$6,tbl_daily[Ones],1),
AVERAGEIFS(tbl_daily[SleepQuality],tbl_daily[Date],"&lt;="&amp;$B$3,tbl_daily[Date],"&gt;="&amp;$B$3-$B$5,tbl_daily[CodeName],Table3[[#This Row],[Athlete Name]],tbl_daily[Academic Year],$B$6,tbl_daily[Ones],1)),"")</f>
        <v>7</v>
      </c>
      <c r="P31" s="23">
        <f>IFERROR(AVERAGEIFS(tbl_daily[SleepQuality],tbl_daily[CodeName],Table3[[#This Row],[Athlete Name]],tbl_daily[Academic Year],$B$6,tbl_daily[Ones],1),"")</f>
        <v>7.1538461538461542</v>
      </c>
      <c r="Q31" s="23" cm="1">
        <f t="array" ref="Q31">_xlfn.STDEV.P(IF(tbl_daily[CodeName]=Table3[[#This Row],[Athlete Name]],IF(tbl_daily[Academic Year]=$B$6,IF(tbl_daily[SleepQuality]&lt;&gt;"",tbl_daily[SleepQuality]))))</f>
        <v>1.2307692307692308</v>
      </c>
      <c r="R31" s="23">
        <f>IFERROR(IF($B$5="",
AVERAGEIFS(tbl_daily[Energy],tbl_daily[Date],$B$3,tbl_daily[CodeName],Table3[[#This Row],[Athlete Name]],tbl_daily[Academic Year],$B$6,tbl_daily[Ones],1),
AVERAGEIFS(tbl_daily[Energy],tbl_daily[Date],"&lt;="&amp;$B$3,tbl_daily[Date],"&gt;="&amp;$B$3-$B$5,tbl_daily[CodeName],Table3[[#This Row],[Athlete Name]],tbl_daily[Academic Year],$B$6,tbl_daily[Ones],1)),"")</f>
        <v>7</v>
      </c>
      <c r="S31" s="23">
        <f>IFERROR(AVERAGEIFS(tbl_daily[Energy],tbl_daily[CodeName],Table3[[#This Row],[Athlete Name]],tbl_daily[Academic Year],$B$6,tbl_daily[Ones],1),"")</f>
        <v>6.7692307692307692</v>
      </c>
      <c r="T31" s="23" cm="1">
        <f t="array" ref="T31">_xlfn.STDEV.P(IF(tbl_daily[CodeName]=Table3[[#This Row],[Athlete Name]],IF(tbl_daily[Academic Year]=$B$6,IF(tbl_daily[Energy]&lt;&gt;"",tbl_daily[Energy]))))</f>
        <v>1.309952797378954</v>
      </c>
      <c r="U31" s="23">
        <f>IFERROR(IF($B$5="",
AVERAGEIFS(tbl_daily[Readiness Score],tbl_daily[Date],$B$3,tbl_daily[CodeName],Table3[[#This Row],[Athlete Name]],tbl_daily[Academic Year],$B$6,tbl_daily[Ones],1),
AVERAGEIFS(tbl_daily[Readiness Score],tbl_daily[Date],"&lt;="&amp;$B$3,tbl_daily[Date],"&gt;="&amp;$B$3-$B$5,tbl_daily[CodeName],Table3[[#This Row],[Athlete Name]],tbl_daily[Academic Year],$B$6,tbl_daily[Ones],1)),"")</f>
        <v>21</v>
      </c>
      <c r="V31" s="23">
        <f>IFERROR(AVERAGEIFS(tbl_daily[Readiness Score],tbl_daily[CodeName],Table3[[#This Row],[Athlete Name]],tbl_daily[Academic Year],$B$6,tbl_daily[Ones],1),"")</f>
        <v>21</v>
      </c>
      <c r="W31" s="23" cm="1">
        <f t="array" ref="W31">_xlfn.STDEV.P(IF(tbl_daily[CodeName]=Table3[[#This Row],[Athlete Name]],IF(tbl_daily[Academic Year]=$B$6,IF(tbl_daily[Readiness Score]&lt;&gt;"",tbl_daily[Readiness Score]))))</f>
        <v>3.5118845842842465</v>
      </c>
      <c r="X31" s="23">
        <f>IFERROR(IF($B$5="",
AVERAGEIFS(tbl_daily[LatestRPE],tbl_daily[Date],$B$3,tbl_daily[CodeName],Table3[[#This Row],[Athlete Name]],tbl_daily[Academic Year],$B$6,tbl_daily[Ones],1),
AVERAGEIFS(tbl_daily[LatestRPE],tbl_daily[Date],"&lt;="&amp;$B$3,tbl_daily[Date],"&gt;="&amp;$B$3-$B$5,tbl_daily[CodeName],Table3[[#This Row],[Athlete Name]],tbl_daily[Academic Year],$B$6,tbl_daily[Ones],1)),"")</f>
        <v>7</v>
      </c>
      <c r="Y31" s="23">
        <f>IFERROR(AVERAGEIFS(tbl_daily[LatestRPE],tbl_daily[CodeName],Table3[[#This Row],[Athlete Name]],tbl_daily[Academic Year],$B$6,tbl_daily[Ones],1),"")</f>
        <v>4.5384615384615383</v>
      </c>
      <c r="Z31" s="23" cm="1">
        <f t="array" ref="Z31">_xlfn.STDEV.P(IF(tbl_daily[CodeName]=Table3[[#This Row],[Athlete Name]],IF(tbl_daily[Academic Year]=$B$6,IF(tbl_daily[LatestRPE]&lt;&gt;"",tbl_daily[LatestRPE]))))</f>
        <v>3.2490326279912116</v>
      </c>
      <c r="AA31" s="23">
        <f>IFERROR(IF($B$5="",
AVERAGEIFS(tbl_daily[LatestDuration],tbl_daily[Date],$B$3,tbl_daily[CodeName],Table3[[#This Row],[Athlete Name]],tbl_daily[Academic Year],$B$6,tbl_daily[Ones],1),
AVERAGEIFS(tbl_daily[LatestDuration],tbl_daily[Date],"&lt;="&amp;$B$3,tbl_daily[Date],"&gt;="&amp;$B$3-$B$5,tbl_daily[CodeName],Table3[[#This Row],[Athlete Name]],tbl_daily[Academic Year],$B$6,tbl_daily[Ones],1)),"")</f>
        <v>75</v>
      </c>
      <c r="AB31" s="23">
        <f>IFERROR(AVERAGEIFS(tbl_daily[LatestDuration],tbl_daily[CodeName],Table3[[#This Row],[Athlete Name]],tbl_daily[Academic Year],$B$6,tbl_daily[Ones],1),"")</f>
        <v>55</v>
      </c>
      <c r="AC31" s="23" cm="1">
        <f t="array" ref="AC31">_xlfn.STDEV.P(IF(tbl_daily[CodeName]=Table3[[#This Row],[Athlete Name]],IF(tbl_daily[Academic Year]=$B$6,IF(tbl_daily[LatestDuration]&lt;&gt;"",tbl_daily[LatestDuration]))))</f>
        <v>49.791230820965517</v>
      </c>
      <c r="AD31" s="23">
        <f>IFERROR(IF($B$5="",
AVERAGEIFS(tbl_daily[sRPE],tbl_daily[Date],$B$3,tbl_daily[CodeName],Table3[[#This Row],[Athlete Name]],tbl_daily[Academic Year],$B$6,tbl_daily[Ones],1),
AVERAGEIFS(tbl_daily[sRPE],tbl_daily[Date],"&lt;="&amp;$B$3,tbl_daily[Date],"&gt;="&amp;$B$3-$B$5,tbl_daily[CodeName],Table3[[#This Row],[Athlete Name]],tbl_daily[Academic Year],$B$6,tbl_daily[Ones],1)),"")</f>
        <v>525</v>
      </c>
      <c r="AE31" s="23">
        <f>IFERROR(AVERAGEIFS(tbl_daily[sRPE],tbl_daily[CodeName],Table3[[#This Row],[Athlete Name]],tbl_daily[Academic Year],$B$6,tbl_daily[Ones],1),"")</f>
        <v>328.75</v>
      </c>
      <c r="AF31" s="23" cm="1">
        <f t="array" ref="AF31">_xlfn.STDEV.P(IF(tbl_daily[CodeName]=Table3[[#This Row],[Athlete Name]],IF(tbl_daily[Academic Year]=$B$6,IF(tbl_daily[sRPE]&lt;&gt;"",tbl_daily[sRPE]))))</f>
        <v>237.76848859061764</v>
      </c>
      <c r="AG31" s="23">
        <f>IFERROR(IF($B$5="",
AVERAGEIFS(tbl_daily[Grades],tbl_daily[Date],$B$3,tbl_daily[CodeName],Table3[[#This Row],[Athlete Name]],tbl_daily[Academic Year],$B$6,tbl_daily[Ones],1),
AVERAGEIFS(tbl_daily[Grades],tbl_daily[Date],"&lt;="&amp;$B$3,tbl_daily[Date],"&gt;="&amp;$B$3-$B$5,tbl_daily[CodeName],Table3[[#This Row],[Athlete Name]],tbl_daily[Academic Year],$B$6,tbl_daily[Ones],1)),"")</f>
        <v>79</v>
      </c>
      <c r="AH31" s="11">
        <f>IFERROR(AVERAGEIFS(tbl_daily[Grades],tbl_daily[CodeName],Table3[[#This Row],[Athlete Name]],tbl_daily[Academic Year],$B$6,tbl_daily[Ones],1),"")</f>
        <v>88.5</v>
      </c>
      <c r="AI31" s="11" cm="1">
        <f t="array" ref="AI31">_xlfn.STDEV.P(IF(tbl_daily[CodeName]=Table3[[#This Row],[Athlete Name]],IF(tbl_daily[Academic Year]=$B$6,IF(tbl_daily[Grades]&lt;&gt;"",tbl_daily[Grades]))))</f>
        <v>10.062305898749054</v>
      </c>
    </row>
    <row r="32" spans="1:35" x14ac:dyDescent="0.25">
      <c r="A32" s="90" t="s">
        <v>453</v>
      </c>
      <c r="B32" s="89" t="str">
        <f>INDEX(tbl_prof[Cohort of Interest],MATCH(Table3[[#This Row],[Athlete Name]],tbl_prof[CodeName],0))</f>
        <v>Older</v>
      </c>
      <c r="C32" s="76">
        <f>IFERROR(IF($B$5="",
AVERAGEIFS(tbl_daily[Attendance Refined],tbl_daily[Date],$B$3,tbl_daily[CodeName],Table3[[#This Row],[Athlete Name]],tbl_daily[Academic Year],$B$6,tbl_daily[Ones],1),
AVERAGEIFS(tbl_daily[Attendance Refined],tbl_daily[Date],"&lt;="&amp;$B$3,tbl_daily[Date],"&gt;="&amp;$B$3-$B$5,tbl_daily[CodeName],Table3[[#This Row],[Athlete Name]],tbl_daily[Academic Year],$B$6,tbl_daily[Ones],1)),"")</f>
        <v>1</v>
      </c>
      <c r="D32" s="76">
        <f>IFERROR(AVERAGEIFS(tbl_daily[Attendance Refined],tbl_daily[CodeName],Table3[[#This Row],[Athlete Name]],tbl_daily[Academic Year],$B$6,tbl_daily[Ones],1),"")</f>
        <v>1</v>
      </c>
      <c r="E32" s="76" cm="1">
        <f t="array" ref="E32">_xlfn.STDEV.P(IF(tbl_daily[CodeName]=Table3[[#This Row],[Athlete Name]],IF(tbl_daily[Academic Year]=$B$6,tbl_daily[Attendance Refined])))</f>
        <v>0</v>
      </c>
      <c r="F32" s="76">
        <f>IFERROR(IF($B$5="",
AVERAGEIFS(tbl_daily[Injury Refined],tbl_daily[Date],$B$3,tbl_daily[CodeName],Table3[[#This Row],[Athlete Name]],tbl_daily[Academic Year],$B$6,tbl_daily[Ones],1),
AVERAGEIFS(tbl_daily[Injury Refined],tbl_daily[Date],"&lt;="&amp;$B$3,tbl_daily[Date],"&gt;="&amp;$B$3-$B$5,tbl_daily[CodeName],Table3[[#This Row],[Athlete Name]],tbl_daily[Academic Year],$B$6,tbl_daily[Ones],1)),"")</f>
        <v>1</v>
      </c>
      <c r="G32" s="76">
        <f>IFERROR(AVERAGEIFS(tbl_daily[Injury Refined],tbl_daily[CodeName],Table3[[#This Row],[Athlete Name]],tbl_daily[Academic Year],$B$6,tbl_daily[Ones],1),"")</f>
        <v>1</v>
      </c>
      <c r="H32" s="76" cm="1">
        <f t="array" ref="H32">_xlfn.STDEV.P(IF(tbl_daily[CodeName]=Table3[[#This Row],[Athlete Name]],IF(tbl_daily[Academic Year]=$B$6,tbl_daily[Injury Refined])))</f>
        <v>0</v>
      </c>
      <c r="I32" s="76">
        <f>IFERROR(IF($B$5="",
AVERAGEIFS(tbl_daily[Exercise24Hr],tbl_daily[Date],$B$3,tbl_daily[CodeName],Table3[[#This Row],[Athlete Name]],tbl_daily[Academic Year],$B$6,tbl_daily[Ones],1),
AVERAGEIFS(tbl_daily[Exercise24Hr],tbl_daily[Date],"&lt;="&amp;$B$3,tbl_daily[Date],"&gt;="&amp;$B$3-$B$5,tbl_daily[CodeName],Table3[[#This Row],[Athlete Name]],tbl_daily[Academic Year],$B$6,tbl_daily[Ones],1)),"")</f>
        <v>0</v>
      </c>
      <c r="J32" s="11">
        <f>IFERROR(AVERAGEIFS(tbl_daily[Exercise24Hr],tbl_daily[CodeName],Table3[[#This Row],[Athlete Name]],tbl_daily[Academic Year],$B$6,tbl_daily[Ones],1),"")</f>
        <v>0</v>
      </c>
      <c r="K32" s="11" cm="1">
        <f t="array" ref="K32">_xlfn.STDEV.P(IF(tbl_daily[CodeName]=Table3[[#This Row],[Athlete Name]],IF(tbl_daily[Academic Year]=$B$6,tbl_daily[Exercise24Hr])))</f>
        <v>0</v>
      </c>
      <c r="L32" s="23">
        <f>IFERROR(IF($B$5="",
AVERAGEIFS(tbl_daily[Stress],tbl_daily[Date],$B$3,tbl_daily[CodeName],Table3[[#This Row],[Athlete Name]],tbl_daily[Academic Year],$B$6,tbl_daily[Ones],1),
AVERAGEIFS(tbl_daily[Stress],tbl_daily[Date],"&lt;="&amp;$B$3,tbl_daily[Date],"&gt;="&amp;$B$3-$B$5,tbl_daily[CodeName],Table3[[#This Row],[Athlete Name]],tbl_daily[Academic Year],$B$6,tbl_daily[Ones],1)),"")</f>
        <v>7</v>
      </c>
      <c r="M32" s="23">
        <f>IFERROR(AVERAGEIFS(tbl_daily[Stress],tbl_daily[CodeName],Table3[[#This Row],[Athlete Name]],tbl_daily[Academic Year],$B$6,tbl_daily[Ones],1),"")</f>
        <v>7</v>
      </c>
      <c r="N32" s="23" cm="1">
        <f t="array" ref="N32">_xlfn.STDEV.P(IF(tbl_daily[CodeName]=Table3[[#This Row],[Athlete Name]],IF(tbl_daily[Academic Year]=$B$6,IF(tbl_daily[Stress]&lt;&gt;"",tbl_daily[Stress]))))</f>
        <v>0</v>
      </c>
      <c r="O32" s="23">
        <f>IFERROR(IF($B$5="",
AVERAGEIFS(tbl_daily[SleepQuality],tbl_daily[Date],$B$3,tbl_daily[CodeName],Table3[[#This Row],[Athlete Name]],tbl_daily[Academic Year],$B$6,tbl_daily[Ones],1),
AVERAGEIFS(tbl_daily[SleepQuality],tbl_daily[Date],"&lt;="&amp;$B$3,tbl_daily[Date],"&gt;="&amp;$B$3-$B$5,tbl_daily[CodeName],Table3[[#This Row],[Athlete Name]],tbl_daily[Academic Year],$B$6,tbl_daily[Ones],1)),"")</f>
        <v>7</v>
      </c>
      <c r="P32" s="23">
        <f>IFERROR(AVERAGEIFS(tbl_daily[SleepQuality],tbl_daily[CodeName],Table3[[#This Row],[Athlete Name]],tbl_daily[Academic Year],$B$6,tbl_daily[Ones],1),"")</f>
        <v>7</v>
      </c>
      <c r="Q32" s="23" cm="1">
        <f t="array" ref="Q32">_xlfn.STDEV.P(IF(tbl_daily[CodeName]=Table3[[#This Row],[Athlete Name]],IF(tbl_daily[Academic Year]=$B$6,IF(tbl_daily[SleepQuality]&lt;&gt;"",tbl_daily[SleepQuality]))))</f>
        <v>0</v>
      </c>
      <c r="R32" s="23">
        <f>IFERROR(IF($B$5="",
AVERAGEIFS(tbl_daily[Energy],tbl_daily[Date],$B$3,tbl_daily[CodeName],Table3[[#This Row],[Athlete Name]],tbl_daily[Academic Year],$B$6,tbl_daily[Ones],1),
AVERAGEIFS(tbl_daily[Energy],tbl_daily[Date],"&lt;="&amp;$B$3,tbl_daily[Date],"&gt;="&amp;$B$3-$B$5,tbl_daily[CodeName],Table3[[#This Row],[Athlete Name]],tbl_daily[Academic Year],$B$6,tbl_daily[Ones],1)),"")</f>
        <v>7</v>
      </c>
      <c r="S32" s="23">
        <f>IFERROR(AVERAGEIFS(tbl_daily[Energy],tbl_daily[CodeName],Table3[[#This Row],[Athlete Name]],tbl_daily[Academic Year],$B$6,tbl_daily[Ones],1),"")</f>
        <v>7</v>
      </c>
      <c r="T32" s="23" cm="1">
        <f t="array" ref="T32">_xlfn.STDEV.P(IF(tbl_daily[CodeName]=Table3[[#This Row],[Athlete Name]],IF(tbl_daily[Academic Year]=$B$6,IF(tbl_daily[Energy]&lt;&gt;"",tbl_daily[Energy]))))</f>
        <v>0</v>
      </c>
      <c r="U32" s="23">
        <f>IFERROR(IF($B$5="",
AVERAGEIFS(tbl_daily[Readiness Score],tbl_daily[Date],$B$3,tbl_daily[CodeName],Table3[[#This Row],[Athlete Name]],tbl_daily[Academic Year],$B$6,tbl_daily[Ones],1),
AVERAGEIFS(tbl_daily[Readiness Score],tbl_daily[Date],"&lt;="&amp;$B$3,tbl_daily[Date],"&gt;="&amp;$B$3-$B$5,tbl_daily[CodeName],Table3[[#This Row],[Athlete Name]],tbl_daily[Academic Year],$B$6,tbl_daily[Ones],1)),"")</f>
        <v>21</v>
      </c>
      <c r="V32" s="23">
        <f>IFERROR(AVERAGEIFS(tbl_daily[Readiness Score],tbl_daily[CodeName],Table3[[#This Row],[Athlete Name]],tbl_daily[Academic Year],$B$6,tbl_daily[Ones],1),"")</f>
        <v>21</v>
      </c>
      <c r="W32" s="23" cm="1">
        <f t="array" ref="W32">_xlfn.STDEV.P(IF(tbl_daily[CodeName]=Table3[[#This Row],[Athlete Name]],IF(tbl_daily[Academic Year]=$B$6,IF(tbl_daily[Readiness Score]&lt;&gt;"",tbl_daily[Readiness Score]))))</f>
        <v>0</v>
      </c>
      <c r="X32" s="23">
        <f>IFERROR(IF($B$5="",
AVERAGEIFS(tbl_daily[LatestRPE],tbl_daily[Date],$B$3,tbl_daily[CodeName],Table3[[#This Row],[Athlete Name]],tbl_daily[Academic Year],$B$6,tbl_daily[Ones],1),
AVERAGEIFS(tbl_daily[LatestRPE],tbl_daily[Date],"&lt;="&amp;$B$3,tbl_daily[Date],"&gt;="&amp;$B$3-$B$5,tbl_daily[CodeName],Table3[[#This Row],[Athlete Name]],tbl_daily[Academic Year],$B$6,tbl_daily[Ones],1)),"")</f>
        <v>7</v>
      </c>
      <c r="Y32" s="23">
        <f>IFERROR(AVERAGEIFS(tbl_daily[LatestRPE],tbl_daily[CodeName],Table3[[#This Row],[Athlete Name]],tbl_daily[Academic Year],$B$6,tbl_daily[Ones],1),"")</f>
        <v>7</v>
      </c>
      <c r="Z32" s="23" cm="1">
        <f t="array" ref="Z32">_xlfn.STDEV.P(IF(tbl_daily[CodeName]=Table3[[#This Row],[Athlete Name]],IF(tbl_daily[Academic Year]=$B$6,IF(tbl_daily[LatestRPE]&lt;&gt;"",tbl_daily[LatestRPE]))))</f>
        <v>0</v>
      </c>
      <c r="AA32" s="23">
        <f>IFERROR(IF($B$5="",
AVERAGEIFS(tbl_daily[LatestDuration],tbl_daily[Date],$B$3,tbl_daily[CodeName],Table3[[#This Row],[Athlete Name]],tbl_daily[Academic Year],$B$6,tbl_daily[Ones],1),
AVERAGEIFS(tbl_daily[LatestDuration],tbl_daily[Date],"&lt;="&amp;$B$3,tbl_daily[Date],"&gt;="&amp;$B$3-$B$5,tbl_daily[CodeName],Table3[[#This Row],[Athlete Name]],tbl_daily[Academic Year],$B$6,tbl_daily[Ones],1)),"")</f>
        <v>40</v>
      </c>
      <c r="AB32" s="23">
        <f>IFERROR(AVERAGEIFS(tbl_daily[LatestDuration],tbl_daily[CodeName],Table3[[#This Row],[Athlete Name]],tbl_daily[Academic Year],$B$6,tbl_daily[Ones],1),"")</f>
        <v>40</v>
      </c>
      <c r="AC32" s="23" cm="1">
        <f t="array" ref="AC32">_xlfn.STDEV.P(IF(tbl_daily[CodeName]=Table3[[#This Row],[Athlete Name]],IF(tbl_daily[Academic Year]=$B$6,IF(tbl_daily[LatestDuration]&lt;&gt;"",tbl_daily[LatestDuration]))))</f>
        <v>0</v>
      </c>
      <c r="AD32" s="23">
        <f>IFERROR(IF($B$5="",
AVERAGEIFS(tbl_daily[sRPE],tbl_daily[Date],$B$3,tbl_daily[CodeName],Table3[[#This Row],[Athlete Name]],tbl_daily[Academic Year],$B$6,tbl_daily[Ones],1),
AVERAGEIFS(tbl_daily[sRPE],tbl_daily[Date],"&lt;="&amp;$B$3,tbl_daily[Date],"&gt;="&amp;$B$3-$B$5,tbl_daily[CodeName],Table3[[#This Row],[Athlete Name]],tbl_daily[Academic Year],$B$6,tbl_daily[Ones],1)),"")</f>
        <v>280</v>
      </c>
      <c r="AE32" s="23">
        <f>IFERROR(AVERAGEIFS(tbl_daily[sRPE],tbl_daily[CodeName],Table3[[#This Row],[Athlete Name]],tbl_daily[Academic Year],$B$6,tbl_daily[Ones],1),"")</f>
        <v>280</v>
      </c>
      <c r="AF32" s="23" cm="1">
        <f t="array" ref="AF32">_xlfn.STDEV.P(IF(tbl_daily[CodeName]=Table3[[#This Row],[Athlete Name]],IF(tbl_daily[Academic Year]=$B$6,IF(tbl_daily[sRPE]&lt;&gt;"",tbl_daily[sRPE]))))</f>
        <v>0</v>
      </c>
      <c r="AG32" s="23" t="str">
        <f>IFERROR(IF($B$5="",
AVERAGEIFS(tbl_daily[Grades],tbl_daily[Date],$B$3,tbl_daily[CodeName],Table3[[#This Row],[Athlete Name]],tbl_daily[Academic Year],$B$6,tbl_daily[Ones],1),
AVERAGEIFS(tbl_daily[Grades],tbl_daily[Date],"&lt;="&amp;$B$3,tbl_daily[Date],"&gt;="&amp;$B$3-$B$5,tbl_daily[CodeName],Table3[[#This Row],[Athlete Name]],tbl_daily[Academic Year],$B$6,tbl_daily[Ones],1)),"")</f>
        <v/>
      </c>
      <c r="AH32" s="11" t="str">
        <f>IFERROR(AVERAGEIFS(tbl_daily[Grades],tbl_daily[CodeName],Table3[[#This Row],[Athlete Name]],tbl_daily[Academic Year],$B$6,tbl_daily[Ones],1),"")</f>
        <v/>
      </c>
      <c r="AI32" s="11" t="e" cm="1">
        <f t="array" ref="AI32">_xlfn.STDEV.P(IF(tbl_daily[CodeName]=Table3[[#This Row],[Athlete Name]],IF(tbl_daily[Academic Year]=$B$6,IF(tbl_daily[Grades]&lt;&gt;"",tbl_daily[Grades]))))</f>
        <v>#DIV/0!</v>
      </c>
    </row>
    <row r="33" spans="1:35" x14ac:dyDescent="0.25">
      <c r="A33" s="78" t="s">
        <v>454</v>
      </c>
      <c r="B33" s="88" t="str">
        <f>INDEX(tbl_prof[Cohort of Interest],MATCH(Table3[[#This Row],[Athlete Name]],tbl_prof[CodeName],0))</f>
        <v>Football</v>
      </c>
      <c r="C33" s="76">
        <f>IFERROR(IF($B$5="",
AVERAGEIFS(tbl_daily[Attendance Refined],tbl_daily[Date],$B$3,tbl_daily[CodeName],Table3[[#This Row],[Athlete Name]],tbl_daily[Academic Year],$B$6,tbl_daily[Ones],1),
AVERAGEIFS(tbl_daily[Attendance Refined],tbl_daily[Date],"&lt;="&amp;$B$3,tbl_daily[Date],"&gt;="&amp;$B$3-$B$5,tbl_daily[CodeName],Table3[[#This Row],[Athlete Name]],tbl_daily[Academic Year],$B$6,tbl_daily[Ones],1)),"")</f>
        <v>1</v>
      </c>
      <c r="D33" s="76">
        <f>IFERROR(AVERAGEIFS(tbl_daily[Attendance Refined],tbl_daily[CodeName],Table3[[#This Row],[Athlete Name]],tbl_daily[Academic Year],$B$6,tbl_daily[Ones],1),"")</f>
        <v>1</v>
      </c>
      <c r="E33" s="76" cm="1">
        <f t="array" ref="E33">_xlfn.STDEV.P(IF(tbl_daily[CodeName]=Table3[[#This Row],[Athlete Name]],IF(tbl_daily[Academic Year]=$B$6,tbl_daily[Attendance Refined])))</f>
        <v>0</v>
      </c>
      <c r="F33" s="76">
        <f>IFERROR(IF($B$5="",
AVERAGEIFS(tbl_daily[Injury Refined],tbl_daily[Date],$B$3,tbl_daily[CodeName],Table3[[#This Row],[Athlete Name]],tbl_daily[Academic Year],$B$6,tbl_daily[Ones],1),
AVERAGEIFS(tbl_daily[Injury Refined],tbl_daily[Date],"&lt;="&amp;$B$3,tbl_daily[Date],"&gt;="&amp;$B$3-$B$5,tbl_daily[CodeName],Table3[[#This Row],[Athlete Name]],tbl_daily[Academic Year],$B$6,tbl_daily[Ones],1)),"")</f>
        <v>1</v>
      </c>
      <c r="G33" s="76">
        <f>IFERROR(AVERAGEIFS(tbl_daily[Injury Refined],tbl_daily[CodeName],Table3[[#This Row],[Athlete Name]],tbl_daily[Academic Year],$B$6,tbl_daily[Ones],1),"")</f>
        <v>1</v>
      </c>
      <c r="H33" s="76" cm="1">
        <f t="array" ref="H33">_xlfn.STDEV.P(IF(tbl_daily[CodeName]=Table3[[#This Row],[Athlete Name]],IF(tbl_daily[Academic Year]=$B$6,tbl_daily[Injury Refined])))</f>
        <v>0</v>
      </c>
      <c r="I33" s="76">
        <f>IFERROR(IF($B$5="",
AVERAGEIFS(tbl_daily[Exercise24Hr],tbl_daily[Date],$B$3,tbl_daily[CodeName],Table3[[#This Row],[Athlete Name]],tbl_daily[Academic Year],$B$6,tbl_daily[Ones],1),
AVERAGEIFS(tbl_daily[Exercise24Hr],tbl_daily[Date],"&lt;="&amp;$B$3,tbl_daily[Date],"&gt;="&amp;$B$3-$B$5,tbl_daily[CodeName],Table3[[#This Row],[Athlete Name]],tbl_daily[Academic Year],$B$6,tbl_daily[Ones],1)),"")</f>
        <v>1</v>
      </c>
      <c r="J33" s="11">
        <f>IFERROR(AVERAGEIFS(tbl_daily[Exercise24Hr],tbl_daily[CodeName],Table3[[#This Row],[Athlete Name]],tbl_daily[Academic Year],$B$6,tbl_daily[Ones],1),"")</f>
        <v>1</v>
      </c>
      <c r="K33" s="11" cm="1">
        <f t="array" ref="K33">_xlfn.STDEV.P(IF(tbl_daily[CodeName]=Table3[[#This Row],[Athlete Name]],IF(tbl_daily[Academic Year]=$B$6,tbl_daily[Exercise24Hr])))</f>
        <v>0</v>
      </c>
      <c r="L33" s="23">
        <f>IFERROR(IF($B$5="",
AVERAGEIFS(tbl_daily[Stress],tbl_daily[Date],$B$3,tbl_daily[CodeName],Table3[[#This Row],[Athlete Name]],tbl_daily[Academic Year],$B$6,tbl_daily[Ones],1),
AVERAGEIFS(tbl_daily[Stress],tbl_daily[Date],"&lt;="&amp;$B$3,tbl_daily[Date],"&gt;="&amp;$B$3-$B$5,tbl_daily[CodeName],Table3[[#This Row],[Athlete Name]],tbl_daily[Academic Year],$B$6,tbl_daily[Ones],1)),"")</f>
        <v>8</v>
      </c>
      <c r="M33" s="23">
        <f>IFERROR(AVERAGEIFS(tbl_daily[Stress],tbl_daily[CodeName],Table3[[#This Row],[Athlete Name]],tbl_daily[Academic Year],$B$6,tbl_daily[Ones],1),"")</f>
        <v>8</v>
      </c>
      <c r="N33" s="23" cm="1">
        <f t="array" ref="N33">_xlfn.STDEV.P(IF(tbl_daily[CodeName]=Table3[[#This Row],[Athlete Name]],IF(tbl_daily[Academic Year]=$B$6,IF(tbl_daily[Stress]&lt;&gt;"",tbl_daily[Stress]))))</f>
        <v>0</v>
      </c>
      <c r="O33" s="23">
        <f>IFERROR(IF($B$5="",
AVERAGEIFS(tbl_daily[SleepQuality],tbl_daily[Date],$B$3,tbl_daily[CodeName],Table3[[#This Row],[Athlete Name]],tbl_daily[Academic Year],$B$6,tbl_daily[Ones],1),
AVERAGEIFS(tbl_daily[SleepQuality],tbl_daily[Date],"&lt;="&amp;$B$3,tbl_daily[Date],"&gt;="&amp;$B$3-$B$5,tbl_daily[CodeName],Table3[[#This Row],[Athlete Name]],tbl_daily[Academic Year],$B$6,tbl_daily[Ones],1)),"")</f>
        <v>9</v>
      </c>
      <c r="P33" s="23">
        <f>IFERROR(AVERAGEIFS(tbl_daily[SleepQuality],tbl_daily[CodeName],Table3[[#This Row],[Athlete Name]],tbl_daily[Academic Year],$B$6,tbl_daily[Ones],1),"")</f>
        <v>9</v>
      </c>
      <c r="Q33" s="23" cm="1">
        <f t="array" ref="Q33">_xlfn.STDEV.P(IF(tbl_daily[CodeName]=Table3[[#This Row],[Athlete Name]],IF(tbl_daily[Academic Year]=$B$6,IF(tbl_daily[SleepQuality]&lt;&gt;"",tbl_daily[SleepQuality]))))</f>
        <v>0</v>
      </c>
      <c r="R33" s="23">
        <f>IFERROR(IF($B$5="",
AVERAGEIFS(tbl_daily[Energy],tbl_daily[Date],$B$3,tbl_daily[CodeName],Table3[[#This Row],[Athlete Name]],tbl_daily[Academic Year],$B$6,tbl_daily[Ones],1),
AVERAGEIFS(tbl_daily[Energy],tbl_daily[Date],"&lt;="&amp;$B$3,tbl_daily[Date],"&gt;="&amp;$B$3-$B$5,tbl_daily[CodeName],Table3[[#This Row],[Athlete Name]],tbl_daily[Academic Year],$B$6,tbl_daily[Ones],1)),"")</f>
        <v>10</v>
      </c>
      <c r="S33" s="23">
        <f>IFERROR(AVERAGEIFS(tbl_daily[Energy],tbl_daily[CodeName],Table3[[#This Row],[Athlete Name]],tbl_daily[Academic Year],$B$6,tbl_daily[Ones],1),"")</f>
        <v>10</v>
      </c>
      <c r="T33" s="23" cm="1">
        <f t="array" ref="T33">_xlfn.STDEV.P(IF(tbl_daily[CodeName]=Table3[[#This Row],[Athlete Name]],IF(tbl_daily[Academic Year]=$B$6,IF(tbl_daily[Energy]&lt;&gt;"",tbl_daily[Energy]))))</f>
        <v>0</v>
      </c>
      <c r="U33" s="23">
        <f>IFERROR(IF($B$5="",
AVERAGEIFS(tbl_daily[Readiness Score],tbl_daily[Date],$B$3,tbl_daily[CodeName],Table3[[#This Row],[Athlete Name]],tbl_daily[Academic Year],$B$6,tbl_daily[Ones],1),
AVERAGEIFS(tbl_daily[Readiness Score],tbl_daily[Date],"&lt;="&amp;$B$3,tbl_daily[Date],"&gt;="&amp;$B$3-$B$5,tbl_daily[CodeName],Table3[[#This Row],[Athlete Name]],tbl_daily[Academic Year],$B$6,tbl_daily[Ones],1)),"")</f>
        <v>27</v>
      </c>
      <c r="V33" s="23">
        <f>IFERROR(AVERAGEIFS(tbl_daily[Readiness Score],tbl_daily[CodeName],Table3[[#This Row],[Athlete Name]],tbl_daily[Academic Year],$B$6,tbl_daily[Ones],1),"")</f>
        <v>27</v>
      </c>
      <c r="W33" s="23" cm="1">
        <f t="array" ref="W33">_xlfn.STDEV.P(IF(tbl_daily[CodeName]=Table3[[#This Row],[Athlete Name]],IF(tbl_daily[Academic Year]=$B$6,IF(tbl_daily[Readiness Score]&lt;&gt;"",tbl_daily[Readiness Score]))))</f>
        <v>0</v>
      </c>
      <c r="X33" s="23">
        <f>IFERROR(IF($B$5="",
AVERAGEIFS(tbl_daily[LatestRPE],tbl_daily[Date],$B$3,tbl_daily[CodeName],Table3[[#This Row],[Athlete Name]],tbl_daily[Academic Year],$B$6,tbl_daily[Ones],1),
AVERAGEIFS(tbl_daily[LatestRPE],tbl_daily[Date],"&lt;="&amp;$B$3,tbl_daily[Date],"&gt;="&amp;$B$3-$B$5,tbl_daily[CodeName],Table3[[#This Row],[Athlete Name]],tbl_daily[Academic Year],$B$6,tbl_daily[Ones],1)),"")</f>
        <v>5</v>
      </c>
      <c r="Y33" s="23">
        <f>IFERROR(AVERAGEIFS(tbl_daily[LatestRPE],tbl_daily[CodeName],Table3[[#This Row],[Athlete Name]],tbl_daily[Academic Year],$B$6,tbl_daily[Ones],1),"")</f>
        <v>5</v>
      </c>
      <c r="Z33" s="23" cm="1">
        <f t="array" ref="Z33">_xlfn.STDEV.P(IF(tbl_daily[CodeName]=Table3[[#This Row],[Athlete Name]],IF(tbl_daily[Academic Year]=$B$6,IF(tbl_daily[LatestRPE]&lt;&gt;"",tbl_daily[LatestRPE]))))</f>
        <v>0</v>
      </c>
      <c r="AA33" s="23">
        <f>IFERROR(IF($B$5="",
AVERAGEIFS(tbl_daily[LatestDuration],tbl_daily[Date],$B$3,tbl_daily[CodeName],Table3[[#This Row],[Athlete Name]],tbl_daily[Academic Year],$B$6,tbl_daily[Ones],1),
AVERAGEIFS(tbl_daily[LatestDuration],tbl_daily[Date],"&lt;="&amp;$B$3,tbl_daily[Date],"&gt;="&amp;$B$3-$B$5,tbl_daily[CodeName],Table3[[#This Row],[Athlete Name]],tbl_daily[Academic Year],$B$6,tbl_daily[Ones],1)),"")</f>
        <v>60</v>
      </c>
      <c r="AB33" s="23">
        <f>IFERROR(AVERAGEIFS(tbl_daily[LatestDuration],tbl_daily[CodeName],Table3[[#This Row],[Athlete Name]],tbl_daily[Academic Year],$B$6,tbl_daily[Ones],1),"")</f>
        <v>60</v>
      </c>
      <c r="AC33" s="23" cm="1">
        <f t="array" ref="AC33">_xlfn.STDEV.P(IF(tbl_daily[CodeName]=Table3[[#This Row],[Athlete Name]],IF(tbl_daily[Academic Year]=$B$6,IF(tbl_daily[LatestDuration]&lt;&gt;"",tbl_daily[LatestDuration]))))</f>
        <v>0</v>
      </c>
      <c r="AD33" s="23">
        <f>IFERROR(IF($B$5="",
AVERAGEIFS(tbl_daily[sRPE],tbl_daily[Date],$B$3,tbl_daily[CodeName],Table3[[#This Row],[Athlete Name]],tbl_daily[Academic Year],$B$6,tbl_daily[Ones],1),
AVERAGEIFS(tbl_daily[sRPE],tbl_daily[Date],"&lt;="&amp;$B$3,tbl_daily[Date],"&gt;="&amp;$B$3-$B$5,tbl_daily[CodeName],Table3[[#This Row],[Athlete Name]],tbl_daily[Academic Year],$B$6,tbl_daily[Ones],1)),"")</f>
        <v>300</v>
      </c>
      <c r="AE33" s="23">
        <f>IFERROR(AVERAGEIFS(tbl_daily[sRPE],tbl_daily[CodeName],Table3[[#This Row],[Athlete Name]],tbl_daily[Academic Year],$B$6,tbl_daily[Ones],1),"")</f>
        <v>300</v>
      </c>
      <c r="AF33" s="23" cm="1">
        <f t="array" ref="AF33">_xlfn.STDEV.P(IF(tbl_daily[CodeName]=Table3[[#This Row],[Athlete Name]],IF(tbl_daily[Academic Year]=$B$6,IF(tbl_daily[sRPE]&lt;&gt;"",tbl_daily[sRPE]))))</f>
        <v>0</v>
      </c>
      <c r="AG33" s="23" t="str">
        <f>IFERROR(IF($B$5="",
AVERAGEIFS(tbl_daily[Grades],tbl_daily[Date],$B$3,tbl_daily[CodeName],Table3[[#This Row],[Athlete Name]],tbl_daily[Academic Year],$B$6,tbl_daily[Ones],1),
AVERAGEIFS(tbl_daily[Grades],tbl_daily[Date],"&lt;="&amp;$B$3,tbl_daily[Date],"&gt;="&amp;$B$3-$B$5,tbl_daily[CodeName],Table3[[#This Row],[Athlete Name]],tbl_daily[Academic Year],$B$6,tbl_daily[Ones],1)),"")</f>
        <v/>
      </c>
      <c r="AH33" s="11" t="str">
        <f>IFERROR(AVERAGEIFS(tbl_daily[Grades],tbl_daily[CodeName],Table3[[#This Row],[Athlete Name]],tbl_daily[Academic Year],$B$6,tbl_daily[Ones],1),"")</f>
        <v/>
      </c>
      <c r="AI33" s="11" t="e" cm="1">
        <f t="array" ref="AI33">_xlfn.STDEV.P(IF(tbl_daily[CodeName]=Table3[[#This Row],[Athlete Name]],IF(tbl_daily[Academic Year]=$B$6,IF(tbl_daily[Grades]&lt;&gt;"",tbl_daily[Grades]))))</f>
        <v>#DIV/0!</v>
      </c>
    </row>
    <row r="34" spans="1:35" x14ac:dyDescent="0.25">
      <c r="A34" s="77" t="s">
        <v>428</v>
      </c>
      <c r="B34" s="83" t="str">
        <f>INDEX(tbl_prof[Cohort of Interest],MATCH(Table3[[#This Row],[Athlete Name]],tbl_prof[CodeName],0))</f>
        <v>Special</v>
      </c>
      <c r="C34" s="76">
        <f>IFERROR(IF($B$5="",
AVERAGEIFS(tbl_daily[Attendance Refined],tbl_daily[Date],$B$3,tbl_daily[CodeName],Table3[[#This Row],[Athlete Name]],tbl_daily[Academic Year],$B$6,tbl_daily[Ones],1),
AVERAGEIFS(tbl_daily[Attendance Refined],tbl_daily[Date],"&lt;="&amp;$B$3,tbl_daily[Date],"&gt;="&amp;$B$3-$B$5,tbl_daily[CodeName],Table3[[#This Row],[Athlete Name]],tbl_daily[Academic Year],$B$6,tbl_daily[Ones],1)),"")</f>
        <v>1</v>
      </c>
      <c r="D34" s="76">
        <f>IFERROR(AVERAGEIFS(tbl_daily[Attendance Refined],tbl_daily[CodeName],Table3[[#This Row],[Athlete Name]],tbl_daily[Academic Year],$B$6,tbl_daily[Ones],1),"")</f>
        <v>1</v>
      </c>
      <c r="E34" s="76" cm="1">
        <f t="array" ref="E34">_xlfn.STDEV.P(IF(tbl_daily[CodeName]=Table3[[#This Row],[Athlete Name]],IF(tbl_daily[Academic Year]=$B$6,tbl_daily[Attendance Refined])))</f>
        <v>0</v>
      </c>
      <c r="F34" s="76">
        <f>IFERROR(IF($B$5="",
AVERAGEIFS(tbl_daily[Injury Refined],tbl_daily[Date],$B$3,tbl_daily[CodeName],Table3[[#This Row],[Athlete Name]],tbl_daily[Academic Year],$B$6,tbl_daily[Ones],1),
AVERAGEIFS(tbl_daily[Injury Refined],tbl_daily[Date],"&lt;="&amp;$B$3,tbl_daily[Date],"&gt;="&amp;$B$3-$B$5,tbl_daily[CodeName],Table3[[#This Row],[Athlete Name]],tbl_daily[Academic Year],$B$6,tbl_daily[Ones],1)),"")</f>
        <v>1</v>
      </c>
      <c r="G34" s="76">
        <f>IFERROR(AVERAGEIFS(tbl_daily[Injury Refined],tbl_daily[CodeName],Table3[[#This Row],[Athlete Name]],tbl_daily[Academic Year],$B$6,tbl_daily[Ones],1),"")</f>
        <v>1.1538461538461537</v>
      </c>
      <c r="H34" s="76" cm="1">
        <f t="array" ref="H34">_xlfn.STDEV.P(IF(tbl_daily[CodeName]=Table3[[#This Row],[Athlete Name]],IF(tbl_daily[Academic Year]=$B$6,tbl_daily[Injury Refined])))</f>
        <v>0.36080121229410994</v>
      </c>
      <c r="I34" s="76">
        <f>IFERROR(IF($B$5="",
AVERAGEIFS(tbl_daily[Exercise24Hr],tbl_daily[Date],$B$3,tbl_daily[CodeName],Table3[[#This Row],[Athlete Name]],tbl_daily[Academic Year],$B$6,tbl_daily[Ones],1),
AVERAGEIFS(tbl_daily[Exercise24Hr],tbl_daily[Date],"&lt;="&amp;$B$3,tbl_daily[Date],"&gt;="&amp;$B$3-$B$5,tbl_daily[CodeName],Table3[[#This Row],[Athlete Name]],tbl_daily[Academic Year],$B$6,tbl_daily[Ones],1)),"")</f>
        <v>0.5</v>
      </c>
      <c r="J34" s="11">
        <f>IFERROR(AVERAGEIFS(tbl_daily[Exercise24Hr],tbl_daily[CodeName],Table3[[#This Row],[Athlete Name]],tbl_daily[Academic Year],$B$6,tbl_daily[Ones],1),"")</f>
        <v>0.53846153846153844</v>
      </c>
      <c r="K34" s="11" cm="1">
        <f t="array" ref="K34">_xlfn.STDEV.P(IF(tbl_daily[CodeName]=Table3[[#This Row],[Athlete Name]],IF(tbl_daily[Academic Year]=$B$6,tbl_daily[Exercise24Hr])))</f>
        <v>0.49851851526214308</v>
      </c>
      <c r="L34" s="23">
        <f>IFERROR(IF($B$5="",
AVERAGEIFS(tbl_daily[Stress],tbl_daily[Date],$B$3,tbl_daily[CodeName],Table3[[#This Row],[Athlete Name]],tbl_daily[Academic Year],$B$6,tbl_daily[Ones],1),
AVERAGEIFS(tbl_daily[Stress],tbl_daily[Date],"&lt;="&amp;$B$3,tbl_daily[Date],"&gt;="&amp;$B$3-$B$5,tbl_daily[CodeName],Table3[[#This Row],[Athlete Name]],tbl_daily[Academic Year],$B$6,tbl_daily[Ones],1)),"")</f>
        <v>8.5</v>
      </c>
      <c r="M34" s="23">
        <f>IFERROR(AVERAGEIFS(tbl_daily[Stress],tbl_daily[CodeName],Table3[[#This Row],[Athlete Name]],tbl_daily[Academic Year],$B$6,tbl_daily[Ones],1),"")</f>
        <v>6.9230769230769234</v>
      </c>
      <c r="N34" s="23" cm="1">
        <f t="array" ref="N34">_xlfn.STDEV.P(IF(tbl_daily[CodeName]=Table3[[#This Row],[Athlete Name]],IF(tbl_daily[Academic Year]=$B$6,IF(tbl_daily[Stress]&lt;&gt;"",tbl_daily[Stress]))))</f>
        <v>2.4639411350841489</v>
      </c>
      <c r="O34" s="23">
        <f>IFERROR(IF($B$5="",
AVERAGEIFS(tbl_daily[SleepQuality],tbl_daily[Date],$B$3,tbl_daily[CodeName],Table3[[#This Row],[Athlete Name]],tbl_daily[Academic Year],$B$6,tbl_daily[Ones],1),
AVERAGEIFS(tbl_daily[SleepQuality],tbl_daily[Date],"&lt;="&amp;$B$3,tbl_daily[Date],"&gt;="&amp;$B$3-$B$5,tbl_daily[CodeName],Table3[[#This Row],[Athlete Name]],tbl_daily[Academic Year],$B$6,tbl_daily[Ones],1)),"")</f>
        <v>8</v>
      </c>
      <c r="P34" s="23">
        <f>IFERROR(AVERAGEIFS(tbl_daily[SleepQuality],tbl_daily[CodeName],Table3[[#This Row],[Athlete Name]],tbl_daily[Academic Year],$B$6,tbl_daily[Ones],1),"")</f>
        <v>7.9230769230769234</v>
      </c>
      <c r="Q34" s="23" cm="1">
        <f t="array" ref="Q34">_xlfn.STDEV.P(IF(tbl_daily[CodeName]=Table3[[#This Row],[Athlete Name]],IF(tbl_daily[Academic Year]=$B$6,IF(tbl_daily[SleepQuality]&lt;&gt;"",tbl_daily[SleepQuality]))))</f>
        <v>1.0714144828603169</v>
      </c>
      <c r="R34" s="23">
        <f>IFERROR(IF($B$5="",
AVERAGEIFS(tbl_daily[Energy],tbl_daily[Date],$B$3,tbl_daily[CodeName],Table3[[#This Row],[Athlete Name]],tbl_daily[Academic Year],$B$6,tbl_daily[Ones],1),
AVERAGEIFS(tbl_daily[Energy],tbl_daily[Date],"&lt;="&amp;$B$3,tbl_daily[Date],"&gt;="&amp;$B$3-$B$5,tbl_daily[CodeName],Table3[[#This Row],[Athlete Name]],tbl_daily[Academic Year],$B$6,tbl_daily[Ones],1)),"")</f>
        <v>7.5</v>
      </c>
      <c r="S34" s="23">
        <f>IFERROR(AVERAGEIFS(tbl_daily[Energy],tbl_daily[CodeName],Table3[[#This Row],[Athlete Name]],tbl_daily[Academic Year],$B$6,tbl_daily[Ones],1),"")</f>
        <v>7</v>
      </c>
      <c r="T34" s="23" cm="1">
        <f t="array" ref="T34">_xlfn.STDEV.P(IF(tbl_daily[CodeName]=Table3[[#This Row],[Athlete Name]],IF(tbl_daily[Academic Year]=$B$6,IF(tbl_daily[Energy]&lt;&gt;"",tbl_daily[Energy]))))</f>
        <v>0.78446454055273618</v>
      </c>
      <c r="U34" s="23">
        <f>IFERROR(IF($B$5="",
AVERAGEIFS(tbl_daily[Readiness Score],tbl_daily[Date],$B$3,tbl_daily[CodeName],Table3[[#This Row],[Athlete Name]],tbl_daily[Academic Year],$B$6,tbl_daily[Ones],1),
AVERAGEIFS(tbl_daily[Readiness Score],tbl_daily[Date],"&lt;="&amp;$B$3,tbl_daily[Date],"&gt;="&amp;$B$3-$B$5,tbl_daily[CodeName],Table3[[#This Row],[Athlete Name]],tbl_daily[Academic Year],$B$6,tbl_daily[Ones],1)),"")</f>
        <v>24</v>
      </c>
      <c r="V34" s="23">
        <f>IFERROR(AVERAGEIFS(tbl_daily[Readiness Score],tbl_daily[CodeName],Table3[[#This Row],[Athlete Name]],tbl_daily[Academic Year],$B$6,tbl_daily[Ones],1),"")</f>
        <v>21.846153846153847</v>
      </c>
      <c r="W34" s="23" cm="1">
        <f t="array" ref="W34">_xlfn.STDEV.P(IF(tbl_daily[CodeName]=Table3[[#This Row],[Athlete Name]],IF(tbl_daily[Academic Year]=$B$6,IF(tbl_daily[Readiness Score]&lt;&gt;"",tbl_daily[Readiness Score]))))</f>
        <v>2.7413122586469938</v>
      </c>
      <c r="X34" s="23">
        <f>IFERROR(IF($B$5="",
AVERAGEIFS(tbl_daily[LatestRPE],tbl_daily[Date],$B$3,tbl_daily[CodeName],Table3[[#This Row],[Athlete Name]],tbl_daily[Academic Year],$B$6,tbl_daily[Ones],1),
AVERAGEIFS(tbl_daily[LatestRPE],tbl_daily[Date],"&lt;="&amp;$B$3,tbl_daily[Date],"&gt;="&amp;$B$3-$B$5,tbl_daily[CodeName],Table3[[#This Row],[Athlete Name]],tbl_daily[Academic Year],$B$6,tbl_daily[Ones],1)),"")</f>
        <v>2.5</v>
      </c>
      <c r="Y34" s="23">
        <f>IFERROR(AVERAGEIFS(tbl_daily[LatestRPE],tbl_daily[CodeName],Table3[[#This Row],[Athlete Name]],tbl_daily[Academic Year],$B$6,tbl_daily[Ones],1),"")</f>
        <v>2.7692307692307692</v>
      </c>
      <c r="Z34" s="23" cm="1">
        <f t="array" ref="Z34">_xlfn.STDEV.P(IF(tbl_daily[CodeName]=Table3[[#This Row],[Athlete Name]],IF(tbl_daily[Academic Year]=$B$6,IF(tbl_daily[LatestRPE]&lt;&gt;"",tbl_daily[LatestRPE]))))</f>
        <v>2.7499327587260733</v>
      </c>
      <c r="AA34" s="23">
        <f>IFERROR(IF($B$5="",
AVERAGEIFS(tbl_daily[LatestDuration],tbl_daily[Date],$B$3,tbl_daily[CodeName],Table3[[#This Row],[Athlete Name]],tbl_daily[Academic Year],$B$6,tbl_daily[Ones],1),
AVERAGEIFS(tbl_daily[LatestDuration],tbl_daily[Date],"&lt;="&amp;$B$3,tbl_daily[Date],"&gt;="&amp;$B$3-$B$5,tbl_daily[CodeName],Table3[[#This Row],[Athlete Name]],tbl_daily[Academic Year],$B$6,tbl_daily[Ones],1)),"")</f>
        <v>30</v>
      </c>
      <c r="AB34" s="23">
        <f>IFERROR(AVERAGEIFS(tbl_daily[LatestDuration],tbl_daily[CodeName],Table3[[#This Row],[Athlete Name]],tbl_daily[Academic Year],$B$6,tbl_daily[Ones],1),"")</f>
        <v>41.53846153846154</v>
      </c>
      <c r="AC34" s="23" cm="1">
        <f t="array" ref="AC34">_xlfn.STDEV.P(IF(tbl_daily[CodeName]=Table3[[#This Row],[Athlete Name]],IF(tbl_daily[Academic Year]=$B$6,IF(tbl_daily[LatestDuration]&lt;&gt;"",tbl_daily[LatestDuration]))))</f>
        <v>49.278822701682977</v>
      </c>
      <c r="AD34" s="23">
        <f>IFERROR(IF($B$5="",
AVERAGEIFS(tbl_daily[sRPE],tbl_daily[Date],$B$3,tbl_daily[CodeName],Table3[[#This Row],[Athlete Name]],tbl_daily[Academic Year],$B$6,tbl_daily[Ones],1),
AVERAGEIFS(tbl_daily[sRPE],tbl_daily[Date],"&lt;="&amp;$B$3,tbl_daily[Date],"&gt;="&amp;$B$3-$B$5,tbl_daily[CodeName],Table3[[#This Row],[Athlete Name]],tbl_daily[Academic Year],$B$6,tbl_daily[Ones],1)),"")</f>
        <v>150</v>
      </c>
      <c r="AE34" s="23">
        <f>IFERROR(AVERAGEIFS(tbl_daily[sRPE],tbl_daily[CodeName],Table3[[#This Row],[Athlete Name]],tbl_daily[Academic Year],$B$6,tbl_daily[Ones],1),"")</f>
        <v>193.84615384615384</v>
      </c>
      <c r="AF34" s="23" cm="1">
        <f t="array" ref="AF34">_xlfn.STDEV.P(IF(tbl_daily[CodeName]=Table3[[#This Row],[Athlete Name]],IF(tbl_daily[Academic Year]=$B$6,IF(tbl_daily[sRPE]&lt;&gt;"",tbl_daily[sRPE]))))</f>
        <v>192.85460691485704</v>
      </c>
      <c r="AG34" s="23">
        <f>IFERROR(IF($B$5="",
AVERAGEIFS(tbl_daily[Grades],tbl_daily[Date],$B$3,tbl_daily[CodeName],Table3[[#This Row],[Athlete Name]],tbl_daily[Academic Year],$B$6,tbl_daily[Ones],1),
AVERAGEIFS(tbl_daily[Grades],tbl_daily[Date],"&lt;="&amp;$B$3,tbl_daily[Date],"&gt;="&amp;$B$3-$B$5,tbl_daily[CodeName],Table3[[#This Row],[Athlete Name]],tbl_daily[Academic Year],$B$6,tbl_daily[Ones],1)),"")</f>
        <v>90</v>
      </c>
      <c r="AH34" s="11">
        <f>IFERROR(AVERAGEIFS(tbl_daily[Grades],tbl_daily[CodeName],Table3[[#This Row],[Athlete Name]],tbl_daily[Academic Year],$B$6,tbl_daily[Ones],1),"")</f>
        <v>92.5</v>
      </c>
      <c r="AI34" s="11" cm="1">
        <f t="array" ref="AI34">_xlfn.STDEV.P(IF(tbl_daily[CodeName]=Table3[[#This Row],[Athlete Name]],IF(tbl_daily[Academic Year]=$B$6,IF(tbl_daily[Grades]&lt;&gt;"",tbl_daily[Grades]))))</f>
        <v>7.0887234393789127</v>
      </c>
    </row>
    <row r="35" spans="1:35" x14ac:dyDescent="0.25">
      <c r="A35" s="78" t="s">
        <v>410</v>
      </c>
      <c r="B35" s="84" t="str">
        <f>INDEX(tbl_prof[Cohort of Interest],MATCH(Table3[[#This Row],[Athlete Name]],tbl_prof[CodeName],0))</f>
        <v>Gen Pop</v>
      </c>
      <c r="C35" s="76">
        <f>IFERROR(IF($B$5="",
AVERAGEIFS(tbl_daily[Attendance Refined],tbl_daily[Date],$B$3,tbl_daily[CodeName],Table3[[#This Row],[Athlete Name]],tbl_daily[Academic Year],$B$6,tbl_daily[Ones],1),
AVERAGEIFS(tbl_daily[Attendance Refined],tbl_daily[Date],"&lt;="&amp;$B$3,tbl_daily[Date],"&gt;="&amp;$B$3-$B$5,tbl_daily[CodeName],Table3[[#This Row],[Athlete Name]],tbl_daily[Academic Year],$B$6,tbl_daily[Ones],1)),"")</f>
        <v>1</v>
      </c>
      <c r="D35" s="76">
        <f>IFERROR(AVERAGEIFS(tbl_daily[Attendance Refined],tbl_daily[CodeName],Table3[[#This Row],[Athlete Name]],tbl_daily[Academic Year],$B$6,tbl_daily[Ones],1),"")</f>
        <v>1</v>
      </c>
      <c r="E35" s="76" cm="1">
        <f t="array" ref="E35">_xlfn.STDEV.P(IF(tbl_daily[CodeName]=Table3[[#This Row],[Athlete Name]],IF(tbl_daily[Academic Year]=$B$6,tbl_daily[Attendance Refined])))</f>
        <v>0</v>
      </c>
      <c r="F35" s="76">
        <f>IFERROR(IF($B$5="",
AVERAGEIFS(tbl_daily[Injury Refined],tbl_daily[Date],$B$3,tbl_daily[CodeName],Table3[[#This Row],[Athlete Name]],tbl_daily[Academic Year],$B$6,tbl_daily[Ones],1),
AVERAGEIFS(tbl_daily[Injury Refined],tbl_daily[Date],"&lt;="&amp;$B$3,tbl_daily[Date],"&gt;="&amp;$B$3-$B$5,tbl_daily[CodeName],Table3[[#This Row],[Athlete Name]],tbl_daily[Academic Year],$B$6,tbl_daily[Ones],1)),"")</f>
        <v>1</v>
      </c>
      <c r="G35" s="76">
        <f>IFERROR(AVERAGEIFS(tbl_daily[Injury Refined],tbl_daily[CodeName],Table3[[#This Row],[Athlete Name]],tbl_daily[Academic Year],$B$6,tbl_daily[Ones],1),"")</f>
        <v>1</v>
      </c>
      <c r="H35" s="76" cm="1">
        <f t="array" ref="H35">_xlfn.STDEV.P(IF(tbl_daily[CodeName]=Table3[[#This Row],[Athlete Name]],IF(tbl_daily[Academic Year]=$B$6,tbl_daily[Injury Refined])))</f>
        <v>0</v>
      </c>
      <c r="I35" s="76">
        <f>IFERROR(IF($B$5="",
AVERAGEIFS(tbl_daily[Exercise24Hr],tbl_daily[Date],$B$3,tbl_daily[CodeName],Table3[[#This Row],[Athlete Name]],tbl_daily[Academic Year],$B$6,tbl_daily[Ones],1),
AVERAGEIFS(tbl_daily[Exercise24Hr],tbl_daily[Date],"&lt;="&amp;$B$3,tbl_daily[Date],"&gt;="&amp;$B$3-$B$5,tbl_daily[CodeName],Table3[[#This Row],[Athlete Name]],tbl_daily[Academic Year],$B$6,tbl_daily[Ones],1)),"")</f>
        <v>0.5</v>
      </c>
      <c r="J35" s="11">
        <f>IFERROR(AVERAGEIFS(tbl_daily[Exercise24Hr],tbl_daily[CodeName],Table3[[#This Row],[Athlete Name]],tbl_daily[Academic Year],$B$6,tbl_daily[Ones],1),"")</f>
        <v>0.38461538461538464</v>
      </c>
      <c r="K35" s="11" cm="1">
        <f t="array" ref="K35">_xlfn.STDEV.P(IF(tbl_daily[CodeName]=Table3[[#This Row],[Athlete Name]],IF(tbl_daily[Academic Year]=$B$6,tbl_daily[Exercise24Hr])))</f>
        <v>0.48650425541051989</v>
      </c>
      <c r="L35" s="23">
        <f>IFERROR(IF($B$5="",
AVERAGEIFS(tbl_daily[Stress],tbl_daily[Date],$B$3,tbl_daily[CodeName],Table3[[#This Row],[Athlete Name]],tbl_daily[Academic Year],$B$6,tbl_daily[Ones],1),
AVERAGEIFS(tbl_daily[Stress],tbl_daily[Date],"&lt;="&amp;$B$3,tbl_daily[Date],"&gt;="&amp;$B$3-$B$5,tbl_daily[CodeName],Table3[[#This Row],[Athlete Name]],tbl_daily[Academic Year],$B$6,tbl_daily[Ones],1)),"")</f>
        <v>6</v>
      </c>
      <c r="M35" s="23">
        <f>IFERROR(AVERAGEIFS(tbl_daily[Stress],tbl_daily[CodeName],Table3[[#This Row],[Athlete Name]],tbl_daily[Academic Year],$B$6,tbl_daily[Ones],1),"")</f>
        <v>5.615384615384615</v>
      </c>
      <c r="N35" s="23" cm="1">
        <f t="array" ref="N35">_xlfn.STDEV.P(IF(tbl_daily[CodeName]=Table3[[#This Row],[Athlete Name]],IF(tbl_daily[Academic Year]=$B$6,IF(tbl_daily[Stress]&lt;&gt;"",tbl_daily[Stress]))))</f>
        <v>1.2113858267710478</v>
      </c>
      <c r="O35" s="23">
        <f>IFERROR(IF($B$5="",
AVERAGEIFS(tbl_daily[SleepQuality],tbl_daily[Date],$B$3,tbl_daily[CodeName],Table3[[#This Row],[Athlete Name]],tbl_daily[Academic Year],$B$6,tbl_daily[Ones],1),
AVERAGEIFS(tbl_daily[SleepQuality],tbl_daily[Date],"&lt;="&amp;$B$3,tbl_daily[Date],"&gt;="&amp;$B$3-$B$5,tbl_daily[CodeName],Table3[[#This Row],[Athlete Name]],tbl_daily[Academic Year],$B$6,tbl_daily[Ones],1)),"")</f>
        <v>4.5</v>
      </c>
      <c r="P35" s="23">
        <f>IFERROR(AVERAGEIFS(tbl_daily[SleepQuality],tbl_daily[CodeName],Table3[[#This Row],[Athlete Name]],tbl_daily[Academic Year],$B$6,tbl_daily[Ones],1),"")</f>
        <v>6</v>
      </c>
      <c r="Q35" s="23" cm="1">
        <f t="array" ref="Q35">_xlfn.STDEV.P(IF(tbl_daily[CodeName]=Table3[[#This Row],[Athlete Name]],IF(tbl_daily[Academic Year]=$B$6,IF(tbl_daily[SleepQuality]&lt;&gt;"",tbl_daily[SleepQuality]))))</f>
        <v>1.4675987714106855</v>
      </c>
      <c r="R35" s="23">
        <f>IFERROR(IF($B$5="",
AVERAGEIFS(tbl_daily[Energy],tbl_daily[Date],$B$3,tbl_daily[CodeName],Table3[[#This Row],[Athlete Name]],tbl_daily[Academic Year],$B$6,tbl_daily[Ones],1),
AVERAGEIFS(tbl_daily[Energy],tbl_daily[Date],"&lt;="&amp;$B$3,tbl_daily[Date],"&gt;="&amp;$B$3-$B$5,tbl_daily[CodeName],Table3[[#This Row],[Athlete Name]],tbl_daily[Academic Year],$B$6,tbl_daily[Ones],1)),"")</f>
        <v>6</v>
      </c>
      <c r="S35" s="23">
        <f>IFERROR(AVERAGEIFS(tbl_daily[Energy],tbl_daily[CodeName],Table3[[#This Row],[Athlete Name]],tbl_daily[Academic Year],$B$6,tbl_daily[Ones],1),"")</f>
        <v>6.384615384615385</v>
      </c>
      <c r="T35" s="23" cm="1">
        <f t="array" ref="T35">_xlfn.STDEV.P(IF(tbl_daily[CodeName]=Table3[[#This Row],[Athlete Name]],IF(tbl_daily[Academic Year]=$B$6,IF(tbl_daily[Energy]&lt;&gt;"",tbl_daily[Energy]))))</f>
        <v>1.2733034890189885</v>
      </c>
      <c r="U35" s="23">
        <f>IFERROR(IF($B$5="",
AVERAGEIFS(tbl_daily[Readiness Score],tbl_daily[Date],$B$3,tbl_daily[CodeName],Table3[[#This Row],[Athlete Name]],tbl_daily[Academic Year],$B$6,tbl_daily[Ones],1),
AVERAGEIFS(tbl_daily[Readiness Score],tbl_daily[Date],"&lt;="&amp;$B$3,tbl_daily[Date],"&gt;="&amp;$B$3-$B$5,tbl_daily[CodeName],Table3[[#This Row],[Athlete Name]],tbl_daily[Academic Year],$B$6,tbl_daily[Ones],1)),"")</f>
        <v>16.5</v>
      </c>
      <c r="V35" s="23">
        <f>IFERROR(AVERAGEIFS(tbl_daily[Readiness Score],tbl_daily[CodeName],Table3[[#This Row],[Athlete Name]],tbl_daily[Academic Year],$B$6,tbl_daily[Ones],1),"")</f>
        <v>18</v>
      </c>
      <c r="W35" s="23" cm="1">
        <f t="array" ref="W35">_xlfn.STDEV.P(IF(tbl_daily[CodeName]=Table3[[#This Row],[Athlete Name]],IF(tbl_daily[Academic Year]=$B$6,IF(tbl_daily[Readiness Score]&lt;&gt;"",tbl_daily[Readiness Score]))))</f>
        <v>3.1132471299766249</v>
      </c>
      <c r="X35" s="23">
        <f>IFERROR(IF($B$5="",
AVERAGEIFS(tbl_daily[LatestRPE],tbl_daily[Date],$B$3,tbl_daily[CodeName],Table3[[#This Row],[Athlete Name]],tbl_daily[Academic Year],$B$6,tbl_daily[Ones],1),
AVERAGEIFS(tbl_daily[LatestRPE],tbl_daily[Date],"&lt;="&amp;$B$3,tbl_daily[Date],"&gt;="&amp;$B$3-$B$5,tbl_daily[CodeName],Table3[[#This Row],[Athlete Name]],tbl_daily[Academic Year],$B$6,tbl_daily[Ones],1)),"")</f>
        <v>4</v>
      </c>
      <c r="Y35" s="23">
        <f>IFERROR(AVERAGEIFS(tbl_daily[LatestRPE],tbl_daily[CodeName],Table3[[#This Row],[Athlete Name]],tbl_daily[Academic Year],$B$6,tbl_daily[Ones],1),"")</f>
        <v>2.5384615384615383</v>
      </c>
      <c r="Z35" s="23" cm="1">
        <f t="array" ref="Z35">_xlfn.STDEV.P(IF(tbl_daily[CodeName]=Table3[[#This Row],[Athlete Name]],IF(tbl_daily[Academic Year]=$B$6,IF(tbl_daily[LatestRPE]&lt;&gt;"",tbl_daily[LatestRPE]))))</f>
        <v>3.2726226747973302</v>
      </c>
      <c r="AA35" s="23">
        <f>IFERROR(IF($B$5="",
AVERAGEIFS(tbl_daily[LatestDuration],tbl_daily[Date],$B$3,tbl_daily[CodeName],Table3[[#This Row],[Athlete Name]],tbl_daily[Academic Year],$B$6,tbl_daily[Ones],1),
AVERAGEIFS(tbl_daily[LatestDuration],tbl_daily[Date],"&lt;="&amp;$B$3,tbl_daily[Date],"&gt;="&amp;$B$3-$B$5,tbl_daily[CodeName],Table3[[#This Row],[Athlete Name]],tbl_daily[Academic Year],$B$6,tbl_daily[Ones],1)),"")</f>
        <v>42.5</v>
      </c>
      <c r="AB35" s="23">
        <f>IFERROR(AVERAGEIFS(tbl_daily[LatestDuration],tbl_daily[CodeName],Table3[[#This Row],[Athlete Name]],tbl_daily[Academic Year],$B$6,tbl_daily[Ones],1),"")</f>
        <v>25</v>
      </c>
      <c r="AC35" s="23" cm="1">
        <f t="array" ref="AC35">_xlfn.STDEV.P(IF(tbl_daily[CodeName]=Table3[[#This Row],[Athlete Name]],IF(tbl_daily[Academic Year]=$B$6,IF(tbl_daily[LatestDuration]&lt;&gt;"",tbl_daily[LatestDuration]))))</f>
        <v>30.88958832141773</v>
      </c>
      <c r="AD35" s="23">
        <f>IFERROR(IF($B$5="",
AVERAGEIFS(tbl_daily[sRPE],tbl_daily[Date],$B$3,tbl_daily[CodeName],Table3[[#This Row],[Athlete Name]],tbl_daily[Academic Year],$B$6,tbl_daily[Ones],1),
AVERAGEIFS(tbl_daily[sRPE],tbl_daily[Date],"&lt;="&amp;$B$3,tbl_daily[Date],"&gt;="&amp;$B$3-$B$5,tbl_daily[CodeName],Table3[[#This Row],[Athlete Name]],tbl_daily[Academic Year],$B$6,tbl_daily[Ones],1)),"")</f>
        <v>340</v>
      </c>
      <c r="AE35" s="23">
        <f>IFERROR(AVERAGEIFS(tbl_daily[sRPE],tbl_daily[CodeName],Table3[[#This Row],[Athlete Name]],tbl_daily[Academic Year],$B$6,tbl_daily[Ones],1),"")</f>
        <v>155.76923076923077</v>
      </c>
      <c r="AF35" s="23" cm="1">
        <f t="array" ref="AF35">_xlfn.STDEV.P(IF(tbl_daily[CodeName]=Table3[[#This Row],[Athlete Name]],IF(tbl_daily[Academic Year]=$B$6,IF(tbl_daily[sRPE]&lt;&gt;"",tbl_daily[sRPE]))))</f>
        <v>217.44889898235644</v>
      </c>
      <c r="AG35" s="23">
        <f>IFERROR(IF($B$5="",
AVERAGEIFS(tbl_daily[Grades],tbl_daily[Date],$B$3,tbl_daily[CodeName],Table3[[#This Row],[Athlete Name]],tbl_daily[Academic Year],$B$6,tbl_daily[Ones],1),
AVERAGEIFS(tbl_daily[Grades],tbl_daily[Date],"&lt;="&amp;$B$3,tbl_daily[Date],"&gt;="&amp;$B$3-$B$5,tbl_daily[CodeName],Table3[[#This Row],[Athlete Name]],tbl_daily[Academic Year],$B$6,tbl_daily[Ones],1)),"")</f>
        <v>95</v>
      </c>
      <c r="AH35" s="11">
        <f>IFERROR(AVERAGEIFS(tbl_daily[Grades],tbl_daily[CodeName],Table3[[#This Row],[Athlete Name]],tbl_daily[Academic Year],$B$6,tbl_daily[Ones],1),"")</f>
        <v>87</v>
      </c>
      <c r="AI35" s="11" cm="1">
        <f t="array" ref="AI35">_xlfn.STDEV.P(IF(tbl_daily[CodeName]=Table3[[#This Row],[Athlete Name]],IF(tbl_daily[Academic Year]=$B$6,IF(tbl_daily[Grades]&lt;&gt;"",tbl_daily[Grades]))))</f>
        <v>6.0415229867972862</v>
      </c>
    </row>
    <row r="36" spans="1:35" x14ac:dyDescent="0.25">
      <c r="A36" s="77" t="s">
        <v>429</v>
      </c>
      <c r="B36" s="83" t="str">
        <f>INDEX(tbl_prof[Cohort of Interest],MATCH(Table3[[#This Row],[Athlete Name]],tbl_prof[CodeName],0))</f>
        <v>Gen Pop</v>
      </c>
      <c r="C36" s="76">
        <f>IFERROR(IF($B$5="",
AVERAGEIFS(tbl_daily[Attendance Refined],tbl_daily[Date],$B$3,tbl_daily[CodeName],Table3[[#This Row],[Athlete Name]],tbl_daily[Academic Year],$B$6,tbl_daily[Ones],1),
AVERAGEIFS(tbl_daily[Attendance Refined],tbl_daily[Date],"&lt;="&amp;$B$3,tbl_daily[Date],"&gt;="&amp;$B$3-$B$5,tbl_daily[CodeName],Table3[[#This Row],[Athlete Name]],tbl_daily[Academic Year],$B$6,tbl_daily[Ones],1)),"")</f>
        <v>1</v>
      </c>
      <c r="D36" s="76">
        <f>IFERROR(AVERAGEIFS(tbl_daily[Attendance Refined],tbl_daily[CodeName],Table3[[#This Row],[Athlete Name]],tbl_daily[Academic Year],$B$6,tbl_daily[Ones],1),"")</f>
        <v>1.1538461538461537</v>
      </c>
      <c r="E36" s="76" cm="1">
        <f t="array" ref="E36">_xlfn.STDEV.P(IF(tbl_daily[CodeName]=Table3[[#This Row],[Athlete Name]],IF(tbl_daily[Academic Year]=$B$6,tbl_daily[Attendance Refined])))</f>
        <v>0.53293871002119297</v>
      </c>
      <c r="F36" s="76">
        <f>IFERROR(IF($B$5="",
AVERAGEIFS(tbl_daily[Injury Refined],tbl_daily[Date],$B$3,tbl_daily[CodeName],Table3[[#This Row],[Athlete Name]],tbl_daily[Academic Year],$B$6,tbl_daily[Ones],1),
AVERAGEIFS(tbl_daily[Injury Refined],tbl_daily[Date],"&lt;="&amp;$B$3,tbl_daily[Date],"&gt;="&amp;$B$3-$B$5,tbl_daily[CodeName],Table3[[#This Row],[Athlete Name]],tbl_daily[Academic Year],$B$6,tbl_daily[Ones],1)),"")</f>
        <v>1</v>
      </c>
      <c r="G36" s="76">
        <f>IFERROR(AVERAGEIFS(tbl_daily[Injury Refined],tbl_daily[CodeName],Table3[[#This Row],[Athlete Name]],tbl_daily[Academic Year],$B$6,tbl_daily[Ones],1),"")</f>
        <v>1.25</v>
      </c>
      <c r="H36" s="76" cm="1">
        <f t="array" ref="H36">_xlfn.STDEV.P(IF(tbl_daily[CodeName]=Table3[[#This Row],[Athlete Name]],IF(tbl_daily[Academic Year]=$B$6,tbl_daily[Injury Refined])))</f>
        <v>0.4330127018922193</v>
      </c>
      <c r="I36" s="76">
        <f>IFERROR(IF($B$5="",
AVERAGEIFS(tbl_daily[Exercise24Hr],tbl_daily[Date],$B$3,tbl_daily[CodeName],Table3[[#This Row],[Athlete Name]],tbl_daily[Academic Year],$B$6,tbl_daily[Ones],1),
AVERAGEIFS(tbl_daily[Exercise24Hr],tbl_daily[Date],"&lt;="&amp;$B$3,tbl_daily[Date],"&gt;="&amp;$B$3-$B$5,tbl_daily[CodeName],Table3[[#This Row],[Athlete Name]],tbl_daily[Academic Year],$B$6,tbl_daily[Ones],1)),"")</f>
        <v>0.5</v>
      </c>
      <c r="J36" s="11">
        <f>IFERROR(AVERAGEIFS(tbl_daily[Exercise24Hr],tbl_daily[CodeName],Table3[[#This Row],[Athlete Name]],tbl_daily[Academic Year],$B$6,tbl_daily[Ones],1),"")</f>
        <v>0.5</v>
      </c>
      <c r="K36" s="11" cm="1">
        <f t="array" ref="K36">_xlfn.STDEV.P(IF(tbl_daily[CodeName]=Table3[[#This Row],[Athlete Name]],IF(tbl_daily[Academic Year]=$B$6,tbl_daily[Exercise24Hr])))</f>
        <v>0.49851851526214308</v>
      </c>
      <c r="L36" s="23">
        <f>IFERROR(IF($B$5="",
AVERAGEIFS(tbl_daily[Stress],tbl_daily[Date],$B$3,tbl_daily[CodeName],Table3[[#This Row],[Athlete Name]],tbl_daily[Academic Year],$B$6,tbl_daily[Ones],1),
AVERAGEIFS(tbl_daily[Stress],tbl_daily[Date],"&lt;="&amp;$B$3,tbl_daily[Date],"&gt;="&amp;$B$3-$B$5,tbl_daily[CodeName],Table3[[#This Row],[Athlete Name]],tbl_daily[Academic Year],$B$6,tbl_daily[Ones],1)),"")</f>
        <v>7</v>
      </c>
      <c r="M36" s="23">
        <f>IFERROR(AVERAGEIFS(tbl_daily[Stress],tbl_daily[CodeName],Table3[[#This Row],[Athlete Name]],tbl_daily[Academic Year],$B$6,tbl_daily[Ones],1),"")</f>
        <v>6.5</v>
      </c>
      <c r="N36" s="23" cm="1">
        <f t="array" ref="N36">_xlfn.STDEV.P(IF(tbl_daily[CodeName]=Table3[[#This Row],[Athlete Name]],IF(tbl_daily[Academic Year]=$B$6,IF(tbl_daily[Stress]&lt;&gt;"",tbl_daily[Stress]))))</f>
        <v>1.3844373104863459</v>
      </c>
      <c r="O36" s="23">
        <f>IFERROR(IF($B$5="",
AVERAGEIFS(tbl_daily[SleepQuality],tbl_daily[Date],$B$3,tbl_daily[CodeName],Table3[[#This Row],[Athlete Name]],tbl_daily[Academic Year],$B$6,tbl_daily[Ones],1),
AVERAGEIFS(tbl_daily[SleepQuality],tbl_daily[Date],"&lt;="&amp;$B$3,tbl_daily[Date],"&gt;="&amp;$B$3-$B$5,tbl_daily[CodeName],Table3[[#This Row],[Athlete Name]],tbl_daily[Academic Year],$B$6,tbl_daily[Ones],1)),"")</f>
        <v>7.5</v>
      </c>
      <c r="P36" s="23">
        <f>IFERROR(AVERAGEIFS(tbl_daily[SleepQuality],tbl_daily[CodeName],Table3[[#This Row],[Athlete Name]],tbl_daily[Academic Year],$B$6,tbl_daily[Ones],1),"")</f>
        <v>6.916666666666667</v>
      </c>
      <c r="Q36" s="23" cm="1">
        <f t="array" ref="Q36">_xlfn.STDEV.P(IF(tbl_daily[CodeName]=Table3[[#This Row],[Athlete Name]],IF(tbl_daily[Academic Year]=$B$6,IF(tbl_daily[SleepQuality]&lt;&gt;"",tbl_daily[SleepQuality]))))</f>
        <v>1.3819269959814167</v>
      </c>
      <c r="R36" s="23">
        <f>IFERROR(IF($B$5="",
AVERAGEIFS(tbl_daily[Energy],tbl_daily[Date],$B$3,tbl_daily[CodeName],Table3[[#This Row],[Athlete Name]],tbl_daily[Academic Year],$B$6,tbl_daily[Ones],1),
AVERAGEIFS(tbl_daily[Energy],tbl_daily[Date],"&lt;="&amp;$B$3,tbl_daily[Date],"&gt;="&amp;$B$3-$B$5,tbl_daily[CodeName],Table3[[#This Row],[Athlete Name]],tbl_daily[Academic Year],$B$6,tbl_daily[Ones],1)),"")</f>
        <v>7.5</v>
      </c>
      <c r="S36" s="23">
        <f>IFERROR(AVERAGEIFS(tbl_daily[Energy],tbl_daily[CodeName],Table3[[#This Row],[Athlete Name]],tbl_daily[Academic Year],$B$6,tbl_daily[Ones],1),"")</f>
        <v>6.583333333333333</v>
      </c>
      <c r="T36" s="23" cm="1">
        <f t="array" ref="T36">_xlfn.STDEV.P(IF(tbl_daily[CodeName]=Table3[[#This Row],[Athlete Name]],IF(tbl_daily[Academic Year]=$B$6,IF(tbl_daily[Energy]&lt;&gt;"",tbl_daily[Energy]))))</f>
        <v>0.95379359518829976</v>
      </c>
      <c r="U36" s="23">
        <f>IFERROR(IF($B$5="",
AVERAGEIFS(tbl_daily[Readiness Score],tbl_daily[Date],$B$3,tbl_daily[CodeName],Table3[[#This Row],[Athlete Name]],tbl_daily[Academic Year],$B$6,tbl_daily[Ones],1),
AVERAGEIFS(tbl_daily[Readiness Score],tbl_daily[Date],"&lt;="&amp;$B$3,tbl_daily[Date],"&gt;="&amp;$B$3-$B$5,tbl_daily[CodeName],Table3[[#This Row],[Athlete Name]],tbl_daily[Academic Year],$B$6,tbl_daily[Ones],1)),"")</f>
        <v>22</v>
      </c>
      <c r="V36" s="23">
        <f>IFERROR(AVERAGEIFS(tbl_daily[Readiness Score],tbl_daily[CodeName],Table3[[#This Row],[Athlete Name]],tbl_daily[Academic Year],$B$6,tbl_daily[Ones],1),"")</f>
        <v>20</v>
      </c>
      <c r="W36" s="23" cm="1">
        <f t="array" ref="W36">_xlfn.STDEV.P(IF(tbl_daily[CodeName]=Table3[[#This Row],[Athlete Name]],IF(tbl_daily[Academic Year]=$B$6,IF(tbl_daily[Readiness Score]&lt;&gt;"",tbl_daily[Readiness Score]))))</f>
        <v>2.857738033247041</v>
      </c>
      <c r="X36" s="23">
        <f>IFERROR(IF($B$5="",
AVERAGEIFS(tbl_daily[LatestRPE],tbl_daily[Date],$B$3,tbl_daily[CodeName],Table3[[#This Row],[Athlete Name]],tbl_daily[Academic Year],$B$6,tbl_daily[Ones],1),
AVERAGEIFS(tbl_daily[LatestRPE],tbl_daily[Date],"&lt;="&amp;$B$3,tbl_daily[Date],"&gt;="&amp;$B$3-$B$5,tbl_daily[CodeName],Table3[[#This Row],[Athlete Name]],tbl_daily[Academic Year],$B$6,tbl_daily[Ones],1)),"")</f>
        <v>2.5</v>
      </c>
      <c r="Y36" s="23">
        <f>IFERROR(AVERAGEIFS(tbl_daily[LatestRPE],tbl_daily[CodeName],Table3[[#This Row],[Athlete Name]],tbl_daily[Academic Year],$B$6,tbl_daily[Ones],1),"")</f>
        <v>3.5</v>
      </c>
      <c r="Z36" s="23" cm="1">
        <f t="array" ref="Z36">_xlfn.STDEV.P(IF(tbl_daily[CodeName]=Table3[[#This Row],[Athlete Name]],IF(tbl_daily[Academic Year]=$B$6,IF(tbl_daily[LatestRPE]&lt;&gt;"",tbl_daily[LatestRPE]))))</f>
        <v>3.5939764421413041</v>
      </c>
      <c r="AA36" s="23">
        <f>IFERROR(IF($B$5="",
AVERAGEIFS(tbl_daily[LatestDuration],tbl_daily[Date],$B$3,tbl_daily[CodeName],Table3[[#This Row],[Athlete Name]],tbl_daily[Academic Year],$B$6,tbl_daily[Ones],1),
AVERAGEIFS(tbl_daily[LatestDuration],tbl_daily[Date],"&lt;="&amp;$B$3,tbl_daily[Date],"&gt;="&amp;$B$3-$B$5,tbl_daily[CodeName],Table3[[#This Row],[Athlete Name]],tbl_daily[Academic Year],$B$6,tbl_daily[Ones],1)),"")</f>
        <v>30</v>
      </c>
      <c r="AB36" s="23">
        <f>IFERROR(AVERAGEIFS(tbl_daily[LatestDuration],tbl_daily[CodeName],Table3[[#This Row],[Athlete Name]],tbl_daily[Academic Year],$B$6,tbl_daily[Ones],1),"")</f>
        <v>45</v>
      </c>
      <c r="AC36" s="23" cm="1">
        <f t="array" ref="AC36">_xlfn.STDEV.P(IF(tbl_daily[CodeName]=Table3[[#This Row],[Athlete Name]],IF(tbl_daily[Academic Year]=$B$6,IF(tbl_daily[LatestDuration]&lt;&gt;"",tbl_daily[LatestDuration]))))</f>
        <v>65.383484153110103</v>
      </c>
      <c r="AD36" s="23">
        <f>IFERROR(IF($B$5="",
AVERAGEIFS(tbl_daily[sRPE],tbl_daily[Date],$B$3,tbl_daily[CodeName],Table3[[#This Row],[Athlete Name]],tbl_daily[Academic Year],$B$6,tbl_daily[Ones],1),
AVERAGEIFS(tbl_daily[sRPE],tbl_daily[Date],"&lt;="&amp;$B$3,tbl_daily[Date],"&gt;="&amp;$B$3-$B$5,tbl_daily[CodeName],Table3[[#This Row],[Athlete Name]],tbl_daily[Academic Year],$B$6,tbl_daily[Ones],1)),"")</f>
        <v>150</v>
      </c>
      <c r="AE36" s="23">
        <f>IFERROR(AVERAGEIFS(tbl_daily[sRPE],tbl_daily[CodeName],Table3[[#This Row],[Athlete Name]],tbl_daily[Academic Year],$B$6,tbl_daily[Ones],1),"")</f>
        <v>300</v>
      </c>
      <c r="AF36" s="23" cm="1">
        <f t="array" ref="AF36">_xlfn.STDEV.P(IF(tbl_daily[CodeName]=Table3[[#This Row],[Athlete Name]],IF(tbl_daily[Academic Year]=$B$6,IF(tbl_daily[sRPE]&lt;&gt;"",tbl_daily[sRPE]))))</f>
        <v>403.23690307311904</v>
      </c>
      <c r="AG36" s="23">
        <f>IFERROR(IF($B$5="",
AVERAGEIFS(tbl_daily[Grades],tbl_daily[Date],$B$3,tbl_daily[CodeName],Table3[[#This Row],[Athlete Name]],tbl_daily[Academic Year],$B$6,tbl_daily[Ones],1),
AVERAGEIFS(tbl_daily[Grades],tbl_daily[Date],"&lt;="&amp;$B$3,tbl_daily[Date],"&gt;="&amp;$B$3-$B$5,tbl_daily[CodeName],Table3[[#This Row],[Athlete Name]],tbl_daily[Academic Year],$B$6,tbl_daily[Ones],1)),"")</f>
        <v>75</v>
      </c>
      <c r="AH36" s="11">
        <f>IFERROR(AVERAGEIFS(tbl_daily[Grades],tbl_daily[CodeName],Table3[[#This Row],[Athlete Name]],tbl_daily[Academic Year],$B$6,tbl_daily[Ones],1),"")</f>
        <v>81.25</v>
      </c>
      <c r="AI36" s="11" cm="1">
        <f t="array" ref="AI36">_xlfn.STDEV.P(IF(tbl_daily[CodeName]=Table3[[#This Row],[Athlete Name]],IF(tbl_daily[Academic Year]=$B$6,IF(tbl_daily[Grades]&lt;&gt;"",tbl_daily[Grades]))))</f>
        <v>4.2646805273079949</v>
      </c>
    </row>
    <row r="37" spans="1:35" x14ac:dyDescent="0.25">
      <c r="A37" s="78" t="s">
        <v>434</v>
      </c>
      <c r="B37" s="84" t="str">
        <f>INDEX(tbl_prof[Cohort of Interest],MATCH(Table3[[#This Row],[Athlete Name]],tbl_prof[CodeName],0))</f>
        <v>Athletes</v>
      </c>
      <c r="C37" s="76">
        <f>IFERROR(IF($B$5="",
AVERAGEIFS(tbl_daily[Attendance Refined],tbl_daily[Date],$B$3,tbl_daily[CodeName],Table3[[#This Row],[Athlete Name]],tbl_daily[Academic Year],$B$6,tbl_daily[Ones],1),
AVERAGEIFS(tbl_daily[Attendance Refined],tbl_daily[Date],"&lt;="&amp;$B$3,tbl_daily[Date],"&gt;="&amp;$B$3-$B$5,tbl_daily[CodeName],Table3[[#This Row],[Athlete Name]],tbl_daily[Academic Year],$B$6,tbl_daily[Ones],1)),"")</f>
        <v>1</v>
      </c>
      <c r="D37" s="76">
        <f>IFERROR(AVERAGEIFS(tbl_daily[Attendance Refined],tbl_daily[CodeName],Table3[[#This Row],[Athlete Name]],tbl_daily[Academic Year],$B$6,tbl_daily[Ones],1),"")</f>
        <v>1</v>
      </c>
      <c r="E37" s="76" cm="1">
        <f t="array" ref="E37">_xlfn.STDEV.P(IF(tbl_daily[CodeName]=Table3[[#This Row],[Athlete Name]],IF(tbl_daily[Academic Year]=$B$6,tbl_daily[Attendance Refined])))</f>
        <v>0</v>
      </c>
      <c r="F37" s="76">
        <f>IFERROR(IF($B$5="",
AVERAGEIFS(tbl_daily[Injury Refined],tbl_daily[Date],$B$3,tbl_daily[CodeName],Table3[[#This Row],[Athlete Name]],tbl_daily[Academic Year],$B$6,tbl_daily[Ones],1),
AVERAGEIFS(tbl_daily[Injury Refined],tbl_daily[Date],"&lt;="&amp;$B$3,tbl_daily[Date],"&gt;="&amp;$B$3-$B$5,tbl_daily[CodeName],Table3[[#This Row],[Athlete Name]],tbl_daily[Academic Year],$B$6,tbl_daily[Ones],1)),"")</f>
        <v>1</v>
      </c>
      <c r="G37" s="76">
        <f>IFERROR(AVERAGEIFS(tbl_daily[Injury Refined],tbl_daily[CodeName],Table3[[#This Row],[Athlete Name]],tbl_daily[Academic Year],$B$6,tbl_daily[Ones],1),"")</f>
        <v>1</v>
      </c>
      <c r="H37" s="76" cm="1">
        <f t="array" ref="H37">_xlfn.STDEV.P(IF(tbl_daily[CodeName]=Table3[[#This Row],[Athlete Name]],IF(tbl_daily[Academic Year]=$B$6,tbl_daily[Injury Refined])))</f>
        <v>0</v>
      </c>
      <c r="I37" s="76">
        <f>IFERROR(IF($B$5="",
AVERAGEIFS(tbl_daily[Exercise24Hr],tbl_daily[Date],$B$3,tbl_daily[CodeName],Table3[[#This Row],[Athlete Name]],tbl_daily[Academic Year],$B$6,tbl_daily[Ones],1),
AVERAGEIFS(tbl_daily[Exercise24Hr],tbl_daily[Date],"&lt;="&amp;$B$3,tbl_daily[Date],"&gt;="&amp;$B$3-$B$5,tbl_daily[CodeName],Table3[[#This Row],[Athlete Name]],tbl_daily[Academic Year],$B$6,tbl_daily[Ones],1)),"")</f>
        <v>1</v>
      </c>
      <c r="J37" s="11">
        <f>IFERROR(AVERAGEIFS(tbl_daily[Exercise24Hr],tbl_daily[CodeName],Table3[[#This Row],[Athlete Name]],tbl_daily[Academic Year],$B$6,tbl_daily[Ones],1),"")</f>
        <v>0.76923076923076927</v>
      </c>
      <c r="K37" s="11" cm="1">
        <f t="array" ref="K37">_xlfn.STDEV.P(IF(tbl_daily[CodeName]=Table3[[#This Row],[Athlete Name]],IF(tbl_daily[Academic Year]=$B$6,tbl_daily[Exercise24Hr])))</f>
        <v>0.42132504423474315</v>
      </c>
      <c r="L37" s="23">
        <f>IFERROR(IF($B$5="",
AVERAGEIFS(tbl_daily[Stress],tbl_daily[Date],$B$3,tbl_daily[CodeName],Table3[[#This Row],[Athlete Name]],tbl_daily[Academic Year],$B$6,tbl_daily[Ones],1),
AVERAGEIFS(tbl_daily[Stress],tbl_daily[Date],"&lt;="&amp;$B$3,tbl_daily[Date],"&gt;="&amp;$B$3-$B$5,tbl_daily[CodeName],Table3[[#This Row],[Athlete Name]],tbl_daily[Academic Year],$B$6,tbl_daily[Ones],1)),"")</f>
        <v>5</v>
      </c>
      <c r="M37" s="23">
        <f>IFERROR(AVERAGEIFS(tbl_daily[Stress],tbl_daily[CodeName],Table3[[#This Row],[Athlete Name]],tbl_daily[Academic Year],$B$6,tbl_daily[Ones],1),"")</f>
        <v>6.0769230769230766</v>
      </c>
      <c r="N37" s="23" cm="1">
        <f t="array" ref="N37">_xlfn.STDEV.P(IF(tbl_daily[CodeName]=Table3[[#This Row],[Athlete Name]],IF(tbl_daily[Academic Year]=$B$6,IF(tbl_daily[Stress]&lt;&gt;"",tbl_daily[Stress]))))</f>
        <v>1.6390212117432705</v>
      </c>
      <c r="O37" s="23">
        <f>IFERROR(IF($B$5="",
AVERAGEIFS(tbl_daily[SleepQuality],tbl_daily[Date],$B$3,tbl_daily[CodeName],Table3[[#This Row],[Athlete Name]],tbl_daily[Academic Year],$B$6,tbl_daily[Ones],1),
AVERAGEIFS(tbl_daily[SleepQuality],tbl_daily[Date],"&lt;="&amp;$B$3,tbl_daily[Date],"&gt;="&amp;$B$3-$B$5,tbl_daily[CodeName],Table3[[#This Row],[Athlete Name]],tbl_daily[Academic Year],$B$6,tbl_daily[Ones],1)),"")</f>
        <v>6</v>
      </c>
      <c r="P37" s="23">
        <f>IFERROR(AVERAGEIFS(tbl_daily[SleepQuality],tbl_daily[CodeName],Table3[[#This Row],[Athlete Name]],tbl_daily[Academic Year],$B$6,tbl_daily[Ones],1),"")</f>
        <v>6.3076923076923075</v>
      </c>
      <c r="Q37" s="23" cm="1">
        <f t="array" ref="Q37">_xlfn.STDEV.P(IF(tbl_daily[CodeName]=Table3[[#This Row],[Athlete Name]],IF(tbl_daily[Academic Year]=$B$6,IF(tbl_daily[SleepQuality]&lt;&gt;"",tbl_daily[SleepQuality]))))</f>
        <v>1.5384615384615385</v>
      </c>
      <c r="R37" s="23">
        <f>IFERROR(IF($B$5="",
AVERAGEIFS(tbl_daily[Energy],tbl_daily[Date],$B$3,tbl_daily[CodeName],Table3[[#This Row],[Athlete Name]],tbl_daily[Academic Year],$B$6,tbl_daily[Ones],1),
AVERAGEIFS(tbl_daily[Energy],tbl_daily[Date],"&lt;="&amp;$B$3,tbl_daily[Date],"&gt;="&amp;$B$3-$B$5,tbl_daily[CodeName],Table3[[#This Row],[Athlete Name]],tbl_daily[Academic Year],$B$6,tbl_daily[Ones],1)),"")</f>
        <v>6</v>
      </c>
      <c r="S37" s="23">
        <f>IFERROR(AVERAGEIFS(tbl_daily[Energy],tbl_daily[CodeName],Table3[[#This Row],[Athlete Name]],tbl_daily[Academic Year],$B$6,tbl_daily[Ones],1),"")</f>
        <v>6.2307692307692308</v>
      </c>
      <c r="T37" s="23" cm="1">
        <f t="array" ref="T37">_xlfn.STDEV.P(IF(tbl_daily[CodeName]=Table3[[#This Row],[Athlete Name]],IF(tbl_daily[Academic Year]=$B$6,IF(tbl_daily[Energy]&lt;&gt;"",tbl_daily[Energy]))))</f>
        <v>0.97300851082103978</v>
      </c>
      <c r="U37" s="23">
        <f>IFERROR(IF($B$5="",
AVERAGEIFS(tbl_daily[Readiness Score],tbl_daily[Date],$B$3,tbl_daily[CodeName],Table3[[#This Row],[Athlete Name]],tbl_daily[Academic Year],$B$6,tbl_daily[Ones],1),
AVERAGEIFS(tbl_daily[Readiness Score],tbl_daily[Date],"&lt;="&amp;$B$3,tbl_daily[Date],"&gt;="&amp;$B$3-$B$5,tbl_daily[CodeName],Table3[[#This Row],[Athlete Name]],tbl_daily[Academic Year],$B$6,tbl_daily[Ones],1)),"")</f>
        <v>17</v>
      </c>
      <c r="V37" s="23">
        <f>IFERROR(AVERAGEIFS(tbl_daily[Readiness Score],tbl_daily[CodeName],Table3[[#This Row],[Athlete Name]],tbl_daily[Academic Year],$B$6,tbl_daily[Ones],1),"")</f>
        <v>18.615384615384617</v>
      </c>
      <c r="W37" s="23" cm="1">
        <f t="array" ref="W37">_xlfn.STDEV.P(IF(tbl_daily[CodeName]=Table3[[#This Row],[Athlete Name]],IF(tbl_daily[Academic Year]=$B$6,IF(tbl_daily[Readiness Score]&lt;&gt;"",tbl_daily[Readiness Score]))))</f>
        <v>2.434952583283756</v>
      </c>
      <c r="X37" s="23">
        <f>IFERROR(IF($B$5="",
AVERAGEIFS(tbl_daily[LatestRPE],tbl_daily[Date],$B$3,tbl_daily[CodeName],Table3[[#This Row],[Athlete Name]],tbl_daily[Academic Year],$B$6,tbl_daily[Ones],1),
AVERAGEIFS(tbl_daily[LatestRPE],tbl_daily[Date],"&lt;="&amp;$B$3,tbl_daily[Date],"&gt;="&amp;$B$3-$B$5,tbl_daily[CodeName],Table3[[#This Row],[Athlete Name]],tbl_daily[Academic Year],$B$6,tbl_daily[Ones],1)),"")</f>
        <v>9</v>
      </c>
      <c r="Y37" s="23">
        <f>IFERROR(AVERAGEIFS(tbl_daily[LatestRPE],tbl_daily[CodeName],Table3[[#This Row],[Athlete Name]],tbl_daily[Academic Year],$B$6,tbl_daily[Ones],1),"")</f>
        <v>6.5384615384615383</v>
      </c>
      <c r="Z37" s="23" cm="1">
        <f t="array" ref="Z37">_xlfn.STDEV.P(IF(tbl_daily[CodeName]=Table3[[#This Row],[Athlete Name]],IF(tbl_daily[Academic Year]=$B$6,IF(tbl_daily[LatestRPE]&lt;&gt;"",tbl_daily[LatestRPE]))))</f>
        <v>3.895073508052973</v>
      </c>
      <c r="AA37" s="23">
        <f>IFERROR(IF($B$5="",
AVERAGEIFS(tbl_daily[LatestDuration],tbl_daily[Date],$B$3,tbl_daily[CodeName],Table3[[#This Row],[Athlete Name]],tbl_daily[Academic Year],$B$6,tbl_daily[Ones],1),
AVERAGEIFS(tbl_daily[LatestDuration],tbl_daily[Date],"&lt;="&amp;$B$3,tbl_daily[Date],"&gt;="&amp;$B$3-$B$5,tbl_daily[CodeName],Table3[[#This Row],[Athlete Name]],tbl_daily[Academic Year],$B$6,tbl_daily[Ones],1)),"")</f>
        <v>90</v>
      </c>
      <c r="AB37" s="23">
        <f>IFERROR(AVERAGEIFS(tbl_daily[LatestDuration],tbl_daily[CodeName],Table3[[#This Row],[Athlete Name]],tbl_daily[Academic Year],$B$6,tbl_daily[Ones],1),"")</f>
        <v>73.84615384615384</v>
      </c>
      <c r="AC37" s="23" cm="1">
        <f t="array" ref="AC37">_xlfn.STDEV.P(IF(tbl_daily[CodeName]=Table3[[#This Row],[Athlete Name]],IF(tbl_daily[Academic Year]=$B$6,IF(tbl_daily[LatestDuration]&lt;&gt;"",tbl_daily[LatestDuration]))))</f>
        <v>47.964483901907371</v>
      </c>
      <c r="AD37" s="23">
        <f>IFERROR(IF($B$5="",
AVERAGEIFS(tbl_daily[sRPE],tbl_daily[Date],$B$3,tbl_daily[CodeName],Table3[[#This Row],[Athlete Name]],tbl_daily[Academic Year],$B$6,tbl_daily[Ones],1),
AVERAGEIFS(tbl_daily[sRPE],tbl_daily[Date],"&lt;="&amp;$B$3,tbl_daily[Date],"&gt;="&amp;$B$3-$B$5,tbl_daily[CodeName],Table3[[#This Row],[Athlete Name]],tbl_daily[Academic Year],$B$6,tbl_daily[Ones],1)),"")</f>
        <v>840</v>
      </c>
      <c r="AE37" s="23">
        <f>IFERROR(AVERAGEIFS(tbl_daily[sRPE],tbl_daily[CodeName],Table3[[#This Row],[Athlete Name]],tbl_daily[Academic Year],$B$6,tbl_daily[Ones],1),"")</f>
        <v>646.15384615384619</v>
      </c>
      <c r="AF37" s="23" cm="1">
        <f t="array" ref="AF37">_xlfn.STDEV.P(IF(tbl_daily[CodeName]=Table3[[#This Row],[Athlete Name]],IF(tbl_daily[Academic Year]=$B$6,IF(tbl_daily[sRPE]&lt;&gt;"",tbl_daily[sRPE]))))</f>
        <v>462.46061722616673</v>
      </c>
      <c r="AG37" s="23">
        <f>IFERROR(IF($B$5="",
AVERAGEIFS(tbl_daily[Grades],tbl_daily[Date],$B$3,tbl_daily[CodeName],Table3[[#This Row],[Athlete Name]],tbl_daily[Academic Year],$B$6,tbl_daily[Ones],1),
AVERAGEIFS(tbl_daily[Grades],tbl_daily[Date],"&lt;="&amp;$B$3,tbl_daily[Date],"&gt;="&amp;$B$3-$B$5,tbl_daily[CodeName],Table3[[#This Row],[Athlete Name]],tbl_daily[Academic Year],$B$6,tbl_daily[Ones],1)),"")</f>
        <v>90</v>
      </c>
      <c r="AH37" s="11">
        <f>IFERROR(AVERAGEIFS(tbl_daily[Grades],tbl_daily[CodeName],Table3[[#This Row],[Athlete Name]],tbl_daily[Academic Year],$B$6,tbl_daily[Ones],1),"")</f>
        <v>85.25</v>
      </c>
      <c r="AI37" s="11" cm="1">
        <f t="array" ref="AI37">_xlfn.STDEV.P(IF(tbl_daily[CodeName]=Table3[[#This Row],[Athlete Name]],IF(tbl_daily[Academic Year]=$B$6,IF(tbl_daily[Grades]&lt;&gt;"",tbl_daily[Grades]))))</f>
        <v>3.9607448794387148</v>
      </c>
    </row>
    <row r="38" spans="1:35" x14ac:dyDescent="0.25">
      <c r="A38" s="77" t="s">
        <v>430</v>
      </c>
      <c r="B38" s="83" t="str">
        <f>INDEX(tbl_prof[Cohort of Interest],MATCH(Table3[[#This Row],[Athlete Name]],tbl_prof[CodeName],0))</f>
        <v>Gen Pop</v>
      </c>
      <c r="C38" s="76">
        <f>IFERROR(IF($B$5="",
AVERAGEIFS(tbl_daily[Attendance Refined],tbl_daily[Date],$B$3,tbl_daily[CodeName],Table3[[#This Row],[Athlete Name]],tbl_daily[Academic Year],$B$6,tbl_daily[Ones],1),
AVERAGEIFS(tbl_daily[Attendance Refined],tbl_daily[Date],"&lt;="&amp;$B$3,tbl_daily[Date],"&gt;="&amp;$B$3-$B$5,tbl_daily[CodeName],Table3[[#This Row],[Athlete Name]],tbl_daily[Academic Year],$B$6,tbl_daily[Ones],1)),"")</f>
        <v>2</v>
      </c>
      <c r="D38" s="76">
        <f>IFERROR(AVERAGEIFS(tbl_daily[Attendance Refined],tbl_daily[CodeName],Table3[[#This Row],[Athlete Name]],tbl_daily[Academic Year],$B$6,tbl_daily[Ones],1),"")</f>
        <v>1.3076923076923077</v>
      </c>
      <c r="E38" s="76" cm="1">
        <f t="array" ref="E38">_xlfn.STDEV.P(IF(tbl_daily[CodeName]=Table3[[#This Row],[Athlete Name]],IF(tbl_daily[Academic Year]=$B$6,tbl_daily[Attendance Refined])))</f>
        <v>0.72160242458821988</v>
      </c>
      <c r="F38" s="76">
        <f>IFERROR(IF($B$5="",
AVERAGEIFS(tbl_daily[Injury Refined],tbl_daily[Date],$B$3,tbl_daily[CodeName],Table3[[#This Row],[Athlete Name]],tbl_daily[Academic Year],$B$6,tbl_daily[Ones],1),
AVERAGEIFS(tbl_daily[Injury Refined],tbl_daily[Date],"&lt;="&amp;$B$3,tbl_daily[Date],"&gt;="&amp;$B$3-$B$5,tbl_daily[CodeName],Table3[[#This Row],[Athlete Name]],tbl_daily[Academic Year],$B$6,tbl_daily[Ones],1)),"")</f>
        <v>1</v>
      </c>
      <c r="G38" s="76">
        <f>IFERROR(AVERAGEIFS(tbl_daily[Injury Refined],tbl_daily[CodeName],Table3[[#This Row],[Athlete Name]],tbl_daily[Academic Year],$B$6,tbl_daily[Ones],1),"")</f>
        <v>1</v>
      </c>
      <c r="H38" s="76" cm="1">
        <f t="array" ref="H38">_xlfn.STDEV.P(IF(tbl_daily[CodeName]=Table3[[#This Row],[Athlete Name]],IF(tbl_daily[Academic Year]=$B$6,tbl_daily[Injury Refined])))</f>
        <v>0</v>
      </c>
      <c r="I38" s="76">
        <f>IFERROR(IF($B$5="",
AVERAGEIFS(tbl_daily[Exercise24Hr],tbl_daily[Date],$B$3,tbl_daily[CodeName],Table3[[#This Row],[Athlete Name]],tbl_daily[Academic Year],$B$6,tbl_daily[Ones],1),
AVERAGEIFS(tbl_daily[Exercise24Hr],tbl_daily[Date],"&lt;="&amp;$B$3,tbl_daily[Date],"&gt;="&amp;$B$3-$B$5,tbl_daily[CodeName],Table3[[#This Row],[Athlete Name]],tbl_daily[Academic Year],$B$6,tbl_daily[Ones],1)),"")</f>
        <v>1</v>
      </c>
      <c r="J38" s="11">
        <f>IFERROR(AVERAGEIFS(tbl_daily[Exercise24Hr],tbl_daily[CodeName],Table3[[#This Row],[Athlete Name]],tbl_daily[Academic Year],$B$6,tbl_daily[Ones],1),"")</f>
        <v>0.54545454545454541</v>
      </c>
      <c r="K38" s="11" cm="1">
        <f t="array" ref="K38">_xlfn.STDEV.P(IF(tbl_daily[CodeName]=Table3[[#This Row],[Athlete Name]],IF(tbl_daily[Academic Year]=$B$6,tbl_daily[Exercise24Hr])))</f>
        <v>0.49851851526214308</v>
      </c>
      <c r="L38" s="23">
        <f>IFERROR(IF($B$5="",
AVERAGEIFS(tbl_daily[Stress],tbl_daily[Date],$B$3,tbl_daily[CodeName],Table3[[#This Row],[Athlete Name]],tbl_daily[Academic Year],$B$6,tbl_daily[Ones],1),
AVERAGEIFS(tbl_daily[Stress],tbl_daily[Date],"&lt;="&amp;$B$3,tbl_daily[Date],"&gt;="&amp;$B$3-$B$5,tbl_daily[CodeName],Table3[[#This Row],[Athlete Name]],tbl_daily[Academic Year],$B$6,tbl_daily[Ones],1)),"")</f>
        <v>8</v>
      </c>
      <c r="M38" s="23">
        <f>IFERROR(AVERAGEIFS(tbl_daily[Stress],tbl_daily[CodeName],Table3[[#This Row],[Athlete Name]],tbl_daily[Academic Year],$B$6,tbl_daily[Ones],1),"")</f>
        <v>5.4545454545454541</v>
      </c>
      <c r="N38" s="23" cm="1">
        <f t="array" ref="N38">_xlfn.STDEV.P(IF(tbl_daily[CodeName]=Table3[[#This Row],[Athlete Name]],IF(tbl_daily[Academic Year]=$B$6,IF(tbl_daily[Stress]&lt;&gt;"",tbl_daily[Stress]))))</f>
        <v>1.8763424945954812</v>
      </c>
      <c r="O38" s="23">
        <f>IFERROR(IF($B$5="",
AVERAGEIFS(tbl_daily[SleepQuality],tbl_daily[Date],$B$3,tbl_daily[CodeName],Table3[[#This Row],[Athlete Name]],tbl_daily[Academic Year],$B$6,tbl_daily[Ones],1),
AVERAGEIFS(tbl_daily[SleepQuality],tbl_daily[Date],"&lt;="&amp;$B$3,tbl_daily[Date],"&gt;="&amp;$B$3-$B$5,tbl_daily[CodeName],Table3[[#This Row],[Athlete Name]],tbl_daily[Academic Year],$B$6,tbl_daily[Ones],1)),"")</f>
        <v>7</v>
      </c>
      <c r="P38" s="23">
        <f>IFERROR(AVERAGEIFS(tbl_daily[SleepQuality],tbl_daily[CodeName],Table3[[#This Row],[Athlete Name]],tbl_daily[Academic Year],$B$6,tbl_daily[Ones],1),"")</f>
        <v>6.5454545454545459</v>
      </c>
      <c r="Q38" s="23" cm="1">
        <f t="array" ref="Q38">_xlfn.STDEV.P(IF(tbl_daily[CodeName]=Table3[[#This Row],[Athlete Name]],IF(tbl_daily[Academic Year]=$B$6,IF(tbl_daily[SleepQuality]&lt;&gt;"",tbl_daily[SleepQuality]))))</f>
        <v>1.3047909176733932</v>
      </c>
      <c r="R38" s="23">
        <f>IFERROR(IF($B$5="",
AVERAGEIFS(tbl_daily[Energy],tbl_daily[Date],$B$3,tbl_daily[CodeName],Table3[[#This Row],[Athlete Name]],tbl_daily[Academic Year],$B$6,tbl_daily[Ones],1),
AVERAGEIFS(tbl_daily[Energy],tbl_daily[Date],"&lt;="&amp;$B$3,tbl_daily[Date],"&gt;="&amp;$B$3-$B$5,tbl_daily[CodeName],Table3[[#This Row],[Athlete Name]],tbl_daily[Academic Year],$B$6,tbl_daily[Ones],1)),"")</f>
        <v>6</v>
      </c>
      <c r="S38" s="23">
        <f>IFERROR(AVERAGEIFS(tbl_daily[Energy],tbl_daily[CodeName],Table3[[#This Row],[Athlete Name]],tbl_daily[Academic Year],$B$6,tbl_daily[Ones],1),"")</f>
        <v>5.0909090909090908</v>
      </c>
      <c r="T38" s="23" cm="1">
        <f t="array" ref="T38">_xlfn.STDEV.P(IF(tbl_daily[CodeName]=Table3[[#This Row],[Athlete Name]],IF(tbl_daily[Academic Year]=$B$6,IF(tbl_daily[Energy]&lt;&gt;"",tbl_daily[Energy]))))</f>
        <v>1.504813214295168</v>
      </c>
      <c r="U38" s="23">
        <f>IFERROR(IF($B$5="",
AVERAGEIFS(tbl_daily[Readiness Score],tbl_daily[Date],$B$3,tbl_daily[CodeName],Table3[[#This Row],[Athlete Name]],tbl_daily[Academic Year],$B$6,tbl_daily[Ones],1),
AVERAGEIFS(tbl_daily[Readiness Score],tbl_daily[Date],"&lt;="&amp;$B$3,tbl_daily[Date],"&gt;="&amp;$B$3-$B$5,tbl_daily[CodeName],Table3[[#This Row],[Athlete Name]],tbl_daily[Academic Year],$B$6,tbl_daily[Ones],1)),"")</f>
        <v>21</v>
      </c>
      <c r="V38" s="23">
        <f>IFERROR(AVERAGEIFS(tbl_daily[Readiness Score],tbl_daily[CodeName],Table3[[#This Row],[Athlete Name]],tbl_daily[Academic Year],$B$6,tbl_daily[Ones],1),"")</f>
        <v>17.09090909090909</v>
      </c>
      <c r="W38" s="23" cm="1">
        <f t="array" ref="W38">_xlfn.STDEV.P(IF(tbl_daily[CodeName]=Table3[[#This Row],[Athlete Name]],IF(tbl_daily[Academic Year]=$B$6,IF(tbl_daily[Readiness Score]&lt;&gt;"",tbl_daily[Readiness Score]))))</f>
        <v>2.3531234737354154</v>
      </c>
      <c r="X38" s="23">
        <f>IFERROR(IF($B$5="",
AVERAGEIFS(tbl_daily[LatestRPE],tbl_daily[Date],$B$3,tbl_daily[CodeName],Table3[[#This Row],[Athlete Name]],tbl_daily[Academic Year],$B$6,tbl_daily[Ones],1),
AVERAGEIFS(tbl_daily[LatestRPE],tbl_daily[Date],"&lt;="&amp;$B$3,tbl_daily[Date],"&gt;="&amp;$B$3-$B$5,tbl_daily[CodeName],Table3[[#This Row],[Athlete Name]],tbl_daily[Academic Year],$B$6,tbl_daily[Ones],1)),"")</f>
        <v>6</v>
      </c>
      <c r="Y38" s="23">
        <f>IFERROR(AVERAGEIFS(tbl_daily[LatestRPE],tbl_daily[CodeName],Table3[[#This Row],[Athlete Name]],tbl_daily[Academic Year],$B$6,tbl_daily[Ones],1),"")</f>
        <v>3.1818181818181817</v>
      </c>
      <c r="Z38" s="23" cm="1">
        <f t="array" ref="Z38">_xlfn.STDEV.P(IF(tbl_daily[CodeName]=Table3[[#This Row],[Athlete Name]],IF(tbl_daily[Academic Year]=$B$6,IF(tbl_daily[LatestRPE]&lt;&gt;"",tbl_daily[LatestRPE]))))</f>
        <v>2.9485954073139737</v>
      </c>
      <c r="AA38" s="23">
        <f>IFERROR(IF($B$5="",
AVERAGEIFS(tbl_daily[LatestDuration],tbl_daily[Date],$B$3,tbl_daily[CodeName],Table3[[#This Row],[Athlete Name]],tbl_daily[Academic Year],$B$6,tbl_daily[Ones],1),
AVERAGEIFS(tbl_daily[LatestDuration],tbl_daily[Date],"&lt;="&amp;$B$3,tbl_daily[Date],"&gt;="&amp;$B$3-$B$5,tbl_daily[CodeName],Table3[[#This Row],[Athlete Name]],tbl_daily[Academic Year],$B$6,tbl_daily[Ones],1)),"")</f>
        <v>120</v>
      </c>
      <c r="AB38" s="23">
        <f>IFERROR(AVERAGEIFS(tbl_daily[LatestDuration],tbl_daily[CodeName],Table3[[#This Row],[Athlete Name]],tbl_daily[Academic Year],$B$6,tbl_daily[Ones],1),"")</f>
        <v>34.090909090909093</v>
      </c>
      <c r="AC38" s="23" cm="1">
        <f t="array" ref="AC38">_xlfn.STDEV.P(IF(tbl_daily[CodeName]=Table3[[#This Row],[Athlete Name]],IF(tbl_daily[Academic Year]=$B$6,IF(tbl_daily[LatestDuration]&lt;&gt;"",tbl_daily[LatestDuration]))))</f>
        <v>37.344719829897691</v>
      </c>
      <c r="AD38" s="23">
        <f>IFERROR(IF($B$5="",
AVERAGEIFS(tbl_daily[sRPE],tbl_daily[Date],$B$3,tbl_daily[CodeName],Table3[[#This Row],[Athlete Name]],tbl_daily[Academic Year],$B$6,tbl_daily[Ones],1),
AVERAGEIFS(tbl_daily[sRPE],tbl_daily[Date],"&lt;="&amp;$B$3,tbl_daily[Date],"&gt;="&amp;$B$3-$B$5,tbl_daily[CodeName],Table3[[#This Row],[Athlete Name]],tbl_daily[Academic Year],$B$6,tbl_daily[Ones],1)),"")</f>
        <v>720</v>
      </c>
      <c r="AE38" s="23">
        <f>IFERROR(AVERAGEIFS(tbl_daily[sRPE],tbl_daily[CodeName],Table3[[#This Row],[Athlete Name]],tbl_daily[Academic Year],$B$6,tbl_daily[Ones],1),"")</f>
        <v>200.45454545454547</v>
      </c>
      <c r="AF38" s="23" cm="1">
        <f t="array" ref="AF38">_xlfn.STDEV.P(IF(tbl_daily[CodeName]=Table3[[#This Row],[Athlete Name]],IF(tbl_daily[Academic Year]=$B$6,IF(tbl_daily[sRPE]&lt;&gt;"",tbl_daily[sRPE]))))</f>
        <v>223.06190075906719</v>
      </c>
      <c r="AG38" s="23">
        <f>IFERROR(IF($B$5="",
AVERAGEIFS(tbl_daily[Grades],tbl_daily[Date],$B$3,tbl_daily[CodeName],Table3[[#This Row],[Athlete Name]],tbl_daily[Academic Year],$B$6,tbl_daily[Ones],1),
AVERAGEIFS(tbl_daily[Grades],tbl_daily[Date],"&lt;="&amp;$B$3,tbl_daily[Date],"&gt;="&amp;$B$3-$B$5,tbl_daily[CodeName],Table3[[#This Row],[Athlete Name]],tbl_daily[Academic Year],$B$6,tbl_daily[Ones],1)),"")</f>
        <v>81</v>
      </c>
      <c r="AH38" s="11">
        <f>IFERROR(AVERAGEIFS(tbl_daily[Grades],tbl_daily[CodeName],Table3[[#This Row],[Athlete Name]],tbl_daily[Academic Year],$B$6,tbl_daily[Ones],1),"")</f>
        <v>84.75</v>
      </c>
      <c r="AI38" s="11" cm="1">
        <f t="array" ref="AI38">_xlfn.STDEV.P(IF(tbl_daily[CodeName]=Table3[[#This Row],[Athlete Name]],IF(tbl_daily[Academic Year]=$B$6,IF(tbl_daily[Grades]&lt;&gt;"",tbl_daily[Grades]))))</f>
        <v>8.4372685153431028</v>
      </c>
    </row>
    <row r="39" spans="1:35" x14ac:dyDescent="0.25">
      <c r="A39" s="78" t="s">
        <v>435</v>
      </c>
      <c r="B39" s="84" t="str">
        <f>INDEX(tbl_prof[Cohort of Interest],MATCH(Table3[[#This Row],[Athlete Name]],tbl_prof[CodeName],0))</f>
        <v>Athletes</v>
      </c>
      <c r="C39" s="76">
        <f>IFERROR(IF($B$5="",
AVERAGEIFS(tbl_daily[Attendance Refined],tbl_daily[Date],$B$3,tbl_daily[CodeName],Table3[[#This Row],[Athlete Name]],tbl_daily[Academic Year],$B$6,tbl_daily[Ones],1),
AVERAGEIFS(tbl_daily[Attendance Refined],tbl_daily[Date],"&lt;="&amp;$B$3,tbl_daily[Date],"&gt;="&amp;$B$3-$B$5,tbl_daily[CodeName],Table3[[#This Row],[Athlete Name]],tbl_daily[Academic Year],$B$6,tbl_daily[Ones],1)),"")</f>
        <v>1</v>
      </c>
      <c r="D39" s="76">
        <f>IFERROR(AVERAGEIFS(tbl_daily[Attendance Refined],tbl_daily[CodeName],Table3[[#This Row],[Athlete Name]],tbl_daily[Academic Year],$B$6,tbl_daily[Ones],1),"")</f>
        <v>1</v>
      </c>
      <c r="E39" s="76" cm="1">
        <f t="array" ref="E39">_xlfn.STDEV.P(IF(tbl_daily[CodeName]=Table3[[#This Row],[Athlete Name]],IF(tbl_daily[Academic Year]=$B$6,tbl_daily[Attendance Refined])))</f>
        <v>0</v>
      </c>
      <c r="F39" s="76">
        <f>IFERROR(IF($B$5="",
AVERAGEIFS(tbl_daily[Injury Refined],tbl_daily[Date],$B$3,tbl_daily[CodeName],Table3[[#This Row],[Athlete Name]],tbl_daily[Academic Year],$B$6,tbl_daily[Ones],1),
AVERAGEIFS(tbl_daily[Injury Refined],tbl_daily[Date],"&lt;="&amp;$B$3,tbl_daily[Date],"&gt;="&amp;$B$3-$B$5,tbl_daily[CodeName],Table3[[#This Row],[Athlete Name]],tbl_daily[Academic Year],$B$6,tbl_daily[Ones],1)),"")</f>
        <v>1</v>
      </c>
      <c r="G39" s="76">
        <f>IFERROR(AVERAGEIFS(tbl_daily[Injury Refined],tbl_daily[CodeName],Table3[[#This Row],[Athlete Name]],tbl_daily[Academic Year],$B$6,tbl_daily[Ones],1),"")</f>
        <v>1</v>
      </c>
      <c r="H39" s="76" cm="1">
        <f t="array" ref="H39">_xlfn.STDEV.P(IF(tbl_daily[CodeName]=Table3[[#This Row],[Athlete Name]],IF(tbl_daily[Academic Year]=$B$6,tbl_daily[Injury Refined])))</f>
        <v>0</v>
      </c>
      <c r="I39" s="76">
        <f>IFERROR(IF($B$5="",
AVERAGEIFS(tbl_daily[Exercise24Hr],tbl_daily[Date],$B$3,tbl_daily[CodeName],Table3[[#This Row],[Athlete Name]],tbl_daily[Academic Year],$B$6,tbl_daily[Ones],1),
AVERAGEIFS(tbl_daily[Exercise24Hr],tbl_daily[Date],"&lt;="&amp;$B$3,tbl_daily[Date],"&gt;="&amp;$B$3-$B$5,tbl_daily[CodeName],Table3[[#This Row],[Athlete Name]],tbl_daily[Academic Year],$B$6,tbl_daily[Ones],1)),"")</f>
        <v>1</v>
      </c>
      <c r="J39" s="11">
        <f>IFERROR(AVERAGEIFS(tbl_daily[Exercise24Hr],tbl_daily[CodeName],Table3[[#This Row],[Athlete Name]],tbl_daily[Academic Year],$B$6,tbl_daily[Ones],1),"")</f>
        <v>0.69230769230769229</v>
      </c>
      <c r="K39" s="11" cm="1">
        <f t="array" ref="K39">_xlfn.STDEV.P(IF(tbl_daily[CodeName]=Table3[[#This Row],[Athlete Name]],IF(tbl_daily[Academic Year]=$B$6,tbl_daily[Exercise24Hr])))</f>
        <v>0.46153846153846156</v>
      </c>
      <c r="L39" s="23">
        <f>IFERROR(IF($B$5="",
AVERAGEIFS(tbl_daily[Stress],tbl_daily[Date],$B$3,tbl_daily[CodeName],Table3[[#This Row],[Athlete Name]],tbl_daily[Academic Year],$B$6,tbl_daily[Ones],1),
AVERAGEIFS(tbl_daily[Stress],tbl_daily[Date],"&lt;="&amp;$B$3,tbl_daily[Date],"&gt;="&amp;$B$3-$B$5,tbl_daily[CodeName],Table3[[#This Row],[Athlete Name]],tbl_daily[Academic Year],$B$6,tbl_daily[Ones],1)),"")</f>
        <v>7</v>
      </c>
      <c r="M39" s="23">
        <f>IFERROR(AVERAGEIFS(tbl_daily[Stress],tbl_daily[CodeName],Table3[[#This Row],[Athlete Name]],tbl_daily[Academic Year],$B$6,tbl_daily[Ones],1),"")</f>
        <v>7.2307692307692308</v>
      </c>
      <c r="N39" s="23" cm="1">
        <f t="array" ref="N39">_xlfn.STDEV.P(IF(tbl_daily[CodeName]=Table3[[#This Row],[Athlete Name]],IF(tbl_daily[Academic Year]=$B$6,IF(tbl_daily[Stress]&lt;&gt;"",tbl_daily[Stress]))))</f>
        <v>1.309952797378954</v>
      </c>
      <c r="O39" s="23">
        <f>IFERROR(IF($B$5="",
AVERAGEIFS(tbl_daily[SleepQuality],tbl_daily[Date],$B$3,tbl_daily[CodeName],Table3[[#This Row],[Athlete Name]],tbl_daily[Academic Year],$B$6,tbl_daily[Ones],1),
AVERAGEIFS(tbl_daily[SleepQuality],tbl_daily[Date],"&lt;="&amp;$B$3,tbl_daily[Date],"&gt;="&amp;$B$3-$B$5,tbl_daily[CodeName],Table3[[#This Row],[Athlete Name]],tbl_daily[Academic Year],$B$6,tbl_daily[Ones],1)),"")</f>
        <v>7.5</v>
      </c>
      <c r="P39" s="23">
        <f>IFERROR(AVERAGEIFS(tbl_daily[SleepQuality],tbl_daily[CodeName],Table3[[#This Row],[Athlete Name]],tbl_daily[Academic Year],$B$6,tbl_daily[Ones],1),"")</f>
        <v>5.9230769230769234</v>
      </c>
      <c r="Q39" s="23" cm="1">
        <f t="array" ref="Q39">_xlfn.STDEV.P(IF(tbl_daily[CodeName]=Table3[[#This Row],[Athlete Name]],IF(tbl_daily[Academic Year]=$B$6,IF(tbl_daily[SleepQuality]&lt;&gt;"",tbl_daily[SleepQuality]))))</f>
        <v>1.8589301497837802</v>
      </c>
      <c r="R39" s="23">
        <f>IFERROR(IF($B$5="",
AVERAGEIFS(tbl_daily[Energy],tbl_daily[Date],$B$3,tbl_daily[CodeName],Table3[[#This Row],[Athlete Name]],tbl_daily[Academic Year],$B$6,tbl_daily[Ones],1),
AVERAGEIFS(tbl_daily[Energy],tbl_daily[Date],"&lt;="&amp;$B$3,tbl_daily[Date],"&gt;="&amp;$B$3-$B$5,tbl_daily[CodeName],Table3[[#This Row],[Athlete Name]],tbl_daily[Academic Year],$B$6,tbl_daily[Ones],1)),"")</f>
        <v>6.5</v>
      </c>
      <c r="S39" s="23">
        <f>IFERROR(AVERAGEIFS(tbl_daily[Energy],tbl_daily[CodeName],Table3[[#This Row],[Athlete Name]],tbl_daily[Academic Year],$B$6,tbl_daily[Ones],1),"")</f>
        <v>6.384615384615385</v>
      </c>
      <c r="T39" s="23" cm="1">
        <f t="array" ref="T39">_xlfn.STDEV.P(IF(tbl_daily[CodeName]=Table3[[#This Row],[Athlete Name]],IF(tbl_daily[Academic Year]=$B$6,IF(tbl_daily[Energy]&lt;&gt;"",tbl_daily[Energy]))))</f>
        <v>1.2113858267710478</v>
      </c>
      <c r="U39" s="23">
        <f>IFERROR(IF($B$5="",
AVERAGEIFS(tbl_daily[Readiness Score],tbl_daily[Date],$B$3,tbl_daily[CodeName],Table3[[#This Row],[Athlete Name]],tbl_daily[Academic Year],$B$6,tbl_daily[Ones],1),
AVERAGEIFS(tbl_daily[Readiness Score],tbl_daily[Date],"&lt;="&amp;$B$3,tbl_daily[Date],"&gt;="&amp;$B$3-$B$5,tbl_daily[CodeName],Table3[[#This Row],[Athlete Name]],tbl_daily[Academic Year],$B$6,tbl_daily[Ones],1)),"")</f>
        <v>21</v>
      </c>
      <c r="V39" s="23">
        <f>IFERROR(AVERAGEIFS(tbl_daily[Readiness Score],tbl_daily[CodeName],Table3[[#This Row],[Athlete Name]],tbl_daily[Academic Year],$B$6,tbl_daily[Ones],1),"")</f>
        <v>19.53846153846154</v>
      </c>
      <c r="W39" s="23" cm="1">
        <f t="array" ref="W39">_xlfn.STDEV.P(IF(tbl_daily[CodeName]=Table3[[#This Row],[Athlete Name]],IF(tbl_daily[Academic Year]=$B$6,IF(tbl_daily[Readiness Score]&lt;&gt;"",tbl_daily[Readiness Score]))))</f>
        <v>2.5302898774459273</v>
      </c>
      <c r="X39" s="23">
        <f>IFERROR(IF($B$5="",
AVERAGEIFS(tbl_daily[LatestRPE],tbl_daily[Date],$B$3,tbl_daily[CodeName],Table3[[#This Row],[Athlete Name]],tbl_daily[Academic Year],$B$6,tbl_daily[Ones],1),
AVERAGEIFS(tbl_daily[LatestRPE],tbl_daily[Date],"&lt;="&amp;$B$3,tbl_daily[Date],"&gt;="&amp;$B$3-$B$5,tbl_daily[CodeName],Table3[[#This Row],[Athlete Name]],tbl_daily[Academic Year],$B$6,tbl_daily[Ones],1)),"")</f>
        <v>8.5</v>
      </c>
      <c r="Y39" s="23">
        <f>IFERROR(AVERAGEIFS(tbl_daily[LatestRPE],tbl_daily[CodeName],Table3[[#This Row],[Athlete Name]],tbl_daily[Academic Year],$B$6,tbl_daily[Ones],1),"")</f>
        <v>5.2307692307692308</v>
      </c>
      <c r="Z39" s="23" cm="1">
        <f t="array" ref="Z39">_xlfn.STDEV.P(IF(tbl_daily[CodeName]=Table3[[#This Row],[Athlete Name]],IF(tbl_daily[Academic Year]=$B$6,IF(tbl_daily[LatestRPE]&lt;&gt;"",tbl_daily[LatestRPE]))))</f>
        <v>3.8461538461538463</v>
      </c>
      <c r="AA39" s="23">
        <f>IFERROR(IF($B$5="",
AVERAGEIFS(tbl_daily[LatestDuration],tbl_daily[Date],$B$3,tbl_daily[CodeName],Table3[[#This Row],[Athlete Name]],tbl_daily[Academic Year],$B$6,tbl_daily[Ones],1),
AVERAGEIFS(tbl_daily[LatestDuration],tbl_daily[Date],"&lt;="&amp;$B$3,tbl_daily[Date],"&gt;="&amp;$B$3-$B$5,tbl_daily[CodeName],Table3[[#This Row],[Athlete Name]],tbl_daily[Academic Year],$B$6,tbl_daily[Ones],1)),"")</f>
        <v>90</v>
      </c>
      <c r="AB39" s="23">
        <f>IFERROR(AVERAGEIFS(tbl_daily[LatestDuration],tbl_daily[CodeName],Table3[[#This Row],[Athlete Name]],tbl_daily[Academic Year],$B$6,tbl_daily[Ones],1),"")</f>
        <v>57.692307692307693</v>
      </c>
      <c r="AC39" s="23" cm="1">
        <f t="array" ref="AC39">_xlfn.STDEV.P(IF(tbl_daily[CodeName]=Table3[[#This Row],[Athlete Name]],IF(tbl_daily[Academic Year]=$B$6,IF(tbl_daily[LatestDuration]&lt;&gt;"",tbl_daily[LatestDuration]))))</f>
        <v>47.741909689793545</v>
      </c>
      <c r="AD39" s="23">
        <f>IFERROR(IF($B$5="",
AVERAGEIFS(tbl_daily[sRPE],tbl_daily[Date],$B$3,tbl_daily[CodeName],Table3[[#This Row],[Athlete Name]],tbl_daily[Academic Year],$B$6,tbl_daily[Ones],1),
AVERAGEIFS(tbl_daily[sRPE],tbl_daily[Date],"&lt;="&amp;$B$3,tbl_daily[Date],"&gt;="&amp;$B$3-$B$5,tbl_daily[CodeName],Table3[[#This Row],[Athlete Name]],tbl_daily[Academic Year],$B$6,tbl_daily[Ones],1)),"")</f>
        <v>810</v>
      </c>
      <c r="AE39" s="23">
        <f>IFERROR(AVERAGEIFS(tbl_daily[sRPE],tbl_daily[CodeName],Table3[[#This Row],[Athlete Name]],tbl_daily[Academic Year],$B$6,tbl_daily[Ones],1),"")</f>
        <v>461.53846153846155</v>
      </c>
      <c r="AF39" s="23" cm="1">
        <f t="array" ref="AF39">_xlfn.STDEV.P(IF(tbl_daily[CodeName]=Table3[[#This Row],[Athlete Name]],IF(tbl_daily[Academic Year]=$B$6,IF(tbl_daily[sRPE]&lt;&gt;"",tbl_daily[sRPE]))))</f>
        <v>444.90009516132523</v>
      </c>
      <c r="AG39" s="23">
        <f>IFERROR(IF($B$5="",
AVERAGEIFS(tbl_daily[Grades],tbl_daily[Date],$B$3,tbl_daily[CodeName],Table3[[#This Row],[Athlete Name]],tbl_daily[Academic Year],$B$6,tbl_daily[Ones],1),
AVERAGEIFS(tbl_daily[Grades],tbl_daily[Date],"&lt;="&amp;$B$3,tbl_daily[Date],"&gt;="&amp;$B$3-$B$5,tbl_daily[CodeName],Table3[[#This Row],[Athlete Name]],tbl_daily[Academic Year],$B$6,tbl_daily[Ones],1)),"")</f>
        <v>95</v>
      </c>
      <c r="AH39" s="11">
        <f>IFERROR(AVERAGEIFS(tbl_daily[Grades],tbl_daily[CodeName],Table3[[#This Row],[Athlete Name]],tbl_daily[Academic Year],$B$6,tbl_daily[Ones],1),"")</f>
        <v>87</v>
      </c>
      <c r="AI39" s="11" cm="1">
        <f t="array" ref="AI39">_xlfn.STDEV.P(IF(tbl_daily[CodeName]=Table3[[#This Row],[Athlete Name]],IF(tbl_daily[Academic Year]=$B$6,IF(tbl_daily[Grades]&lt;&gt;"",tbl_daily[Grades]))))</f>
        <v>6.324555320336759</v>
      </c>
    </row>
    <row r="40" spans="1:35" x14ac:dyDescent="0.25">
      <c r="A40" s="77" t="s">
        <v>436</v>
      </c>
      <c r="B40" s="83" t="str">
        <f>INDEX(tbl_prof[Cohort of Interest],MATCH(Table3[[#This Row],[Athlete Name]],tbl_prof[CodeName],0))</f>
        <v>Athletes</v>
      </c>
      <c r="C40" s="76">
        <f>IFERROR(IF($B$5="",
AVERAGEIFS(tbl_daily[Attendance Refined],tbl_daily[Date],$B$3,tbl_daily[CodeName],Table3[[#This Row],[Athlete Name]],tbl_daily[Academic Year],$B$6,tbl_daily[Ones],1),
AVERAGEIFS(tbl_daily[Attendance Refined],tbl_daily[Date],"&lt;="&amp;$B$3,tbl_daily[Date],"&gt;="&amp;$B$3-$B$5,tbl_daily[CodeName],Table3[[#This Row],[Athlete Name]],tbl_daily[Academic Year],$B$6,tbl_daily[Ones],1)),"")</f>
        <v>2.5</v>
      </c>
      <c r="D40" s="76">
        <f>IFERROR(AVERAGEIFS(tbl_daily[Attendance Refined],tbl_daily[CodeName],Table3[[#This Row],[Athlete Name]],tbl_daily[Academic Year],$B$6,tbl_daily[Ones],1),"")</f>
        <v>1.8333333333333333</v>
      </c>
      <c r="E40" s="76" cm="1">
        <f t="array" ref="E40">_xlfn.STDEV.P(IF(tbl_daily[CodeName]=Table3[[#This Row],[Athlete Name]],IF(tbl_daily[Academic Year]=$B$6,tbl_daily[Attendance Refined])))</f>
        <v>0.79930525388545326</v>
      </c>
      <c r="F40" s="76" t="str">
        <f>IFERROR(IF($B$5="",
AVERAGEIFS(tbl_daily[Injury Refined],tbl_daily[Date],$B$3,tbl_daily[CodeName],Table3[[#This Row],[Athlete Name]],tbl_daily[Academic Year],$B$6,tbl_daily[Ones],1),
AVERAGEIFS(tbl_daily[Injury Refined],tbl_daily[Date],"&lt;="&amp;$B$3,tbl_daily[Date],"&gt;="&amp;$B$3-$B$5,tbl_daily[CodeName],Table3[[#This Row],[Athlete Name]],tbl_daily[Academic Year],$B$6,tbl_daily[Ones],1)),"")</f>
        <v/>
      </c>
      <c r="G40" s="76">
        <f>IFERROR(AVERAGEIFS(tbl_daily[Injury Refined],tbl_daily[CodeName],Table3[[#This Row],[Athlete Name]],tbl_daily[Academic Year],$B$6,tbl_daily[Ones],1),"")</f>
        <v>1</v>
      </c>
      <c r="H40" s="76" cm="1">
        <f t="array" ref="H40">_xlfn.STDEV.P(IF(tbl_daily[CodeName]=Table3[[#This Row],[Athlete Name]],IF(tbl_daily[Academic Year]=$B$6,tbl_daily[Injury Refined])))</f>
        <v>0</v>
      </c>
      <c r="I40" s="76" t="str">
        <f>IFERROR(IF($B$5="",
AVERAGEIFS(tbl_daily[Exercise24Hr],tbl_daily[Date],$B$3,tbl_daily[CodeName],Table3[[#This Row],[Athlete Name]],tbl_daily[Academic Year],$B$6,tbl_daily[Ones],1),
AVERAGEIFS(tbl_daily[Exercise24Hr],tbl_daily[Date],"&lt;="&amp;$B$3,tbl_daily[Date],"&gt;="&amp;$B$3-$B$5,tbl_daily[CodeName],Table3[[#This Row],[Athlete Name]],tbl_daily[Academic Year],$B$6,tbl_daily[Ones],1)),"")</f>
        <v/>
      </c>
      <c r="J40" s="11">
        <f>IFERROR(AVERAGEIFS(tbl_daily[Exercise24Hr],tbl_daily[CodeName],Table3[[#This Row],[Athlete Name]],tbl_daily[Academic Year],$B$6,tbl_daily[Ones],1),"")</f>
        <v>0.6</v>
      </c>
      <c r="K40" s="11" cm="1">
        <f t="array" ref="K40">_xlfn.STDEV.P(IF(tbl_daily[CodeName]=Table3[[#This Row],[Athlete Name]],IF(tbl_daily[Academic Year]=$B$6,tbl_daily[Exercise24Hr])))</f>
        <v>0.4330127018922193</v>
      </c>
      <c r="L40" s="23" t="str">
        <f>IFERROR(IF($B$5="",
AVERAGEIFS(tbl_daily[Stress],tbl_daily[Date],$B$3,tbl_daily[CodeName],Table3[[#This Row],[Athlete Name]],tbl_daily[Academic Year],$B$6,tbl_daily[Ones],1),
AVERAGEIFS(tbl_daily[Stress],tbl_daily[Date],"&lt;="&amp;$B$3,tbl_daily[Date],"&gt;="&amp;$B$3-$B$5,tbl_daily[CodeName],Table3[[#This Row],[Athlete Name]],tbl_daily[Academic Year],$B$6,tbl_daily[Ones],1)),"")</f>
        <v/>
      </c>
      <c r="M40" s="23">
        <f>IFERROR(AVERAGEIFS(tbl_daily[Stress],tbl_daily[CodeName],Table3[[#This Row],[Athlete Name]],tbl_daily[Academic Year],$B$6,tbl_daily[Ones],1),"")</f>
        <v>7.8</v>
      </c>
      <c r="N40" s="23" cm="1">
        <f t="array" ref="N40">_xlfn.STDEV.P(IF(tbl_daily[CodeName]=Table3[[#This Row],[Athlete Name]],IF(tbl_daily[Academic Year]=$B$6,IF(tbl_daily[Stress]&lt;&gt;"",tbl_daily[Stress]))))</f>
        <v>1.1661903789690602</v>
      </c>
      <c r="O40" s="23" t="str">
        <f>IFERROR(IF($B$5="",
AVERAGEIFS(tbl_daily[SleepQuality],tbl_daily[Date],$B$3,tbl_daily[CodeName],Table3[[#This Row],[Athlete Name]],tbl_daily[Academic Year],$B$6,tbl_daily[Ones],1),
AVERAGEIFS(tbl_daily[SleepQuality],tbl_daily[Date],"&lt;="&amp;$B$3,tbl_daily[Date],"&gt;="&amp;$B$3-$B$5,tbl_daily[CodeName],Table3[[#This Row],[Athlete Name]],tbl_daily[Academic Year],$B$6,tbl_daily[Ones],1)),"")</f>
        <v/>
      </c>
      <c r="P40" s="23">
        <f>IFERROR(AVERAGEIFS(tbl_daily[SleepQuality],tbl_daily[CodeName],Table3[[#This Row],[Athlete Name]],tbl_daily[Academic Year],$B$6,tbl_daily[Ones],1),"")</f>
        <v>3</v>
      </c>
      <c r="Q40" s="23" cm="1">
        <f t="array" ref="Q40">_xlfn.STDEV.P(IF(tbl_daily[CodeName]=Table3[[#This Row],[Athlete Name]],IF(tbl_daily[Academic Year]=$B$6,IF(tbl_daily[SleepQuality]&lt;&gt;"",tbl_daily[SleepQuality]))))</f>
        <v>1.2649110640673518</v>
      </c>
      <c r="R40" s="23" t="str">
        <f>IFERROR(IF($B$5="",
AVERAGEIFS(tbl_daily[Energy],tbl_daily[Date],$B$3,tbl_daily[CodeName],Table3[[#This Row],[Athlete Name]],tbl_daily[Academic Year],$B$6,tbl_daily[Ones],1),
AVERAGEIFS(tbl_daily[Energy],tbl_daily[Date],"&lt;="&amp;$B$3,tbl_daily[Date],"&gt;="&amp;$B$3-$B$5,tbl_daily[CodeName],Table3[[#This Row],[Athlete Name]],tbl_daily[Academic Year],$B$6,tbl_daily[Ones],1)),"")</f>
        <v/>
      </c>
      <c r="S40" s="23">
        <f>IFERROR(AVERAGEIFS(tbl_daily[Energy],tbl_daily[CodeName],Table3[[#This Row],[Athlete Name]],tbl_daily[Academic Year],$B$6,tbl_daily[Ones],1),"")</f>
        <v>5.6</v>
      </c>
      <c r="T40" s="23" cm="1">
        <f t="array" ref="T40">_xlfn.STDEV.P(IF(tbl_daily[CodeName]=Table3[[#This Row],[Athlete Name]],IF(tbl_daily[Academic Year]=$B$6,IF(tbl_daily[Energy]&lt;&gt;"",tbl_daily[Energy]))))</f>
        <v>1.019803902718557</v>
      </c>
      <c r="U40" s="23" t="str">
        <f>IFERROR(IF($B$5="",
AVERAGEIFS(tbl_daily[Readiness Score],tbl_daily[Date],$B$3,tbl_daily[CodeName],Table3[[#This Row],[Athlete Name]],tbl_daily[Academic Year],$B$6,tbl_daily[Ones],1),
AVERAGEIFS(tbl_daily[Readiness Score],tbl_daily[Date],"&lt;="&amp;$B$3,tbl_daily[Date],"&gt;="&amp;$B$3-$B$5,tbl_daily[CodeName],Table3[[#This Row],[Athlete Name]],tbl_daily[Academic Year],$B$6,tbl_daily[Ones],1)),"")</f>
        <v/>
      </c>
      <c r="V40" s="23">
        <f>IFERROR(AVERAGEIFS(tbl_daily[Readiness Score],tbl_daily[CodeName],Table3[[#This Row],[Athlete Name]],tbl_daily[Academic Year],$B$6,tbl_daily[Ones],1),"")</f>
        <v>16.399999999999999</v>
      </c>
      <c r="W40" s="23" cm="1">
        <f t="array" ref="W40">_xlfn.STDEV.P(IF(tbl_daily[CodeName]=Table3[[#This Row],[Athlete Name]],IF(tbl_daily[Academic Year]=$B$6,IF(tbl_daily[Readiness Score]&lt;&gt;"",tbl_daily[Readiness Score]))))</f>
        <v>2.8705400188814649</v>
      </c>
      <c r="X40" s="23" t="str">
        <f>IFERROR(IF($B$5="",
AVERAGEIFS(tbl_daily[LatestRPE],tbl_daily[Date],$B$3,tbl_daily[CodeName],Table3[[#This Row],[Athlete Name]],tbl_daily[Academic Year],$B$6,tbl_daily[Ones],1),
AVERAGEIFS(tbl_daily[LatestRPE],tbl_daily[Date],"&lt;="&amp;$B$3,tbl_daily[Date],"&gt;="&amp;$B$3-$B$5,tbl_daily[CodeName],Table3[[#This Row],[Athlete Name]],tbl_daily[Academic Year],$B$6,tbl_daily[Ones],1)),"")</f>
        <v/>
      </c>
      <c r="Y40" s="23">
        <f>IFERROR(AVERAGEIFS(tbl_daily[LatestRPE],tbl_daily[CodeName],Table3[[#This Row],[Athlete Name]],tbl_daily[Academic Year],$B$6,tbl_daily[Ones],1),"")</f>
        <v>2.6</v>
      </c>
      <c r="Z40" s="23" cm="1">
        <f t="array" ref="Z40">_xlfn.STDEV.P(IF(tbl_daily[CodeName]=Table3[[#This Row],[Athlete Name]],IF(tbl_daily[Academic Year]=$B$6,IF(tbl_daily[LatestRPE]&lt;&gt;"",tbl_daily[LatestRPE]))))</f>
        <v>2.6532998322843198</v>
      </c>
      <c r="AA40" s="23" t="str">
        <f>IFERROR(IF($B$5="",
AVERAGEIFS(tbl_daily[LatestDuration],tbl_daily[Date],$B$3,tbl_daily[CodeName],Table3[[#This Row],[Athlete Name]],tbl_daily[Academic Year],$B$6,tbl_daily[Ones],1),
AVERAGEIFS(tbl_daily[LatestDuration],tbl_daily[Date],"&lt;="&amp;$B$3,tbl_daily[Date],"&gt;="&amp;$B$3-$B$5,tbl_daily[CodeName],Table3[[#This Row],[Athlete Name]],tbl_daily[Academic Year],$B$6,tbl_daily[Ones],1)),"")</f>
        <v/>
      </c>
      <c r="AB40" s="23">
        <f>IFERROR(AVERAGEIFS(tbl_daily[LatestDuration],tbl_daily[CodeName],Table3[[#This Row],[Athlete Name]],tbl_daily[Academic Year],$B$6,tbl_daily[Ones],1),"")</f>
        <v>29</v>
      </c>
      <c r="AC40" s="23" cm="1">
        <f t="array" ref="AC40">_xlfn.STDEV.P(IF(tbl_daily[CodeName]=Table3[[#This Row],[Athlete Name]],IF(tbl_daily[Academic Year]=$B$6,IF(tbl_daily[LatestDuration]&lt;&gt;"",tbl_daily[LatestDuration]))))</f>
        <v>23.958297101421877</v>
      </c>
      <c r="AD40" s="23" t="str">
        <f>IFERROR(IF($B$5="",
AVERAGEIFS(tbl_daily[sRPE],tbl_daily[Date],$B$3,tbl_daily[CodeName],Table3[[#This Row],[Athlete Name]],tbl_daily[Academic Year],$B$6,tbl_daily[Ones],1),
AVERAGEIFS(tbl_daily[sRPE],tbl_daily[Date],"&lt;="&amp;$B$3,tbl_daily[Date],"&gt;="&amp;$B$3-$B$5,tbl_daily[CodeName],Table3[[#This Row],[Athlete Name]],tbl_daily[Academic Year],$B$6,tbl_daily[Ones],1)),"")</f>
        <v/>
      </c>
      <c r="AE40" s="23">
        <f>IFERROR(AVERAGEIFS(tbl_daily[sRPE],tbl_daily[CodeName],Table3[[#This Row],[Athlete Name]],tbl_daily[Academic Year],$B$6,tbl_daily[Ones],1),"")</f>
        <v>121</v>
      </c>
      <c r="AF40" s="23" cm="1">
        <f t="array" ref="AF40">_xlfn.STDEV.P(IF(tbl_daily[CodeName]=Table3[[#This Row],[Athlete Name]],IF(tbl_daily[Academic Year]=$B$6,IF(tbl_daily[sRPE]&lt;&gt;"",tbl_daily[sRPE]))))</f>
        <v>118.76026271442818</v>
      </c>
      <c r="AG40" s="23">
        <f>IFERROR(IF($B$5="",
AVERAGEIFS(tbl_daily[Grades],tbl_daily[Date],$B$3,tbl_daily[CodeName],Table3[[#This Row],[Athlete Name]],tbl_daily[Academic Year],$B$6,tbl_daily[Ones],1),
AVERAGEIFS(tbl_daily[Grades],tbl_daily[Date],"&lt;="&amp;$B$3,tbl_daily[Date],"&gt;="&amp;$B$3-$B$5,tbl_daily[CodeName],Table3[[#This Row],[Athlete Name]],tbl_daily[Academic Year],$B$6,tbl_daily[Ones],1)),"")</f>
        <v>78</v>
      </c>
      <c r="AH40" s="11">
        <f>IFERROR(AVERAGEIFS(tbl_daily[Grades],tbl_daily[CodeName],Table3[[#This Row],[Athlete Name]],tbl_daily[Academic Year],$B$6,tbl_daily[Ones],1),"")</f>
        <v>84</v>
      </c>
      <c r="AI40" s="11" cm="1">
        <f t="array" ref="AI40">_xlfn.STDEV.P(IF(tbl_daily[CodeName]=Table3[[#This Row],[Athlete Name]],IF(tbl_daily[Academic Year]=$B$6,IF(tbl_daily[Grades]&lt;&gt;"",tbl_daily[Grades]))))</f>
        <v>5.7879184513951127</v>
      </c>
    </row>
    <row r="41" spans="1:35" x14ac:dyDescent="0.25">
      <c r="A41" s="78" t="s">
        <v>437</v>
      </c>
      <c r="B41" s="84" t="str">
        <f>INDEX(tbl_prof[Cohort of Interest],MATCH(Table3[[#This Row],[Athlete Name]],tbl_prof[CodeName],0))</f>
        <v>Athletes</v>
      </c>
      <c r="C41" s="76">
        <f>IFERROR(IF($B$5="",
AVERAGEIFS(tbl_daily[Attendance Refined],tbl_daily[Date],$B$3,tbl_daily[CodeName],Table3[[#This Row],[Athlete Name]],tbl_daily[Academic Year],$B$6,tbl_daily[Ones],1),
AVERAGEIFS(tbl_daily[Attendance Refined],tbl_daily[Date],"&lt;="&amp;$B$3,tbl_daily[Date],"&gt;="&amp;$B$3-$B$5,tbl_daily[CodeName],Table3[[#This Row],[Athlete Name]],tbl_daily[Academic Year],$B$6,tbl_daily[Ones],1)),"")</f>
        <v>1</v>
      </c>
      <c r="D41" s="76">
        <f>IFERROR(AVERAGEIFS(tbl_daily[Attendance Refined],tbl_daily[CodeName],Table3[[#This Row],[Athlete Name]],tbl_daily[Academic Year],$B$6,tbl_daily[Ones],1),"")</f>
        <v>1</v>
      </c>
      <c r="E41" s="76" cm="1">
        <f t="array" ref="E41">_xlfn.STDEV.P(IF(tbl_daily[CodeName]=Table3[[#This Row],[Athlete Name]],IF(tbl_daily[Academic Year]=$B$6,tbl_daily[Attendance Refined])))</f>
        <v>0</v>
      </c>
      <c r="F41" s="76">
        <f>IFERROR(IF($B$5="",
AVERAGEIFS(tbl_daily[Injury Refined],tbl_daily[Date],$B$3,tbl_daily[CodeName],Table3[[#This Row],[Athlete Name]],tbl_daily[Academic Year],$B$6,tbl_daily[Ones],1),
AVERAGEIFS(tbl_daily[Injury Refined],tbl_daily[Date],"&lt;="&amp;$B$3,tbl_daily[Date],"&gt;="&amp;$B$3-$B$5,tbl_daily[CodeName],Table3[[#This Row],[Athlete Name]],tbl_daily[Academic Year],$B$6,tbl_daily[Ones],1)),"")</f>
        <v>1</v>
      </c>
      <c r="G41" s="76">
        <f>IFERROR(AVERAGEIFS(tbl_daily[Injury Refined],tbl_daily[CodeName],Table3[[#This Row],[Athlete Name]],tbl_daily[Academic Year],$B$6,tbl_daily[Ones],1),"")</f>
        <v>1</v>
      </c>
      <c r="H41" s="76" cm="1">
        <f t="array" ref="H41">_xlfn.STDEV.P(IF(tbl_daily[CodeName]=Table3[[#This Row],[Athlete Name]],IF(tbl_daily[Academic Year]=$B$6,tbl_daily[Injury Refined])))</f>
        <v>0</v>
      </c>
      <c r="I41" s="76">
        <f>IFERROR(IF($B$5="",
AVERAGEIFS(tbl_daily[Exercise24Hr],tbl_daily[Date],$B$3,tbl_daily[CodeName],Table3[[#This Row],[Athlete Name]],tbl_daily[Academic Year],$B$6,tbl_daily[Ones],1),
AVERAGEIFS(tbl_daily[Exercise24Hr],tbl_daily[Date],"&lt;="&amp;$B$3,tbl_daily[Date],"&gt;="&amp;$B$3-$B$5,tbl_daily[CodeName],Table3[[#This Row],[Athlete Name]],tbl_daily[Academic Year],$B$6,tbl_daily[Ones],1)),"")</f>
        <v>0.5</v>
      </c>
      <c r="J41" s="11">
        <f>IFERROR(AVERAGEIFS(tbl_daily[Exercise24Hr],tbl_daily[CodeName],Table3[[#This Row],[Athlete Name]],tbl_daily[Academic Year],$B$6,tbl_daily[Ones],1),"")</f>
        <v>0.92307692307692313</v>
      </c>
      <c r="K41" s="11" cm="1">
        <f t="array" ref="K41">_xlfn.STDEV.P(IF(tbl_daily[CodeName]=Table3[[#This Row],[Athlete Name]],IF(tbl_daily[Academic Year]=$B$6,tbl_daily[Exercise24Hr])))</f>
        <v>0.26646935501059649</v>
      </c>
      <c r="L41" s="23">
        <f>IFERROR(IF($B$5="",
AVERAGEIFS(tbl_daily[Stress],tbl_daily[Date],$B$3,tbl_daily[CodeName],Table3[[#This Row],[Athlete Name]],tbl_daily[Academic Year],$B$6,tbl_daily[Ones],1),
AVERAGEIFS(tbl_daily[Stress],tbl_daily[Date],"&lt;="&amp;$B$3,tbl_daily[Date],"&gt;="&amp;$B$3-$B$5,tbl_daily[CodeName],Table3[[#This Row],[Athlete Name]],tbl_daily[Academic Year],$B$6,tbl_daily[Ones],1)),"")</f>
        <v>7</v>
      </c>
      <c r="M41" s="23">
        <f>IFERROR(AVERAGEIFS(tbl_daily[Stress],tbl_daily[CodeName],Table3[[#This Row],[Athlete Name]],tbl_daily[Academic Year],$B$6,tbl_daily[Ones],1),"")</f>
        <v>7.384615384615385</v>
      </c>
      <c r="N41" s="23" cm="1">
        <f t="array" ref="N41">_xlfn.STDEV.P(IF(tbl_daily[CodeName]=Table3[[#This Row],[Athlete Name]],IF(tbl_daily[Academic Year]=$B$6,IF(tbl_daily[Stress]&lt;&gt;"",tbl_daily[Stress]))))</f>
        <v>0.48650425541051989</v>
      </c>
      <c r="O41" s="23">
        <f>IFERROR(IF($B$5="",
AVERAGEIFS(tbl_daily[SleepQuality],tbl_daily[Date],$B$3,tbl_daily[CodeName],Table3[[#This Row],[Athlete Name]],tbl_daily[Academic Year],$B$6,tbl_daily[Ones],1),
AVERAGEIFS(tbl_daily[SleepQuality],tbl_daily[Date],"&lt;="&amp;$B$3,tbl_daily[Date],"&gt;="&amp;$B$3-$B$5,tbl_daily[CodeName],Table3[[#This Row],[Athlete Name]],tbl_daily[Academic Year],$B$6,tbl_daily[Ones],1)),"")</f>
        <v>9</v>
      </c>
      <c r="P41" s="23">
        <f>IFERROR(AVERAGEIFS(tbl_daily[SleepQuality],tbl_daily[CodeName],Table3[[#This Row],[Athlete Name]],tbl_daily[Academic Year],$B$6,tbl_daily[Ones],1),"")</f>
        <v>8.384615384615385</v>
      </c>
      <c r="Q41" s="23" cm="1">
        <f t="array" ref="Q41">_xlfn.STDEV.P(IF(tbl_daily[CodeName]=Table3[[#This Row],[Athlete Name]],IF(tbl_daily[Academic Year]=$B$6,IF(tbl_daily[SleepQuality]&lt;&gt;"",tbl_daily[SleepQuality]))))</f>
        <v>0.92307692307692313</v>
      </c>
      <c r="R41" s="23">
        <f>IFERROR(IF($B$5="",
AVERAGEIFS(tbl_daily[Energy],tbl_daily[Date],$B$3,tbl_daily[CodeName],Table3[[#This Row],[Athlete Name]],tbl_daily[Academic Year],$B$6,tbl_daily[Ones],1),
AVERAGEIFS(tbl_daily[Energy],tbl_daily[Date],"&lt;="&amp;$B$3,tbl_daily[Date],"&gt;="&amp;$B$3-$B$5,tbl_daily[CodeName],Table3[[#This Row],[Athlete Name]],tbl_daily[Academic Year],$B$6,tbl_daily[Ones],1)),"")</f>
        <v>8</v>
      </c>
      <c r="S41" s="23">
        <f>IFERROR(AVERAGEIFS(tbl_daily[Energy],tbl_daily[CodeName],Table3[[#This Row],[Athlete Name]],tbl_daily[Academic Year],$B$6,tbl_daily[Ones],1),"")</f>
        <v>7.8461538461538458</v>
      </c>
      <c r="T41" s="23" cm="1">
        <f t="array" ref="T41">_xlfn.STDEV.P(IF(tbl_daily[CodeName]=Table3[[#This Row],[Athlete Name]],IF(tbl_daily[Academic Year]=$B$6,IF(tbl_daily[Energy]&lt;&gt;"",tbl_daily[Energy]))))</f>
        <v>0.53293871002119297</v>
      </c>
      <c r="U41" s="23">
        <f>IFERROR(IF($B$5="",
AVERAGEIFS(tbl_daily[Readiness Score],tbl_daily[Date],$B$3,tbl_daily[CodeName],Table3[[#This Row],[Athlete Name]],tbl_daily[Academic Year],$B$6,tbl_daily[Ones],1),
AVERAGEIFS(tbl_daily[Readiness Score],tbl_daily[Date],"&lt;="&amp;$B$3,tbl_daily[Date],"&gt;="&amp;$B$3-$B$5,tbl_daily[CodeName],Table3[[#This Row],[Athlete Name]],tbl_daily[Academic Year],$B$6,tbl_daily[Ones],1)),"")</f>
        <v>24</v>
      </c>
      <c r="V41" s="23">
        <f>IFERROR(AVERAGEIFS(tbl_daily[Readiness Score],tbl_daily[CodeName],Table3[[#This Row],[Athlete Name]],tbl_daily[Academic Year],$B$6,tbl_daily[Ones],1),"")</f>
        <v>23.615384615384617</v>
      </c>
      <c r="W41" s="23" cm="1">
        <f t="array" ref="W41">_xlfn.STDEV.P(IF(tbl_daily[CodeName]=Table3[[#This Row],[Athlete Name]],IF(tbl_daily[Academic Year]=$B$6,IF(tbl_daily[Readiness Score]&lt;&gt;"",tbl_daily[Readiness Score]))))</f>
        <v>1.5461347109416754</v>
      </c>
      <c r="X41" s="23">
        <f>IFERROR(IF($B$5="",
AVERAGEIFS(tbl_daily[LatestRPE],tbl_daily[Date],$B$3,tbl_daily[CodeName],Table3[[#This Row],[Athlete Name]],tbl_daily[Academic Year],$B$6,tbl_daily[Ones],1),
AVERAGEIFS(tbl_daily[LatestRPE],tbl_daily[Date],"&lt;="&amp;$B$3,tbl_daily[Date],"&gt;="&amp;$B$3-$B$5,tbl_daily[CodeName],Table3[[#This Row],[Athlete Name]],tbl_daily[Academic Year],$B$6,tbl_daily[Ones],1)),"")</f>
        <v>3</v>
      </c>
      <c r="Y41" s="23">
        <f>IFERROR(AVERAGEIFS(tbl_daily[LatestRPE],tbl_daily[CodeName],Table3[[#This Row],[Athlete Name]],tbl_daily[Academic Year],$B$6,tbl_daily[Ones],1),"")</f>
        <v>5.083333333333333</v>
      </c>
      <c r="Z41" s="23" cm="1">
        <f t="array" ref="Z41">_xlfn.STDEV.P(IF(tbl_daily[CodeName]=Table3[[#This Row],[Athlete Name]],IF(tbl_daily[Academic Year]=$B$6,IF(tbl_daily[LatestRPE]&lt;&gt;"",tbl_daily[LatestRPE]))))</f>
        <v>2.0598678490513791</v>
      </c>
      <c r="AA41" s="23">
        <f>IFERROR(IF($B$5="",
AVERAGEIFS(tbl_daily[LatestDuration],tbl_daily[Date],$B$3,tbl_daily[CodeName],Table3[[#This Row],[Athlete Name]],tbl_daily[Academic Year],$B$6,tbl_daily[Ones],1),
AVERAGEIFS(tbl_daily[LatestDuration],tbl_daily[Date],"&lt;="&amp;$B$3,tbl_daily[Date],"&gt;="&amp;$B$3-$B$5,tbl_daily[CodeName],Table3[[#This Row],[Athlete Name]],tbl_daily[Academic Year],$B$6,tbl_daily[Ones],1)),"")</f>
        <v>7.5</v>
      </c>
      <c r="AB41" s="23">
        <f>IFERROR(AVERAGEIFS(tbl_daily[LatestDuration],tbl_daily[CodeName],Table3[[#This Row],[Athlete Name]],tbl_daily[Academic Year],$B$6,tbl_daily[Ones],1),"")</f>
        <v>62.5</v>
      </c>
      <c r="AC41" s="23" cm="1">
        <f t="array" ref="AC41">_xlfn.STDEV.P(IF(tbl_daily[CodeName]=Table3[[#This Row],[Athlete Name]],IF(tbl_daily[Academic Year]=$B$6,IF(tbl_daily[LatestDuration]&lt;&gt;"",tbl_daily[LatestDuration]))))</f>
        <v>39.131189606246316</v>
      </c>
      <c r="AD41" s="23">
        <f>IFERROR(IF($B$5="",
AVERAGEIFS(tbl_daily[sRPE],tbl_daily[Date],$B$3,tbl_daily[CodeName],Table3[[#This Row],[Athlete Name]],tbl_daily[Academic Year],$B$6,tbl_daily[Ones],1),
AVERAGEIFS(tbl_daily[sRPE],tbl_daily[Date],"&lt;="&amp;$B$3,tbl_daily[Date],"&gt;="&amp;$B$3-$B$5,tbl_daily[CodeName],Table3[[#This Row],[Athlete Name]],tbl_daily[Academic Year],$B$6,tbl_daily[Ones],1)),"")</f>
        <v>45</v>
      </c>
      <c r="AE41" s="23">
        <f>IFERROR(AVERAGEIFS(tbl_daily[sRPE],tbl_daily[CodeName],Table3[[#This Row],[Athlete Name]],tbl_daily[Academic Year],$B$6,tbl_daily[Ones],1),"")</f>
        <v>290.76923076923077</v>
      </c>
      <c r="AF41" s="23" cm="1">
        <f t="array" ref="AF41">_xlfn.STDEV.P(IF(tbl_daily[CodeName]=Table3[[#This Row],[Athlete Name]],IF(tbl_daily[Academic Year]=$B$6,IF(tbl_daily[sRPE]&lt;&gt;"",tbl_daily[sRPE]))))</f>
        <v>184.88921999034736</v>
      </c>
      <c r="AG41" s="23">
        <f>IFERROR(IF($B$5="",
AVERAGEIFS(tbl_daily[Grades],tbl_daily[Date],$B$3,tbl_daily[CodeName],Table3[[#This Row],[Athlete Name]],tbl_daily[Academic Year],$B$6,tbl_daily[Ones],1),
AVERAGEIFS(tbl_daily[Grades],tbl_daily[Date],"&lt;="&amp;$B$3,tbl_daily[Date],"&gt;="&amp;$B$3-$B$5,tbl_daily[CodeName],Table3[[#This Row],[Athlete Name]],tbl_daily[Academic Year],$B$6,tbl_daily[Ones],1)),"")</f>
        <v>84</v>
      </c>
      <c r="AH41" s="11">
        <f>IFERROR(AVERAGEIFS(tbl_daily[Grades],tbl_daily[CodeName],Table3[[#This Row],[Athlete Name]],tbl_daily[Academic Year],$B$6,tbl_daily[Ones],1),"")</f>
        <v>91.25</v>
      </c>
      <c r="AI41" s="11" cm="1">
        <f t="array" ref="AI41">_xlfn.STDEV.P(IF(tbl_daily[CodeName]=Table3[[#This Row],[Athlete Name]],IF(tbl_daily[Academic Year]=$B$6,IF(tbl_daily[Grades]&lt;&gt;"",tbl_daily[Grades]))))</f>
        <v>6.0156047077579826</v>
      </c>
    </row>
    <row r="42" spans="1:35" x14ac:dyDescent="0.25">
      <c r="A42" s="77" t="s">
        <v>438</v>
      </c>
      <c r="B42" s="83" t="str">
        <f>INDEX(tbl_prof[Cohort of Interest],MATCH(Table3[[#This Row],[Athlete Name]],tbl_prof[CodeName],0))</f>
        <v>Youth</v>
      </c>
      <c r="C42" s="76">
        <f>IFERROR(IF($B$5="",
AVERAGEIFS(tbl_daily[Attendance Refined],tbl_daily[Date],$B$3,tbl_daily[CodeName],Table3[[#This Row],[Athlete Name]],tbl_daily[Academic Year],$B$6,tbl_daily[Ones],1),
AVERAGEIFS(tbl_daily[Attendance Refined],tbl_daily[Date],"&lt;="&amp;$B$3,tbl_daily[Date],"&gt;="&amp;$B$3-$B$5,tbl_daily[CodeName],Table3[[#This Row],[Athlete Name]],tbl_daily[Academic Year],$B$6,tbl_daily[Ones],1)),"")</f>
        <v>2</v>
      </c>
      <c r="D42" s="76">
        <f>IFERROR(AVERAGEIFS(tbl_daily[Attendance Refined],tbl_daily[CodeName],Table3[[#This Row],[Athlete Name]],tbl_daily[Academic Year],$B$6,tbl_daily[Ones],1),"")</f>
        <v>1.6153846153846154</v>
      </c>
      <c r="E42" s="76" cm="1">
        <f t="array" ref="E42">_xlfn.STDEV.P(IF(tbl_daily[CodeName]=Table3[[#This Row],[Athlete Name]],IF(tbl_daily[Academic Year]=$B$6,tbl_daily[Attendance Refined])))</f>
        <v>0.92307692307692313</v>
      </c>
      <c r="F42" s="76">
        <f>IFERROR(IF($B$5="",
AVERAGEIFS(tbl_daily[Injury Refined],tbl_daily[Date],$B$3,tbl_daily[CodeName],Table3[[#This Row],[Athlete Name]],tbl_daily[Academic Year],$B$6,tbl_daily[Ones],1),
AVERAGEIFS(tbl_daily[Injury Refined],tbl_daily[Date],"&lt;="&amp;$B$3,tbl_daily[Date],"&gt;="&amp;$B$3-$B$5,tbl_daily[CodeName],Table3[[#This Row],[Athlete Name]],tbl_daily[Academic Year],$B$6,tbl_daily[Ones],1)),"")</f>
        <v>1</v>
      </c>
      <c r="G42" s="76">
        <f>IFERROR(AVERAGEIFS(tbl_daily[Injury Refined],tbl_daily[CodeName],Table3[[#This Row],[Athlete Name]],tbl_daily[Academic Year],$B$6,tbl_daily[Ones],1),"")</f>
        <v>1</v>
      </c>
      <c r="H42" s="76" cm="1">
        <f t="array" ref="H42">_xlfn.STDEV.P(IF(tbl_daily[CodeName]=Table3[[#This Row],[Athlete Name]],IF(tbl_daily[Academic Year]=$B$6,tbl_daily[Injury Refined])))</f>
        <v>0</v>
      </c>
      <c r="I42" s="76">
        <f>IFERROR(IF($B$5="",
AVERAGEIFS(tbl_daily[Exercise24Hr],tbl_daily[Date],$B$3,tbl_daily[CodeName],Table3[[#This Row],[Athlete Name]],tbl_daily[Academic Year],$B$6,tbl_daily[Ones],1),
AVERAGEIFS(tbl_daily[Exercise24Hr],tbl_daily[Date],"&lt;="&amp;$B$3,tbl_daily[Date],"&gt;="&amp;$B$3-$B$5,tbl_daily[CodeName],Table3[[#This Row],[Athlete Name]],tbl_daily[Academic Year],$B$6,tbl_daily[Ones],1)),"")</f>
        <v>0</v>
      </c>
      <c r="J42" s="11">
        <f>IFERROR(AVERAGEIFS(tbl_daily[Exercise24Hr],tbl_daily[CodeName],Table3[[#This Row],[Athlete Name]],tbl_daily[Academic Year],$B$6,tbl_daily[Ones],1),"")</f>
        <v>0.33333333333333331</v>
      </c>
      <c r="K42" s="11" cm="1">
        <f t="array" ref="K42">_xlfn.STDEV.P(IF(tbl_daily[CodeName]=Table3[[#This Row],[Athlete Name]],IF(tbl_daily[Academic Year]=$B$6,tbl_daily[Exercise24Hr])))</f>
        <v>0.42132504423474315</v>
      </c>
      <c r="L42" s="23">
        <f>IFERROR(IF($B$5="",
AVERAGEIFS(tbl_daily[Stress],tbl_daily[Date],$B$3,tbl_daily[CodeName],Table3[[#This Row],[Athlete Name]],tbl_daily[Academic Year],$B$6,tbl_daily[Ones],1),
AVERAGEIFS(tbl_daily[Stress],tbl_daily[Date],"&lt;="&amp;$B$3,tbl_daily[Date],"&gt;="&amp;$B$3-$B$5,tbl_daily[CodeName],Table3[[#This Row],[Athlete Name]],tbl_daily[Academic Year],$B$6,tbl_daily[Ones],1)),"")</f>
        <v>4</v>
      </c>
      <c r="M42" s="23">
        <f>IFERROR(AVERAGEIFS(tbl_daily[Stress],tbl_daily[CodeName],Table3[[#This Row],[Athlete Name]],tbl_daily[Academic Year],$B$6,tbl_daily[Ones],1),"")</f>
        <v>4.5555555555555554</v>
      </c>
      <c r="N42" s="23" cm="1">
        <f t="array" ref="N42">_xlfn.STDEV.P(IF(tbl_daily[CodeName]=Table3[[#This Row],[Athlete Name]],IF(tbl_daily[Academic Year]=$B$6,IF(tbl_daily[Stress]&lt;&gt;"",tbl_daily[Stress]))))</f>
        <v>1.2570787221094177</v>
      </c>
      <c r="O42" s="23">
        <f>IFERROR(IF($B$5="",
AVERAGEIFS(tbl_daily[SleepQuality],tbl_daily[Date],$B$3,tbl_daily[CodeName],Table3[[#This Row],[Athlete Name]],tbl_daily[Academic Year],$B$6,tbl_daily[Ones],1),
AVERAGEIFS(tbl_daily[SleepQuality],tbl_daily[Date],"&lt;="&amp;$B$3,tbl_daily[Date],"&gt;="&amp;$B$3-$B$5,tbl_daily[CodeName],Table3[[#This Row],[Athlete Name]],tbl_daily[Academic Year],$B$6,tbl_daily[Ones],1)),"")</f>
        <v>6</v>
      </c>
      <c r="P42" s="23">
        <f>IFERROR(AVERAGEIFS(tbl_daily[SleepQuality],tbl_daily[CodeName],Table3[[#This Row],[Athlete Name]],tbl_daily[Academic Year],$B$6,tbl_daily[Ones],1),"")</f>
        <v>4.4444444444444446</v>
      </c>
      <c r="Q42" s="23" cm="1">
        <f t="array" ref="Q42">_xlfn.STDEV.P(IF(tbl_daily[CodeName]=Table3[[#This Row],[Athlete Name]],IF(tbl_daily[Academic Year]=$B$6,IF(tbl_daily[SleepQuality]&lt;&gt;"",tbl_daily[SleepQuality]))))</f>
        <v>1.2570787221094177</v>
      </c>
      <c r="R42" s="23">
        <f>IFERROR(IF($B$5="",
AVERAGEIFS(tbl_daily[Energy],tbl_daily[Date],$B$3,tbl_daily[CodeName],Table3[[#This Row],[Athlete Name]],tbl_daily[Academic Year],$B$6,tbl_daily[Ones],1),
AVERAGEIFS(tbl_daily[Energy],tbl_daily[Date],"&lt;="&amp;$B$3,tbl_daily[Date],"&gt;="&amp;$B$3-$B$5,tbl_daily[CodeName],Table3[[#This Row],[Athlete Name]],tbl_daily[Academic Year],$B$6,tbl_daily[Ones],1)),"")</f>
        <v>6</v>
      </c>
      <c r="S42" s="23">
        <f>IFERROR(AVERAGEIFS(tbl_daily[Energy],tbl_daily[CodeName],Table3[[#This Row],[Athlete Name]],tbl_daily[Academic Year],$B$6,tbl_daily[Ones],1),"")</f>
        <v>5.5555555555555554</v>
      </c>
      <c r="T42" s="23" cm="1">
        <f t="array" ref="T42">_xlfn.STDEV.P(IF(tbl_daily[CodeName]=Table3[[#This Row],[Athlete Name]],IF(tbl_daily[Academic Year]=$B$6,IF(tbl_daily[Energy]&lt;&gt;"",tbl_daily[Energy]))))</f>
        <v>0.4969039949999533</v>
      </c>
      <c r="U42" s="23">
        <f>IFERROR(IF($B$5="",
AVERAGEIFS(tbl_daily[Readiness Score],tbl_daily[Date],$B$3,tbl_daily[CodeName],Table3[[#This Row],[Athlete Name]],tbl_daily[Academic Year],$B$6,tbl_daily[Ones],1),
AVERAGEIFS(tbl_daily[Readiness Score],tbl_daily[Date],"&lt;="&amp;$B$3,tbl_daily[Date],"&gt;="&amp;$B$3-$B$5,tbl_daily[CodeName],Table3[[#This Row],[Athlete Name]],tbl_daily[Academic Year],$B$6,tbl_daily[Ones],1)),"")</f>
        <v>16</v>
      </c>
      <c r="V42" s="23">
        <f>IFERROR(AVERAGEIFS(tbl_daily[Readiness Score],tbl_daily[CodeName],Table3[[#This Row],[Athlete Name]],tbl_daily[Academic Year],$B$6,tbl_daily[Ones],1),"")</f>
        <v>14.555555555555555</v>
      </c>
      <c r="W42" s="23" cm="1">
        <f t="array" ref="W42">_xlfn.STDEV.P(IF(tbl_daily[CodeName]=Table3[[#This Row],[Athlete Name]],IF(tbl_daily[Academic Year]=$B$6,IF(tbl_daily[Readiness Score]&lt;&gt;"",tbl_daily[Readiness Score]))))</f>
        <v>2.4993826398226648</v>
      </c>
      <c r="X42" s="23">
        <f>IFERROR(IF($B$5="",
AVERAGEIFS(tbl_daily[LatestRPE],tbl_daily[Date],$B$3,tbl_daily[CodeName],Table3[[#This Row],[Athlete Name]],tbl_daily[Academic Year],$B$6,tbl_daily[Ones],1),
AVERAGEIFS(tbl_daily[LatestRPE],tbl_daily[Date],"&lt;="&amp;$B$3,tbl_daily[Date],"&gt;="&amp;$B$3-$B$5,tbl_daily[CodeName],Table3[[#This Row],[Athlete Name]],tbl_daily[Academic Year],$B$6,tbl_daily[Ones],1)),"")</f>
        <v>0</v>
      </c>
      <c r="Y42" s="23">
        <f>IFERROR(AVERAGEIFS(tbl_daily[LatestRPE],tbl_daily[CodeName],Table3[[#This Row],[Athlete Name]],tbl_daily[Academic Year],$B$6,tbl_daily[Ones],1),"")</f>
        <v>1.2222222222222223</v>
      </c>
      <c r="Z42" s="23" cm="1">
        <f t="array" ref="Z42">_xlfn.STDEV.P(IF(tbl_daily[CodeName]=Table3[[#This Row],[Athlete Name]],IF(tbl_daily[Academic Year]=$B$6,IF(tbl_daily[LatestRPE]&lt;&gt;"",tbl_daily[LatestRPE]))))</f>
        <v>1.8121673811444545</v>
      </c>
      <c r="AA42" s="23">
        <f>IFERROR(IF($B$5="",
AVERAGEIFS(tbl_daily[LatestDuration],tbl_daily[Date],$B$3,tbl_daily[CodeName],Table3[[#This Row],[Athlete Name]],tbl_daily[Academic Year],$B$6,tbl_daily[Ones],1),
AVERAGEIFS(tbl_daily[LatestDuration],tbl_daily[Date],"&lt;="&amp;$B$3,tbl_daily[Date],"&gt;="&amp;$B$3-$B$5,tbl_daily[CodeName],Table3[[#This Row],[Athlete Name]],tbl_daily[Academic Year],$B$6,tbl_daily[Ones],1)),"")</f>
        <v>0</v>
      </c>
      <c r="AB42" s="23">
        <f>IFERROR(AVERAGEIFS(tbl_daily[LatestDuration],tbl_daily[CodeName],Table3[[#This Row],[Athlete Name]],tbl_daily[Academic Year],$B$6,tbl_daily[Ones],1),"")</f>
        <v>10</v>
      </c>
      <c r="AC42" s="23" cm="1">
        <f t="array" ref="AC42">_xlfn.STDEV.P(IF(tbl_daily[CodeName]=Table3[[#This Row],[Athlete Name]],IF(tbl_daily[Academic Year]=$B$6,IF(tbl_daily[LatestDuration]&lt;&gt;"",tbl_daily[LatestDuration]))))</f>
        <v>14.142135623730951</v>
      </c>
      <c r="AD42" s="23">
        <f>IFERROR(IF($B$5="",
AVERAGEIFS(tbl_daily[sRPE],tbl_daily[Date],$B$3,tbl_daily[CodeName],Table3[[#This Row],[Athlete Name]],tbl_daily[Academic Year],$B$6,tbl_daily[Ones],1),
AVERAGEIFS(tbl_daily[sRPE],tbl_daily[Date],"&lt;="&amp;$B$3,tbl_daily[Date],"&gt;="&amp;$B$3-$B$5,tbl_daily[CodeName],Table3[[#This Row],[Athlete Name]],tbl_daily[Academic Year],$B$6,tbl_daily[Ones],1)),"")</f>
        <v>0</v>
      </c>
      <c r="AE42" s="23">
        <f>IFERROR(AVERAGEIFS(tbl_daily[sRPE],tbl_daily[CodeName],Table3[[#This Row],[Athlete Name]],tbl_daily[Academic Year],$B$6,tbl_daily[Ones],1),"")</f>
        <v>36.666666666666664</v>
      </c>
      <c r="AF42" s="23" cm="1">
        <f t="array" ref="AF42">_xlfn.STDEV.P(IF(tbl_daily[CodeName]=Table3[[#This Row],[Athlete Name]],IF(tbl_daily[Academic Year]=$B$6,IF(tbl_daily[sRPE]&lt;&gt;"",tbl_daily[sRPE]))))</f>
        <v>54.365021434333634</v>
      </c>
      <c r="AG42" s="23">
        <f>IFERROR(IF($B$5="",
AVERAGEIFS(tbl_daily[Grades],tbl_daily[Date],$B$3,tbl_daily[CodeName],Table3[[#This Row],[Athlete Name]],tbl_daily[Academic Year],$B$6,tbl_daily[Ones],1),
AVERAGEIFS(tbl_daily[Grades],tbl_daily[Date],"&lt;="&amp;$B$3,tbl_daily[Date],"&gt;="&amp;$B$3-$B$5,tbl_daily[CodeName],Table3[[#This Row],[Athlete Name]],tbl_daily[Academic Year],$B$6,tbl_daily[Ones],1)),"")</f>
        <v>82</v>
      </c>
      <c r="AH42" s="11">
        <f>IFERROR(AVERAGEIFS(tbl_daily[Grades],tbl_daily[CodeName],Table3[[#This Row],[Athlete Name]],tbl_daily[Academic Year],$B$6,tbl_daily[Ones],1),"")</f>
        <v>86.5</v>
      </c>
      <c r="AI42" s="11" cm="1">
        <f t="array" ref="AI42">_xlfn.STDEV.P(IF(tbl_daily[CodeName]=Table3[[#This Row],[Athlete Name]],IF(tbl_daily[Academic Year]=$B$6,IF(tbl_daily[Grades]&lt;&gt;"",tbl_daily[Grades]))))</f>
        <v>4.5552167895721496</v>
      </c>
    </row>
    <row r="43" spans="1:35" x14ac:dyDescent="0.25">
      <c r="A43" s="78" t="s">
        <v>431</v>
      </c>
      <c r="B43" s="84" t="str">
        <f>INDEX(tbl_prof[Cohort of Interest],MATCH(Table3[[#This Row],[Athlete Name]],tbl_prof[CodeName],0))</f>
        <v>Special</v>
      </c>
      <c r="C43" s="76">
        <f>IFERROR(IF($B$5="",
AVERAGEIFS(tbl_daily[Attendance Refined],tbl_daily[Date],$B$3,tbl_daily[CodeName],Table3[[#This Row],[Athlete Name]],tbl_daily[Academic Year],$B$6,tbl_daily[Ones],1),
AVERAGEIFS(tbl_daily[Attendance Refined],tbl_daily[Date],"&lt;="&amp;$B$3,tbl_daily[Date],"&gt;="&amp;$B$3-$B$5,tbl_daily[CodeName],Table3[[#This Row],[Athlete Name]],tbl_daily[Academic Year],$B$6,tbl_daily[Ones],1)),"")</f>
        <v>1</v>
      </c>
      <c r="D43" s="76">
        <f>IFERROR(AVERAGEIFS(tbl_daily[Attendance Refined],tbl_daily[CodeName],Table3[[#This Row],[Athlete Name]],tbl_daily[Academic Year],$B$6,tbl_daily[Ones],1),"")</f>
        <v>1</v>
      </c>
      <c r="E43" s="76" cm="1">
        <f t="array" ref="E43">_xlfn.STDEV.P(IF(tbl_daily[CodeName]=Table3[[#This Row],[Athlete Name]],IF(tbl_daily[Academic Year]=$B$6,tbl_daily[Attendance Refined])))</f>
        <v>0</v>
      </c>
      <c r="F43" s="76">
        <f>IFERROR(IF($B$5="",
AVERAGEIFS(tbl_daily[Injury Refined],tbl_daily[Date],$B$3,tbl_daily[CodeName],Table3[[#This Row],[Athlete Name]],tbl_daily[Academic Year],$B$6,tbl_daily[Ones],1),
AVERAGEIFS(tbl_daily[Injury Refined],tbl_daily[Date],"&lt;="&amp;$B$3,tbl_daily[Date],"&gt;="&amp;$B$3-$B$5,tbl_daily[CodeName],Table3[[#This Row],[Athlete Name]],tbl_daily[Academic Year],$B$6,tbl_daily[Ones],1)),"")</f>
        <v>1</v>
      </c>
      <c r="G43" s="76">
        <f>IFERROR(AVERAGEIFS(tbl_daily[Injury Refined],tbl_daily[CodeName],Table3[[#This Row],[Athlete Name]],tbl_daily[Academic Year],$B$6,tbl_daily[Ones],1),"")</f>
        <v>1</v>
      </c>
      <c r="H43" s="76" cm="1">
        <f t="array" ref="H43">_xlfn.STDEV.P(IF(tbl_daily[CodeName]=Table3[[#This Row],[Athlete Name]],IF(tbl_daily[Academic Year]=$B$6,tbl_daily[Injury Refined])))</f>
        <v>0</v>
      </c>
      <c r="I43" s="76">
        <f>IFERROR(IF($B$5="",
AVERAGEIFS(tbl_daily[Exercise24Hr],tbl_daily[Date],$B$3,tbl_daily[CodeName],Table3[[#This Row],[Athlete Name]],tbl_daily[Academic Year],$B$6,tbl_daily[Ones],1),
AVERAGEIFS(tbl_daily[Exercise24Hr],tbl_daily[Date],"&lt;="&amp;$B$3,tbl_daily[Date],"&gt;="&amp;$B$3-$B$5,tbl_daily[CodeName],Table3[[#This Row],[Athlete Name]],tbl_daily[Academic Year],$B$6,tbl_daily[Ones],1)),"")</f>
        <v>0.5</v>
      </c>
      <c r="J43" s="11">
        <f>IFERROR(AVERAGEIFS(tbl_daily[Exercise24Hr],tbl_daily[CodeName],Table3[[#This Row],[Athlete Name]],tbl_daily[Academic Year],$B$6,tbl_daily[Ones],1),"")</f>
        <v>0.76923076923076927</v>
      </c>
      <c r="K43" s="11" cm="1">
        <f t="array" ref="K43">_xlfn.STDEV.P(IF(tbl_daily[CodeName]=Table3[[#This Row],[Athlete Name]],IF(tbl_daily[Academic Year]=$B$6,tbl_daily[Exercise24Hr])))</f>
        <v>0.42132504423474315</v>
      </c>
      <c r="L43" s="23">
        <f>IFERROR(IF($B$5="",
AVERAGEIFS(tbl_daily[Stress],tbl_daily[Date],$B$3,tbl_daily[CodeName],Table3[[#This Row],[Athlete Name]],tbl_daily[Academic Year],$B$6,tbl_daily[Ones],1),
AVERAGEIFS(tbl_daily[Stress],tbl_daily[Date],"&lt;="&amp;$B$3,tbl_daily[Date],"&gt;="&amp;$B$3-$B$5,tbl_daily[CodeName],Table3[[#This Row],[Athlete Name]],tbl_daily[Academic Year],$B$6,tbl_daily[Ones],1)),"")</f>
        <v>8.5</v>
      </c>
      <c r="M43" s="23">
        <f>IFERROR(AVERAGEIFS(tbl_daily[Stress],tbl_daily[CodeName],Table3[[#This Row],[Athlete Name]],tbl_daily[Academic Year],$B$6,tbl_daily[Ones],1),"")</f>
        <v>7.5384615384615383</v>
      </c>
      <c r="N43" s="23" cm="1">
        <f t="array" ref="N43">_xlfn.STDEV.P(IF(tbl_daily[CodeName]=Table3[[#This Row],[Athlete Name]],IF(tbl_daily[Academic Year]=$B$6,IF(tbl_daily[Stress]&lt;&gt;"",tbl_daily[Stress]))))</f>
        <v>0.63432394240271706</v>
      </c>
      <c r="O43" s="23">
        <f>IFERROR(IF($B$5="",
AVERAGEIFS(tbl_daily[SleepQuality],tbl_daily[Date],$B$3,tbl_daily[CodeName],Table3[[#This Row],[Athlete Name]],tbl_daily[Academic Year],$B$6,tbl_daily[Ones],1),
AVERAGEIFS(tbl_daily[SleepQuality],tbl_daily[Date],"&lt;="&amp;$B$3,tbl_daily[Date],"&gt;="&amp;$B$3-$B$5,tbl_daily[CodeName],Table3[[#This Row],[Athlete Name]],tbl_daily[Academic Year],$B$6,tbl_daily[Ones],1)),"")</f>
        <v>7</v>
      </c>
      <c r="P43" s="23">
        <f>IFERROR(AVERAGEIFS(tbl_daily[SleepQuality],tbl_daily[CodeName],Table3[[#This Row],[Athlete Name]],tbl_daily[Academic Year],$B$6,tbl_daily[Ones],1),"")</f>
        <v>8.1538461538461533</v>
      </c>
      <c r="Q43" s="23" cm="1">
        <f t="array" ref="Q43">_xlfn.STDEV.P(IF(tbl_daily[CodeName]=Table3[[#This Row],[Athlete Name]],IF(tbl_daily[Academic Year]=$B$6,IF(tbl_daily[SleepQuality]&lt;&gt;"",tbl_daily[SleepQuality]))))</f>
        <v>1.2307692307692308</v>
      </c>
      <c r="R43" s="23">
        <f>IFERROR(IF($B$5="",
AVERAGEIFS(tbl_daily[Energy],tbl_daily[Date],$B$3,tbl_daily[CodeName],Table3[[#This Row],[Athlete Name]],tbl_daily[Academic Year],$B$6,tbl_daily[Ones],1),
AVERAGEIFS(tbl_daily[Energy],tbl_daily[Date],"&lt;="&amp;$B$3,tbl_daily[Date],"&gt;="&amp;$B$3-$B$5,tbl_daily[CodeName],Table3[[#This Row],[Athlete Name]],tbl_daily[Academic Year],$B$6,tbl_daily[Ones],1)),"")</f>
        <v>7.5</v>
      </c>
      <c r="S43" s="23">
        <f>IFERROR(AVERAGEIFS(tbl_daily[Energy],tbl_daily[CodeName],Table3[[#This Row],[Athlete Name]],tbl_daily[Academic Year],$B$6,tbl_daily[Ones],1),"")</f>
        <v>7.5384615384615383</v>
      </c>
      <c r="T43" s="23" cm="1">
        <f t="array" ref="T43">_xlfn.STDEV.P(IF(tbl_daily[CodeName]=Table3[[#This Row],[Athlete Name]],IF(tbl_daily[Academic Year]=$B$6,IF(tbl_daily[Energy]&lt;&gt;"",tbl_daily[Energy]))))</f>
        <v>0.74579690114097374</v>
      </c>
      <c r="U43" s="23">
        <f>IFERROR(IF($B$5="",
AVERAGEIFS(tbl_daily[Readiness Score],tbl_daily[Date],$B$3,tbl_daily[CodeName],Table3[[#This Row],[Athlete Name]],tbl_daily[Academic Year],$B$6,tbl_daily[Ones],1),
AVERAGEIFS(tbl_daily[Readiness Score],tbl_daily[Date],"&lt;="&amp;$B$3,tbl_daily[Date],"&gt;="&amp;$B$3-$B$5,tbl_daily[CodeName],Table3[[#This Row],[Athlete Name]],tbl_daily[Academic Year],$B$6,tbl_daily[Ones],1)),"")</f>
        <v>23</v>
      </c>
      <c r="V43" s="23">
        <f>IFERROR(AVERAGEIFS(tbl_daily[Readiness Score],tbl_daily[CodeName],Table3[[#This Row],[Athlete Name]],tbl_daily[Academic Year],$B$6,tbl_daily[Ones],1),"")</f>
        <v>23.23076923076923</v>
      </c>
      <c r="W43" s="23" cm="1">
        <f t="array" ref="W43">_xlfn.STDEV.P(IF(tbl_daily[CodeName]=Table3[[#This Row],[Athlete Name]],IF(tbl_daily[Academic Year]=$B$6,IF(tbl_daily[Readiness Score]&lt;&gt;"",tbl_daily[Readiness Score]))))</f>
        <v>1.8461538461538465</v>
      </c>
      <c r="X43" s="23">
        <f>IFERROR(IF($B$5="",
AVERAGEIFS(tbl_daily[LatestRPE],tbl_daily[Date],$B$3,tbl_daily[CodeName],Table3[[#This Row],[Athlete Name]],tbl_daily[Academic Year],$B$6,tbl_daily[Ones],1),
AVERAGEIFS(tbl_daily[LatestRPE],tbl_daily[Date],"&lt;="&amp;$B$3,tbl_daily[Date],"&gt;="&amp;$B$3-$B$5,tbl_daily[CodeName],Table3[[#This Row],[Athlete Name]],tbl_daily[Academic Year],$B$6,tbl_daily[Ones],1)),"")</f>
        <v>3</v>
      </c>
      <c r="Y43" s="23">
        <f>IFERROR(AVERAGEIFS(tbl_daily[LatestRPE],tbl_daily[CodeName],Table3[[#This Row],[Athlete Name]],tbl_daily[Academic Year],$B$6,tbl_daily[Ones],1),"")</f>
        <v>4.583333333333333</v>
      </c>
      <c r="Z43" s="23" cm="1">
        <f t="array" ref="Z43">_xlfn.STDEV.P(IF(tbl_daily[CodeName]=Table3[[#This Row],[Athlete Name]],IF(tbl_daily[Academic Year]=$B$6,IF(tbl_daily[LatestRPE]&lt;&gt;"",tbl_daily[LatestRPE]))))</f>
        <v>2.4309920243024701</v>
      </c>
      <c r="AA43" s="23">
        <f>IFERROR(IF($B$5="",
AVERAGEIFS(tbl_daily[LatestDuration],tbl_daily[Date],$B$3,tbl_daily[CodeName],Table3[[#This Row],[Athlete Name]],tbl_daily[Academic Year],$B$6,tbl_daily[Ones],1),
AVERAGEIFS(tbl_daily[LatestDuration],tbl_daily[Date],"&lt;="&amp;$B$3,tbl_daily[Date],"&gt;="&amp;$B$3-$B$5,tbl_daily[CodeName],Table3[[#This Row],[Athlete Name]],tbl_daily[Academic Year],$B$6,tbl_daily[Ones],1)),"")</f>
        <v>30</v>
      </c>
      <c r="AB43" s="23">
        <f>IFERROR(AVERAGEIFS(tbl_daily[LatestDuration],tbl_daily[CodeName],Table3[[#This Row],[Athlete Name]],tbl_daily[Academic Year],$B$6,tbl_daily[Ones],1),"")</f>
        <v>38.846153846153847</v>
      </c>
      <c r="AC43" s="23" cm="1">
        <f t="array" ref="AC43">_xlfn.STDEV.P(IF(tbl_daily[CodeName]=Table3[[#This Row],[Athlete Name]],IF(tbl_daily[Academic Year]=$B$6,IF(tbl_daily[LatestDuration]&lt;&gt;"",tbl_daily[LatestDuration]))))</f>
        <v>23.382591005493328</v>
      </c>
      <c r="AD43" s="23">
        <f>IFERROR(IF($B$5="",
AVERAGEIFS(tbl_daily[sRPE],tbl_daily[Date],$B$3,tbl_daily[CodeName],Table3[[#This Row],[Athlete Name]],tbl_daily[Academic Year],$B$6,tbl_daily[Ones],1),
AVERAGEIFS(tbl_daily[sRPE],tbl_daily[Date],"&lt;="&amp;$B$3,tbl_daily[Date],"&gt;="&amp;$B$3-$B$5,tbl_daily[CodeName],Table3[[#This Row],[Athlete Name]],tbl_daily[Academic Year],$B$6,tbl_daily[Ones],1)),"")</f>
        <v>180</v>
      </c>
      <c r="AE43" s="23">
        <f>IFERROR(AVERAGEIFS(tbl_daily[sRPE],tbl_daily[CodeName],Table3[[#This Row],[Athlete Name]],tbl_daily[Academic Year],$B$6,tbl_daily[Ones],1),"")</f>
        <v>206.92307692307693</v>
      </c>
      <c r="AF43" s="23" cm="1">
        <f t="array" ref="AF43">_xlfn.STDEV.P(IF(tbl_daily[CodeName]=Table3[[#This Row],[Athlete Name]],IF(tbl_daily[Academic Year]=$B$6,IF(tbl_daily[sRPE]&lt;&gt;"",tbl_daily[sRPE]))))</f>
        <v>131.15666588441917</v>
      </c>
      <c r="AG43" s="23">
        <f>IFERROR(IF($B$5="",
AVERAGEIFS(tbl_daily[Grades],tbl_daily[Date],$B$3,tbl_daily[CodeName],Table3[[#This Row],[Athlete Name]],tbl_daily[Academic Year],$B$6,tbl_daily[Ones],1),
AVERAGEIFS(tbl_daily[Grades],tbl_daily[Date],"&lt;="&amp;$B$3,tbl_daily[Date],"&gt;="&amp;$B$3-$B$5,tbl_daily[CodeName],Table3[[#This Row],[Athlete Name]],tbl_daily[Academic Year],$B$6,tbl_daily[Ones],1)),"")</f>
        <v>75</v>
      </c>
      <c r="AH43" s="11">
        <f>IFERROR(AVERAGEIFS(tbl_daily[Grades],tbl_daily[CodeName],Table3[[#This Row],[Athlete Name]],tbl_daily[Academic Year],$B$6,tbl_daily[Ones],1),"")</f>
        <v>89</v>
      </c>
      <c r="AI43" s="11" cm="1">
        <f t="array" ref="AI43">_xlfn.STDEV.P(IF(tbl_daily[CodeName]=Table3[[#This Row],[Athlete Name]],IF(tbl_daily[Academic Year]=$B$6,IF(tbl_daily[Grades]&lt;&gt;"",tbl_daily[Grades]))))</f>
        <v>8.2158383625774913</v>
      </c>
    </row>
    <row r="44" spans="1:35" x14ac:dyDescent="0.25">
      <c r="A44" s="77" t="s">
        <v>432</v>
      </c>
      <c r="B44" s="83" t="str">
        <f>INDEX(tbl_prof[Cohort of Interest],MATCH(Table3[[#This Row],[Athlete Name]],tbl_prof[CodeName],0))</f>
        <v>Athletes</v>
      </c>
      <c r="C44" s="76">
        <f>IFERROR(IF($B$5="",
AVERAGEIFS(tbl_daily[Attendance Refined],tbl_daily[Date],$B$3,tbl_daily[CodeName],Table3[[#This Row],[Athlete Name]],tbl_daily[Academic Year],$B$6,tbl_daily[Ones],1),
AVERAGEIFS(tbl_daily[Attendance Refined],tbl_daily[Date],"&lt;="&amp;$B$3,tbl_daily[Date],"&gt;="&amp;$B$3-$B$5,tbl_daily[CodeName],Table3[[#This Row],[Athlete Name]],tbl_daily[Academic Year],$B$6,tbl_daily[Ones],1)),"")</f>
        <v>1</v>
      </c>
      <c r="D44" s="76">
        <f>IFERROR(AVERAGEIFS(tbl_daily[Attendance Refined],tbl_daily[CodeName],Table3[[#This Row],[Athlete Name]],tbl_daily[Academic Year],$B$6,tbl_daily[Ones],1),"")</f>
        <v>1.1538461538461537</v>
      </c>
      <c r="E44" s="76" cm="1">
        <f t="array" ref="E44">_xlfn.STDEV.P(IF(tbl_daily[CodeName]=Table3[[#This Row],[Athlete Name]],IF(tbl_daily[Academic Year]=$B$6,tbl_daily[Attendance Refined])))</f>
        <v>0.53293871002119297</v>
      </c>
      <c r="F44" s="76">
        <f>IFERROR(IF($B$5="",
AVERAGEIFS(tbl_daily[Injury Refined],tbl_daily[Date],$B$3,tbl_daily[CodeName],Table3[[#This Row],[Athlete Name]],tbl_daily[Academic Year],$B$6,tbl_daily[Ones],1),
AVERAGEIFS(tbl_daily[Injury Refined],tbl_daily[Date],"&lt;="&amp;$B$3,tbl_daily[Date],"&gt;="&amp;$B$3-$B$5,tbl_daily[CodeName],Table3[[#This Row],[Athlete Name]],tbl_daily[Academic Year],$B$6,tbl_daily[Ones],1)),"")</f>
        <v>2</v>
      </c>
      <c r="G44" s="76">
        <f>IFERROR(AVERAGEIFS(tbl_daily[Injury Refined],tbl_daily[CodeName],Table3[[#This Row],[Athlete Name]],tbl_daily[Academic Year],$B$6,tbl_daily[Ones],1),"")</f>
        <v>2.1666666666666665</v>
      </c>
      <c r="H44" s="76" cm="1">
        <f t="array" ref="H44">_xlfn.STDEV.P(IF(tbl_daily[CodeName]=Table3[[#This Row],[Athlete Name]],IF(tbl_daily[Academic Year]=$B$6,tbl_daily[Injury Refined])))</f>
        <v>0.37267799624996495</v>
      </c>
      <c r="I44" s="76">
        <f>IFERROR(IF($B$5="",
AVERAGEIFS(tbl_daily[Exercise24Hr],tbl_daily[Date],$B$3,tbl_daily[CodeName],Table3[[#This Row],[Athlete Name]],tbl_daily[Academic Year],$B$6,tbl_daily[Ones],1),
AVERAGEIFS(tbl_daily[Exercise24Hr],tbl_daily[Date],"&lt;="&amp;$B$3,tbl_daily[Date],"&gt;="&amp;$B$3-$B$5,tbl_daily[CodeName],Table3[[#This Row],[Athlete Name]],tbl_daily[Academic Year],$B$6,tbl_daily[Ones],1)),"")</f>
        <v>1</v>
      </c>
      <c r="J44" s="11">
        <f>IFERROR(AVERAGEIFS(tbl_daily[Exercise24Hr],tbl_daily[CodeName],Table3[[#This Row],[Athlete Name]],tbl_daily[Academic Year],$B$6,tbl_daily[Ones],1),"")</f>
        <v>0.91666666666666663</v>
      </c>
      <c r="K44" s="11" cm="1">
        <f t="array" ref="K44">_xlfn.STDEV.P(IF(tbl_daily[CodeName]=Table3[[#This Row],[Athlete Name]],IF(tbl_daily[Academic Year]=$B$6,tbl_daily[Exercise24Hr])))</f>
        <v>0.36080121229410994</v>
      </c>
      <c r="L44" s="23">
        <f>IFERROR(IF($B$5="",
AVERAGEIFS(tbl_daily[Stress],tbl_daily[Date],$B$3,tbl_daily[CodeName],Table3[[#This Row],[Athlete Name]],tbl_daily[Academic Year],$B$6,tbl_daily[Ones],1),
AVERAGEIFS(tbl_daily[Stress],tbl_daily[Date],"&lt;="&amp;$B$3,tbl_daily[Date],"&gt;="&amp;$B$3-$B$5,tbl_daily[CodeName],Table3[[#This Row],[Athlete Name]],tbl_daily[Academic Year],$B$6,tbl_daily[Ones],1)),"")</f>
        <v>9</v>
      </c>
      <c r="M44" s="23">
        <f>IFERROR(AVERAGEIFS(tbl_daily[Stress],tbl_daily[CodeName],Table3[[#This Row],[Athlete Name]],tbl_daily[Academic Year],$B$6,tbl_daily[Ones],1),"")</f>
        <v>8.1666666666666661</v>
      </c>
      <c r="N44" s="23" cm="1">
        <f t="array" ref="N44">_xlfn.STDEV.P(IF(tbl_daily[CodeName]=Table3[[#This Row],[Athlete Name]],IF(tbl_daily[Academic Year]=$B$6,IF(tbl_daily[Stress]&lt;&gt;"",tbl_daily[Stress]))))</f>
        <v>1.1426091000668408</v>
      </c>
      <c r="O44" s="23">
        <f>IFERROR(IF($B$5="",
AVERAGEIFS(tbl_daily[SleepQuality],tbl_daily[Date],$B$3,tbl_daily[CodeName],Table3[[#This Row],[Athlete Name]],tbl_daily[Academic Year],$B$6,tbl_daily[Ones],1),
AVERAGEIFS(tbl_daily[SleepQuality],tbl_daily[Date],"&lt;="&amp;$B$3,tbl_daily[Date],"&gt;="&amp;$B$3-$B$5,tbl_daily[CodeName],Table3[[#This Row],[Athlete Name]],tbl_daily[Academic Year],$B$6,tbl_daily[Ones],1)),"")</f>
        <v>5.5</v>
      </c>
      <c r="P44" s="23">
        <f>IFERROR(AVERAGEIFS(tbl_daily[SleepQuality],tbl_daily[CodeName],Table3[[#This Row],[Athlete Name]],tbl_daily[Academic Year],$B$6,tbl_daily[Ones],1),"")</f>
        <v>6.833333333333333</v>
      </c>
      <c r="Q44" s="23" cm="1">
        <f t="array" ref="Q44">_xlfn.STDEV.P(IF(tbl_daily[CodeName]=Table3[[#This Row],[Athlete Name]],IF(tbl_daily[Academic Year]=$B$6,IF(tbl_daily[SleepQuality]&lt;&gt;"",tbl_daily[SleepQuality]))))</f>
        <v>1.4624940645653537</v>
      </c>
      <c r="R44" s="23">
        <f>IFERROR(IF($B$5="",
AVERAGEIFS(tbl_daily[Energy],tbl_daily[Date],$B$3,tbl_daily[CodeName],Table3[[#This Row],[Athlete Name]],tbl_daily[Academic Year],$B$6,tbl_daily[Ones],1),
AVERAGEIFS(tbl_daily[Energy],tbl_daily[Date],"&lt;="&amp;$B$3,tbl_daily[Date],"&gt;="&amp;$B$3-$B$5,tbl_daily[CodeName],Table3[[#This Row],[Athlete Name]],tbl_daily[Academic Year],$B$6,tbl_daily[Ones],1)),"")</f>
        <v>6</v>
      </c>
      <c r="S44" s="23">
        <f>IFERROR(AVERAGEIFS(tbl_daily[Energy],tbl_daily[CodeName],Table3[[#This Row],[Athlete Name]],tbl_daily[Academic Year],$B$6,tbl_daily[Ones],1),"")</f>
        <v>6.416666666666667</v>
      </c>
      <c r="T44" s="23" cm="1">
        <f t="array" ref="T44">_xlfn.STDEV.P(IF(tbl_daily[CodeName]=Table3[[#This Row],[Athlete Name]],IF(tbl_daily[Academic Year]=$B$6,IF(tbl_daily[Energy]&lt;&gt;"",tbl_daily[Energy]))))</f>
        <v>1.1873172373979173</v>
      </c>
      <c r="U44" s="23">
        <f>IFERROR(IF($B$5="",
AVERAGEIFS(tbl_daily[Readiness Score],tbl_daily[Date],$B$3,tbl_daily[CodeName],Table3[[#This Row],[Athlete Name]],tbl_daily[Academic Year],$B$6,tbl_daily[Ones],1),
AVERAGEIFS(tbl_daily[Readiness Score],tbl_daily[Date],"&lt;="&amp;$B$3,tbl_daily[Date],"&gt;="&amp;$B$3-$B$5,tbl_daily[CodeName],Table3[[#This Row],[Athlete Name]],tbl_daily[Academic Year],$B$6,tbl_daily[Ones],1)),"")</f>
        <v>20.5</v>
      </c>
      <c r="V44" s="23">
        <f>IFERROR(AVERAGEIFS(tbl_daily[Readiness Score],tbl_daily[CodeName],Table3[[#This Row],[Athlete Name]],tbl_daily[Academic Year],$B$6,tbl_daily[Ones],1),"")</f>
        <v>21.416666666666668</v>
      </c>
      <c r="W44" s="23" cm="1">
        <f t="array" ref="W44">_xlfn.STDEV.P(IF(tbl_daily[CodeName]=Table3[[#This Row],[Athlete Name]],IF(tbl_daily[Academic Year]=$B$6,IF(tbl_daily[Readiness Score]&lt;&gt;"",tbl_daily[Readiness Score]))))</f>
        <v>2.6912925436591904</v>
      </c>
      <c r="X44" s="23">
        <f>IFERROR(IF($B$5="",
AVERAGEIFS(tbl_daily[LatestRPE],tbl_daily[Date],$B$3,tbl_daily[CodeName],Table3[[#This Row],[Athlete Name]],tbl_daily[Academic Year],$B$6,tbl_daily[Ones],1),
AVERAGEIFS(tbl_daily[LatestRPE],tbl_daily[Date],"&lt;="&amp;$B$3,tbl_daily[Date],"&gt;="&amp;$B$3-$B$5,tbl_daily[CodeName],Table3[[#This Row],[Athlete Name]],tbl_daily[Academic Year],$B$6,tbl_daily[Ones],1)),"")</f>
        <v>5</v>
      </c>
      <c r="Y44" s="23">
        <f>IFERROR(AVERAGEIFS(tbl_daily[LatestRPE],tbl_daily[CodeName],Table3[[#This Row],[Athlete Name]],tbl_daily[Academic Year],$B$6,tbl_daily[Ones],1),"")</f>
        <v>5.333333333333333</v>
      </c>
      <c r="Z44" s="23" cm="1">
        <f t="array" ref="Z44">_xlfn.STDEV.P(IF(tbl_daily[CodeName]=Table3[[#This Row],[Athlete Name]],IF(tbl_daily[Academic Year]=$B$6,IF(tbl_daily[LatestRPE]&lt;&gt;"",tbl_daily[LatestRPE]))))</f>
        <v>1.8856180831641267</v>
      </c>
      <c r="AA44" s="23">
        <f>IFERROR(IF($B$5="",
AVERAGEIFS(tbl_daily[LatestDuration],tbl_daily[Date],$B$3,tbl_daily[CodeName],Table3[[#This Row],[Athlete Name]],tbl_daily[Academic Year],$B$6,tbl_daily[Ones],1),
AVERAGEIFS(tbl_daily[LatestDuration],tbl_daily[Date],"&lt;="&amp;$B$3,tbl_daily[Date],"&gt;="&amp;$B$3-$B$5,tbl_daily[CodeName],Table3[[#This Row],[Athlete Name]],tbl_daily[Academic Year],$B$6,tbl_daily[Ones],1)),"")</f>
        <v>85</v>
      </c>
      <c r="AB44" s="23">
        <f>IFERROR(AVERAGEIFS(tbl_daily[LatestDuration],tbl_daily[CodeName],Table3[[#This Row],[Athlete Name]],tbl_daily[Academic Year],$B$6,tbl_daily[Ones],1),"")</f>
        <v>79.583333333333329</v>
      </c>
      <c r="AC44" s="23" cm="1">
        <f t="array" ref="AC44">_xlfn.STDEV.P(IF(tbl_daily[CodeName]=Table3[[#This Row],[Athlete Name]],IF(tbl_daily[Academic Year]=$B$6,IF(tbl_daily[LatestDuration]&lt;&gt;"",tbl_daily[LatestDuration]))))</f>
        <v>35.264378470191261</v>
      </c>
      <c r="AD44" s="23">
        <f>IFERROR(IF($B$5="",
AVERAGEIFS(tbl_daily[sRPE],tbl_daily[Date],$B$3,tbl_daily[CodeName],Table3[[#This Row],[Athlete Name]],tbl_daily[Academic Year],$B$6,tbl_daily[Ones],1),
AVERAGEIFS(tbl_daily[sRPE],tbl_daily[Date],"&lt;="&amp;$B$3,tbl_daily[Date],"&gt;="&amp;$B$3-$B$5,tbl_daily[CodeName],Table3[[#This Row],[Athlete Name]],tbl_daily[Academic Year],$B$6,tbl_daily[Ones],1)),"")</f>
        <v>440</v>
      </c>
      <c r="AE44" s="23">
        <f>IFERROR(AVERAGEIFS(tbl_daily[sRPE],tbl_daily[CodeName],Table3[[#This Row],[Athlete Name]],tbl_daily[Academic Year],$B$6,tbl_daily[Ones],1),"")</f>
        <v>480</v>
      </c>
      <c r="AF44" s="23" cm="1">
        <f t="array" ref="AF44">_xlfn.STDEV.P(IF(tbl_daily[CodeName]=Table3[[#This Row],[Athlete Name]],IF(tbl_daily[Academic Year]=$B$6,IF(tbl_daily[sRPE]&lt;&gt;"",tbl_daily[sRPE]))))</f>
        <v>254.55844122715712</v>
      </c>
      <c r="AG44" s="23">
        <f>IFERROR(IF($B$5="",
AVERAGEIFS(tbl_daily[Grades],tbl_daily[Date],$B$3,tbl_daily[CodeName],Table3[[#This Row],[Athlete Name]],tbl_daily[Academic Year],$B$6,tbl_daily[Ones],1),
AVERAGEIFS(tbl_daily[Grades],tbl_daily[Date],"&lt;="&amp;$B$3,tbl_daily[Date],"&gt;="&amp;$B$3-$B$5,tbl_daily[CodeName],Table3[[#This Row],[Athlete Name]],tbl_daily[Academic Year],$B$6,tbl_daily[Ones],1)),"")</f>
        <v>83</v>
      </c>
      <c r="AH44" s="11">
        <f>IFERROR(AVERAGEIFS(tbl_daily[Grades],tbl_daily[CodeName],Table3[[#This Row],[Athlete Name]],tbl_daily[Academic Year],$B$6,tbl_daily[Ones],1),"")</f>
        <v>86</v>
      </c>
      <c r="AI44" s="11" cm="1">
        <f t="array" ref="AI44">_xlfn.STDEV.P(IF(tbl_daily[CodeName]=Table3[[#This Row],[Athlete Name]],IF(tbl_daily[Academic Year]=$B$6,IF(tbl_daily[Grades]&lt;&gt;"",tbl_daily[Grades]))))</f>
        <v>2.5495097567963922</v>
      </c>
    </row>
    <row r="45" spans="1:35" x14ac:dyDescent="0.25">
      <c r="A45" s="78" t="s">
        <v>439</v>
      </c>
      <c r="B45" s="84" t="str">
        <f>INDEX(tbl_prof[Cohort of Interest],MATCH(Table3[[#This Row],[Athlete Name]],tbl_prof[CodeName],0))</f>
        <v>Special</v>
      </c>
      <c r="C45" s="76">
        <f>IFERROR(IF($B$5="",
AVERAGEIFS(tbl_daily[Attendance Refined],tbl_daily[Date],$B$3,tbl_daily[CodeName],Table3[[#This Row],[Athlete Name]],tbl_daily[Academic Year],$B$6,tbl_daily[Ones],1),
AVERAGEIFS(tbl_daily[Attendance Refined],tbl_daily[Date],"&lt;="&amp;$B$3,tbl_daily[Date],"&gt;="&amp;$B$3-$B$5,tbl_daily[CodeName],Table3[[#This Row],[Athlete Name]],tbl_daily[Academic Year],$B$6,tbl_daily[Ones],1)),"")</f>
        <v>1</v>
      </c>
      <c r="D45" s="76">
        <f>IFERROR(AVERAGEIFS(tbl_daily[Attendance Refined],tbl_daily[CodeName],Table3[[#This Row],[Athlete Name]],tbl_daily[Academic Year],$B$6,tbl_daily[Ones],1),"")</f>
        <v>1</v>
      </c>
      <c r="E45" s="76" cm="1">
        <f t="array" ref="E45">_xlfn.STDEV.P(IF(tbl_daily[CodeName]=Table3[[#This Row],[Athlete Name]],IF(tbl_daily[Academic Year]=$B$6,tbl_daily[Attendance Refined])))</f>
        <v>0</v>
      </c>
      <c r="F45" s="76">
        <f>IFERROR(IF($B$5="",
AVERAGEIFS(tbl_daily[Injury Refined],tbl_daily[Date],$B$3,tbl_daily[CodeName],Table3[[#This Row],[Athlete Name]],tbl_daily[Academic Year],$B$6,tbl_daily[Ones],1),
AVERAGEIFS(tbl_daily[Injury Refined],tbl_daily[Date],"&lt;="&amp;$B$3,tbl_daily[Date],"&gt;="&amp;$B$3-$B$5,tbl_daily[CodeName],Table3[[#This Row],[Athlete Name]],tbl_daily[Academic Year],$B$6,tbl_daily[Ones],1)),"")</f>
        <v>2</v>
      </c>
      <c r="G45" s="76">
        <f>IFERROR(AVERAGEIFS(tbl_daily[Injury Refined],tbl_daily[CodeName],Table3[[#This Row],[Athlete Name]],tbl_daily[Academic Year],$B$6,tbl_daily[Ones],1),"")</f>
        <v>2</v>
      </c>
      <c r="H45" s="76" cm="1">
        <f t="array" ref="H45">_xlfn.STDEV.P(IF(tbl_daily[CodeName]=Table3[[#This Row],[Athlete Name]],IF(tbl_daily[Academic Year]=$B$6,tbl_daily[Injury Refined])))</f>
        <v>0</v>
      </c>
      <c r="I45" s="76">
        <f>IFERROR(IF($B$5="",
AVERAGEIFS(tbl_daily[Exercise24Hr],tbl_daily[Date],$B$3,tbl_daily[CodeName],Table3[[#This Row],[Athlete Name]],tbl_daily[Academic Year],$B$6,tbl_daily[Ones],1),
AVERAGEIFS(tbl_daily[Exercise24Hr],tbl_daily[Date],"&lt;="&amp;$B$3,tbl_daily[Date],"&gt;="&amp;$B$3-$B$5,tbl_daily[CodeName],Table3[[#This Row],[Athlete Name]],tbl_daily[Academic Year],$B$6,tbl_daily[Ones],1)),"")</f>
        <v>1</v>
      </c>
      <c r="J45" s="11">
        <f>IFERROR(AVERAGEIFS(tbl_daily[Exercise24Hr],tbl_daily[CodeName],Table3[[#This Row],[Athlete Name]],tbl_daily[Academic Year],$B$6,tbl_daily[Ones],1),"")</f>
        <v>0.84615384615384615</v>
      </c>
      <c r="K45" s="11" cm="1">
        <f t="array" ref="K45">_xlfn.STDEV.P(IF(tbl_daily[CodeName]=Table3[[#This Row],[Athlete Name]],IF(tbl_daily[Academic Year]=$B$6,tbl_daily[Exercise24Hr])))</f>
        <v>0.36080121229410994</v>
      </c>
      <c r="L45" s="23">
        <f>IFERROR(IF($B$5="",
AVERAGEIFS(tbl_daily[Stress],tbl_daily[Date],$B$3,tbl_daily[CodeName],Table3[[#This Row],[Athlete Name]],tbl_daily[Academic Year],$B$6,tbl_daily[Ones],1),
AVERAGEIFS(tbl_daily[Stress],tbl_daily[Date],"&lt;="&amp;$B$3,tbl_daily[Date],"&gt;="&amp;$B$3-$B$5,tbl_daily[CodeName],Table3[[#This Row],[Athlete Name]],tbl_daily[Academic Year],$B$6,tbl_daily[Ones],1)),"")</f>
        <v>8</v>
      </c>
      <c r="M45" s="23">
        <f>IFERROR(AVERAGEIFS(tbl_daily[Stress],tbl_daily[CodeName],Table3[[#This Row],[Athlete Name]],tbl_daily[Academic Year],$B$6,tbl_daily[Ones],1),"")</f>
        <v>6.615384615384615</v>
      </c>
      <c r="N45" s="23" cm="1">
        <f t="array" ref="N45">_xlfn.STDEV.P(IF(tbl_daily[CodeName]=Table3[[#This Row],[Athlete Name]],IF(tbl_daily[Academic Year]=$B$6,IF(tbl_daily[Stress]&lt;&gt;"",tbl_daily[Stress]))))</f>
        <v>1.8621105287554161</v>
      </c>
      <c r="O45" s="23">
        <f>IFERROR(IF($B$5="",
AVERAGEIFS(tbl_daily[SleepQuality],tbl_daily[Date],$B$3,tbl_daily[CodeName],Table3[[#This Row],[Athlete Name]],tbl_daily[Academic Year],$B$6,tbl_daily[Ones],1),
AVERAGEIFS(tbl_daily[SleepQuality],tbl_daily[Date],"&lt;="&amp;$B$3,tbl_daily[Date],"&gt;="&amp;$B$3-$B$5,tbl_daily[CodeName],Table3[[#This Row],[Athlete Name]],tbl_daily[Academic Year],$B$6,tbl_daily[Ones],1)),"")</f>
        <v>6.5</v>
      </c>
      <c r="P45" s="23">
        <f>IFERROR(AVERAGEIFS(tbl_daily[SleepQuality],tbl_daily[CodeName],Table3[[#This Row],[Athlete Name]],tbl_daily[Academic Year],$B$6,tbl_daily[Ones],1),"")</f>
        <v>4.5384615384615383</v>
      </c>
      <c r="Q45" s="23" cm="1">
        <f t="array" ref="Q45">_xlfn.STDEV.P(IF(tbl_daily[CodeName]=Table3[[#This Row],[Athlete Name]],IF(tbl_daily[Academic Year]=$B$6,IF(tbl_daily[SleepQuality]&lt;&gt;"",tbl_daily[SleepQuality]))))</f>
        <v>1.6923076923076923</v>
      </c>
      <c r="R45" s="23">
        <f>IFERROR(IF($B$5="",
AVERAGEIFS(tbl_daily[Energy],tbl_daily[Date],$B$3,tbl_daily[CodeName],Table3[[#This Row],[Athlete Name]],tbl_daily[Academic Year],$B$6,tbl_daily[Ones],1),
AVERAGEIFS(tbl_daily[Energy],tbl_daily[Date],"&lt;="&amp;$B$3,tbl_daily[Date],"&gt;="&amp;$B$3-$B$5,tbl_daily[CodeName],Table3[[#This Row],[Athlete Name]],tbl_daily[Academic Year],$B$6,tbl_daily[Ones],1)),"")</f>
        <v>6</v>
      </c>
      <c r="S45" s="23">
        <f>IFERROR(AVERAGEIFS(tbl_daily[Energy],tbl_daily[CodeName],Table3[[#This Row],[Athlete Name]],tbl_daily[Academic Year],$B$6,tbl_daily[Ones],1),"")</f>
        <v>4.7692307692307692</v>
      </c>
      <c r="T45" s="23" cm="1">
        <f t="array" ref="T45">_xlfn.STDEV.P(IF(tbl_daily[CodeName]=Table3[[#This Row],[Athlete Name]],IF(tbl_daily[Academic Year]=$B$6,IF(tbl_daily[Energy]&lt;&gt;"",tbl_daily[Energy]))))</f>
        <v>1.1200169060431566</v>
      </c>
      <c r="U45" s="23">
        <f>IFERROR(IF($B$5="",
AVERAGEIFS(tbl_daily[Readiness Score],tbl_daily[Date],$B$3,tbl_daily[CodeName],Table3[[#This Row],[Athlete Name]],tbl_daily[Academic Year],$B$6,tbl_daily[Ones],1),
AVERAGEIFS(tbl_daily[Readiness Score],tbl_daily[Date],"&lt;="&amp;$B$3,tbl_daily[Date],"&gt;="&amp;$B$3-$B$5,tbl_daily[CodeName],Table3[[#This Row],[Athlete Name]],tbl_daily[Academic Year],$B$6,tbl_daily[Ones],1)),"")</f>
        <v>20.5</v>
      </c>
      <c r="V45" s="23">
        <f>IFERROR(AVERAGEIFS(tbl_daily[Readiness Score],tbl_daily[CodeName],Table3[[#This Row],[Athlete Name]],tbl_daily[Academic Year],$B$6,tbl_daily[Ones],1),"")</f>
        <v>15.923076923076923</v>
      </c>
      <c r="W45" s="23" cm="1">
        <f t="array" ref="W45">_xlfn.STDEV.P(IF(tbl_daily[CodeName]=Table3[[#This Row],[Athlete Name]],IF(tbl_daily[Academic Year]=$B$6,IF(tbl_daily[Readiness Score]&lt;&gt;"",tbl_daily[Readiness Score]))))</f>
        <v>3.689101171779015</v>
      </c>
      <c r="X45" s="23">
        <f>IFERROR(IF($B$5="",
AVERAGEIFS(tbl_daily[LatestRPE],tbl_daily[Date],$B$3,tbl_daily[CodeName],Table3[[#This Row],[Athlete Name]],tbl_daily[Academic Year],$B$6,tbl_daily[Ones],1),
AVERAGEIFS(tbl_daily[LatestRPE],tbl_daily[Date],"&lt;="&amp;$B$3,tbl_daily[Date],"&gt;="&amp;$B$3-$B$5,tbl_daily[CodeName],Table3[[#This Row],[Athlete Name]],tbl_daily[Academic Year],$B$6,tbl_daily[Ones],1)),"")</f>
        <v>4</v>
      </c>
      <c r="Y45" s="23">
        <f>IFERROR(AVERAGEIFS(tbl_daily[LatestRPE],tbl_daily[CodeName],Table3[[#This Row],[Athlete Name]],tbl_daily[Academic Year],$B$6,tbl_daily[Ones],1),"")</f>
        <v>4.3076923076923075</v>
      </c>
      <c r="Z45" s="23" cm="1">
        <f t="array" ref="Z45">_xlfn.STDEV.P(IF(tbl_daily[CodeName]=Table3[[#This Row],[Athlete Name]],IF(tbl_daily[Academic Year]=$B$6,IF(tbl_daily[LatestRPE]&lt;&gt;"",tbl_daily[LatestRPE]))))</f>
        <v>2.1261961478592699</v>
      </c>
      <c r="AA45" s="23">
        <f>IFERROR(IF($B$5="",
AVERAGEIFS(tbl_daily[LatestDuration],tbl_daily[Date],$B$3,tbl_daily[CodeName],Table3[[#This Row],[Athlete Name]],tbl_daily[Academic Year],$B$6,tbl_daily[Ones],1),
AVERAGEIFS(tbl_daily[LatestDuration],tbl_daily[Date],"&lt;="&amp;$B$3,tbl_daily[Date],"&gt;="&amp;$B$3-$B$5,tbl_daily[CodeName],Table3[[#This Row],[Athlete Name]],tbl_daily[Academic Year],$B$6,tbl_daily[Ones],1)),"")</f>
        <v>45</v>
      </c>
      <c r="AB45" s="23">
        <f>IFERROR(AVERAGEIFS(tbl_daily[LatestDuration],tbl_daily[CodeName],Table3[[#This Row],[Athlete Name]],tbl_daily[Academic Year],$B$6,tbl_daily[Ones],1),"")</f>
        <v>63.75</v>
      </c>
      <c r="AC45" s="23" cm="1">
        <f t="array" ref="AC45">_xlfn.STDEV.P(IF(tbl_daily[CodeName]=Table3[[#This Row],[Athlete Name]],IF(tbl_daily[Academic Year]=$B$6,IF(tbl_daily[LatestDuration]&lt;&gt;"",tbl_daily[LatestDuration]))))</f>
        <v>40.677850238182451</v>
      </c>
      <c r="AD45" s="23">
        <f>IFERROR(IF($B$5="",
AVERAGEIFS(tbl_daily[sRPE],tbl_daily[Date],$B$3,tbl_daily[CodeName],Table3[[#This Row],[Athlete Name]],tbl_daily[Academic Year],$B$6,tbl_daily[Ones],1),
AVERAGEIFS(tbl_daily[sRPE],tbl_daily[Date],"&lt;="&amp;$B$3,tbl_daily[Date],"&gt;="&amp;$B$3-$B$5,tbl_daily[CodeName],Table3[[#This Row],[Athlete Name]],tbl_daily[Academic Year],$B$6,tbl_daily[Ones],1)),"")</f>
        <v>195</v>
      </c>
      <c r="AE45" s="23">
        <f>IFERROR(AVERAGEIFS(tbl_daily[sRPE],tbl_daily[CodeName],Table3[[#This Row],[Athlete Name]],tbl_daily[Academic Year],$B$6,tbl_daily[Ones],1),"")</f>
        <v>303.46153846153845</v>
      </c>
      <c r="AF45" s="23" cm="1">
        <f t="array" ref="AF45">_xlfn.STDEV.P(IF(tbl_daily[CodeName]=Table3[[#This Row],[Athlete Name]],IF(tbl_daily[Academic Year]=$B$6,IF(tbl_daily[sRPE]&lt;&gt;"",tbl_daily[sRPE]))))</f>
        <v>254.29680278235006</v>
      </c>
      <c r="AG45" s="23">
        <f>IFERROR(IF($B$5="",
AVERAGEIFS(tbl_daily[Grades],tbl_daily[Date],$B$3,tbl_daily[CodeName],Table3[[#This Row],[Athlete Name]],tbl_daily[Academic Year],$B$6,tbl_daily[Ones],1),
AVERAGEIFS(tbl_daily[Grades],tbl_daily[Date],"&lt;="&amp;$B$3,tbl_daily[Date],"&gt;="&amp;$B$3-$B$5,tbl_daily[CodeName],Table3[[#This Row],[Athlete Name]],tbl_daily[Academic Year],$B$6,tbl_daily[Ones],1)),"")</f>
        <v>76</v>
      </c>
      <c r="AH45" s="11">
        <f>IFERROR(AVERAGEIFS(tbl_daily[Grades],tbl_daily[CodeName],Table3[[#This Row],[Athlete Name]],tbl_daily[Academic Year],$B$6,tbl_daily[Ones],1),"")</f>
        <v>87.75</v>
      </c>
      <c r="AI45" s="11" cm="1">
        <f t="array" ref="AI45">_xlfn.STDEV.P(IF(tbl_daily[CodeName]=Table3[[#This Row],[Athlete Name]],IF(tbl_daily[Academic Year]=$B$6,IF(tbl_daily[Grades]&lt;&gt;"",tbl_daily[Grades]))))</f>
        <v>9.0104106454700492</v>
      </c>
    </row>
    <row r="46" spans="1:35" x14ac:dyDescent="0.25">
      <c r="A46" s="77" t="s">
        <v>433</v>
      </c>
      <c r="B46" s="83" t="str">
        <f>INDEX(tbl_prof[Cohort of Interest],MATCH(Table3[[#This Row],[Athlete Name]],tbl_prof[CodeName],0))</f>
        <v>Athletes</v>
      </c>
      <c r="C46" s="76">
        <f>IFERROR(IF($B$5="",
AVERAGEIFS(tbl_daily[Attendance Refined],tbl_daily[Date],$B$3,tbl_daily[CodeName],Table3[[#This Row],[Athlete Name]],tbl_daily[Academic Year],$B$6,tbl_daily[Ones],1),
AVERAGEIFS(tbl_daily[Attendance Refined],tbl_daily[Date],"&lt;="&amp;$B$3,tbl_daily[Date],"&gt;="&amp;$B$3-$B$5,tbl_daily[CodeName],Table3[[#This Row],[Athlete Name]],tbl_daily[Academic Year],$B$6,tbl_daily[Ones],1)),"")</f>
        <v>1</v>
      </c>
      <c r="D46" s="76">
        <f>IFERROR(AVERAGEIFS(tbl_daily[Attendance Refined],tbl_daily[CodeName],Table3[[#This Row],[Athlete Name]],tbl_daily[Academic Year],$B$6,tbl_daily[Ones],1),"")</f>
        <v>1</v>
      </c>
      <c r="E46" s="76" cm="1">
        <f t="array" ref="E46">_xlfn.STDEV.P(IF(tbl_daily[CodeName]=Table3[[#This Row],[Athlete Name]],IF(tbl_daily[Academic Year]=$B$6,tbl_daily[Attendance Refined])))</f>
        <v>0</v>
      </c>
      <c r="F46" s="76">
        <f>IFERROR(IF($B$5="",
AVERAGEIFS(tbl_daily[Injury Refined],tbl_daily[Date],$B$3,tbl_daily[CodeName],Table3[[#This Row],[Athlete Name]],tbl_daily[Academic Year],$B$6,tbl_daily[Ones],1),
AVERAGEIFS(tbl_daily[Injury Refined],tbl_daily[Date],"&lt;="&amp;$B$3,tbl_daily[Date],"&gt;="&amp;$B$3-$B$5,tbl_daily[CodeName],Table3[[#This Row],[Athlete Name]],tbl_daily[Academic Year],$B$6,tbl_daily[Ones],1)),"")</f>
        <v>2</v>
      </c>
      <c r="G46" s="76">
        <f>IFERROR(AVERAGEIFS(tbl_daily[Injury Refined],tbl_daily[CodeName],Table3[[#This Row],[Athlete Name]],tbl_daily[Academic Year],$B$6,tbl_daily[Ones],1),"")</f>
        <v>2</v>
      </c>
      <c r="H46" s="76" cm="1">
        <f t="array" ref="H46">_xlfn.STDEV.P(IF(tbl_daily[CodeName]=Table3[[#This Row],[Athlete Name]],IF(tbl_daily[Academic Year]=$B$6,tbl_daily[Injury Refined])))</f>
        <v>0</v>
      </c>
      <c r="I46" s="76">
        <f>IFERROR(IF($B$5="",
AVERAGEIFS(tbl_daily[Exercise24Hr],tbl_daily[Date],$B$3,tbl_daily[CodeName],Table3[[#This Row],[Athlete Name]],tbl_daily[Academic Year],$B$6,tbl_daily[Ones],1),
AVERAGEIFS(tbl_daily[Exercise24Hr],tbl_daily[Date],"&lt;="&amp;$B$3,tbl_daily[Date],"&gt;="&amp;$B$3-$B$5,tbl_daily[CodeName],Table3[[#This Row],[Athlete Name]],tbl_daily[Academic Year],$B$6,tbl_daily[Ones],1)),"")</f>
        <v>1</v>
      </c>
      <c r="J46" s="11">
        <f>IFERROR(AVERAGEIFS(tbl_daily[Exercise24Hr],tbl_daily[CodeName],Table3[[#This Row],[Athlete Name]],tbl_daily[Academic Year],$B$6,tbl_daily[Ones],1),"")</f>
        <v>0.92307692307692313</v>
      </c>
      <c r="K46" s="11" cm="1">
        <f t="array" ref="K46">_xlfn.STDEV.P(IF(tbl_daily[CodeName]=Table3[[#This Row],[Athlete Name]],IF(tbl_daily[Academic Year]=$B$6,tbl_daily[Exercise24Hr])))</f>
        <v>0.26646935501059649</v>
      </c>
      <c r="L46" s="23">
        <f>IFERROR(IF($B$5="",
AVERAGEIFS(tbl_daily[Stress],tbl_daily[Date],$B$3,tbl_daily[CodeName],Table3[[#This Row],[Athlete Name]],tbl_daily[Academic Year],$B$6,tbl_daily[Ones],1),
AVERAGEIFS(tbl_daily[Stress],tbl_daily[Date],"&lt;="&amp;$B$3,tbl_daily[Date],"&gt;="&amp;$B$3-$B$5,tbl_daily[CodeName],Table3[[#This Row],[Athlete Name]],tbl_daily[Academic Year],$B$6,tbl_daily[Ones],1)),"")</f>
        <v>7.5</v>
      </c>
      <c r="M46" s="23">
        <f>IFERROR(AVERAGEIFS(tbl_daily[Stress],tbl_daily[CodeName],Table3[[#This Row],[Athlete Name]],tbl_daily[Academic Year],$B$6,tbl_daily[Ones],1),"")</f>
        <v>6.9230769230769234</v>
      </c>
      <c r="N46" s="23" cm="1">
        <f t="array" ref="N46">_xlfn.STDEV.P(IF(tbl_daily[CodeName]=Table3[[#This Row],[Athlete Name]],IF(tbl_daily[Academic Year]=$B$6,IF(tbl_daily[Stress]&lt;&gt;"",tbl_daily[Stress]))))</f>
        <v>0.82848689340530823</v>
      </c>
      <c r="O46" s="23">
        <f>IFERROR(IF($B$5="",
AVERAGEIFS(tbl_daily[SleepQuality],tbl_daily[Date],$B$3,tbl_daily[CodeName],Table3[[#This Row],[Athlete Name]],tbl_daily[Academic Year],$B$6,tbl_daily[Ones],1),
AVERAGEIFS(tbl_daily[SleepQuality],tbl_daily[Date],"&lt;="&amp;$B$3,tbl_daily[Date],"&gt;="&amp;$B$3-$B$5,tbl_daily[CodeName],Table3[[#This Row],[Athlete Name]],tbl_daily[Academic Year],$B$6,tbl_daily[Ones],1)),"")</f>
        <v>7.5</v>
      </c>
      <c r="P46" s="23">
        <f>IFERROR(AVERAGEIFS(tbl_daily[SleepQuality],tbl_daily[CodeName],Table3[[#This Row],[Athlete Name]],tbl_daily[Academic Year],$B$6,tbl_daily[Ones],1),"")</f>
        <v>7.5384615384615383</v>
      </c>
      <c r="Q46" s="23" cm="1">
        <f t="array" ref="Q46">_xlfn.STDEV.P(IF(tbl_daily[CodeName]=Table3[[#This Row],[Athlete Name]],IF(tbl_daily[Academic Year]=$B$6,IF(tbl_daily[SleepQuality]&lt;&gt;"",tbl_daily[SleepQuality]))))</f>
        <v>0.74579690114097374</v>
      </c>
      <c r="R46" s="23">
        <f>IFERROR(IF($B$5="",
AVERAGEIFS(tbl_daily[Energy],tbl_daily[Date],$B$3,tbl_daily[CodeName],Table3[[#This Row],[Athlete Name]],tbl_daily[Academic Year],$B$6,tbl_daily[Ones],1),
AVERAGEIFS(tbl_daily[Energy],tbl_daily[Date],"&lt;="&amp;$B$3,tbl_daily[Date],"&gt;="&amp;$B$3-$B$5,tbl_daily[CodeName],Table3[[#This Row],[Athlete Name]],tbl_daily[Academic Year],$B$6,tbl_daily[Ones],1)),"")</f>
        <v>7.5</v>
      </c>
      <c r="S46" s="23">
        <f>IFERROR(AVERAGEIFS(tbl_daily[Energy],tbl_daily[CodeName],Table3[[#This Row],[Athlete Name]],tbl_daily[Academic Year],$B$6,tbl_daily[Ones],1),"")</f>
        <v>7.4615384615384617</v>
      </c>
      <c r="T46" s="23" cm="1">
        <f t="array" ref="T46">_xlfn.STDEV.P(IF(tbl_daily[CodeName]=Table3[[#This Row],[Athlete Name]],IF(tbl_daily[Academic Year]=$B$6,IF(tbl_daily[Energy]&lt;&gt;"",tbl_daily[Energy]))))</f>
        <v>1.0088366960464616</v>
      </c>
      <c r="U46" s="23">
        <f>IFERROR(IF($B$5="",
AVERAGEIFS(tbl_daily[Readiness Score],tbl_daily[Date],$B$3,tbl_daily[CodeName],Table3[[#This Row],[Athlete Name]],tbl_daily[Academic Year],$B$6,tbl_daily[Ones],1),
AVERAGEIFS(tbl_daily[Readiness Score],tbl_daily[Date],"&lt;="&amp;$B$3,tbl_daily[Date],"&gt;="&amp;$B$3-$B$5,tbl_daily[CodeName],Table3[[#This Row],[Athlete Name]],tbl_daily[Academic Year],$B$6,tbl_daily[Ones],1)),"")</f>
        <v>22.5</v>
      </c>
      <c r="V46" s="23">
        <f>IFERROR(AVERAGEIFS(tbl_daily[Readiness Score],tbl_daily[CodeName],Table3[[#This Row],[Athlete Name]],tbl_daily[Academic Year],$B$6,tbl_daily[Ones],1),"")</f>
        <v>21.923076923076923</v>
      </c>
      <c r="W46" s="23" cm="1">
        <f t="array" ref="W46">_xlfn.STDEV.P(IF(tbl_daily[CodeName]=Table3[[#This Row],[Athlete Name]],IF(tbl_daily[Academic Year]=$B$6,IF(tbl_daily[Readiness Score]&lt;&gt;"",tbl_daily[Readiness Score]))))</f>
        <v>2.0554444947519057</v>
      </c>
      <c r="X46" s="23">
        <f>IFERROR(IF($B$5="",
AVERAGEIFS(tbl_daily[LatestRPE],tbl_daily[Date],$B$3,tbl_daily[CodeName],Table3[[#This Row],[Athlete Name]],tbl_daily[Academic Year],$B$6,tbl_daily[Ones],1),
AVERAGEIFS(tbl_daily[LatestRPE],tbl_daily[Date],"&lt;="&amp;$B$3,tbl_daily[Date],"&gt;="&amp;$B$3-$B$5,tbl_daily[CodeName],Table3[[#This Row],[Athlete Name]],tbl_daily[Academic Year],$B$6,tbl_daily[Ones],1)),"")</f>
        <v>6.5</v>
      </c>
      <c r="Y46" s="23">
        <f>IFERROR(AVERAGEIFS(tbl_daily[LatestRPE],tbl_daily[CodeName],Table3[[#This Row],[Athlete Name]],tbl_daily[Academic Year],$B$6,tbl_daily[Ones],1),"")</f>
        <v>4.9230769230769234</v>
      </c>
      <c r="Z46" s="23" cm="1">
        <f t="array" ref="Z46">_xlfn.STDEV.P(IF(tbl_daily[CodeName]=Table3[[#This Row],[Athlete Name]],IF(tbl_daily[Academic Year]=$B$6,IF(tbl_daily[LatestRPE]&lt;&gt;"",tbl_daily[LatestRPE]))))</f>
        <v>2.3684314335908696</v>
      </c>
      <c r="AA46" s="23">
        <f>IFERROR(IF($B$5="",
AVERAGEIFS(tbl_daily[LatestDuration],tbl_daily[Date],$B$3,tbl_daily[CodeName],Table3[[#This Row],[Athlete Name]],tbl_daily[Academic Year],$B$6,tbl_daily[Ones],1),
AVERAGEIFS(tbl_daily[LatestDuration],tbl_daily[Date],"&lt;="&amp;$B$3,tbl_daily[Date],"&gt;="&amp;$B$3-$B$5,tbl_daily[CodeName],Table3[[#This Row],[Athlete Name]],tbl_daily[Academic Year],$B$6,tbl_daily[Ones],1)),"")</f>
        <v>82.5</v>
      </c>
      <c r="AB46" s="23">
        <f>IFERROR(AVERAGEIFS(tbl_daily[LatestDuration],tbl_daily[CodeName],Table3[[#This Row],[Athlete Name]],tbl_daily[Academic Year],$B$6,tbl_daily[Ones],1),"")</f>
        <v>71.538461538461533</v>
      </c>
      <c r="AC46" s="23" cm="1">
        <f t="array" ref="AC46">_xlfn.STDEV.P(IF(tbl_daily[CodeName]=Table3[[#This Row],[Athlete Name]],IF(tbl_daily[Academic Year]=$B$6,IF(tbl_daily[LatestDuration]&lt;&gt;"",tbl_daily[LatestDuration]))))</f>
        <v>49.628799617553618</v>
      </c>
      <c r="AD46" s="23">
        <f>IFERROR(IF($B$5="",
AVERAGEIFS(tbl_daily[sRPE],tbl_daily[Date],$B$3,tbl_daily[CodeName],Table3[[#This Row],[Athlete Name]],tbl_daily[Academic Year],$B$6,tbl_daily[Ones],1),
AVERAGEIFS(tbl_daily[sRPE],tbl_daily[Date],"&lt;="&amp;$B$3,tbl_daily[Date],"&gt;="&amp;$B$3-$B$5,tbl_daily[CodeName],Table3[[#This Row],[Athlete Name]],tbl_daily[Academic Year],$B$6,tbl_daily[Ones],1)),"")</f>
        <v>532.5</v>
      </c>
      <c r="AE46" s="23">
        <f>IFERROR(AVERAGEIFS(tbl_daily[sRPE],tbl_daily[CodeName],Table3[[#This Row],[Athlete Name]],tbl_daily[Academic Year],$B$6,tbl_daily[Ones],1),"")</f>
        <v>448.07692307692309</v>
      </c>
      <c r="AF46" s="23" cm="1">
        <f t="array" ref="AF46">_xlfn.STDEV.P(IF(tbl_daily[CodeName]=Table3[[#This Row],[Athlete Name]],IF(tbl_daily[Academic Year]=$B$6,IF(tbl_daily[sRPE]&lt;&gt;"",tbl_daily[sRPE]))))</f>
        <v>425.54733290713818</v>
      </c>
      <c r="AG46" s="23">
        <f>IFERROR(IF($B$5="",
AVERAGEIFS(tbl_daily[Grades],tbl_daily[Date],$B$3,tbl_daily[CodeName],Table3[[#This Row],[Athlete Name]],tbl_daily[Academic Year],$B$6,tbl_daily[Ones],1),
AVERAGEIFS(tbl_daily[Grades],tbl_daily[Date],"&lt;="&amp;$B$3,tbl_daily[Date],"&gt;="&amp;$B$3-$B$5,tbl_daily[CodeName],Table3[[#This Row],[Athlete Name]],tbl_daily[Academic Year],$B$6,tbl_daily[Ones],1)),"")</f>
        <v>93</v>
      </c>
      <c r="AH46" s="11">
        <f>IFERROR(AVERAGEIFS(tbl_daily[Grades],tbl_daily[CodeName],Table3[[#This Row],[Athlete Name]],tbl_daily[Academic Year],$B$6,tbl_daily[Ones],1),"")</f>
        <v>86</v>
      </c>
      <c r="AI46" s="11" cm="1">
        <f t="array" ref="AI46">_xlfn.STDEV.P(IF(tbl_daily[CodeName]=Table3[[#This Row],[Athlete Name]],IF(tbl_daily[Academic Year]=$B$6,IF(tbl_daily[Grades]&lt;&gt;"",tbl_daily[Grades]))))</f>
        <v>5.6124860801609122</v>
      </c>
    </row>
    <row r="47" spans="1:35" x14ac:dyDescent="0.25">
      <c r="A47" s="78" t="s">
        <v>440</v>
      </c>
      <c r="B47" s="84" t="str">
        <f>INDEX(tbl_prof[Cohort of Interest],MATCH(Table3[[#This Row],[Athlete Name]],tbl_prof[CodeName],0))</f>
        <v>Youth</v>
      </c>
      <c r="C47" s="76">
        <f>IFERROR(IF($B$5="",
AVERAGEIFS(tbl_daily[Attendance Refined],tbl_daily[Date],$B$3,tbl_daily[CodeName],Table3[[#This Row],[Athlete Name]],tbl_daily[Academic Year],$B$6,tbl_daily[Ones],1),
AVERAGEIFS(tbl_daily[Attendance Refined],tbl_daily[Date],"&lt;="&amp;$B$3,tbl_daily[Date],"&gt;="&amp;$B$3-$B$5,tbl_daily[CodeName],Table3[[#This Row],[Athlete Name]],tbl_daily[Academic Year],$B$6,tbl_daily[Ones],1)),"")</f>
        <v>1</v>
      </c>
      <c r="D47" s="76">
        <f>IFERROR(AVERAGEIFS(tbl_daily[Attendance Refined],tbl_daily[CodeName],Table3[[#This Row],[Athlete Name]],tbl_daily[Academic Year],$B$6,tbl_daily[Ones],1),"")</f>
        <v>1.4615384615384615</v>
      </c>
      <c r="E47" s="76" cm="1">
        <f t="array" ref="E47">_xlfn.STDEV.P(IF(tbl_daily[CodeName]=Table3[[#This Row],[Athlete Name]],IF(tbl_daily[Academic Year]=$B$6,tbl_daily[Attendance Refined])))</f>
        <v>0.8426500884694863</v>
      </c>
      <c r="F47" s="76">
        <f>IFERROR(IF($B$5="",
AVERAGEIFS(tbl_daily[Injury Refined],tbl_daily[Date],$B$3,tbl_daily[CodeName],Table3[[#This Row],[Athlete Name]],tbl_daily[Academic Year],$B$6,tbl_daily[Ones],1),
AVERAGEIFS(tbl_daily[Injury Refined],tbl_daily[Date],"&lt;="&amp;$B$3,tbl_daily[Date],"&gt;="&amp;$B$3-$B$5,tbl_daily[CodeName],Table3[[#This Row],[Athlete Name]],tbl_daily[Academic Year],$B$6,tbl_daily[Ones],1)),"")</f>
        <v>2</v>
      </c>
      <c r="G47" s="76">
        <f>IFERROR(AVERAGEIFS(tbl_daily[Injury Refined],tbl_daily[CodeName],Table3[[#This Row],[Athlete Name]],tbl_daily[Academic Year],$B$6,tbl_daily[Ones],1),"")</f>
        <v>2</v>
      </c>
      <c r="H47" s="76" cm="1">
        <f t="array" ref="H47">_xlfn.STDEV.P(IF(tbl_daily[CodeName]=Table3[[#This Row],[Athlete Name]],IF(tbl_daily[Academic Year]=$B$6,tbl_daily[Injury Refined])))</f>
        <v>0</v>
      </c>
      <c r="I47" s="76">
        <f>IFERROR(IF($B$5="",
AVERAGEIFS(tbl_daily[Exercise24Hr],tbl_daily[Date],$B$3,tbl_daily[CodeName],Table3[[#This Row],[Athlete Name]],tbl_daily[Academic Year],$B$6,tbl_daily[Ones],1),
AVERAGEIFS(tbl_daily[Exercise24Hr],tbl_daily[Date],"&lt;="&amp;$B$3,tbl_daily[Date],"&gt;="&amp;$B$3-$B$5,tbl_daily[CodeName],Table3[[#This Row],[Athlete Name]],tbl_daily[Academic Year],$B$6,tbl_daily[Ones],1)),"")</f>
        <v>0</v>
      </c>
      <c r="J47" s="11">
        <f>IFERROR(AVERAGEIFS(tbl_daily[Exercise24Hr],tbl_daily[CodeName],Table3[[#This Row],[Athlete Name]],tbl_daily[Academic Year],$B$6,tbl_daily[Ones],1),"")</f>
        <v>0</v>
      </c>
      <c r="K47" s="11" cm="1">
        <f t="array" ref="K47">_xlfn.STDEV.P(IF(tbl_daily[CodeName]=Table3[[#This Row],[Athlete Name]],IF(tbl_daily[Academic Year]=$B$6,tbl_daily[Exercise24Hr])))</f>
        <v>0</v>
      </c>
      <c r="L47" s="23">
        <f>IFERROR(IF($B$5="",
AVERAGEIFS(tbl_daily[Stress],tbl_daily[Date],$B$3,tbl_daily[CodeName],Table3[[#This Row],[Athlete Name]],tbl_daily[Academic Year],$B$6,tbl_daily[Ones],1),
AVERAGEIFS(tbl_daily[Stress],tbl_daily[Date],"&lt;="&amp;$B$3,tbl_daily[Date],"&gt;="&amp;$B$3-$B$5,tbl_daily[CodeName],Table3[[#This Row],[Athlete Name]],tbl_daily[Academic Year],$B$6,tbl_daily[Ones],1)),"")</f>
        <v>8</v>
      </c>
      <c r="M47" s="23">
        <f>IFERROR(AVERAGEIFS(tbl_daily[Stress],tbl_daily[CodeName],Table3[[#This Row],[Athlete Name]],tbl_daily[Academic Year],$B$6,tbl_daily[Ones],1),"")</f>
        <v>6.5</v>
      </c>
      <c r="N47" s="23" cm="1">
        <f t="array" ref="N47">_xlfn.STDEV.P(IF(tbl_daily[CodeName]=Table3[[#This Row],[Athlete Name]],IF(tbl_daily[Academic Year]=$B$6,IF(tbl_daily[Stress]&lt;&gt;"",tbl_daily[Stress]))))</f>
        <v>1.6881943016134133</v>
      </c>
      <c r="O47" s="23">
        <f>IFERROR(IF($B$5="",
AVERAGEIFS(tbl_daily[SleepQuality],tbl_daily[Date],$B$3,tbl_daily[CodeName],Table3[[#This Row],[Athlete Name]],tbl_daily[Academic Year],$B$6,tbl_daily[Ones],1),
AVERAGEIFS(tbl_daily[SleepQuality],tbl_daily[Date],"&lt;="&amp;$B$3,tbl_daily[Date],"&gt;="&amp;$B$3-$B$5,tbl_daily[CodeName],Table3[[#This Row],[Athlete Name]],tbl_daily[Academic Year],$B$6,tbl_daily[Ones],1)),"")</f>
        <v>4.5</v>
      </c>
      <c r="P47" s="23">
        <f>IFERROR(AVERAGEIFS(tbl_daily[SleepQuality],tbl_daily[CodeName],Table3[[#This Row],[Athlete Name]],tbl_daily[Academic Year],$B$6,tbl_daily[Ones],1),"")</f>
        <v>4.7</v>
      </c>
      <c r="Q47" s="23" cm="1">
        <f t="array" ref="Q47">_xlfn.STDEV.P(IF(tbl_daily[CodeName]=Table3[[#This Row],[Athlete Name]],IF(tbl_daily[Academic Year]=$B$6,IF(tbl_daily[SleepQuality]&lt;&gt;"",tbl_daily[SleepQuality]))))</f>
        <v>0.6403124237432849</v>
      </c>
      <c r="R47" s="23">
        <f>IFERROR(IF($B$5="",
AVERAGEIFS(tbl_daily[Energy],tbl_daily[Date],$B$3,tbl_daily[CodeName],Table3[[#This Row],[Athlete Name]],tbl_daily[Academic Year],$B$6,tbl_daily[Ones],1),
AVERAGEIFS(tbl_daily[Energy],tbl_daily[Date],"&lt;="&amp;$B$3,tbl_daily[Date],"&gt;="&amp;$B$3-$B$5,tbl_daily[CodeName],Table3[[#This Row],[Athlete Name]],tbl_daily[Academic Year],$B$6,tbl_daily[Ones],1)),"")</f>
        <v>5</v>
      </c>
      <c r="S47" s="23">
        <f>IFERROR(AVERAGEIFS(tbl_daily[Energy],tbl_daily[CodeName],Table3[[#This Row],[Athlete Name]],tbl_daily[Academic Year],$B$6,tbl_daily[Ones],1),"")</f>
        <v>4.8</v>
      </c>
      <c r="T47" s="23" cm="1">
        <f t="array" ref="T47">_xlfn.STDEV.P(IF(tbl_daily[CodeName]=Table3[[#This Row],[Athlete Name]],IF(tbl_daily[Academic Year]=$B$6,IF(tbl_daily[Energy]&lt;&gt;"",tbl_daily[Energy]))))</f>
        <v>0.6</v>
      </c>
      <c r="U47" s="23">
        <f>IFERROR(IF($B$5="",
AVERAGEIFS(tbl_daily[Readiness Score],tbl_daily[Date],$B$3,tbl_daily[CodeName],Table3[[#This Row],[Athlete Name]],tbl_daily[Academic Year],$B$6,tbl_daily[Ones],1),
AVERAGEIFS(tbl_daily[Readiness Score],tbl_daily[Date],"&lt;="&amp;$B$3,tbl_daily[Date],"&gt;="&amp;$B$3-$B$5,tbl_daily[CodeName],Table3[[#This Row],[Athlete Name]],tbl_daily[Academic Year],$B$6,tbl_daily[Ones],1)),"")</f>
        <v>17.5</v>
      </c>
      <c r="V47" s="23">
        <f>IFERROR(AVERAGEIFS(tbl_daily[Readiness Score],tbl_daily[CodeName],Table3[[#This Row],[Athlete Name]],tbl_daily[Academic Year],$B$6,tbl_daily[Ones],1),"")</f>
        <v>16</v>
      </c>
      <c r="W47" s="23" cm="1">
        <f t="array" ref="W47">_xlfn.STDEV.P(IF(tbl_daily[CodeName]=Table3[[#This Row],[Athlete Name]],IF(tbl_daily[Academic Year]=$B$6,IF(tbl_daily[Readiness Score]&lt;&gt;"",tbl_daily[Readiness Score]))))</f>
        <v>1.6733200530681511</v>
      </c>
      <c r="X47" s="23">
        <f>IFERROR(IF($B$5="",
AVERAGEIFS(tbl_daily[LatestRPE],tbl_daily[Date],$B$3,tbl_daily[CodeName],Table3[[#This Row],[Athlete Name]],tbl_daily[Academic Year],$B$6,tbl_daily[Ones],1),
AVERAGEIFS(tbl_daily[LatestRPE],tbl_daily[Date],"&lt;="&amp;$B$3,tbl_daily[Date],"&gt;="&amp;$B$3-$B$5,tbl_daily[CodeName],Table3[[#This Row],[Athlete Name]],tbl_daily[Academic Year],$B$6,tbl_daily[Ones],1)),"")</f>
        <v>0</v>
      </c>
      <c r="Y47" s="23">
        <f>IFERROR(AVERAGEIFS(tbl_daily[LatestRPE],tbl_daily[CodeName],Table3[[#This Row],[Athlete Name]],tbl_daily[Academic Year],$B$6,tbl_daily[Ones],1),"")</f>
        <v>0</v>
      </c>
      <c r="Z47" s="23" cm="1">
        <f t="array" ref="Z47">_xlfn.STDEV.P(IF(tbl_daily[CodeName]=Table3[[#This Row],[Athlete Name]],IF(tbl_daily[Academic Year]=$B$6,IF(tbl_daily[LatestRPE]&lt;&gt;"",tbl_daily[LatestRPE]))))</f>
        <v>0</v>
      </c>
      <c r="AA47" s="23">
        <f>IFERROR(IF($B$5="",
AVERAGEIFS(tbl_daily[LatestDuration],tbl_daily[Date],$B$3,tbl_daily[CodeName],Table3[[#This Row],[Athlete Name]],tbl_daily[Academic Year],$B$6,tbl_daily[Ones],1),
AVERAGEIFS(tbl_daily[LatestDuration],tbl_daily[Date],"&lt;="&amp;$B$3,tbl_daily[Date],"&gt;="&amp;$B$3-$B$5,tbl_daily[CodeName],Table3[[#This Row],[Athlete Name]],tbl_daily[Academic Year],$B$6,tbl_daily[Ones],1)),"")</f>
        <v>0</v>
      </c>
      <c r="AB47" s="23">
        <f>IFERROR(AVERAGEIFS(tbl_daily[LatestDuration],tbl_daily[CodeName],Table3[[#This Row],[Athlete Name]],tbl_daily[Academic Year],$B$6,tbl_daily[Ones],1),"")</f>
        <v>0</v>
      </c>
      <c r="AC47" s="23" cm="1">
        <f t="array" ref="AC47">_xlfn.STDEV.P(IF(tbl_daily[CodeName]=Table3[[#This Row],[Athlete Name]],IF(tbl_daily[Academic Year]=$B$6,IF(tbl_daily[LatestDuration]&lt;&gt;"",tbl_daily[LatestDuration]))))</f>
        <v>0</v>
      </c>
      <c r="AD47" s="23">
        <f>IFERROR(IF($B$5="",
AVERAGEIFS(tbl_daily[sRPE],tbl_daily[Date],$B$3,tbl_daily[CodeName],Table3[[#This Row],[Athlete Name]],tbl_daily[Academic Year],$B$6,tbl_daily[Ones],1),
AVERAGEIFS(tbl_daily[sRPE],tbl_daily[Date],"&lt;="&amp;$B$3,tbl_daily[Date],"&gt;="&amp;$B$3-$B$5,tbl_daily[CodeName],Table3[[#This Row],[Athlete Name]],tbl_daily[Academic Year],$B$6,tbl_daily[Ones],1)),"")</f>
        <v>0</v>
      </c>
      <c r="AE47" s="23">
        <f>IFERROR(AVERAGEIFS(tbl_daily[sRPE],tbl_daily[CodeName],Table3[[#This Row],[Athlete Name]],tbl_daily[Academic Year],$B$6,tbl_daily[Ones],1),"")</f>
        <v>0</v>
      </c>
      <c r="AF47" s="23" cm="1">
        <f t="array" ref="AF47">_xlfn.STDEV.P(IF(tbl_daily[CodeName]=Table3[[#This Row],[Athlete Name]],IF(tbl_daily[Academic Year]=$B$6,IF(tbl_daily[sRPE]&lt;&gt;"",tbl_daily[sRPE]))))</f>
        <v>0</v>
      </c>
      <c r="AG47" s="23">
        <f>IFERROR(IF($B$5="",
AVERAGEIFS(tbl_daily[Grades],tbl_daily[Date],$B$3,tbl_daily[CodeName],Table3[[#This Row],[Athlete Name]],tbl_daily[Academic Year],$B$6,tbl_daily[Ones],1),
AVERAGEIFS(tbl_daily[Grades],tbl_daily[Date],"&lt;="&amp;$B$3,tbl_daily[Date],"&gt;="&amp;$B$3-$B$5,tbl_daily[CodeName],Table3[[#This Row],[Athlete Name]],tbl_daily[Academic Year],$B$6,tbl_daily[Ones],1)),"")</f>
        <v>87</v>
      </c>
      <c r="AH47" s="11">
        <f>IFERROR(AVERAGEIFS(tbl_daily[Grades],tbl_daily[CodeName],Table3[[#This Row],[Athlete Name]],tbl_daily[Academic Year],$B$6,tbl_daily[Ones],1),"")</f>
        <v>87.5</v>
      </c>
      <c r="AI47" s="11" cm="1">
        <f t="array" ref="AI47">_xlfn.STDEV.P(IF(tbl_daily[CodeName]=Table3[[#This Row],[Athlete Name]],IF(tbl_daily[Academic Year]=$B$6,IF(tbl_daily[Grades]&lt;&gt;"",tbl_daily[Grades]))))</f>
        <v>8.8459030064770658</v>
      </c>
    </row>
    <row r="48" spans="1:35" x14ac:dyDescent="0.25">
      <c r="A48" s="77" t="s">
        <v>441</v>
      </c>
      <c r="B48" s="83" t="str">
        <f>INDEX(tbl_prof[Cohort of Interest],MATCH(Table3[[#This Row],[Athlete Name]],tbl_prof[CodeName],0))</f>
        <v>Athletes</v>
      </c>
      <c r="C48" s="76">
        <f>IFERROR(IF($B$5="",
AVERAGEIFS(tbl_daily[Attendance Refined],tbl_daily[Date],$B$3,tbl_daily[CodeName],Table3[[#This Row],[Athlete Name]],tbl_daily[Academic Year],$B$6,tbl_daily[Ones],1),
AVERAGEIFS(tbl_daily[Attendance Refined],tbl_daily[Date],"&lt;="&amp;$B$3,tbl_daily[Date],"&gt;="&amp;$B$3-$B$5,tbl_daily[CodeName],Table3[[#This Row],[Athlete Name]],tbl_daily[Academic Year],$B$6,tbl_daily[Ones],1)),"")</f>
        <v>1</v>
      </c>
      <c r="D48" s="76">
        <f>IFERROR(AVERAGEIFS(tbl_daily[Attendance Refined],tbl_daily[CodeName],Table3[[#This Row],[Athlete Name]],tbl_daily[Academic Year],$B$6,tbl_daily[Ones],1),"")</f>
        <v>1</v>
      </c>
      <c r="E48" s="76" cm="1">
        <f t="array" ref="E48">_xlfn.STDEV.P(IF(tbl_daily[CodeName]=Table3[[#This Row],[Athlete Name]],IF(tbl_daily[Academic Year]=$B$6,tbl_daily[Attendance Refined])))</f>
        <v>0</v>
      </c>
      <c r="F48" s="76">
        <f>IFERROR(IF($B$5="",
AVERAGEIFS(tbl_daily[Injury Refined],tbl_daily[Date],$B$3,tbl_daily[CodeName],Table3[[#This Row],[Athlete Name]],tbl_daily[Academic Year],$B$6,tbl_daily[Ones],1),
AVERAGEIFS(tbl_daily[Injury Refined],tbl_daily[Date],"&lt;="&amp;$B$3,tbl_daily[Date],"&gt;="&amp;$B$3-$B$5,tbl_daily[CodeName],Table3[[#This Row],[Athlete Name]],tbl_daily[Academic Year],$B$6,tbl_daily[Ones],1)),"")</f>
        <v>1.5</v>
      </c>
      <c r="G48" s="76">
        <f>IFERROR(AVERAGEIFS(tbl_daily[Injury Refined],tbl_daily[CodeName],Table3[[#This Row],[Athlete Name]],tbl_daily[Academic Year],$B$6,tbl_daily[Ones],1),"")</f>
        <v>1.3076923076923077</v>
      </c>
      <c r="H48" s="76" cm="1">
        <f t="array" ref="H48">_xlfn.STDEV.P(IF(tbl_daily[CodeName]=Table3[[#This Row],[Athlete Name]],IF(tbl_daily[Academic Year]=$B$6,tbl_daily[Injury Refined])))</f>
        <v>0.46153846153846156</v>
      </c>
      <c r="I48" s="76">
        <f>IFERROR(IF($B$5="",
AVERAGEIFS(tbl_daily[Exercise24Hr],tbl_daily[Date],$B$3,tbl_daily[CodeName],Table3[[#This Row],[Athlete Name]],tbl_daily[Academic Year],$B$6,tbl_daily[Ones],1),
AVERAGEIFS(tbl_daily[Exercise24Hr],tbl_daily[Date],"&lt;="&amp;$B$3,tbl_daily[Date],"&gt;="&amp;$B$3-$B$5,tbl_daily[CodeName],Table3[[#This Row],[Athlete Name]],tbl_daily[Academic Year],$B$6,tbl_daily[Ones],1)),"")</f>
        <v>1</v>
      </c>
      <c r="J48" s="11">
        <f>IFERROR(AVERAGEIFS(tbl_daily[Exercise24Hr],tbl_daily[CodeName],Table3[[#This Row],[Athlete Name]],tbl_daily[Academic Year],$B$6,tbl_daily[Ones],1),"")</f>
        <v>1</v>
      </c>
      <c r="K48" s="11" cm="1">
        <f t="array" ref="K48">_xlfn.STDEV.P(IF(tbl_daily[CodeName]=Table3[[#This Row],[Athlete Name]],IF(tbl_daily[Academic Year]=$B$6,tbl_daily[Exercise24Hr])))</f>
        <v>0</v>
      </c>
      <c r="L48" s="23">
        <f>IFERROR(IF($B$5="",
AVERAGEIFS(tbl_daily[Stress],tbl_daily[Date],$B$3,tbl_daily[CodeName],Table3[[#This Row],[Athlete Name]],tbl_daily[Academic Year],$B$6,tbl_daily[Ones],1),
AVERAGEIFS(tbl_daily[Stress],tbl_daily[Date],"&lt;="&amp;$B$3,tbl_daily[Date],"&gt;="&amp;$B$3-$B$5,tbl_daily[CodeName],Table3[[#This Row],[Athlete Name]],tbl_daily[Academic Year],$B$6,tbl_daily[Ones],1)),"")</f>
        <v>3.5</v>
      </c>
      <c r="M48" s="23">
        <f>IFERROR(AVERAGEIFS(tbl_daily[Stress],tbl_daily[CodeName],Table3[[#This Row],[Athlete Name]],tbl_daily[Academic Year],$B$6,tbl_daily[Ones],1),"")</f>
        <v>4.7692307692307692</v>
      </c>
      <c r="N48" s="23" cm="1">
        <f t="array" ref="N48">_xlfn.STDEV.P(IF(tbl_daily[CodeName]=Table3[[#This Row],[Athlete Name]],IF(tbl_daily[Academic Year]=$B$6,IF(tbl_daily[Stress]&lt;&gt;"",tbl_daily[Stress]))))</f>
        <v>1.8461538461538463</v>
      </c>
      <c r="O48" s="23">
        <f>IFERROR(IF($B$5="",
AVERAGEIFS(tbl_daily[SleepQuality],tbl_daily[Date],$B$3,tbl_daily[CodeName],Table3[[#This Row],[Athlete Name]],tbl_daily[Academic Year],$B$6,tbl_daily[Ones],1),
AVERAGEIFS(tbl_daily[SleepQuality],tbl_daily[Date],"&lt;="&amp;$B$3,tbl_daily[Date],"&gt;="&amp;$B$3-$B$5,tbl_daily[CodeName],Table3[[#This Row],[Athlete Name]],tbl_daily[Academic Year],$B$6,tbl_daily[Ones],1)),"")</f>
        <v>6</v>
      </c>
      <c r="P48" s="23">
        <f>IFERROR(AVERAGEIFS(tbl_daily[SleepQuality],tbl_daily[CodeName],Table3[[#This Row],[Athlete Name]],tbl_daily[Academic Year],$B$6,tbl_daily[Ones],1),"")</f>
        <v>4.4615384615384617</v>
      </c>
      <c r="Q48" s="23" cm="1">
        <f t="array" ref="Q48">_xlfn.STDEV.P(IF(tbl_daily[CodeName]=Table3[[#This Row],[Athlete Name]],IF(tbl_daily[Academic Year]=$B$6,IF(tbl_daily[SleepQuality]&lt;&gt;"",tbl_daily[SleepQuality]))))</f>
        <v>1.8652854850741756</v>
      </c>
      <c r="R48" s="23">
        <f>IFERROR(IF($B$5="",
AVERAGEIFS(tbl_daily[Energy],tbl_daily[Date],$B$3,tbl_daily[CodeName],Table3[[#This Row],[Athlete Name]],tbl_daily[Academic Year],$B$6,tbl_daily[Ones],1),
AVERAGEIFS(tbl_daily[Energy],tbl_daily[Date],"&lt;="&amp;$B$3,tbl_daily[Date],"&gt;="&amp;$B$3-$B$5,tbl_daily[CodeName],Table3[[#This Row],[Athlete Name]],tbl_daily[Academic Year],$B$6,tbl_daily[Ones],1)),"")</f>
        <v>2</v>
      </c>
      <c r="S48" s="23">
        <f>IFERROR(AVERAGEIFS(tbl_daily[Energy],tbl_daily[CodeName],Table3[[#This Row],[Athlete Name]],tbl_daily[Academic Year],$B$6,tbl_daily[Ones],1),"")</f>
        <v>4.615384615384615</v>
      </c>
      <c r="T48" s="23" cm="1">
        <f t="array" ref="T48">_xlfn.STDEV.P(IF(tbl_daily[CodeName]=Table3[[#This Row],[Athlete Name]],IF(tbl_daily[Academic Year]=$B$6,IF(tbl_daily[Energy]&lt;&gt;"",tbl_daily[Energy]))))</f>
        <v>2.1675388928623645</v>
      </c>
      <c r="U48" s="23">
        <f>IFERROR(IF($B$5="",
AVERAGEIFS(tbl_daily[Readiness Score],tbl_daily[Date],$B$3,tbl_daily[CodeName],Table3[[#This Row],[Athlete Name]],tbl_daily[Academic Year],$B$6,tbl_daily[Ones],1),
AVERAGEIFS(tbl_daily[Readiness Score],tbl_daily[Date],"&lt;="&amp;$B$3,tbl_daily[Date],"&gt;="&amp;$B$3-$B$5,tbl_daily[CodeName],Table3[[#This Row],[Athlete Name]],tbl_daily[Academic Year],$B$6,tbl_daily[Ones],1)),"")</f>
        <v>11.5</v>
      </c>
      <c r="V48" s="23">
        <f>IFERROR(AVERAGEIFS(tbl_daily[Readiness Score],tbl_daily[CodeName],Table3[[#This Row],[Athlete Name]],tbl_daily[Academic Year],$B$6,tbl_daily[Ones],1),"")</f>
        <v>13.846153846153847</v>
      </c>
      <c r="W48" s="23" cm="1">
        <f t="array" ref="W48">_xlfn.STDEV.P(IF(tbl_daily[CodeName]=Table3[[#This Row],[Athlete Name]],IF(tbl_daily[Academic Year]=$B$6,IF(tbl_daily[Readiness Score]&lt;&gt;"",tbl_daily[Readiness Score]))))</f>
        <v>2.9311629051165617</v>
      </c>
      <c r="X48" s="23">
        <f>IFERROR(IF($B$5="",
AVERAGEIFS(tbl_daily[LatestRPE],tbl_daily[Date],$B$3,tbl_daily[CodeName],Table3[[#This Row],[Athlete Name]],tbl_daily[Academic Year],$B$6,tbl_daily[Ones],1),
AVERAGEIFS(tbl_daily[LatestRPE],tbl_daily[Date],"&lt;="&amp;$B$3,tbl_daily[Date],"&gt;="&amp;$B$3-$B$5,tbl_daily[CodeName],Table3[[#This Row],[Athlete Name]],tbl_daily[Academic Year],$B$6,tbl_daily[Ones],1)),"")</f>
        <v>5.5</v>
      </c>
      <c r="Y48" s="23">
        <f>IFERROR(AVERAGEIFS(tbl_daily[LatestRPE],tbl_daily[CodeName],Table3[[#This Row],[Athlete Name]],tbl_daily[Academic Year],$B$6,tbl_daily[Ones],1),"")</f>
        <v>6.5384615384615383</v>
      </c>
      <c r="Z48" s="23" cm="1">
        <f t="array" ref="Z48">_xlfn.STDEV.P(IF(tbl_daily[CodeName]=Table3[[#This Row],[Athlete Name]],IF(tbl_daily[Academic Year]=$B$6,IF(tbl_daily[LatestRPE]&lt;&gt;"",tbl_daily[LatestRPE]))))</f>
        <v>1.7371676600978792</v>
      </c>
      <c r="AA48" s="23">
        <f>IFERROR(IF($B$5="",
AVERAGEIFS(tbl_daily[LatestDuration],tbl_daily[Date],$B$3,tbl_daily[CodeName],Table3[[#This Row],[Athlete Name]],tbl_daily[Academic Year],$B$6,tbl_daily[Ones],1),
AVERAGEIFS(tbl_daily[LatestDuration],tbl_daily[Date],"&lt;="&amp;$B$3,tbl_daily[Date],"&gt;="&amp;$B$3-$B$5,tbl_daily[CodeName],Table3[[#This Row],[Athlete Name]],tbl_daily[Academic Year],$B$6,tbl_daily[Ones],1)),"")</f>
        <v>82.5</v>
      </c>
      <c r="AB48" s="23">
        <f>IFERROR(AVERAGEIFS(tbl_daily[LatestDuration],tbl_daily[CodeName],Table3[[#This Row],[Athlete Name]],tbl_daily[Academic Year],$B$6,tbl_daily[Ones],1),"")</f>
        <v>78.84615384615384</v>
      </c>
      <c r="AC48" s="23" cm="1">
        <f t="array" ref="AC48">_xlfn.STDEV.P(IF(tbl_daily[CodeName]=Table3[[#This Row],[Athlete Name]],IF(tbl_daily[Academic Year]=$B$6,IF(tbl_daily[LatestDuration]&lt;&gt;"",tbl_daily[LatestDuration]))))</f>
        <v>6.8370726287042993</v>
      </c>
      <c r="AD48" s="23">
        <f>IFERROR(IF($B$5="",
AVERAGEIFS(tbl_daily[sRPE],tbl_daily[Date],$B$3,tbl_daily[CodeName],Table3[[#This Row],[Athlete Name]],tbl_daily[Academic Year],$B$6,tbl_daily[Ones],1),
AVERAGEIFS(tbl_daily[sRPE],tbl_daily[Date],"&lt;="&amp;$B$3,tbl_daily[Date],"&gt;="&amp;$B$3-$B$5,tbl_daily[CodeName],Table3[[#This Row],[Athlete Name]],tbl_daily[Academic Year],$B$6,tbl_daily[Ones],1)),"")</f>
        <v>465</v>
      </c>
      <c r="AE48" s="23">
        <f>IFERROR(AVERAGEIFS(tbl_daily[sRPE],tbl_daily[CodeName],Table3[[#This Row],[Athlete Name]],tbl_daily[Academic Year],$B$6,tbl_daily[Ones],1),"")</f>
        <v>517.30769230769226</v>
      </c>
      <c r="AF48" s="23" cm="1">
        <f t="array" ref="AF48">_xlfn.STDEV.P(IF(tbl_daily[CodeName]=Table3[[#This Row],[Athlete Name]],IF(tbl_daily[Academic Year]=$B$6,IF(tbl_daily[sRPE]&lt;&gt;"",tbl_daily[sRPE]))))</f>
        <v>146.76794064906295</v>
      </c>
      <c r="AG48" s="23">
        <f>IFERROR(IF($B$5="",
AVERAGEIFS(tbl_daily[Grades],tbl_daily[Date],$B$3,tbl_daily[CodeName],Table3[[#This Row],[Athlete Name]],tbl_daily[Academic Year],$B$6,tbl_daily[Ones],1),
AVERAGEIFS(tbl_daily[Grades],tbl_daily[Date],"&lt;="&amp;$B$3,tbl_daily[Date],"&gt;="&amp;$B$3-$B$5,tbl_daily[CodeName],Table3[[#This Row],[Athlete Name]],tbl_daily[Academic Year],$B$6,tbl_daily[Ones],1)),"")</f>
        <v>99</v>
      </c>
      <c r="AH48" s="11">
        <f>IFERROR(AVERAGEIFS(tbl_daily[Grades],tbl_daily[CodeName],Table3[[#This Row],[Athlete Name]],tbl_daily[Academic Year],$B$6,tbl_daily[Ones],1),"")</f>
        <v>95.25</v>
      </c>
      <c r="AI48" s="11" cm="1">
        <f t="array" ref="AI48">_xlfn.STDEV.P(IF(tbl_daily[CodeName]=Table3[[#This Row],[Athlete Name]],IF(tbl_daily[Academic Year]=$B$6,IF(tbl_daily[Grades]&lt;&gt;"",tbl_daily[Grades]))))</f>
        <v>5.3560713214071374</v>
      </c>
    </row>
    <row r="49" spans="1:36" ht="15.75" thickBot="1" x14ac:dyDescent="0.3">
      <c r="A49" s="9"/>
      <c r="B49" s="9"/>
      <c r="C49" s="9"/>
      <c r="D49" s="9"/>
      <c r="E49" s="9"/>
      <c r="F49" s="9"/>
      <c r="G49" s="9"/>
      <c r="H49" s="9"/>
      <c r="I49" s="9"/>
      <c r="L49" s="22"/>
      <c r="M49" s="22"/>
      <c r="N49" s="22"/>
      <c r="O49" s="22"/>
      <c r="P49" s="22"/>
      <c r="Q49" s="22"/>
      <c r="R49" s="22"/>
      <c r="S49" s="22"/>
      <c r="T49" s="22"/>
      <c r="U49" s="22"/>
      <c r="V49" s="22"/>
      <c r="W49" s="22"/>
      <c r="X49" s="22"/>
      <c r="Y49" s="22"/>
      <c r="Z49" s="22"/>
      <c r="AA49" s="22"/>
      <c r="AB49" s="22"/>
      <c r="AC49" s="22"/>
      <c r="AD49" s="22"/>
      <c r="AE49" s="22"/>
      <c r="AF49" s="22"/>
      <c r="AG49" s="22"/>
    </row>
    <row r="50" spans="1:36" x14ac:dyDescent="0.25">
      <c r="A50" s="79" t="s">
        <v>444</v>
      </c>
      <c r="B50" s="60"/>
      <c r="C50" s="60"/>
      <c r="D50" s="60"/>
      <c r="E50" s="60"/>
      <c r="F50" s="60"/>
      <c r="G50" s="60"/>
      <c r="H50" s="60"/>
      <c r="I50" s="60"/>
      <c r="J50" s="20"/>
      <c r="K50" s="20"/>
      <c r="L50" s="64">
        <f>IFERROR(IF($B$5="",
AVERAGEIFS(tbl_daily[Stress],tbl_daily[Date],$B$3,tbl_daily[Academic Year],$B$6,tbl_daily[Ones],1),
AVERAGEIFS(tbl_daily[Stress],tbl_daily[Date],"&lt;="&amp;$B$3,tbl_daily[Date],"&gt;="&amp;$B$3-$B$5,tbl_daily[Academic Year],$B$6,tbl_daily[Ones],1)),"")</f>
        <v>6.7627118644067794</v>
      </c>
      <c r="M50" s="65"/>
      <c r="N50" s="65"/>
      <c r="O50" s="64">
        <f>IFERROR(IF($B$5="",
AVERAGEIFS(tbl_daily[SleepQuality],tbl_daily[Date],$B$3,tbl_daily[Academic Year],$B$6,tbl_daily[Ones],1),
AVERAGEIFS(tbl_daily[SleepQuality],tbl_daily[Date],"&lt;="&amp;$B$3,tbl_daily[Date],"&gt;="&amp;$B$3-$B$5,tbl_daily[Academic Year],$B$6,tbl_daily[Ones],1)),"")</f>
        <v>6.4406779661016946</v>
      </c>
      <c r="P50" s="65"/>
      <c r="Q50" s="65"/>
      <c r="R50" s="64">
        <f>IFERROR(IF($B$5="",
AVERAGEIFS(tbl_daily[Energy],tbl_daily[Date],$B$3,tbl_daily[Academic Year],$B$6,tbl_daily[Ones],1),
AVERAGEIFS(tbl_daily[Energy],tbl_daily[Date],"&lt;="&amp;$B$3,tbl_daily[Date],"&gt;="&amp;$B$3-$B$5,tbl_daily[Academic Year],$B$6,tbl_daily[Ones],1)),"")</f>
        <v>6.4576271186440675</v>
      </c>
      <c r="S50" s="65"/>
      <c r="T50" s="65"/>
      <c r="U50" s="64">
        <f>IFERROR(IF($B$5="",
AVERAGEIFS(tbl_daily[Readiness Score],tbl_daily[Date],$B$3,tbl_daily[Academic Year],$B$6,tbl_daily[Ones],1),
AVERAGEIFS(tbl_daily[Readiness Score],tbl_daily[Date],"&lt;="&amp;$B$3,tbl_daily[Date],"&gt;="&amp;$B$3-$B$5,tbl_daily[Academic Year],$B$6,tbl_daily[Ones],1)),"")</f>
        <v>19.661016949152543</v>
      </c>
      <c r="V50" s="65"/>
      <c r="W50" s="65"/>
      <c r="X50" s="64">
        <f>IFERROR(IF($B$5="",
AVERAGEIFS(tbl_daily[LatestRPE],tbl_daily[Date],$B$3,tbl_daily[Academic Year],$B$6,tbl_daily[Ones],1),
AVERAGEIFS(tbl_daily[LatestRPE],tbl_daily[Date],"&lt;="&amp;$B$3,tbl_daily[Date],"&gt;="&amp;$B$3-$B$5,tbl_daily[Academic Year],$B$6,tbl_daily[Ones],1)),"")</f>
        <v>4.4576271186440675</v>
      </c>
      <c r="Y50" s="65"/>
      <c r="Z50" s="65"/>
      <c r="AA50" s="64">
        <f>IFERROR(IF($B$5="",
AVERAGEIFS(tbl_daily[LatestDuration],tbl_daily[Date],$B$3,tbl_daily[Academic Year],$B$6,tbl_daily[Ones],1),
AVERAGEIFS(tbl_daily[LatestDuration],tbl_daily[Date],"&lt;="&amp;$B$3,tbl_daily[Date],"&gt;="&amp;$B$3-$B$5,tbl_daily[Academic Year],$B$6,tbl_daily[Ones],1)),"")</f>
        <v>44.745762711864408</v>
      </c>
      <c r="AB50" s="65"/>
      <c r="AC50" s="65"/>
      <c r="AD50" s="64">
        <f>IFERROR(IF($B$5="",
AVERAGEIFS(tbl_daily[sRPE],tbl_daily[Date],$B$3,tbl_daily[Academic Year],$B$6,tbl_daily[Ones],1),
AVERAGEIFS(tbl_daily[sRPE],tbl_daily[Date],"&lt;="&amp;$B$3,tbl_daily[Date],"&gt;="&amp;$B$3-$B$5,tbl_daily[Academic Year],$B$6,tbl_daily[Ones],1)),"")</f>
        <v>293.89830508474574</v>
      </c>
      <c r="AE50" s="65"/>
      <c r="AF50" s="65"/>
      <c r="AG50" s="66">
        <f>IFERROR(IF($B$5="",
AVERAGEIFS(tbl_daily[Grades],tbl_daily[Date],$B$3,tbl_daily[Academic Year],$B$6,tbl_daily[Ones],1),
AVERAGEIFS(tbl_daily[Grades],tbl_daily[Date],"&lt;="&amp;$B$3,tbl_daily[Date],"&gt;="&amp;$B$3-$B$5,tbl_daily[Academic Year],$B$6,tbl_daily[Ones],1)),"")</f>
        <v>87.1875</v>
      </c>
    </row>
    <row r="51" spans="1:36" x14ac:dyDescent="0.25">
      <c r="A51" s="80" t="s">
        <v>340</v>
      </c>
      <c r="B51" s="61"/>
      <c r="C51" s="61"/>
      <c r="D51" s="61"/>
      <c r="E51" s="61"/>
      <c r="F51" s="61"/>
      <c r="G51" s="61"/>
      <c r="H51" s="61"/>
      <c r="I51" s="61"/>
      <c r="J51" s="19"/>
      <c r="K51" s="19"/>
      <c r="L51" s="67">
        <f>IFERROR(IF($B$5="",
AVERAGEIFS(tbl_daily[Stress],tbl_daily[Date],$B$3,tbl_daily[Cohort of Interest],$A51,tbl_daily[Academic Year],$B$6,tbl_daily[Ones],1),
AVERAGEIFS(tbl_daily[Stress],tbl_daily[Date],"&lt;="&amp;$B$3,tbl_daily[Date],"&gt;="&amp;$B$3-$B$5,tbl_daily[Cohort of Interest],$A51,tbl_daily[Academic Year],$B$6,tbl_daily[Ones],1)),"")</f>
        <v>6.2</v>
      </c>
      <c r="M51" s="68"/>
      <c r="N51" s="68"/>
      <c r="O51" s="67">
        <f>IFERROR(IF($B$5="",
AVERAGEIFS(tbl_daily[SleepQuality],tbl_daily[Date],$B$3,tbl_daily[Cohort of Interest],$A51,tbl_daily[Academic Year],$B$6,tbl_daily[Ones],1),
AVERAGEIFS(tbl_daily[SleepQuality],tbl_daily[Date],"&lt;="&amp;$B$3,tbl_daily[Date],"&gt;="&amp;$B$3-$B$5,tbl_daily[Cohort of Interest],$A51,tbl_daily[Academic Year],$B$6,tbl_daily[Ones],1)),"")</f>
        <v>5.5</v>
      </c>
      <c r="P51" s="68"/>
      <c r="Q51" s="68"/>
      <c r="R51" s="67">
        <f>IFERROR(IF($B$5="",
AVERAGEIFS(tbl_daily[Energy],tbl_daily[Date],$B$3,tbl_daily[Cohort of Interest],$A51,tbl_daily[Academic Year],$B$6,tbl_daily[Ones],1),
AVERAGEIFS(tbl_daily[Energy],tbl_daily[Date],"&lt;="&amp;$B$3,tbl_daily[Date],"&gt;="&amp;$B$3-$B$5,tbl_daily[Cohort of Interest],$A51,tbl_daily[Academic Year],$B$6,tbl_daily[Ones],1)),"")</f>
        <v>5.2</v>
      </c>
      <c r="S51" s="68"/>
      <c r="T51" s="68"/>
      <c r="U51" s="67">
        <f>IFERROR(IF($B$5="",
AVERAGEIFS(tbl_daily[Readiness Score],tbl_daily[Date],$B$3,tbl_daily[Cohort of Interest],$A51,tbl_daily[Academic Year],$B$6,tbl_daily[Ones],1),
AVERAGEIFS(tbl_daily[Readiness Score],tbl_daily[Date],"&lt;="&amp;$B$3,tbl_daily[Date],"&gt;="&amp;$B$3-$B$5,tbl_daily[Cohort of Interest],$A51,tbl_daily[Academic Year],$B$6,tbl_daily[Ones],1)),"")</f>
        <v>16.899999999999999</v>
      </c>
      <c r="V51" s="68"/>
      <c r="W51" s="68"/>
      <c r="X51" s="67">
        <f>IFERROR(IF($B$5="",
AVERAGEIFS(tbl_daily[LatestRPE],tbl_daily[Date],$B$3,tbl_daily[Cohort of Interest],$A51,tbl_daily[Academic Year],$B$6,tbl_daily[Ones],1),
AVERAGEIFS(tbl_daily[LatestRPE],tbl_daily[Date],"&lt;="&amp;$B$3,tbl_daily[Date],"&gt;="&amp;$B$3-$B$5,tbl_daily[Cohort of Interest],$A51,tbl_daily[Academic Year],$B$6,tbl_daily[Ones],1)),"")</f>
        <v>3.6</v>
      </c>
      <c r="Y51" s="68"/>
      <c r="Z51" s="68"/>
      <c r="AA51" s="67">
        <f>IFERROR(IF($B$5="",
AVERAGEIFS(tbl_daily[LatestDuration],tbl_daily[Date],$B$3,tbl_daily[Cohort of Interest],$A51,tbl_daily[Academic Year],$B$6,tbl_daily[Ones],1),
AVERAGEIFS(tbl_daily[LatestDuration],tbl_daily[Date],"&lt;="&amp;$B$3,tbl_daily[Date],"&gt;="&amp;$B$3-$B$5,tbl_daily[Cohort of Interest],$A51,tbl_daily[Academic Year],$B$6,tbl_daily[Ones],1)),"")</f>
        <v>20.5</v>
      </c>
      <c r="AB51" s="68"/>
      <c r="AC51" s="68"/>
      <c r="AD51" s="67">
        <f>IFERROR(IF($B$5="",
AVERAGEIFS(tbl_daily[sRPE],tbl_daily[Date],$B$3,tbl_daily[Cohort of Interest],$A51,tbl_daily[Academic Year],$B$6,tbl_daily[Ones],1),
AVERAGEIFS(tbl_daily[sRPE],tbl_daily[Date],"&lt;="&amp;$B$3,tbl_daily[Date],"&gt;="&amp;$B$3-$B$5,tbl_daily[Cohort of Interest],$A51,tbl_daily[Academic Year],$B$6,tbl_daily[Ones],1)),"")</f>
        <v>126.5</v>
      </c>
      <c r="AE51" s="68"/>
      <c r="AF51" s="68"/>
      <c r="AG51" s="69">
        <f>IFERROR(IF($B$5="",
AVERAGEIFS(tbl_daily[Grades],tbl_daily[Date],$B$3,tbl_daily[Cohort of Interest],$A51,tbl_daily[Academic Year],$B$6,tbl_daily[Ones],1),
AVERAGEIFS(tbl_daily[Grades],tbl_daily[Date],"&lt;="&amp;$B$3,tbl_daily[Date],"&gt;="&amp;$B$3-$B$5,tbl_daily[Cohort of Interest],$A51,tbl_daily[Academic Year],$B$6,tbl_daily[Ones],1)),"")</f>
        <v>85</v>
      </c>
    </row>
    <row r="52" spans="1:36" x14ac:dyDescent="0.25">
      <c r="A52" s="81" t="s">
        <v>72</v>
      </c>
      <c r="B52" s="62"/>
      <c r="C52" s="62"/>
      <c r="D52" s="62"/>
      <c r="E52" s="62"/>
      <c r="F52" s="62"/>
      <c r="G52" s="62"/>
      <c r="H52" s="62"/>
      <c r="I52" s="62"/>
      <c r="J52" s="17"/>
      <c r="K52" s="17"/>
      <c r="L52" s="70">
        <f>IFERROR(IF($B$5="",
AVERAGEIFS(tbl_daily[Stress],tbl_daily[Date],$B$3,tbl_daily[Cohort of Interest],$A52,tbl_daily[Academic Year],$B$6,tbl_daily[Ones],1),
AVERAGEIFS(tbl_daily[Stress],tbl_daily[Date],"&lt;="&amp;$B$3,tbl_daily[Date],"&gt;="&amp;$B$3-$B$5,tbl_daily[Cohort of Interest],$A52,tbl_daily[Academic Year],$B$6,tbl_daily[Ones],1)),"")</f>
        <v>6.1904761904761907</v>
      </c>
      <c r="M52" s="71"/>
      <c r="N52" s="71"/>
      <c r="O52" s="70">
        <f>IFERROR(IF($B$5="",
AVERAGEIFS(tbl_daily[SleepQuality],tbl_daily[Date],$B$3,tbl_daily[Cohort of Interest],$A52,tbl_daily[Academic Year],$B$6,tbl_daily[Ones],1),
AVERAGEIFS(tbl_daily[SleepQuality],tbl_daily[Date],"&lt;="&amp;$B$3,tbl_daily[Date],"&gt;="&amp;$B$3-$B$5,tbl_daily[Cohort of Interest],$A52,tbl_daily[Academic Year],$B$6,tbl_daily[Ones],1)),"")</f>
        <v>6.6190476190476186</v>
      </c>
      <c r="P52" s="71"/>
      <c r="Q52" s="71"/>
      <c r="R52" s="70">
        <f>IFERROR(IF($B$5="",
AVERAGEIFS(tbl_daily[Energy],tbl_daily[Date],$B$3,tbl_daily[Cohort of Interest],$A52,tbl_daily[Academic Year],$B$6,tbl_daily[Ones],1),
AVERAGEIFS(tbl_daily[Energy],tbl_daily[Date],"&lt;="&amp;$B$3,tbl_daily[Date],"&gt;="&amp;$B$3-$B$5,tbl_daily[Cohort of Interest],$A52,tbl_daily[Academic Year],$B$6,tbl_daily[Ones],1)),"")</f>
        <v>6.2857142857142856</v>
      </c>
      <c r="S52" s="71"/>
      <c r="T52" s="71"/>
      <c r="U52" s="70">
        <f>IFERROR(IF($B$5="",
AVERAGEIFS(tbl_daily[Readiness Score],tbl_daily[Date],$B$3,tbl_daily[Cohort of Interest],$A52,tbl_daily[Academic Year],$B$6,tbl_daily[Ones],1),
AVERAGEIFS(tbl_daily[Readiness Score],tbl_daily[Date],"&lt;="&amp;$B$3,tbl_daily[Date],"&gt;="&amp;$B$3-$B$5,tbl_daily[Cohort of Interest],$A52,tbl_daily[Academic Year],$B$6,tbl_daily[Ones],1)),"")</f>
        <v>19.095238095238095</v>
      </c>
      <c r="V52" s="71"/>
      <c r="W52" s="71"/>
      <c r="X52" s="70">
        <f>IFERROR(IF($B$5="",
AVERAGEIFS(tbl_daily[LatestRPE],tbl_daily[Date],$B$3,tbl_daily[Cohort of Interest],$A52,tbl_daily[Academic Year],$B$6,tbl_daily[Ones],1),
AVERAGEIFS(tbl_daily[LatestRPE],tbl_daily[Date],"&lt;="&amp;$B$3,tbl_daily[Date],"&gt;="&amp;$B$3-$B$5,tbl_daily[Cohort of Interest],$A52,tbl_daily[Academic Year],$B$6,tbl_daily[Ones],1)),"")</f>
        <v>4.666666666666667</v>
      </c>
      <c r="Y52" s="71"/>
      <c r="Z52" s="71"/>
      <c r="AA52" s="70">
        <f>IFERROR(IF($B$5="",
AVERAGEIFS(tbl_daily[LatestDuration],tbl_daily[Date],$B$3,tbl_daily[Cohort of Interest],$A52,tbl_daily[Academic Year],$B$6,tbl_daily[Ones],1),
AVERAGEIFS(tbl_daily[LatestDuration],tbl_daily[Date],"&lt;="&amp;$B$3,tbl_daily[Date],"&gt;="&amp;$B$3-$B$5,tbl_daily[Cohort of Interest],$A52,tbl_daily[Academic Year],$B$6,tbl_daily[Ones],1)),"")</f>
        <v>54.523809523809526</v>
      </c>
      <c r="AB52" s="71"/>
      <c r="AC52" s="71"/>
      <c r="AD52" s="70">
        <f>IFERROR(IF($B$5="",
AVERAGEIFS(tbl_daily[sRPE],tbl_daily[Date],$B$3,tbl_daily[Cohort of Interest],$A52,tbl_daily[Academic Year],$B$6,tbl_daily[Ones],1),
AVERAGEIFS(tbl_daily[sRPE],tbl_daily[Date],"&lt;="&amp;$B$3,tbl_daily[Date],"&gt;="&amp;$B$3-$B$5,tbl_daily[Cohort of Interest],$A52,tbl_daily[Academic Year],$B$6,tbl_daily[Ones],1)),"")</f>
        <v>367.85714285714283</v>
      </c>
      <c r="AE52" s="71"/>
      <c r="AF52" s="71"/>
      <c r="AG52" s="72">
        <f>IFERROR(IF($B$5="",
AVERAGEIFS(tbl_daily[Grades],tbl_daily[Date],$B$3,tbl_daily[Cohort of Interest],$A52,tbl_daily[Academic Year],$B$6,tbl_daily[Ones],1),
AVERAGEIFS(tbl_daily[Grades],tbl_daily[Date],"&lt;="&amp;$B$3,tbl_daily[Date],"&gt;="&amp;$B$3-$B$5,tbl_daily[Cohort of Interest],$A52,tbl_daily[Academic Year],$B$6,tbl_daily[Ones],1)),"")</f>
        <v>88.166666666666671</v>
      </c>
    </row>
    <row r="53" spans="1:36" x14ac:dyDescent="0.25">
      <c r="A53" s="80" t="s">
        <v>338</v>
      </c>
      <c r="B53" s="61"/>
      <c r="C53" s="61"/>
      <c r="D53" s="61"/>
      <c r="E53" s="61"/>
      <c r="F53" s="61"/>
      <c r="G53" s="61"/>
      <c r="H53" s="61"/>
      <c r="I53" s="61"/>
      <c r="J53" s="19"/>
      <c r="K53" s="19"/>
      <c r="L53" s="67">
        <f>IFERROR(IF($B$5="",
AVERAGEIFS(tbl_daily[Stress],tbl_daily[Date],$B$3,tbl_daily[Cohort of Interest],$A53,tbl_daily[Academic Year],$B$6,tbl_daily[Ones],1),
AVERAGEIFS(tbl_daily[Stress],tbl_daily[Date],"&lt;="&amp;$B$3,tbl_daily[Date],"&gt;="&amp;$B$3-$B$5,tbl_daily[Cohort of Interest],$A53,tbl_daily[Academic Year],$B$6,tbl_daily[Ones],1)),"")</f>
        <v>7</v>
      </c>
      <c r="M53" s="68"/>
      <c r="N53" s="68"/>
      <c r="O53" s="67">
        <f>IFERROR(IF($B$5="",
AVERAGEIFS(tbl_daily[SleepQuality],tbl_daily[Date],$B$3,tbl_daily[Cohort of Interest],$A53,tbl_daily[Academic Year],$B$6,tbl_daily[Ones],1),
AVERAGEIFS(tbl_daily[SleepQuality],tbl_daily[Date],"&lt;="&amp;$B$3,tbl_daily[Date],"&gt;="&amp;$B$3-$B$5,tbl_daily[Cohort of Interest],$A53,tbl_daily[Academic Year],$B$6,tbl_daily[Ones],1)),"")</f>
        <v>5.7</v>
      </c>
      <c r="P53" s="68"/>
      <c r="Q53" s="68"/>
      <c r="R53" s="67">
        <f>IFERROR(IF($B$5="",
AVERAGEIFS(tbl_daily[Energy],tbl_daily[Date],$B$3,tbl_daily[Cohort of Interest],$A53,tbl_daily[Academic Year],$B$6,tbl_daily[Ones],1),
AVERAGEIFS(tbl_daily[Energy],tbl_daily[Date],"&lt;="&amp;$B$3,tbl_daily[Date],"&gt;="&amp;$B$3-$B$5,tbl_daily[Cohort of Interest],$A53,tbl_daily[Academic Year],$B$6,tbl_daily[Ones],1)),"")</f>
        <v>6.5</v>
      </c>
      <c r="S53" s="68"/>
      <c r="T53" s="68"/>
      <c r="U53" s="67">
        <f>IFERROR(IF($B$5="",
AVERAGEIFS(tbl_daily[Readiness Score],tbl_daily[Date],$B$3,tbl_daily[Cohort of Interest],$A53,tbl_daily[Academic Year],$B$6,tbl_daily[Ones],1),
AVERAGEIFS(tbl_daily[Readiness Score],tbl_daily[Date],"&lt;="&amp;$B$3,tbl_daily[Date],"&gt;="&amp;$B$3-$B$5,tbl_daily[Cohort of Interest],$A53,tbl_daily[Academic Year],$B$6,tbl_daily[Ones],1)),"")</f>
        <v>19.2</v>
      </c>
      <c r="V53" s="68"/>
      <c r="W53" s="68"/>
      <c r="X53" s="67">
        <f>IFERROR(IF($B$5="",
AVERAGEIFS(tbl_daily[LatestRPE],tbl_daily[Date],$B$3,tbl_daily[Cohort of Interest],$A53,tbl_daily[Academic Year],$B$6,tbl_daily[Ones],1),
AVERAGEIFS(tbl_daily[LatestRPE],tbl_daily[Date],"&lt;="&amp;$B$3,tbl_daily[Date],"&gt;="&amp;$B$3-$B$5,tbl_daily[Cohort of Interest],$A53,tbl_daily[Academic Year],$B$6,tbl_daily[Ones],1)),"")</f>
        <v>3.4</v>
      </c>
      <c r="Y53" s="68"/>
      <c r="Z53" s="68"/>
      <c r="AA53" s="67">
        <f>IFERROR(IF($B$5="",
AVERAGEIFS(tbl_daily[LatestDuration],tbl_daily[Date],$B$3,tbl_daily[Cohort of Interest],$A53,tbl_daily[Academic Year],$B$6,tbl_daily[Ones],1),
AVERAGEIFS(tbl_daily[LatestDuration],tbl_daily[Date],"&lt;="&amp;$B$3,tbl_daily[Date],"&gt;="&amp;$B$3-$B$5,tbl_daily[Cohort of Interest],$A53,tbl_daily[Academic Year],$B$6,tbl_daily[Ones],1)),"")</f>
        <v>37</v>
      </c>
      <c r="AB53" s="68"/>
      <c r="AC53" s="68"/>
      <c r="AD53" s="67">
        <f>IFERROR(IF($B$5="",
AVERAGEIFS(tbl_daily[sRPE],tbl_daily[Date],$B$3,tbl_daily[Cohort of Interest],$A53,tbl_daily[Academic Year],$B$6,tbl_daily[Ones],1),
AVERAGEIFS(tbl_daily[sRPE],tbl_daily[Date],"&lt;="&amp;$B$3,tbl_daily[Date],"&gt;="&amp;$B$3-$B$5,tbl_daily[Cohort of Interest],$A53,tbl_daily[Academic Year],$B$6,tbl_daily[Ones],1)),"")</f>
        <v>230</v>
      </c>
      <c r="AE53" s="68"/>
      <c r="AF53" s="68"/>
      <c r="AG53" s="69">
        <f>IFERROR(IF($B$5="",
AVERAGEIFS(tbl_daily[Grades],tbl_daily[Date],$B$3,tbl_daily[Cohort of Interest],$A53,tbl_daily[Academic Year],$B$6,tbl_daily[Ones],1),
AVERAGEIFS(tbl_daily[Grades],tbl_daily[Date],"&lt;="&amp;$B$3,tbl_daily[Date],"&gt;="&amp;$B$3-$B$5,tbl_daily[Cohort of Interest],$A53,tbl_daily[Academic Year],$B$6,tbl_daily[Ones],1)),"")</f>
        <v>88</v>
      </c>
    </row>
    <row r="54" spans="1:36" ht="15.75" thickBot="1" x14ac:dyDescent="0.3">
      <c r="A54" s="82" t="s">
        <v>339</v>
      </c>
      <c r="B54" s="63"/>
      <c r="C54" s="63"/>
      <c r="D54" s="63"/>
      <c r="E54" s="63"/>
      <c r="F54" s="63"/>
      <c r="G54" s="63"/>
      <c r="H54" s="63"/>
      <c r="I54" s="63"/>
      <c r="J54" s="18"/>
      <c r="K54" s="18"/>
      <c r="L54" s="73">
        <f>IFERROR(IF($B$5="",
AVERAGEIFS(tbl_daily[Stress],tbl_daily[Date],$B$3,tbl_daily[Cohort of Interest],$A54,tbl_daily[Academic Year],$B$6,tbl_daily[Ones],1),
AVERAGEIFS(tbl_daily[Stress],tbl_daily[Date],"&lt;="&amp;$B$3,tbl_daily[Date],"&gt;="&amp;$B$3-$B$5,tbl_daily[Cohort of Interest],$A54,tbl_daily[Academic Year],$B$6,tbl_daily[Ones],1)),"")</f>
        <v>7.625</v>
      </c>
      <c r="M54" s="74"/>
      <c r="N54" s="74"/>
      <c r="O54" s="73">
        <f>IFERROR(IF($B$5="",
AVERAGEIFS(tbl_daily[SleepQuality],tbl_daily[Date],$B$3,tbl_daily[Cohort of Interest],$A54,tbl_daily[Academic Year],$B$6,tbl_daily[Ones],1),
AVERAGEIFS(tbl_daily[SleepQuality],tbl_daily[Date],"&lt;="&amp;$B$3,tbl_daily[Date],"&gt;="&amp;$B$3-$B$5,tbl_daily[Cohort of Interest],$A54,tbl_daily[Academic Year],$B$6,tbl_daily[Ones],1)),"")</f>
        <v>7.0625</v>
      </c>
      <c r="P54" s="74"/>
      <c r="Q54" s="74"/>
      <c r="R54" s="73">
        <f>IFERROR(IF($B$5="",
AVERAGEIFS(tbl_daily[Energy],tbl_daily[Date],$B$3,tbl_daily[Cohort of Interest],$A54,tbl_daily[Academic Year],$B$6,tbl_daily[Ones],1),
AVERAGEIFS(tbl_daily[Energy],tbl_daily[Date],"&lt;="&amp;$B$3,tbl_daily[Date],"&gt;="&amp;$B$3-$B$5,tbl_daily[Cohort of Interest],$A54,tbl_daily[Academic Year],$B$6,tbl_daily[Ones],1)),"")</f>
        <v>7.1875</v>
      </c>
      <c r="S54" s="74"/>
      <c r="T54" s="74"/>
      <c r="U54" s="73">
        <f>IFERROR(IF($B$5="",
AVERAGEIFS(tbl_daily[Readiness Score],tbl_daily[Date],$B$3,tbl_daily[Cohort of Interest],$A54,tbl_daily[Academic Year],$B$6,tbl_daily[Ones],1),
AVERAGEIFS(tbl_daily[Readiness Score],tbl_daily[Date],"&lt;="&amp;$B$3,tbl_daily[Date],"&gt;="&amp;$B$3-$B$5,tbl_daily[Cohort of Interest],$A54,tbl_daily[Academic Year],$B$6,tbl_daily[Ones],1)),"")</f>
        <v>21.875</v>
      </c>
      <c r="V54" s="74"/>
      <c r="W54" s="74"/>
      <c r="X54" s="73">
        <f>IFERROR(IF($B$5="",
AVERAGEIFS(tbl_daily[LatestRPE],tbl_daily[Date],$B$3,tbl_daily[Cohort of Interest],$A54,tbl_daily[Academic Year],$B$6,tbl_daily[Ones],1),
AVERAGEIFS(tbl_daily[LatestRPE],tbl_daily[Date],"&lt;="&amp;$B$3,tbl_daily[Date],"&gt;="&amp;$B$3-$B$5,tbl_daily[Cohort of Interest],$A54,tbl_daily[Academic Year],$B$6,tbl_daily[Ones],1)),"")</f>
        <v>5.1875</v>
      </c>
      <c r="Y54" s="74"/>
      <c r="Z54" s="74"/>
      <c r="AA54" s="73">
        <f>IFERROR(IF($B$5="",
AVERAGEIFS(tbl_daily[LatestDuration],tbl_daily[Date],$B$3,tbl_daily[Cohort of Interest],$A54,tbl_daily[Academic Year],$B$6,tbl_daily[Ones],1),
AVERAGEIFS(tbl_daily[LatestDuration],tbl_daily[Date],"&lt;="&amp;$B$3,tbl_daily[Date],"&gt;="&amp;$B$3-$B$5,tbl_daily[Cohort of Interest],$A54,tbl_daily[Academic Year],$B$6,tbl_daily[Ones],1)),"")</f>
        <v>51.25</v>
      </c>
      <c r="AB54" s="74"/>
      <c r="AC54" s="74"/>
      <c r="AD54" s="73">
        <f>IFERROR(IF($B$5="",
AVERAGEIFS(tbl_daily[sRPE],tbl_daily[Date],$B$3,tbl_daily[Cohort of Interest],$A54,tbl_daily[Academic Year],$B$6,tbl_daily[Ones],1),
AVERAGEIFS(tbl_daily[sRPE],tbl_daily[Date],"&lt;="&amp;$B$3,tbl_daily[Date],"&gt;="&amp;$B$3-$B$5,tbl_daily[Cohort of Interest],$A54,tbl_daily[Academic Year],$B$6,tbl_daily[Ones],1)),"")</f>
        <v>341.875</v>
      </c>
      <c r="AE54" s="74"/>
      <c r="AF54" s="74"/>
      <c r="AG54" s="75">
        <f>IFERROR(IF($B$5="",
AVERAGEIFS(tbl_daily[Grades],tbl_daily[Date],$B$3,tbl_daily[Cohort of Interest],$A54,tbl_daily[Academic Year],$B$6,tbl_daily[Ones],1),
AVERAGEIFS(tbl_daily[Grades],tbl_daily[Date],"&lt;="&amp;$B$3,tbl_daily[Date],"&gt;="&amp;$B$3-$B$5,tbl_daily[Cohort of Interest],$A54,tbl_daily[Academic Year],$B$6,tbl_daily[Ones],1)),"")</f>
        <v>86.75</v>
      </c>
    </row>
    <row r="55" spans="1:36" ht="15.75" customHeight="1" thickBot="1" x14ac:dyDescent="0.3"/>
    <row r="56" spans="1:36" ht="15" customHeight="1" x14ac:dyDescent="0.25">
      <c r="A56" s="129" t="s">
        <v>458</v>
      </c>
      <c r="B56" s="40"/>
      <c r="C56" s="30"/>
      <c r="D56" s="30"/>
      <c r="E56" s="30"/>
      <c r="F56" s="30"/>
      <c r="G56" s="30"/>
      <c r="H56" s="30"/>
      <c r="I56" s="30"/>
      <c r="J56" s="30"/>
      <c r="K56" s="30"/>
      <c r="L56" s="30"/>
      <c r="M56" s="30"/>
      <c r="N56" s="30"/>
      <c r="O56" s="31"/>
      <c r="P56" s="30"/>
      <c r="Q56" s="30"/>
      <c r="R56" s="96"/>
      <c r="S56" s="96"/>
      <c r="T56" s="96"/>
      <c r="U56" s="96"/>
      <c r="V56" s="96"/>
      <c r="W56" s="96"/>
      <c r="X56" s="96"/>
      <c r="Y56" s="96"/>
      <c r="Z56" s="96"/>
      <c r="AA56" s="96"/>
      <c r="AB56" s="96"/>
      <c r="AC56" s="96"/>
      <c r="AD56" s="96"/>
      <c r="AE56" s="96"/>
      <c r="AF56" s="96"/>
      <c r="AG56" s="97"/>
    </row>
    <row r="57" spans="1:36" s="21" customFormat="1" ht="15.75" customHeight="1" x14ac:dyDescent="0.25">
      <c r="A57" s="130"/>
      <c r="B57" s="41"/>
      <c r="C57" s="32"/>
      <c r="D57" s="32"/>
      <c r="E57" s="32"/>
      <c r="F57" s="32"/>
      <c r="G57" s="32"/>
      <c r="H57" s="32"/>
      <c r="I57" s="32"/>
      <c r="J57" s="32"/>
      <c r="K57" s="32"/>
      <c r="L57" s="32"/>
      <c r="M57" s="32"/>
      <c r="N57" s="32"/>
      <c r="O57" s="33"/>
      <c r="P57" s="32"/>
      <c r="Q57" s="32"/>
      <c r="R57" s="98"/>
      <c r="S57" s="98"/>
      <c r="T57" s="98"/>
      <c r="U57" s="98"/>
      <c r="V57" s="98"/>
      <c r="W57" s="98"/>
      <c r="X57" s="98"/>
      <c r="Y57" s="98"/>
      <c r="Z57" s="98"/>
      <c r="AA57" s="98"/>
      <c r="AB57" s="98"/>
      <c r="AC57" s="98"/>
      <c r="AD57" s="98"/>
      <c r="AE57" s="98"/>
      <c r="AF57" s="98"/>
      <c r="AG57" s="99"/>
      <c r="AJ57" s="56"/>
    </row>
    <row r="58" spans="1:36" ht="15.75" customHeight="1" thickBot="1" x14ac:dyDescent="0.3">
      <c r="A58" s="131"/>
      <c r="B58" s="36"/>
      <c r="C58" s="34"/>
      <c r="D58" s="34"/>
      <c r="E58" s="34"/>
      <c r="F58" s="34"/>
      <c r="G58" s="34"/>
      <c r="H58" s="34"/>
      <c r="I58" s="34"/>
      <c r="J58" s="34"/>
      <c r="K58" s="34"/>
      <c r="L58" s="34"/>
      <c r="M58" s="34"/>
      <c r="N58" s="34"/>
      <c r="O58" s="35"/>
      <c r="P58" s="34"/>
      <c r="Q58" s="34"/>
      <c r="R58" s="100"/>
      <c r="S58" s="100"/>
      <c r="T58" s="100"/>
      <c r="U58" s="100"/>
      <c r="V58" s="100"/>
      <c r="W58" s="100"/>
      <c r="X58" s="100"/>
      <c r="Y58" s="100"/>
      <c r="Z58" s="100"/>
      <c r="AA58" s="100"/>
      <c r="AB58" s="100"/>
      <c r="AC58" s="100"/>
      <c r="AD58" s="100"/>
      <c r="AE58" s="100"/>
      <c r="AF58" s="100"/>
      <c r="AG58" s="101"/>
    </row>
    <row r="59" spans="1:36" ht="15.75" customHeight="1" x14ac:dyDescent="0.25">
      <c r="A59" s="127" t="s">
        <v>443</v>
      </c>
      <c r="B59" s="36"/>
      <c r="C59" s="34"/>
      <c r="D59" s="34"/>
      <c r="E59" s="34"/>
      <c r="F59" s="34"/>
      <c r="G59" s="34"/>
      <c r="H59" s="34"/>
      <c r="I59" s="34"/>
      <c r="J59" s="34"/>
      <c r="K59" s="34"/>
      <c r="L59" s="34"/>
      <c r="M59" s="34"/>
      <c r="N59" s="34"/>
      <c r="O59" s="35"/>
      <c r="P59" s="34"/>
      <c r="Q59" s="34"/>
      <c r="R59" s="100"/>
      <c r="S59" s="100"/>
      <c r="T59" s="100"/>
      <c r="U59" s="100"/>
      <c r="V59" s="100"/>
      <c r="W59" s="100"/>
      <c r="X59" s="100"/>
      <c r="Y59" s="100"/>
      <c r="Z59" s="100"/>
      <c r="AA59" s="100"/>
      <c r="AB59" s="100"/>
      <c r="AC59" s="100"/>
      <c r="AD59" s="100"/>
      <c r="AE59" s="100"/>
      <c r="AF59" s="100"/>
      <c r="AG59" s="101"/>
    </row>
    <row r="60" spans="1:36" ht="15.75" customHeight="1" x14ac:dyDescent="0.25">
      <c r="A60" s="128"/>
      <c r="B60" s="36"/>
      <c r="C60" s="34"/>
      <c r="D60" s="34"/>
      <c r="E60" s="34"/>
      <c r="F60" s="34"/>
      <c r="G60" s="34"/>
      <c r="H60" s="34"/>
      <c r="I60" s="34"/>
      <c r="J60" s="34"/>
      <c r="K60" s="34"/>
      <c r="L60" s="34"/>
      <c r="M60" s="34"/>
      <c r="N60" s="34"/>
      <c r="O60" s="35"/>
      <c r="P60" s="34"/>
      <c r="Q60" s="34"/>
      <c r="R60" s="100"/>
      <c r="S60" s="100"/>
      <c r="T60" s="100"/>
      <c r="U60" s="100"/>
      <c r="V60" s="100"/>
      <c r="W60" s="100"/>
      <c r="X60" s="100"/>
      <c r="Y60" s="100"/>
      <c r="Z60" s="100"/>
      <c r="AA60" s="100"/>
      <c r="AB60" s="100"/>
      <c r="AC60" s="100"/>
      <c r="AD60" s="100"/>
      <c r="AE60" s="100"/>
      <c r="AF60" s="100"/>
      <c r="AG60" s="101"/>
    </row>
    <row r="61" spans="1:36" ht="15.75" customHeight="1" x14ac:dyDescent="0.25">
      <c r="A61" s="125" t="s">
        <v>452</v>
      </c>
      <c r="B61" s="36"/>
      <c r="C61" s="34"/>
      <c r="D61" s="34"/>
      <c r="E61" s="34"/>
      <c r="F61" s="34"/>
      <c r="G61" s="34"/>
      <c r="H61" s="34"/>
      <c r="I61" s="34"/>
      <c r="J61" s="34"/>
      <c r="K61" s="34"/>
      <c r="L61" s="34"/>
      <c r="M61" s="34"/>
      <c r="N61" s="34"/>
      <c r="O61" s="35"/>
      <c r="P61" s="34"/>
      <c r="Q61" s="34"/>
      <c r="R61" s="100"/>
      <c r="S61" s="100"/>
      <c r="T61" s="100"/>
      <c r="U61" s="100"/>
      <c r="V61" s="100"/>
      <c r="W61" s="100"/>
      <c r="X61" s="100"/>
      <c r="Y61" s="100"/>
      <c r="Z61" s="100"/>
      <c r="AA61" s="100"/>
      <c r="AB61" s="100"/>
      <c r="AC61" s="100"/>
      <c r="AD61" s="100"/>
      <c r="AE61" s="100"/>
      <c r="AF61" s="100"/>
      <c r="AG61" s="101"/>
    </row>
    <row r="62" spans="1:36" ht="15.75" customHeight="1" thickBot="1" x14ac:dyDescent="0.3">
      <c r="A62" s="126"/>
      <c r="B62" s="36"/>
      <c r="C62" s="34"/>
      <c r="D62" s="34"/>
      <c r="E62" s="34"/>
      <c r="F62" s="34"/>
      <c r="G62" s="34"/>
      <c r="H62" s="34"/>
      <c r="I62" s="34"/>
      <c r="J62" s="34"/>
      <c r="K62" s="34"/>
      <c r="L62" s="34"/>
      <c r="M62" s="34"/>
      <c r="N62" s="34"/>
      <c r="O62" s="35"/>
      <c r="P62" s="34"/>
      <c r="Q62" s="34"/>
      <c r="R62" s="100"/>
      <c r="S62" s="100"/>
      <c r="T62" s="100"/>
      <c r="U62" s="100"/>
      <c r="V62" s="100"/>
      <c r="W62" s="100"/>
      <c r="X62" s="100"/>
      <c r="Y62" s="100"/>
      <c r="Z62" s="100"/>
      <c r="AA62" s="100"/>
      <c r="AB62" s="100"/>
      <c r="AC62" s="100"/>
      <c r="AD62" s="100"/>
      <c r="AE62" s="100"/>
      <c r="AF62" s="100"/>
      <c r="AG62" s="101"/>
    </row>
    <row r="63" spans="1:36" ht="15" customHeight="1" thickBot="1" x14ac:dyDescent="0.3">
      <c r="A63" s="10"/>
      <c r="B63" s="36"/>
      <c r="C63" s="34"/>
      <c r="D63" s="34"/>
      <c r="E63" s="34"/>
      <c r="F63" s="34"/>
      <c r="G63" s="34"/>
      <c r="H63" s="34"/>
      <c r="I63" s="34"/>
      <c r="J63" s="34"/>
      <c r="K63" s="34"/>
      <c r="L63" s="34"/>
      <c r="M63" s="34"/>
      <c r="N63" s="34"/>
      <c r="O63" s="35"/>
      <c r="P63" s="34"/>
      <c r="Q63" s="34"/>
      <c r="R63" s="100"/>
      <c r="S63" s="100"/>
      <c r="T63" s="100"/>
      <c r="U63" s="100"/>
      <c r="V63" s="100"/>
      <c r="W63" s="100"/>
      <c r="X63" s="100"/>
      <c r="Y63" s="100"/>
      <c r="Z63" s="100"/>
      <c r="AA63" s="100"/>
      <c r="AB63" s="100"/>
      <c r="AC63" s="100"/>
      <c r="AD63" s="100"/>
      <c r="AE63" s="100"/>
      <c r="AF63" s="100"/>
      <c r="AG63" s="101"/>
    </row>
    <row r="64" spans="1:36" ht="15" customHeight="1" x14ac:dyDescent="0.25">
      <c r="A64" s="127" t="s">
        <v>449</v>
      </c>
      <c r="B64" s="36"/>
      <c r="C64" s="34"/>
      <c r="D64" s="34"/>
      <c r="E64" s="34"/>
      <c r="F64" s="34"/>
      <c r="G64" s="34"/>
      <c r="H64" s="34"/>
      <c r="I64" s="34"/>
      <c r="J64" s="34"/>
      <c r="K64" s="34"/>
      <c r="L64" s="34"/>
      <c r="M64" s="34"/>
      <c r="N64" s="34"/>
      <c r="O64" s="35"/>
      <c r="P64" s="34"/>
      <c r="Q64" s="34"/>
      <c r="R64" s="100"/>
      <c r="S64" s="100"/>
      <c r="T64" s="100"/>
      <c r="U64" s="100"/>
      <c r="V64" s="100"/>
      <c r="W64" s="100"/>
      <c r="X64" s="100"/>
      <c r="Y64" s="100"/>
      <c r="Z64" s="100"/>
      <c r="AA64" s="100"/>
      <c r="AB64" s="100"/>
      <c r="AC64" s="100"/>
      <c r="AD64" s="100"/>
      <c r="AE64" s="100"/>
      <c r="AF64" s="100"/>
      <c r="AG64" s="101"/>
    </row>
    <row r="65" spans="1:33" ht="15" customHeight="1" x14ac:dyDescent="0.25">
      <c r="A65" s="128"/>
      <c r="B65" s="36"/>
      <c r="C65" s="34"/>
      <c r="D65" s="34"/>
      <c r="E65" s="34"/>
      <c r="F65" s="34"/>
      <c r="G65" s="34"/>
      <c r="H65" s="34"/>
      <c r="I65" s="34"/>
      <c r="J65" s="34"/>
      <c r="K65" s="34"/>
      <c r="L65" s="34"/>
      <c r="M65" s="34"/>
      <c r="N65" s="34"/>
      <c r="O65" s="35"/>
      <c r="P65" s="34"/>
      <c r="Q65" s="34"/>
      <c r="R65" s="100"/>
      <c r="S65" s="100"/>
      <c r="T65" s="100"/>
      <c r="U65" s="100"/>
      <c r="V65" s="100"/>
      <c r="W65" s="100"/>
      <c r="X65" s="100"/>
      <c r="Y65" s="100"/>
      <c r="Z65" s="100"/>
      <c r="AA65" s="100"/>
      <c r="AB65" s="100"/>
      <c r="AC65" s="100"/>
      <c r="AD65" s="100"/>
      <c r="AE65" s="100"/>
      <c r="AF65" s="100"/>
      <c r="AG65" s="101"/>
    </row>
    <row r="66" spans="1:33" ht="15" customHeight="1" x14ac:dyDescent="0.25">
      <c r="A66" s="125" t="s">
        <v>188</v>
      </c>
      <c r="B66" s="36"/>
      <c r="C66" s="34"/>
      <c r="D66" s="34"/>
      <c r="E66" s="34"/>
      <c r="F66" s="34"/>
      <c r="G66" s="34"/>
      <c r="H66" s="34"/>
      <c r="I66" s="34"/>
      <c r="J66" s="34"/>
      <c r="K66" s="34"/>
      <c r="L66" s="34"/>
      <c r="M66" s="34"/>
      <c r="N66" s="34"/>
      <c r="O66" s="35"/>
      <c r="P66" s="34"/>
      <c r="Q66" s="34"/>
      <c r="R66" s="100"/>
      <c r="S66" s="100"/>
      <c r="T66" s="100"/>
      <c r="U66" s="100"/>
      <c r="V66" s="100"/>
      <c r="W66" s="100"/>
      <c r="X66" s="100"/>
      <c r="Y66" s="100"/>
      <c r="Z66" s="100"/>
      <c r="AA66" s="100"/>
      <c r="AB66" s="100"/>
      <c r="AC66" s="100"/>
      <c r="AD66" s="100"/>
      <c r="AE66" s="100"/>
      <c r="AF66" s="100"/>
      <c r="AG66" s="101"/>
    </row>
    <row r="67" spans="1:33" ht="15" customHeight="1" thickBot="1" x14ac:dyDescent="0.3">
      <c r="A67" s="126"/>
      <c r="B67" s="36"/>
      <c r="C67" s="34"/>
      <c r="D67" s="34"/>
      <c r="E67" s="34"/>
      <c r="F67" s="34"/>
      <c r="G67" s="34"/>
      <c r="H67" s="34"/>
      <c r="I67" s="34"/>
      <c r="J67" s="34"/>
      <c r="K67" s="34"/>
      <c r="L67" s="34"/>
      <c r="M67" s="34"/>
      <c r="N67" s="34"/>
      <c r="O67" s="35"/>
      <c r="P67" s="34"/>
      <c r="Q67" s="34"/>
      <c r="R67" s="100"/>
      <c r="S67" s="100"/>
      <c r="T67" s="100"/>
      <c r="U67" s="100"/>
      <c r="V67" s="100"/>
      <c r="W67" s="100"/>
      <c r="X67" s="100"/>
      <c r="Y67" s="100"/>
      <c r="Z67" s="100"/>
      <c r="AA67" s="100"/>
      <c r="AB67" s="100"/>
      <c r="AC67" s="100"/>
      <c r="AD67" s="100"/>
      <c r="AE67" s="100"/>
      <c r="AF67" s="100"/>
      <c r="AG67" s="101"/>
    </row>
    <row r="68" spans="1:33" ht="15" customHeight="1" thickBot="1" x14ac:dyDescent="0.3">
      <c r="A68" s="10"/>
      <c r="B68" s="36"/>
      <c r="C68" s="34"/>
      <c r="D68" s="34"/>
      <c r="E68" s="34"/>
      <c r="F68" s="34"/>
      <c r="G68" s="34"/>
      <c r="H68" s="34"/>
      <c r="I68" s="34"/>
      <c r="J68" s="34"/>
      <c r="K68" s="34"/>
      <c r="L68" s="34"/>
      <c r="M68" s="34"/>
      <c r="N68" s="34"/>
      <c r="O68" s="35"/>
      <c r="P68" s="34"/>
      <c r="Q68" s="34"/>
      <c r="R68" s="100"/>
      <c r="S68" s="100"/>
      <c r="T68" s="100"/>
      <c r="U68" s="100"/>
      <c r="V68" s="100"/>
      <c r="W68" s="100"/>
      <c r="X68" s="100"/>
      <c r="Y68" s="100"/>
      <c r="Z68" s="100"/>
      <c r="AA68" s="100"/>
      <c r="AB68" s="100"/>
      <c r="AC68" s="100"/>
      <c r="AD68" s="100"/>
      <c r="AE68" s="100"/>
      <c r="AF68" s="100"/>
      <c r="AG68" s="101"/>
    </row>
    <row r="69" spans="1:33" ht="15" customHeight="1" x14ac:dyDescent="0.25">
      <c r="A69" s="127" t="s">
        <v>450</v>
      </c>
      <c r="B69" s="36"/>
      <c r="C69" s="34"/>
      <c r="D69" s="34"/>
      <c r="E69" s="34"/>
      <c r="F69" s="34"/>
      <c r="G69" s="34"/>
      <c r="H69" s="34"/>
      <c r="I69" s="34"/>
      <c r="J69" s="34"/>
      <c r="K69" s="34"/>
      <c r="L69" s="34"/>
      <c r="M69" s="34"/>
      <c r="N69" s="34"/>
      <c r="O69" s="35"/>
      <c r="P69" s="34"/>
      <c r="Q69" s="34"/>
      <c r="R69" s="100"/>
      <c r="S69" s="100"/>
      <c r="T69" s="100"/>
      <c r="U69" s="100"/>
      <c r="V69" s="100"/>
      <c r="W69" s="100"/>
      <c r="X69" s="100"/>
      <c r="Y69" s="100"/>
      <c r="Z69" s="100"/>
      <c r="AA69" s="100"/>
      <c r="AB69" s="100"/>
      <c r="AC69" s="100"/>
      <c r="AD69" s="100"/>
      <c r="AE69" s="100"/>
      <c r="AF69" s="100"/>
      <c r="AG69" s="101"/>
    </row>
    <row r="70" spans="1:33" ht="15" customHeight="1" x14ac:dyDescent="0.25">
      <c r="A70" s="128"/>
      <c r="B70" s="36"/>
      <c r="C70" s="34"/>
      <c r="D70" s="34"/>
      <c r="E70" s="34"/>
      <c r="F70" s="34"/>
      <c r="G70" s="34"/>
      <c r="H70" s="34"/>
      <c r="I70" s="34"/>
      <c r="J70" s="34"/>
      <c r="K70" s="34"/>
      <c r="L70" s="34"/>
      <c r="M70" s="34"/>
      <c r="N70" s="34"/>
      <c r="O70" s="35"/>
      <c r="P70" s="34"/>
      <c r="Q70" s="34"/>
      <c r="R70" s="100"/>
      <c r="S70" s="100"/>
      <c r="T70" s="100"/>
      <c r="U70" s="100"/>
      <c r="V70" s="100"/>
      <c r="W70" s="100"/>
      <c r="X70" s="100"/>
      <c r="Y70" s="100"/>
      <c r="Z70" s="100"/>
      <c r="AA70" s="100"/>
      <c r="AB70" s="100"/>
      <c r="AC70" s="100"/>
      <c r="AD70" s="100"/>
      <c r="AE70" s="100"/>
      <c r="AF70" s="100"/>
      <c r="AG70" s="101"/>
    </row>
    <row r="71" spans="1:33" ht="15.75" customHeight="1" x14ac:dyDescent="0.25">
      <c r="A71" s="125" t="s">
        <v>6</v>
      </c>
      <c r="B71" s="36"/>
      <c r="C71" s="34"/>
      <c r="D71" s="34"/>
      <c r="E71" s="34"/>
      <c r="F71" s="34"/>
      <c r="G71" s="34"/>
      <c r="H71" s="34"/>
      <c r="I71" s="34"/>
      <c r="J71" s="34"/>
      <c r="K71" s="34"/>
      <c r="L71" s="34"/>
      <c r="M71" s="34"/>
      <c r="N71" s="34"/>
      <c r="O71" s="35"/>
      <c r="P71" s="34"/>
      <c r="Q71" s="34"/>
      <c r="R71" s="100"/>
      <c r="S71" s="100"/>
      <c r="T71" s="100"/>
      <c r="U71" s="100"/>
      <c r="V71" s="100"/>
      <c r="W71" s="100"/>
      <c r="X71" s="100"/>
      <c r="Y71" s="100"/>
      <c r="Z71" s="100"/>
      <c r="AA71" s="100"/>
      <c r="AB71" s="100"/>
      <c r="AC71" s="100"/>
      <c r="AD71" s="100"/>
      <c r="AE71" s="100"/>
      <c r="AF71" s="100"/>
      <c r="AG71" s="101"/>
    </row>
    <row r="72" spans="1:33" ht="15.75" thickBot="1" x14ac:dyDescent="0.3">
      <c r="A72" s="126"/>
      <c r="B72" s="36"/>
      <c r="C72" s="34"/>
      <c r="D72" s="34"/>
      <c r="E72" s="34"/>
      <c r="F72" s="34"/>
      <c r="G72" s="34"/>
      <c r="H72" s="34"/>
      <c r="I72" s="34"/>
      <c r="J72" s="34"/>
      <c r="K72" s="34"/>
      <c r="L72" s="34"/>
      <c r="M72" s="34"/>
      <c r="N72" s="34"/>
      <c r="O72" s="35"/>
      <c r="P72" s="34"/>
      <c r="Q72" s="34"/>
      <c r="R72" s="100"/>
      <c r="S72" s="100"/>
      <c r="T72" s="100"/>
      <c r="U72" s="100"/>
      <c r="V72" s="100"/>
      <c r="W72" s="100"/>
      <c r="X72" s="100"/>
      <c r="Y72" s="100"/>
      <c r="Z72" s="100"/>
      <c r="AA72" s="100"/>
      <c r="AB72" s="100"/>
      <c r="AC72" s="100"/>
      <c r="AD72" s="100"/>
      <c r="AE72" s="100"/>
      <c r="AF72" s="100"/>
      <c r="AG72" s="101"/>
    </row>
    <row r="73" spans="1:33" ht="15.75" thickBot="1" x14ac:dyDescent="0.3">
      <c r="A73" s="58"/>
      <c r="B73" s="37"/>
      <c r="C73" s="38"/>
      <c r="D73" s="38"/>
      <c r="E73" s="38"/>
      <c r="F73" s="38"/>
      <c r="G73" s="38"/>
      <c r="H73" s="38"/>
      <c r="I73" s="38"/>
      <c r="J73" s="38"/>
      <c r="K73" s="38"/>
      <c r="L73" s="38"/>
      <c r="M73" s="38"/>
      <c r="N73" s="38"/>
      <c r="O73" s="39"/>
      <c r="P73" s="38"/>
      <c r="Q73" s="38"/>
      <c r="R73" s="102"/>
      <c r="S73" s="102"/>
      <c r="T73" s="102"/>
      <c r="U73" s="102"/>
      <c r="V73" s="102"/>
      <c r="W73" s="102"/>
      <c r="X73" s="102"/>
      <c r="Y73" s="102"/>
      <c r="Z73" s="102"/>
      <c r="AA73" s="102"/>
      <c r="AB73" s="102"/>
      <c r="AC73" s="102"/>
      <c r="AD73" s="102"/>
      <c r="AE73" s="102"/>
      <c r="AF73" s="102"/>
      <c r="AG73" s="103"/>
    </row>
    <row r="82" spans="1:18" x14ac:dyDescent="0.25">
      <c r="A82" s="25"/>
      <c r="B82" s="25"/>
      <c r="C82" s="25"/>
      <c r="D82" s="25"/>
      <c r="E82" s="25"/>
      <c r="F82" s="25"/>
      <c r="G82" s="25"/>
      <c r="H82" s="25"/>
      <c r="I82" s="25"/>
      <c r="J82" s="25"/>
      <c r="K82" s="25"/>
      <c r="L82" s="25"/>
      <c r="M82" s="25"/>
      <c r="N82" s="25"/>
      <c r="O82" s="25"/>
    </row>
    <row r="83" spans="1:18" x14ac:dyDescent="0.25">
      <c r="A83" s="91" t="str">
        <f>_xlfn.CONCAT(A61, ": ",A66," vs. ",A71)</f>
        <v>Team Average: sRPE vs. Energy</v>
      </c>
      <c r="B83" s="91"/>
      <c r="C83" s="91"/>
      <c r="D83" s="91"/>
      <c r="E83" s="91"/>
      <c r="F83" s="91"/>
      <c r="G83" s="91"/>
      <c r="H83" s="91"/>
      <c r="I83" s="91"/>
      <c r="J83" s="91"/>
      <c r="K83" s="91"/>
      <c r="L83" s="91"/>
      <c r="M83" s="91"/>
      <c r="N83" s="91"/>
      <c r="O83" s="91"/>
      <c r="P83" s="94"/>
      <c r="Q83" s="94"/>
      <c r="R83" s="94"/>
    </row>
    <row r="84" spans="1:18" x14ac:dyDescent="0.25">
      <c r="A84" s="91" t="s">
        <v>406</v>
      </c>
      <c r="B84" s="92">
        <f>IFERROR(IF(OR(C84=MIN(tbl_daily[Date]),C84=""),"",_xlfn.MAXIFS(tbl_daily[Date],tbl_daily[Date],"&lt;"&amp;C84)),"")</f>
        <v>43879</v>
      </c>
      <c r="C84" s="92">
        <f>IFERROR(IF(OR(F84=MIN(tbl_daily[Date]),F84=""),"",_xlfn.MAXIFS(tbl_daily[Date],tbl_daily[Date],"&lt;"&amp;F84)),"")</f>
        <v>43881</v>
      </c>
      <c r="D84" s="91"/>
      <c r="E84" s="91"/>
      <c r="F84" s="92">
        <f>IFERROR(IF(OR(I84=MIN(tbl_daily[Date]),I84=""),"",_xlfn.MAXIFS(tbl_daily[Date],tbl_daily[Date],"&lt;"&amp;I84)),"")</f>
        <v>43886</v>
      </c>
      <c r="G84" s="91"/>
      <c r="H84" s="91"/>
      <c r="I84" s="92">
        <f>IFERROR(IF(OR(L84=MIN(tbl_daily[Date]),L84=""),"",_xlfn.MAXIFS(tbl_daily[Date],tbl_daily[Date],"&lt;"&amp;L84)),"")</f>
        <v>43888</v>
      </c>
      <c r="J84" s="91"/>
      <c r="K84" s="91"/>
      <c r="L84" s="92">
        <f>$B$3</f>
        <v>43895</v>
      </c>
      <c r="M84" s="91"/>
      <c r="N84" s="91"/>
      <c r="O84" s="91"/>
      <c r="P84" s="94"/>
      <c r="Q84" s="94"/>
      <c r="R84" s="94"/>
    </row>
    <row r="85" spans="1:18" x14ac:dyDescent="0.25">
      <c r="A85" s="91" t="s">
        <v>449</v>
      </c>
      <c r="B85" s="93">
        <f>IFERROR(IF(AND($A$61=Reference!$A$2,$A$66=Reference!$D$2),AVERAGEIFS(tbl_daily[LatestRPE],tbl_daily[Attendance Refined],1,tbl_daily[Date],$B$84,tbl_daily[Ones],1),
IF(AND($A$61=Reference!$A$2,$A$66=Reference!$D$3),AVERAGEIFS(tbl_daily[LatestDuration],tbl_daily[Attendance Refined],1,tbl_daily[Date],$B$84,tbl_daily[Ones],1),
IF(AND($A$61=Reference!$A$2,$A$66=Reference!$D$4),AVERAGEIFS(tbl_daily[sRPE],tbl_daily[Attendance Refined],1,tbl_daily[Date],$B$84,tbl_daily[Ones],1),
IF(AND($A$61=Reference!$A$2,$A$66=Reference!$D$5),AVERAGEIFS(tbl_daily[Grades],tbl_daily[Attendance Refined],1,tbl_daily[Date],$B$84,tbl_daily[Ones],1),
IF(AND($A$61=Reference!$A$2,$A$66=Reference!$D$6),AVERAGEIFS(tbl_daily[Stress],tbl_daily[Attendance Refined],1,tbl_daily[Date],$B$84,tbl_daily[Ones],1),
IF(AND($A$61=Reference!$A$2,$A$66=Reference!$D$7),AVERAGEIFS(tbl_daily[SleepQuality],tbl_daily[Attendance Refined],1,tbl_daily[Date],$B$84,tbl_daily[Ones],1),
IF(AND($A$61=Reference!$A$2,$A$66=Reference!$D$8),AVERAGEIFS(tbl_daily[Energy],tbl_daily[Attendance Refined],1,tbl_daily[Date],$B$84,tbl_daily[Ones],1),
IF(AND($A$61=Reference!$A$2,$A$66=Reference!$D$9),AVERAGEIFS(tbl_daily[Readiness Score],tbl_daily[Attendance Refined],1,tbl_daily[Date],$B$84,tbl_daily[Ones],1),
IF(AND(OR($A$61=Reference!$A$3,$A$61=Reference!$A$4,$A$61=Reference!$A$5,$A$61=Reference!$A$6,$A$61=Reference!$A$7,$A$61=Reference!$A$8),$A$66=Reference!$D$2),AVERAGEIFS(tbl_daily[LatestRPE],
tbl_daily[Attendance Refined],1,tbl_daily[Date],$B$84,tbl_daily[Cohort of Interest],$A$61,tbl_daily[Ones],1),
IF(AND(OR($A$61=Reference!$A$3,$A$61=Reference!$A$4,$A$61=Reference!$A$5,$A$61=Reference!$A$6,$A$61=Reference!$A$7,$A$61=Reference!$A$8),$A$66=Reference!$D$3),AVERAGEIFS(tbl_daily[LatestDuration],
tbl_daily[Attendance Refined],1,tbl_daily[Date],$B$84,tbl_daily[Cohort of Interest],$A$61,tbl_daily[Ones],1),
IF(AND(OR($A$61=Reference!$A$3,$A$61=Reference!$A$4,$A$61=Reference!$A$5,$A$61=Reference!$A$6,$A$61=Reference!$A$7,$A$61=Reference!$A$8),$A$66=Reference!$D$4),AVERAGEIFS(tbl_daily[sRPE],
tbl_daily[Attendance Refined],1,tbl_daily[Date],$B$84,tbl_daily[Cohort of Interest],$A$61,tbl_daily[Ones],1),
IF(AND(OR($A$61=Reference!$A$3,$A$61=Reference!$A$4,$A$61=Reference!$A$5,$A$61=Reference!$A$6,$A$61=Reference!$A$7,$A$61=Reference!$A$8),$A$66=Reference!$D$5),AVERAGEIFS(tbl_daily[Grades],
tbl_daily[Attendance Refined],1,tbl_daily[Date],$B$84,tbl_daily[Cohort of Interest],$A$61,tbl_daily[Ones],1),
IF(AND(OR($A$61=Reference!$A$3,$A$61=Reference!$A$4,$A$61=Reference!$A$5,$A$61=Reference!$A$6,$A$61=Reference!$A$7,$A$61=Reference!$A$8),$A$66=Reference!$D$6),AVERAGEIFS(tbl_daily[Stress],
tbl_daily[Attendance Refined],1,tbl_daily[Date],$B$84,tbl_daily[Cohort of Interest],$A$61,tbl_daily[Ones],1),
IF(AND(OR($A$61=Reference!$A$3,$A$61=Reference!$A$4,$A$61=Reference!$A$5,$A$61=Reference!$A$6,$A$61=Reference!$A$7,$A$61=Reference!$A$8),$A$66=Reference!$D$7),AVERAGEIFS(tbl_daily[SleepQuality],
tbl_daily[Attendance Refined],1,tbl_daily[Date],$B$84,tbl_daily[Cohort of Interest],$A$61,tbl_daily[Ones],1),
IF(AND(OR($A$61=Reference!$A$3,$A$61=Reference!$A$4,$A$61=Reference!$A$5,$A$61=Reference!$A$6,$A$61=Reference!$A$7,$A$61=Reference!$A$8),$A$66=Reference!$D$8),AVERAGEIFS(tbl_daily[Energy],
tbl_daily[Attendance Refined],1,tbl_daily[Date],$B$84,tbl_daily[Cohort of Interest],$A$61,tbl_daily[Ones],1),
IF(AND(OR($A$61=Reference!$A$3,$A$61=Reference!$A$4,$A$61=Reference!$A$5,$A$61=Reference!$A$6,$A$61=Reference!$A$7,$A$61=Reference!$A$8),$A$66=Reference!$D$9),AVERAGEIFS(tbl_daily[Readiness Score],
tbl_daily[Attendance Refined],1,tbl_daily[Date],$B$84,tbl_daily[Cohort of Interest],$A$61,tbl_daily[Ones],1))))))))))))))))),"")</f>
        <v>233.88888888888889</v>
      </c>
      <c r="C85" s="93">
        <f>IFERROR(IF(AND($A$61=Reference!$A$2,$A$66=Reference!$D$2),AVERAGEIFS(tbl_daily[LatestRPE],tbl_daily[Attendance Refined],1,tbl_daily[Date],$C$84,tbl_daily[Ones],1),
IF(AND($A$61=Reference!$A$2,$A$66=Reference!$D$3),AVERAGEIFS(tbl_daily[LatestDuration],tbl_daily[Attendance Refined],1,tbl_daily[Date],$C$84,tbl_daily[Ones],1),
IF(AND($A$61=Reference!$A$2,$A$66=Reference!$D$4),AVERAGEIFS(tbl_daily[sRPE],tbl_daily[Attendance Refined],1,tbl_daily[Date],$C$84,tbl_daily[Ones],1),
IF(AND($A$61=Reference!$A$2,$A$66=Reference!$D$5),AVERAGEIFS(tbl_daily[Grades],tbl_daily[Attendance Refined],1,tbl_daily[Date],$C$84,tbl_daily[Ones],1),
IF(AND($A$61=Reference!$A$2,$A$66=Reference!$D$6),AVERAGEIFS(tbl_daily[Stress],tbl_daily[Attendance Refined],1,tbl_daily[Date],$C$84,tbl_daily[Ones],1),
IF(AND($A$61=Reference!$A$2,$A$66=Reference!$D$7),AVERAGEIFS(tbl_daily[SleepQuality],tbl_daily[Attendance Refined],1,tbl_daily[Date],$C$84,tbl_daily[Ones],1),
IF(AND($A$61=Reference!$A$2,$A$66=Reference!$D$8),AVERAGEIFS(tbl_daily[Energy],tbl_daily[Attendance Refined],1,tbl_daily[Date],$C$84,tbl_daily[Ones],1),
IF(AND($A$61=Reference!$A$2,$A$66=Reference!$D$9),AVERAGEIFS(tbl_daily[Readiness Score],tbl_daily[Attendance Refined],1,tbl_daily[Date],$C$84,tbl_daily[Ones],1),
IF(AND(OR($A$61=Reference!$A$3,$A$61=Reference!$A$4,$A$61=Reference!$A$5,$A$61=Reference!$A$6,$A$61=Reference!$A$7,$A$61=Reference!$A$8),$A$66=Reference!$D$2),AVERAGEIFS(tbl_daily[LatestRPE],
tbl_daily[Attendance Refined],1,tbl_daily[Date],$C$84,tbl_daily[Cohort of Interest],$A$61,tbl_daily[Ones],1),
IF(AND(OR($A$61=Reference!$A$3,$A$61=Reference!$A$4,$A$61=Reference!$A$5,$A$61=Reference!$A$6,$A$61=Reference!$A$7,$A$61=Reference!$A$8),$A$66=Reference!$D$3),AVERAGEIFS(tbl_daily[LatestDuration],
tbl_daily[Attendance Refined],1,tbl_daily[Date],$C$84,tbl_daily[Cohort of Interest],$A$61,tbl_daily[Ones],1),
IF(AND(OR($A$61=Reference!$A$3,$A$61=Reference!$A$4,$A$61=Reference!$A$5,$A$61=Reference!$A$6,$A$61=Reference!$A$7,$A$61=Reference!$A$8),$A$66=Reference!$D$4),AVERAGEIFS(tbl_daily[sRPE],
tbl_daily[Attendance Refined],1,tbl_daily[Date],$C$84,tbl_daily[Cohort of Interest],$A$61,tbl_daily[Ones],1),
IF(AND(OR($A$61=Reference!$A$3,$A$61=Reference!$A$4,$A$61=Reference!$A$5,$A$61=Reference!$A$6,$A$61=Reference!$A$7,$A$61=Reference!$A$8),$A$66=Reference!$D$5),AVERAGEIFS(tbl_daily[Grades],
tbl_daily[Attendance Refined],1,tbl_daily[Date],$C$84,tbl_daily[Cohort of Interest],$A$61,tbl_daily[Ones],1),
IF(AND(OR($A$61=Reference!$A$3,$A$61=Reference!$A$4,$A$61=Reference!$A$5,$A$61=Reference!$A$6,$A$61=Reference!$A$7,$A$61=Reference!$A$8),$A$66=Reference!$D$6),AVERAGEIFS(tbl_daily[Stress],
tbl_daily[Attendance Refined],1,tbl_daily[Date],$C$84,tbl_daily[Cohort of Interest],$A$61,tbl_daily[Ones],1),
IF(AND(OR($A$61=Reference!$A$3,$A$61=Reference!$A$4,$A$61=Reference!$A$5,$A$61=Reference!$A$6,$A$61=Reference!$A$7,$A$61=Reference!$A$8),$A$66=Reference!$D$7),AVERAGEIFS(tbl_daily[SleepQuality],
tbl_daily[Attendance Refined],1,tbl_daily[Date],$C$84,tbl_daily[Cohort of Interest],$A$61,tbl_daily[Ones],1),
IF(AND(OR($A$61=Reference!$A$3,$A$61=Reference!$A$4,$A$61=Reference!$A$5,$A$61=Reference!$A$6,$A$61=Reference!$A$7,$A$61=Reference!$A$8),$A$66=Reference!$D$8),AVERAGEIFS(tbl_daily[Energy],
tbl_daily[Attendance Refined],1,tbl_daily[Date],$C$84,tbl_daily[Cohort of Interest],$A$61,tbl_daily[Ones],1),
IF(AND(OR($A$61=Reference!$A$3,$A$61=Reference!$A$4,$A$61=Reference!$A$5,$A$61=Reference!$A$6,$A$61=Reference!$A$7,$A$61=Reference!$A$8),$A$66=Reference!$D$9),AVERAGEIFS(tbl_daily[Readiness Score],
tbl_daily[Attendance Refined],1,tbl_daily[Date],$C$84,tbl_daily[Cohort of Interest],$A$61,tbl_daily[Ones],1))))))))))))))))),"")</f>
        <v>435.89285714285717</v>
      </c>
      <c r="D85" s="93">
        <f>IFERROR(IF(AND($A$61=Reference!$A$2,$A$66=Reference!$D$2),AVERAGEIFS(tbl_daily[LatestRPE],tbl_daily[Attendance Refined],1,tbl_daily[Date],$C$84,tbl_daily[Ones],1),
IF(AND($A$61=Reference!$A$2,$A$66=Reference!$D$3),AVERAGEIFS(tbl_daily[LatestDuration],tbl_daily[Attendance Refined],1,tbl_daily[Date],$C$84,tbl_daily[Ones],1),
IF(AND($A$61=Reference!$A$2,$A$66=Reference!$D$4),AVERAGEIFS(tbl_daily[sRPE],tbl_daily[Attendance Refined],1,tbl_daily[Date],$C$84,tbl_daily[Ones],1),
IF(AND($A$61=Reference!$A$2,$A$66=Reference!$D$5),AVERAGEIFS(tbl_daily[Grades],tbl_daily[Attendance Refined],1,tbl_daily[Date],$C$84,tbl_daily[Ones],1),
IF(AND($A$61=Reference!$A$2,$A$66=Reference!$D$6),AVERAGEIFS(tbl_daily[Stress],tbl_daily[Attendance Refined],1,tbl_daily[Date],$C$84,tbl_daily[Ones],1),
IF(AND($A$61=Reference!$A$2,$A$66=Reference!$D$7),AVERAGEIFS(tbl_daily[SleepQuality],tbl_daily[Attendance Refined],1,tbl_daily[Date],$C$84,tbl_daily[Ones],1),
IF(AND($A$61=Reference!$A$2,$A$66=Reference!$D$8),AVERAGEIFS(tbl_daily[Energy],tbl_daily[Attendance Refined],1,tbl_daily[Date],$C$84,tbl_daily[Ones],1),
IF(AND($A$61=Reference!$A$2,$A$66=Reference!$D$9),AVERAGEIFS(tbl_daily[Readiness Score],tbl_daily[Attendance Refined],1,tbl_daily[Date],$C$84,tbl_daily[Ones],1),
IF(AND(OR($A$61=Reference!$A$3,$A$61=Reference!$A$4,$A$61=Reference!$A$5,$A$61=Reference!$A$6,$A$61=Reference!$A$7,$A$61=Reference!$A$8),$A$66=Reference!$D$2),AVERAGEIFS(tbl_daily[LatestRPE],
tbl_daily[Attendance Refined],1,tbl_daily[Date],$C$84,tbl_daily[Cohort of Interest],$A$61,tbl_daily[Ones],1),
IF(AND(OR($A$61=Reference!$A$3,$A$61=Reference!$A$4,$A$61=Reference!$A$5,$A$61=Reference!$A$6,$A$61=Reference!$A$7,$A$61=Reference!$A$8),$A$66=Reference!$D$3),AVERAGEIFS(tbl_daily[LatestDuration],
tbl_daily[Attendance Refined],1,tbl_daily[Date],$C$84,tbl_daily[Cohort of Interest],$A$61,tbl_daily[Ones],1),
IF(AND(OR($A$61=Reference!$A$3,$A$61=Reference!$A$4,$A$61=Reference!$A$5,$A$61=Reference!$A$6,$A$61=Reference!$A$7,$A$61=Reference!$A$8),$A$66=Reference!$D$4),AVERAGEIFS(tbl_daily[sRPE],
tbl_daily[Attendance Refined],1,tbl_daily[Date],$C$84,tbl_daily[Cohort of Interest],$A$61,tbl_daily[Ones],1),
IF(AND(OR($A$61=Reference!$A$3,$A$61=Reference!$A$4,$A$61=Reference!$A$5,$A$61=Reference!$A$6,$A$61=Reference!$A$7,$A$61=Reference!$A$8),$A$66=Reference!$D$5),AVERAGEIFS(tbl_daily[Grades],
tbl_daily[Attendance Refined],1,tbl_daily[Date],$C$84,tbl_daily[Cohort of Interest],$A$61,tbl_daily[Ones],1),
IF(AND(OR($A$61=Reference!$A$3,$A$61=Reference!$A$4,$A$61=Reference!$A$5,$A$61=Reference!$A$6,$A$61=Reference!$A$7,$A$61=Reference!$A$8),$A$66=Reference!$D$6),AVERAGEIFS(tbl_daily[Stress],
tbl_daily[Attendance Refined],1,tbl_daily[Date],$C$84,tbl_daily[Cohort of Interest],$A$61,tbl_daily[Ones],1),
IF(AND(OR($A$61=Reference!$A$3,$A$61=Reference!$A$4,$A$61=Reference!$A$5,$A$61=Reference!$A$6,$A$61=Reference!$A$7,$A$61=Reference!$A$8),$A$66=Reference!$D$7),AVERAGEIFS(tbl_daily[SleepQuality],
tbl_daily[Attendance Refined],1,tbl_daily[Date],$C$84,tbl_daily[Cohort of Interest],$A$61,tbl_daily[Ones],1),
IF(AND(OR($A$61=Reference!$A$3,$A$61=Reference!$A$4,$A$61=Reference!$A$5,$A$61=Reference!$A$6,$A$61=Reference!$A$7,$A$61=Reference!$A$8),$A$66=Reference!$D$8),AVERAGEIFS(tbl_daily[Energy],
tbl_daily[Attendance Refined],1,tbl_daily[Date],$C$84,tbl_daily[Cohort of Interest],$A$61,tbl_daily[Ones],1),
IF(AND(OR($A$61=Reference!$A$3,$A$61=Reference!$A$4,$A$61=Reference!$A$5,$A$61=Reference!$A$6,$A$61=Reference!$A$7,$A$61=Reference!$A$8),$A$66=Reference!$D$9),AVERAGEIFS(tbl_daily[Readiness Score],
tbl_daily[Attendance Refined],1,tbl_daily[Date],$C$84,tbl_daily[Cohort of Interest],$A$61,tbl_daily[Ones],1))))))))))))))))),"")</f>
        <v>435.89285714285717</v>
      </c>
      <c r="E85" s="93">
        <f>IFERROR(IF(AND($A$61=Reference!$A$2,$A$66=Reference!$D$2),AVERAGEIFS(tbl_daily[LatestRPE],tbl_daily[Attendance Refined],1,tbl_daily[Date],$C$84,tbl_daily[Ones],1),
IF(AND($A$61=Reference!$A$2,$A$66=Reference!$D$3),AVERAGEIFS(tbl_daily[LatestDuration],tbl_daily[Attendance Refined],1,tbl_daily[Date],$C$84,tbl_daily[Ones],1),
IF(AND($A$61=Reference!$A$2,$A$66=Reference!$D$4),AVERAGEIFS(tbl_daily[sRPE],tbl_daily[Attendance Refined],1,tbl_daily[Date],$C$84,tbl_daily[Ones],1),
IF(AND($A$61=Reference!$A$2,$A$66=Reference!$D$5),AVERAGEIFS(tbl_daily[Grades],tbl_daily[Attendance Refined],1,tbl_daily[Date],$C$84,tbl_daily[Ones],1),
IF(AND($A$61=Reference!$A$2,$A$66=Reference!$D$6),AVERAGEIFS(tbl_daily[Stress],tbl_daily[Attendance Refined],1,tbl_daily[Date],$C$84,tbl_daily[Ones],1),
IF(AND($A$61=Reference!$A$2,$A$66=Reference!$D$7),AVERAGEIFS(tbl_daily[SleepQuality],tbl_daily[Attendance Refined],1,tbl_daily[Date],$C$84,tbl_daily[Ones],1),
IF(AND($A$61=Reference!$A$2,$A$66=Reference!$D$8),AVERAGEIFS(tbl_daily[Energy],tbl_daily[Attendance Refined],1,tbl_daily[Date],$C$84,tbl_daily[Ones],1),
IF(AND($A$61=Reference!$A$2,$A$66=Reference!$D$9),AVERAGEIFS(tbl_daily[Readiness Score],tbl_daily[Attendance Refined],1,tbl_daily[Date],$C$84,tbl_daily[Ones],1),
IF(AND(OR($A$61=Reference!$A$3,$A$61=Reference!$A$4,$A$61=Reference!$A$5,$A$61=Reference!$A$6,$A$61=Reference!$A$7,$A$61=Reference!$A$8),$A$66=Reference!$D$2),AVERAGEIFS(tbl_daily[LatestRPE],
tbl_daily[Attendance Refined],1,tbl_daily[Date],$C$84,tbl_daily[Cohort of Interest],$A$61,tbl_daily[Ones],1),
IF(AND(OR($A$61=Reference!$A$3,$A$61=Reference!$A$4,$A$61=Reference!$A$5,$A$61=Reference!$A$6,$A$61=Reference!$A$7,$A$61=Reference!$A$8),$A$66=Reference!$D$3),AVERAGEIFS(tbl_daily[LatestDuration],
tbl_daily[Attendance Refined],1,tbl_daily[Date],$C$84,tbl_daily[Cohort of Interest],$A$61,tbl_daily[Ones],1),
IF(AND(OR($A$61=Reference!$A$3,$A$61=Reference!$A$4,$A$61=Reference!$A$5,$A$61=Reference!$A$6,$A$61=Reference!$A$7,$A$61=Reference!$A$8),$A$66=Reference!$D$4),AVERAGEIFS(tbl_daily[sRPE],
tbl_daily[Attendance Refined],1,tbl_daily[Date],$C$84,tbl_daily[Cohort of Interest],$A$61,tbl_daily[Ones],1),
IF(AND(OR($A$61=Reference!$A$3,$A$61=Reference!$A$4,$A$61=Reference!$A$5,$A$61=Reference!$A$6,$A$61=Reference!$A$7,$A$61=Reference!$A$8),$A$66=Reference!$D$5),AVERAGEIFS(tbl_daily[Grades],
tbl_daily[Attendance Refined],1,tbl_daily[Date],$C$84,tbl_daily[Cohort of Interest],$A$61,tbl_daily[Ones],1),
IF(AND(OR($A$61=Reference!$A$3,$A$61=Reference!$A$4,$A$61=Reference!$A$5,$A$61=Reference!$A$6,$A$61=Reference!$A$7,$A$61=Reference!$A$8),$A$66=Reference!$D$6),AVERAGEIFS(tbl_daily[Stress],
tbl_daily[Attendance Refined],1,tbl_daily[Date],$C$84,tbl_daily[Cohort of Interest],$A$61,tbl_daily[Ones],1),
IF(AND(OR($A$61=Reference!$A$3,$A$61=Reference!$A$4,$A$61=Reference!$A$5,$A$61=Reference!$A$6,$A$61=Reference!$A$7,$A$61=Reference!$A$8),$A$66=Reference!$D$7),AVERAGEIFS(tbl_daily[SleepQuality],
tbl_daily[Attendance Refined],1,tbl_daily[Date],$C$84,tbl_daily[Cohort of Interest],$A$61,tbl_daily[Ones],1),
IF(AND(OR($A$61=Reference!$A$3,$A$61=Reference!$A$4,$A$61=Reference!$A$5,$A$61=Reference!$A$6,$A$61=Reference!$A$7,$A$61=Reference!$A$8),$A$66=Reference!$D$8),AVERAGEIFS(tbl_daily[Energy],
tbl_daily[Attendance Refined],1,tbl_daily[Date],$C$84,tbl_daily[Cohort of Interest],$A$61,tbl_daily[Ones],1),
IF(AND(OR($A$61=Reference!$A$3,$A$61=Reference!$A$4,$A$61=Reference!$A$5,$A$61=Reference!$A$6,$A$61=Reference!$A$7,$A$61=Reference!$A$8),$A$66=Reference!$D$9),AVERAGEIFS(tbl_daily[Readiness Score],
tbl_daily[Attendance Refined],1,tbl_daily[Date],$C$84,tbl_daily[Cohort of Interest],$A$61,tbl_daily[Ones],1))))))))))))))))),"")</f>
        <v>435.89285714285717</v>
      </c>
      <c r="F85" s="93">
        <f>IFERROR(IF(AND($A$61=Reference!$A$2,$A$66=Reference!$D$2),AVERAGEIFS(tbl_daily[LatestRPE],tbl_daily[Attendance Refined],1,tbl_daily[Date],$F$84,tbl_daily[Ones],1),
IF(AND($A$61=Reference!$A$2,$A$66=Reference!$D$3),AVERAGEIFS(tbl_daily[LatestDuration],tbl_daily[Attendance Refined],1,tbl_daily[Date],$F$84,tbl_daily[Ones],1),
IF(AND($A$61=Reference!$A$2,$A$66=Reference!$D$4),AVERAGEIFS(tbl_daily[sRPE],tbl_daily[Attendance Refined],1,tbl_daily[Date],$F$84,tbl_daily[Ones],1),
IF(AND($A$61=Reference!$A$2,$A$66=Reference!$D$5),AVERAGEIFS(tbl_daily[Grades],tbl_daily[Attendance Refined],1,tbl_daily[Date],$F$84,tbl_daily[Ones],1),
IF(AND($A$61=Reference!$A$2,$A$66=Reference!$D$6),AVERAGEIFS(tbl_daily[Stress],tbl_daily[Attendance Refined],1,tbl_daily[Date],$F$84,tbl_daily[Ones],1),
IF(AND($A$61=Reference!$A$2,$A$66=Reference!$D$7),AVERAGEIFS(tbl_daily[SleepQuality],tbl_daily[Attendance Refined],1,tbl_daily[Date],$F$84,tbl_daily[Ones],1),
IF(AND($A$61=Reference!$A$2,$A$66=Reference!$D$8),AVERAGEIFS(tbl_daily[Energy],tbl_daily[Attendance Refined],1,tbl_daily[Date],$F$84,tbl_daily[Ones],1),
IF(AND($A$61=Reference!$A$2,$A$66=Reference!$D$9),AVERAGEIFS(tbl_daily[Readiness Score],tbl_daily[Attendance Refined],1,tbl_daily[Date],$F$84,tbl_daily[Ones],1),
IF(AND(OR($A$61=Reference!$A$3,$A$61=Reference!$A$4,$A$61=Reference!$A$5,$A$61=Reference!$A$6,$A$61=Reference!$A$7,$A$61=Reference!$A$8),$A$66=Reference!$D$2),AVERAGEIFS(tbl_daily[LatestRPE],
tbl_daily[Attendance Refined],1,tbl_daily[Date],$F$84,tbl_daily[Cohort of Interest],$A$61,tbl_daily[Ones],1),
IF(AND(OR($A$61=Reference!$A$3,$A$61=Reference!$A$4,$A$61=Reference!$A$5,$A$61=Reference!$A$6,$A$61=Reference!$A$7,$A$61=Reference!$A$8),$A$66=Reference!$D$3),AVERAGEIFS(tbl_daily[LatestDuration],
tbl_daily[Attendance Refined],1,tbl_daily[Date],$F$84,tbl_daily[Cohort of Interest],$A$61,tbl_daily[Ones],1),
IF(AND(OR($A$61=Reference!$A$3,$A$61=Reference!$A$4,$A$61=Reference!$A$5,$A$61=Reference!$A$6,$A$61=Reference!$A$7,$A$61=Reference!$A$8),$A$66=Reference!$D$4),AVERAGEIFS(tbl_daily[sRPE],
tbl_daily[Attendance Refined],1,tbl_daily[Date],$F$84,tbl_daily[Cohort of Interest],$A$61,tbl_daily[Ones],1),
IF(AND(OR($A$61=Reference!$A$3,$A$61=Reference!$A$4,$A$61=Reference!$A$5,$A$61=Reference!$A$6,$A$61=Reference!$A$7,$A$61=Reference!$A$8),$A$66=Reference!$D$5),AVERAGEIFS(tbl_daily[Grades],
tbl_daily[Attendance Refined],1,tbl_daily[Date],$F$84,tbl_daily[Cohort of Interest],$A$61,tbl_daily[Ones],1),
IF(AND(OR($A$61=Reference!$A$3,$A$61=Reference!$A$4,$A$61=Reference!$A$5,$A$61=Reference!$A$6,$A$61=Reference!$A$7,$A$61=Reference!$A$8),$A$66=Reference!$D$6),AVERAGEIFS(tbl_daily[Stress],
tbl_daily[Attendance Refined],1,tbl_daily[Date],$F$84,tbl_daily[Cohort of Interest],$A$61,tbl_daily[Ones],1),
IF(AND(OR($A$61=Reference!$A$3,$A$61=Reference!$A$4,$A$61=Reference!$A$5,$A$61=Reference!$A$6,$A$61=Reference!$A$7,$A$61=Reference!$A$8),$A$66=Reference!$D$7),AVERAGEIFS(tbl_daily[SleepQuality],
tbl_daily[Attendance Refined],1,tbl_daily[Date],$F$84,tbl_daily[Cohort of Interest],$A$61,tbl_daily[Ones],1),
IF(AND(OR($A$61=Reference!$A$3,$A$61=Reference!$A$4,$A$61=Reference!$A$5,$A$61=Reference!$A$6,$A$61=Reference!$A$7,$A$61=Reference!$A$8),$A$66=Reference!$D$8),AVERAGEIFS(tbl_daily[Energy],
tbl_daily[Attendance Refined],1,tbl_daily[Date],$F$84,tbl_daily[Cohort of Interest],$A$61,tbl_daily[Ones],1),
IF(AND(OR($A$61=Reference!$A$3,$A$61=Reference!$A$4,$A$61=Reference!$A$5,$A$61=Reference!$A$6,$A$61=Reference!$A$7,$A$61=Reference!$A$8),$A$66=Reference!$D$9),AVERAGEIFS(tbl_daily[Readiness Score],
tbl_daily[Attendance Refined],1,tbl_daily[Date],$F$84,tbl_daily[Cohort of Interest],$A$61,tbl_daily[Ones],1))))))))))))))))),"")</f>
        <v>156.20689655172413</v>
      </c>
      <c r="G85" s="93">
        <f>IFERROR(IF(AND($A$61=Reference!$A$2,$A$66=Reference!$D$2),AVERAGEIFS(tbl_daily[LatestRPE],tbl_daily[Attendance Refined],1,tbl_daily[Date],$C$84,tbl_daily[Ones],1),
IF(AND($A$61=Reference!$A$2,$A$66=Reference!$D$3),AVERAGEIFS(tbl_daily[LatestDuration],tbl_daily[Attendance Refined],1,tbl_daily[Date],$C$84,tbl_daily[Ones],1),
IF(AND($A$61=Reference!$A$2,$A$66=Reference!$D$4),AVERAGEIFS(tbl_daily[sRPE],tbl_daily[Attendance Refined],1,tbl_daily[Date],$C$84,tbl_daily[Ones],1),
IF(AND($A$61=Reference!$A$2,$A$66=Reference!$D$5),AVERAGEIFS(tbl_daily[Grades],tbl_daily[Attendance Refined],1,tbl_daily[Date],$C$84,tbl_daily[Ones],1),
IF(AND($A$61=Reference!$A$2,$A$66=Reference!$D$6),AVERAGEIFS(tbl_daily[Stress],tbl_daily[Attendance Refined],1,tbl_daily[Date],$C$84,tbl_daily[Ones],1),
IF(AND($A$61=Reference!$A$2,$A$66=Reference!$D$7),AVERAGEIFS(tbl_daily[SleepQuality],tbl_daily[Attendance Refined],1,tbl_daily[Date],$C$84,tbl_daily[Ones],1),
IF(AND($A$61=Reference!$A$2,$A$66=Reference!$D$8),AVERAGEIFS(tbl_daily[Energy],tbl_daily[Attendance Refined],1,tbl_daily[Date],$C$84,tbl_daily[Ones],1),
IF(AND($A$61=Reference!$A$2,$A$66=Reference!$D$9),AVERAGEIFS(tbl_daily[Readiness Score],tbl_daily[Attendance Refined],1,tbl_daily[Date],$C$84,tbl_daily[Ones],1),
IF(AND(OR($A$61=Reference!$A$3,$A$61=Reference!$A$4,$A$61=Reference!$A$5,$A$61=Reference!$A$6,$A$61=Reference!$A$7,$A$61=Reference!$A$8),$A$66=Reference!$D$2),AVERAGEIFS(tbl_daily[LatestRPE],
tbl_daily[Attendance Refined],1,tbl_daily[Date],$C$84,tbl_daily[Cohort of Interest],$A$61,tbl_daily[Ones],1),
IF(AND(OR($A$61=Reference!$A$3,$A$61=Reference!$A$4,$A$61=Reference!$A$5,$A$61=Reference!$A$6,$A$61=Reference!$A$7,$A$61=Reference!$A$8),$A$66=Reference!$D$3),AVERAGEIFS(tbl_daily[LatestDuration],
tbl_daily[Attendance Refined],1,tbl_daily[Date],$C$84,tbl_daily[Cohort of Interest],$A$61,tbl_daily[Ones],1),
IF(AND(OR($A$61=Reference!$A$3,$A$61=Reference!$A$4,$A$61=Reference!$A$5,$A$61=Reference!$A$6,$A$61=Reference!$A$7,$A$61=Reference!$A$8),$A$66=Reference!$D$4),AVERAGEIFS(tbl_daily[sRPE],
tbl_daily[Attendance Refined],1,tbl_daily[Date],$C$84,tbl_daily[Cohort of Interest],$A$61,tbl_daily[Ones],1),
IF(AND(OR($A$61=Reference!$A$3,$A$61=Reference!$A$4,$A$61=Reference!$A$5,$A$61=Reference!$A$6,$A$61=Reference!$A$7,$A$61=Reference!$A$8),$A$66=Reference!$D$5),AVERAGEIFS(tbl_daily[Grades],
tbl_daily[Attendance Refined],1,tbl_daily[Date],$C$84,tbl_daily[Cohort of Interest],$A$61,tbl_daily[Ones],1),
IF(AND(OR($A$61=Reference!$A$3,$A$61=Reference!$A$4,$A$61=Reference!$A$5,$A$61=Reference!$A$6,$A$61=Reference!$A$7,$A$61=Reference!$A$8),$A$66=Reference!$D$6),AVERAGEIFS(tbl_daily[Stress],
tbl_daily[Attendance Refined],1,tbl_daily[Date],$C$84,tbl_daily[Cohort of Interest],$A$61,tbl_daily[Ones],1),
IF(AND(OR($A$61=Reference!$A$3,$A$61=Reference!$A$4,$A$61=Reference!$A$5,$A$61=Reference!$A$6,$A$61=Reference!$A$7,$A$61=Reference!$A$8),$A$66=Reference!$D$7),AVERAGEIFS(tbl_daily[SleepQuality],
tbl_daily[Attendance Refined],1,tbl_daily[Date],$C$84,tbl_daily[Cohort of Interest],$A$61,tbl_daily[Ones],1),
IF(AND(OR($A$61=Reference!$A$3,$A$61=Reference!$A$4,$A$61=Reference!$A$5,$A$61=Reference!$A$6,$A$61=Reference!$A$7,$A$61=Reference!$A$8),$A$66=Reference!$D$8),AVERAGEIFS(tbl_daily[Energy],
tbl_daily[Attendance Refined],1,tbl_daily[Date],$C$84,tbl_daily[Cohort of Interest],$A$61,tbl_daily[Ones],1),
IF(AND(OR($A$61=Reference!$A$3,$A$61=Reference!$A$4,$A$61=Reference!$A$5,$A$61=Reference!$A$6,$A$61=Reference!$A$7,$A$61=Reference!$A$8),$A$66=Reference!$D$9),AVERAGEIFS(tbl_daily[Readiness Score],
tbl_daily[Attendance Refined],1,tbl_daily[Date],$C$84,tbl_daily[Cohort of Interest],$A$61,tbl_daily[Ones],1))))))))))))))))),"")</f>
        <v>435.89285714285717</v>
      </c>
      <c r="H85" s="93">
        <f>IFERROR(IF(AND($A$61=Reference!$A$2,$A$66=Reference!$D$2),AVERAGEIFS(tbl_daily[LatestRPE],tbl_daily[Attendance Refined],1,tbl_daily[Date],$C$84,tbl_daily[Ones],1),
IF(AND($A$61=Reference!$A$2,$A$66=Reference!$D$3),AVERAGEIFS(tbl_daily[LatestDuration],tbl_daily[Attendance Refined],1,tbl_daily[Date],$C$84,tbl_daily[Ones],1),
IF(AND($A$61=Reference!$A$2,$A$66=Reference!$D$4),AVERAGEIFS(tbl_daily[sRPE],tbl_daily[Attendance Refined],1,tbl_daily[Date],$C$84,tbl_daily[Ones],1),
IF(AND($A$61=Reference!$A$2,$A$66=Reference!$D$5),AVERAGEIFS(tbl_daily[Grades],tbl_daily[Attendance Refined],1,tbl_daily[Date],$C$84,tbl_daily[Ones],1),
IF(AND($A$61=Reference!$A$2,$A$66=Reference!$D$6),AVERAGEIFS(tbl_daily[Stress],tbl_daily[Attendance Refined],1,tbl_daily[Date],$C$84,tbl_daily[Ones],1),
IF(AND($A$61=Reference!$A$2,$A$66=Reference!$D$7),AVERAGEIFS(tbl_daily[SleepQuality],tbl_daily[Attendance Refined],1,tbl_daily[Date],$C$84,tbl_daily[Ones],1),
IF(AND($A$61=Reference!$A$2,$A$66=Reference!$D$8),AVERAGEIFS(tbl_daily[Energy],tbl_daily[Attendance Refined],1,tbl_daily[Date],$C$84,tbl_daily[Ones],1),
IF(AND($A$61=Reference!$A$2,$A$66=Reference!$D$9),AVERAGEIFS(tbl_daily[Readiness Score],tbl_daily[Attendance Refined],1,tbl_daily[Date],$C$84,tbl_daily[Ones],1),
IF(AND(OR($A$61=Reference!$A$3,$A$61=Reference!$A$4,$A$61=Reference!$A$5,$A$61=Reference!$A$6,$A$61=Reference!$A$7,$A$61=Reference!$A$8),$A$66=Reference!$D$2),AVERAGEIFS(tbl_daily[LatestRPE],
tbl_daily[Attendance Refined],1,tbl_daily[Date],$C$84,tbl_daily[Cohort of Interest],$A$61,tbl_daily[Ones],1),
IF(AND(OR($A$61=Reference!$A$3,$A$61=Reference!$A$4,$A$61=Reference!$A$5,$A$61=Reference!$A$6,$A$61=Reference!$A$7,$A$61=Reference!$A$8),$A$66=Reference!$D$3),AVERAGEIFS(tbl_daily[LatestDuration],
tbl_daily[Attendance Refined],1,tbl_daily[Date],$C$84,tbl_daily[Cohort of Interest],$A$61,tbl_daily[Ones],1),
IF(AND(OR($A$61=Reference!$A$3,$A$61=Reference!$A$4,$A$61=Reference!$A$5,$A$61=Reference!$A$6,$A$61=Reference!$A$7,$A$61=Reference!$A$8),$A$66=Reference!$D$4),AVERAGEIFS(tbl_daily[sRPE],
tbl_daily[Attendance Refined],1,tbl_daily[Date],$C$84,tbl_daily[Cohort of Interest],$A$61,tbl_daily[Ones],1),
IF(AND(OR($A$61=Reference!$A$3,$A$61=Reference!$A$4,$A$61=Reference!$A$5,$A$61=Reference!$A$6,$A$61=Reference!$A$7,$A$61=Reference!$A$8),$A$66=Reference!$D$5),AVERAGEIFS(tbl_daily[Grades],
tbl_daily[Attendance Refined],1,tbl_daily[Date],$C$84,tbl_daily[Cohort of Interest],$A$61,tbl_daily[Ones],1),
IF(AND(OR($A$61=Reference!$A$3,$A$61=Reference!$A$4,$A$61=Reference!$A$5,$A$61=Reference!$A$6,$A$61=Reference!$A$7,$A$61=Reference!$A$8),$A$66=Reference!$D$6),AVERAGEIFS(tbl_daily[Stress],
tbl_daily[Attendance Refined],1,tbl_daily[Date],$C$84,tbl_daily[Cohort of Interest],$A$61,tbl_daily[Ones],1),
IF(AND(OR($A$61=Reference!$A$3,$A$61=Reference!$A$4,$A$61=Reference!$A$5,$A$61=Reference!$A$6,$A$61=Reference!$A$7,$A$61=Reference!$A$8),$A$66=Reference!$D$7),AVERAGEIFS(tbl_daily[SleepQuality],
tbl_daily[Attendance Refined],1,tbl_daily[Date],$C$84,tbl_daily[Cohort of Interest],$A$61,tbl_daily[Ones],1),
IF(AND(OR($A$61=Reference!$A$3,$A$61=Reference!$A$4,$A$61=Reference!$A$5,$A$61=Reference!$A$6,$A$61=Reference!$A$7,$A$61=Reference!$A$8),$A$66=Reference!$D$8),AVERAGEIFS(tbl_daily[Energy],
tbl_daily[Attendance Refined],1,tbl_daily[Date],$C$84,tbl_daily[Cohort of Interest],$A$61,tbl_daily[Ones],1),
IF(AND(OR($A$61=Reference!$A$3,$A$61=Reference!$A$4,$A$61=Reference!$A$5,$A$61=Reference!$A$6,$A$61=Reference!$A$7,$A$61=Reference!$A$8),$A$66=Reference!$D$9),AVERAGEIFS(tbl_daily[Readiness Score],
tbl_daily[Attendance Refined],1,tbl_daily[Date],$C$84,tbl_daily[Cohort of Interest],$A$61,tbl_daily[Ones],1))))))))))))))))),"")</f>
        <v>435.89285714285717</v>
      </c>
      <c r="I85" s="93">
        <f>IFERROR(IF(AND($A$61=Reference!$A$2,$A$66=Reference!$D$2),AVERAGEIFS(tbl_daily[LatestRPE],tbl_daily[Attendance Refined],1,tbl_daily[Date],$I$84,tbl_daily[Ones],1),
IF(AND($A$61=Reference!$A$2,$A$66=Reference!$D$3),AVERAGEIFS(tbl_daily[LatestDuration],tbl_daily[Attendance Refined],1,tbl_daily[Date],$I$84,tbl_daily[Ones],1),
IF(AND($A$61=Reference!$A$2,$A$66=Reference!$D$4),AVERAGEIFS(tbl_daily[sRPE],tbl_daily[Attendance Refined],1,tbl_daily[Date],$I$84,tbl_daily[Ones],1),
IF(AND($A$61=Reference!$A$2,$A$66=Reference!$D$5),AVERAGEIFS(tbl_daily[Grades],tbl_daily[Attendance Refined],1,tbl_daily[Date],$I$84,tbl_daily[Ones],1),
IF(AND($A$61=Reference!$A$2,$A$66=Reference!$D$6),AVERAGEIFS(tbl_daily[Stress],tbl_daily[Attendance Refined],1,tbl_daily[Date],$I$84,tbl_daily[Ones],1),
IF(AND($A$61=Reference!$A$2,$A$66=Reference!$D$7),AVERAGEIFS(tbl_daily[SleepQuality],tbl_daily[Attendance Refined],1,tbl_daily[Date],$I$84,tbl_daily[Ones],1),
IF(AND($A$61=Reference!$A$2,$A$66=Reference!$D$8),AVERAGEIFS(tbl_daily[Energy],tbl_daily[Attendance Refined],1,tbl_daily[Date],$I$84,tbl_daily[Ones],1),
IF(AND($A$61=Reference!$A$2,$A$66=Reference!$D$9),AVERAGEIFS(tbl_daily[Readiness Score],tbl_daily[Attendance Refined],1,tbl_daily[Date],$I$84,tbl_daily[Ones],1),
IF(AND(OR($A$61=Reference!$A$3,$A$61=Reference!$A$4,$A$61=Reference!$A$5,$A$61=Reference!$A$6,$A$61=Reference!$A$7,$A$61=Reference!$A$8),$A$66=Reference!$D$2),AVERAGEIFS(tbl_daily[LatestRPE],
tbl_daily[Attendance Refined],1,tbl_daily[Date],$I$84,tbl_daily[Cohort of Interest],$A$61,tbl_daily[Ones],1),
IF(AND(OR($A$61=Reference!$A$3,$A$61=Reference!$A$4,$A$61=Reference!$A$5,$A$61=Reference!$A$6,$A$61=Reference!$A$7,$A$61=Reference!$A$8),$A$66=Reference!$D$3),AVERAGEIFS(tbl_daily[LatestDuration],
tbl_daily[Attendance Refined],1,tbl_daily[Date],$I$84,tbl_daily[Cohort of Interest],$A$61,tbl_daily[Ones],1),
IF(AND(OR($A$61=Reference!$A$3,$A$61=Reference!$A$4,$A$61=Reference!$A$5,$A$61=Reference!$A$6,$A$61=Reference!$A$7,$A$61=Reference!$A$8),$A$66=Reference!$D$4),AVERAGEIFS(tbl_daily[sRPE],
tbl_daily[Attendance Refined],1,tbl_daily[Date],$I$84,tbl_daily[Cohort of Interest],$A$61,tbl_daily[Ones],1),
IF(AND(OR($A$61=Reference!$A$3,$A$61=Reference!$A$4,$A$61=Reference!$A$5,$A$61=Reference!$A$6,$A$61=Reference!$A$7,$A$61=Reference!$A$8),$A$66=Reference!$D$5),AVERAGEIFS(tbl_daily[Grades],
tbl_daily[Attendance Refined],1,tbl_daily[Date],$I$84,tbl_daily[Cohort of Interest],$A$61,tbl_daily[Ones],1),
IF(AND(OR($A$61=Reference!$A$3,$A$61=Reference!$A$4,$A$61=Reference!$A$5,$A$61=Reference!$A$6,$A$61=Reference!$A$7,$A$61=Reference!$A$8),$A$66=Reference!$D$6),AVERAGEIFS(tbl_daily[Stress],
tbl_daily[Attendance Refined],1,tbl_daily[Date],$I$84,tbl_daily[Cohort of Interest],$A$61,tbl_daily[Ones],1),
IF(AND(OR($A$61=Reference!$A$3,$A$61=Reference!$A$4,$A$61=Reference!$A$5,$A$61=Reference!$A$6,$A$61=Reference!$A$7,$A$61=Reference!$A$8),$A$66=Reference!$D$7),AVERAGEIFS(tbl_daily[SleepQuality],
tbl_daily[Attendance Refined],1,tbl_daily[Date],$I$84,tbl_daily[Cohort of Interest],$A$61,tbl_daily[Ones],1),
IF(AND(OR($A$61=Reference!$A$3,$A$61=Reference!$A$4,$A$61=Reference!$A$5,$A$61=Reference!$A$6,$A$61=Reference!$A$7,$A$61=Reference!$A$8),$A$66=Reference!$D$8),AVERAGEIFS(tbl_daily[Energy],
tbl_daily[Attendance Refined],1,tbl_daily[Date],$I$84,tbl_daily[Cohort of Interest],$A$61,tbl_daily[Ones],1),
IF(AND(OR($A$61=Reference!$A$3,$A$61=Reference!$A$4,$A$61=Reference!$A$5,$A$61=Reference!$A$6,$A$61=Reference!$A$7,$A$61=Reference!$A$8),$A$66=Reference!$D$9),AVERAGEIFS(tbl_daily[Readiness Score],
tbl_daily[Attendance Refined],1,tbl_daily[Date],$I$84,tbl_daily[Cohort of Interest],$A$61,tbl_daily[Ones],1))))))))))))))))),"")</f>
        <v>269.65517241379308</v>
      </c>
      <c r="J85" s="93">
        <f>IFERROR(IF(AND($A$61=Reference!$A$2,$A$66=Reference!$D$2),AVERAGEIFS(tbl_daily[LatestRPE],tbl_daily[Attendance Refined],1,tbl_daily[Date],$C$84,tbl_daily[Ones],1),
IF(AND($A$61=Reference!$A$2,$A$66=Reference!$D$3),AVERAGEIFS(tbl_daily[LatestDuration],tbl_daily[Attendance Refined],1,tbl_daily[Date],$C$84,tbl_daily[Ones],1),
IF(AND($A$61=Reference!$A$2,$A$66=Reference!$D$4),AVERAGEIFS(tbl_daily[sRPE],tbl_daily[Attendance Refined],1,tbl_daily[Date],$C$84,tbl_daily[Ones],1),
IF(AND($A$61=Reference!$A$2,$A$66=Reference!$D$5),AVERAGEIFS(tbl_daily[Grades],tbl_daily[Attendance Refined],1,tbl_daily[Date],$C$84,tbl_daily[Ones],1),
IF(AND($A$61=Reference!$A$2,$A$66=Reference!$D$6),AVERAGEIFS(tbl_daily[Stress],tbl_daily[Attendance Refined],1,tbl_daily[Date],$C$84,tbl_daily[Ones],1),
IF(AND($A$61=Reference!$A$2,$A$66=Reference!$D$7),AVERAGEIFS(tbl_daily[SleepQuality],tbl_daily[Attendance Refined],1,tbl_daily[Date],$C$84,tbl_daily[Ones],1),
IF(AND($A$61=Reference!$A$2,$A$66=Reference!$D$8),AVERAGEIFS(tbl_daily[Energy],tbl_daily[Attendance Refined],1,tbl_daily[Date],$C$84,tbl_daily[Ones],1),
IF(AND($A$61=Reference!$A$2,$A$66=Reference!$D$9),AVERAGEIFS(tbl_daily[Readiness Score],tbl_daily[Attendance Refined],1,tbl_daily[Date],$C$84,tbl_daily[Ones],1),
IF(AND(OR($A$61=Reference!$A$3,$A$61=Reference!$A$4,$A$61=Reference!$A$5,$A$61=Reference!$A$6,$A$61=Reference!$A$7,$A$61=Reference!$A$8),$A$66=Reference!$D$2),AVERAGEIFS(tbl_daily[LatestRPE],
tbl_daily[Attendance Refined],1,tbl_daily[Date],$C$84,tbl_daily[Cohort of Interest],$A$61,tbl_daily[Ones],1),
IF(AND(OR($A$61=Reference!$A$3,$A$61=Reference!$A$4,$A$61=Reference!$A$5,$A$61=Reference!$A$6,$A$61=Reference!$A$7,$A$61=Reference!$A$8),$A$66=Reference!$D$3),AVERAGEIFS(tbl_daily[LatestDuration],
tbl_daily[Attendance Refined],1,tbl_daily[Date],$C$84,tbl_daily[Cohort of Interest],$A$61,tbl_daily[Ones],1),
IF(AND(OR($A$61=Reference!$A$3,$A$61=Reference!$A$4,$A$61=Reference!$A$5,$A$61=Reference!$A$6,$A$61=Reference!$A$7,$A$61=Reference!$A$8),$A$66=Reference!$D$4),AVERAGEIFS(tbl_daily[sRPE],
tbl_daily[Attendance Refined],1,tbl_daily[Date],$C$84,tbl_daily[Cohort of Interest],$A$61,tbl_daily[Ones],1),
IF(AND(OR($A$61=Reference!$A$3,$A$61=Reference!$A$4,$A$61=Reference!$A$5,$A$61=Reference!$A$6,$A$61=Reference!$A$7,$A$61=Reference!$A$8),$A$66=Reference!$D$5),AVERAGEIFS(tbl_daily[Grades],
tbl_daily[Attendance Refined],1,tbl_daily[Date],$C$84,tbl_daily[Cohort of Interest],$A$61,tbl_daily[Ones],1),
IF(AND(OR($A$61=Reference!$A$3,$A$61=Reference!$A$4,$A$61=Reference!$A$5,$A$61=Reference!$A$6,$A$61=Reference!$A$7,$A$61=Reference!$A$8),$A$66=Reference!$D$6),AVERAGEIFS(tbl_daily[Stress],
tbl_daily[Attendance Refined],1,tbl_daily[Date],$C$84,tbl_daily[Cohort of Interest],$A$61,tbl_daily[Ones],1),
IF(AND(OR($A$61=Reference!$A$3,$A$61=Reference!$A$4,$A$61=Reference!$A$5,$A$61=Reference!$A$6,$A$61=Reference!$A$7,$A$61=Reference!$A$8),$A$66=Reference!$D$7),AVERAGEIFS(tbl_daily[SleepQuality],
tbl_daily[Attendance Refined],1,tbl_daily[Date],$C$84,tbl_daily[Cohort of Interest],$A$61,tbl_daily[Ones],1),
IF(AND(OR($A$61=Reference!$A$3,$A$61=Reference!$A$4,$A$61=Reference!$A$5,$A$61=Reference!$A$6,$A$61=Reference!$A$7,$A$61=Reference!$A$8),$A$66=Reference!$D$8),AVERAGEIFS(tbl_daily[Energy],
tbl_daily[Attendance Refined],1,tbl_daily[Date],$C$84,tbl_daily[Cohort of Interest],$A$61,tbl_daily[Ones],1),
IF(AND(OR($A$61=Reference!$A$3,$A$61=Reference!$A$4,$A$61=Reference!$A$5,$A$61=Reference!$A$6,$A$61=Reference!$A$7,$A$61=Reference!$A$8),$A$66=Reference!$D$9),AVERAGEIFS(tbl_daily[Readiness Score],
tbl_daily[Attendance Refined],1,tbl_daily[Date],$C$84,tbl_daily[Cohort of Interest],$A$61,tbl_daily[Ones],1))))))))))))))))),"")</f>
        <v>435.89285714285717</v>
      </c>
      <c r="K85" s="93">
        <f>IFERROR(IF(AND($A$61=Reference!$A$2,$A$66=Reference!$D$2),AVERAGEIFS(tbl_daily[LatestRPE],tbl_daily[Attendance Refined],1,tbl_daily[Date],$C$84,tbl_daily[Ones],1),
IF(AND($A$61=Reference!$A$2,$A$66=Reference!$D$3),AVERAGEIFS(tbl_daily[LatestDuration],tbl_daily[Attendance Refined],1,tbl_daily[Date],$C$84,tbl_daily[Ones],1),
IF(AND($A$61=Reference!$A$2,$A$66=Reference!$D$4),AVERAGEIFS(tbl_daily[sRPE],tbl_daily[Attendance Refined],1,tbl_daily[Date],$C$84,tbl_daily[Ones],1),
IF(AND($A$61=Reference!$A$2,$A$66=Reference!$D$5),AVERAGEIFS(tbl_daily[Grades],tbl_daily[Attendance Refined],1,tbl_daily[Date],$C$84,tbl_daily[Ones],1),
IF(AND($A$61=Reference!$A$2,$A$66=Reference!$D$6),AVERAGEIFS(tbl_daily[Stress],tbl_daily[Attendance Refined],1,tbl_daily[Date],$C$84,tbl_daily[Ones],1),
IF(AND($A$61=Reference!$A$2,$A$66=Reference!$D$7),AVERAGEIFS(tbl_daily[SleepQuality],tbl_daily[Attendance Refined],1,tbl_daily[Date],$C$84,tbl_daily[Ones],1),
IF(AND($A$61=Reference!$A$2,$A$66=Reference!$D$8),AVERAGEIFS(tbl_daily[Energy],tbl_daily[Attendance Refined],1,tbl_daily[Date],$C$84,tbl_daily[Ones],1),
IF(AND($A$61=Reference!$A$2,$A$66=Reference!$D$9),AVERAGEIFS(tbl_daily[Readiness Score],tbl_daily[Attendance Refined],1,tbl_daily[Date],$C$84,tbl_daily[Ones],1),
IF(AND(OR($A$61=Reference!$A$3,$A$61=Reference!$A$4,$A$61=Reference!$A$5,$A$61=Reference!$A$6,$A$61=Reference!$A$7,$A$61=Reference!$A$8),$A$66=Reference!$D$2),AVERAGEIFS(tbl_daily[LatestRPE],
tbl_daily[Attendance Refined],1,tbl_daily[Date],$C$84,tbl_daily[Cohort of Interest],$A$61,tbl_daily[Ones],1),
IF(AND(OR($A$61=Reference!$A$3,$A$61=Reference!$A$4,$A$61=Reference!$A$5,$A$61=Reference!$A$6,$A$61=Reference!$A$7,$A$61=Reference!$A$8),$A$66=Reference!$D$3),AVERAGEIFS(tbl_daily[LatestDuration],
tbl_daily[Attendance Refined],1,tbl_daily[Date],$C$84,tbl_daily[Cohort of Interest],$A$61,tbl_daily[Ones],1),
IF(AND(OR($A$61=Reference!$A$3,$A$61=Reference!$A$4,$A$61=Reference!$A$5,$A$61=Reference!$A$6,$A$61=Reference!$A$7,$A$61=Reference!$A$8),$A$66=Reference!$D$4),AVERAGEIFS(tbl_daily[sRPE],
tbl_daily[Attendance Refined],1,tbl_daily[Date],$C$84,tbl_daily[Cohort of Interest],$A$61,tbl_daily[Ones],1),
IF(AND(OR($A$61=Reference!$A$3,$A$61=Reference!$A$4,$A$61=Reference!$A$5,$A$61=Reference!$A$6,$A$61=Reference!$A$7,$A$61=Reference!$A$8),$A$66=Reference!$D$5),AVERAGEIFS(tbl_daily[Grades],
tbl_daily[Attendance Refined],1,tbl_daily[Date],$C$84,tbl_daily[Cohort of Interest],$A$61,tbl_daily[Ones],1),
IF(AND(OR($A$61=Reference!$A$3,$A$61=Reference!$A$4,$A$61=Reference!$A$5,$A$61=Reference!$A$6,$A$61=Reference!$A$7,$A$61=Reference!$A$8),$A$66=Reference!$D$6),AVERAGEIFS(tbl_daily[Stress],
tbl_daily[Attendance Refined],1,tbl_daily[Date],$C$84,tbl_daily[Cohort of Interest],$A$61,tbl_daily[Ones],1),
IF(AND(OR($A$61=Reference!$A$3,$A$61=Reference!$A$4,$A$61=Reference!$A$5,$A$61=Reference!$A$6,$A$61=Reference!$A$7,$A$61=Reference!$A$8),$A$66=Reference!$D$7),AVERAGEIFS(tbl_daily[SleepQuality],
tbl_daily[Attendance Refined],1,tbl_daily[Date],$C$84,tbl_daily[Cohort of Interest],$A$61,tbl_daily[Ones],1),
IF(AND(OR($A$61=Reference!$A$3,$A$61=Reference!$A$4,$A$61=Reference!$A$5,$A$61=Reference!$A$6,$A$61=Reference!$A$7,$A$61=Reference!$A$8),$A$66=Reference!$D$8),AVERAGEIFS(tbl_daily[Energy],
tbl_daily[Attendance Refined],1,tbl_daily[Date],$C$84,tbl_daily[Cohort of Interest],$A$61,tbl_daily[Ones],1),
IF(AND(OR($A$61=Reference!$A$3,$A$61=Reference!$A$4,$A$61=Reference!$A$5,$A$61=Reference!$A$6,$A$61=Reference!$A$7,$A$61=Reference!$A$8),$A$66=Reference!$D$9),AVERAGEIFS(tbl_daily[Readiness Score],
tbl_daily[Attendance Refined],1,tbl_daily[Date],$C$84,tbl_daily[Cohort of Interest],$A$61,tbl_daily[Ones],1))))))))))))))))),"")</f>
        <v>435.89285714285717</v>
      </c>
      <c r="L85" s="93">
        <f>IFERROR(IF(AND($A$61=Reference!$A$2,$A$66=Reference!$D$2),AVERAGEIFS(tbl_daily[LatestRPE],tbl_daily[Attendance Refined],1,tbl_daily[Date],$L$84,tbl_daily[Ones],1),
IF(AND($A$61=Reference!$A$2,$A$66=Reference!$D$3),AVERAGEIFS(tbl_daily[LatestDuration],tbl_daily[Attendance Refined],1,tbl_daily[Date],$L$84,tbl_daily[Ones],1),
IF(AND($A$61=Reference!$A$2,$A$66=Reference!$D$4),AVERAGEIFS(tbl_daily[sRPE],tbl_daily[Attendance Refined],1,tbl_daily[Date],$L$84,tbl_daily[Ones],1),
IF(AND($A$61=Reference!$A$2,$A$66=Reference!$D$5),AVERAGEIFS(tbl_daily[Grades],tbl_daily[Attendance Refined],1,tbl_daily[Date],$L$84,tbl_daily[Ones],1),
IF(AND($A$61=Reference!$A$2,$A$66=Reference!$D$6),AVERAGEIFS(tbl_daily[Stress],tbl_daily[Attendance Refined],1,tbl_daily[Date],$L$84,tbl_daily[Ones],1),
IF(AND($A$61=Reference!$A$2,$A$66=Reference!$D$7),AVERAGEIFS(tbl_daily[SleepQuality],tbl_daily[Attendance Refined],1,tbl_daily[Date],$L$84,tbl_daily[Ones],1),
IF(AND($A$61=Reference!$A$2,$A$66=Reference!$D$8),AVERAGEIFS(tbl_daily[Energy],tbl_daily[Attendance Refined],1,tbl_daily[Date],$L$84,tbl_daily[Ones],1),
IF(AND($A$61=Reference!$A$2,$A$66=Reference!$D$9),AVERAGEIFS(tbl_daily[Readiness Score],tbl_daily[Attendance Refined],1,tbl_daily[Date],$L$84,tbl_daily[Ones],1),
IF(AND(OR($A$61=Reference!$A$3,$A$61=Reference!$A$4,$A$61=Reference!$A$5,$A$61=Reference!$A$6,$A$61=Reference!$A$7,$A$61=Reference!$A$8),$A$66=Reference!$D$2),AVERAGEIFS(tbl_daily[LatestRPE],
tbl_daily[Attendance Refined],1,tbl_daily[Date],$L$84,tbl_daily[Cohort of Interest],$A$61,tbl_daily[Ones],1),
IF(AND(OR($A$61=Reference!$A$3,$A$61=Reference!$A$4,$A$61=Reference!$A$5,$A$61=Reference!$A$6,$A$61=Reference!$A$7,$A$61=Reference!$A$8),$A$66=Reference!$D$3),AVERAGEIFS(tbl_daily[LatestDuration],
tbl_daily[Attendance Refined],1,tbl_daily[Date],$L$84,tbl_daily[Cohort of Interest],$A$61,tbl_daily[Ones],1),
IF(AND(OR($A$61=Reference!$A$3,$A$61=Reference!$A$4,$A$61=Reference!$A$5,$A$61=Reference!$A$6,$A$61=Reference!$A$7,$A$61=Reference!$A$8),$A$66=Reference!$D$4),AVERAGEIFS(tbl_daily[sRPE],
tbl_daily[Attendance Refined],1,tbl_daily[Date],$L$84,tbl_daily[Cohort of Interest],$A$61,tbl_daily[Ones],1),
IF(AND(OR($A$61=Reference!$A$3,$A$61=Reference!$A$4,$A$61=Reference!$A$5,$A$61=Reference!$A$6,$A$61=Reference!$A$7,$A$61=Reference!$A$8),$A$66=Reference!$D$5),AVERAGEIFS(tbl_daily[Grades],
tbl_daily[Attendance Refined],1,tbl_daily[Date],$L$84,tbl_daily[Cohort of Interest],$A$61,tbl_daily[Ones],1),
IF(AND(OR($A$61=Reference!$A$3,$A$61=Reference!$A$4,$A$61=Reference!$A$5,$A$61=Reference!$A$6,$A$61=Reference!$A$7,$A$61=Reference!$A$8),$A$66=Reference!$D$6),AVERAGEIFS(tbl_daily[Stress],
tbl_daily[Attendance Refined],1,tbl_daily[Date],$L$84,tbl_daily[Cohort of Interest],$A$61,tbl_daily[Ones],1),
IF(AND(OR($A$61=Reference!$A$3,$A$61=Reference!$A$4,$A$61=Reference!$A$5,$A$61=Reference!$A$6,$A$61=Reference!$A$7,$A$61=Reference!$A$8),$A$66=Reference!$D$7),AVERAGEIFS(tbl_daily[SleepQuality],
tbl_daily[Attendance Refined],1,tbl_daily[Date],$L$84,tbl_daily[Cohort of Interest],$A$61,tbl_daily[Ones],1),
IF(AND(OR($A$61=Reference!$A$3,$A$61=Reference!$A$4,$A$61=Reference!$A$5,$A$61=Reference!$A$6,$A$61=Reference!$A$7,$A$61=Reference!$A$8),$A$66=Reference!$D$8),AVERAGEIFS(tbl_daily[Energy],
tbl_daily[Attendance Refined],1,tbl_daily[Date],$L$84,tbl_daily[Cohort of Interest],$A$61,tbl_daily[Ones],1),
IF(AND(OR($A$61=Reference!$A$3,$A$61=Reference!$A$4,$A$61=Reference!$A$5,$A$61=Reference!$A$6,$A$61=Reference!$A$7,$A$61=Reference!$A$8),$A$66=Reference!$D$9),AVERAGEIFS(tbl_daily[Readiness Score],
tbl_daily[Attendance Refined],1,tbl_daily[Date],$L$84,tbl_daily[Cohort of Interest],$A$61,tbl_daily[Ones],1))))))))))))))))),"")</f>
        <v>317.33333333333331</v>
      </c>
      <c r="M85" s="91"/>
      <c r="N85" s="91"/>
      <c r="O85" s="91"/>
      <c r="P85" s="94"/>
      <c r="Q85" s="94"/>
      <c r="R85" s="95"/>
    </row>
    <row r="86" spans="1:18" x14ac:dyDescent="0.25">
      <c r="A86" s="91" t="s">
        <v>450</v>
      </c>
      <c r="B86" s="93">
        <f>IFERROR(IF(AND($A$61=Reference!$A$2,$A$71=Reference!$D$2),AVERAGEIFS(tbl_daily[LatestRPE],tbl_daily[Attendance Refined],1,tbl_daily[Date],$B$84,tbl_daily[Ones],1),
IF(AND($A$61=Reference!$A$2,$A$71=Reference!$D$3),AVERAGEIFS(tbl_daily[LatestDuration],tbl_daily[Attendance Refined],1,tbl_daily[Date],$B$84,tbl_daily[Ones],1),
IF(AND($A$61=Reference!$A$2,$A$71=Reference!$D$4),AVERAGEIFS(tbl_daily[sRPE],tbl_daily[Attendance Refined],1,tbl_daily[Date],$B$84,tbl_daily[Ones],1),
IF(AND($A$61=Reference!$A$2,$A$71=Reference!$D$5),AVERAGEIFS(tbl_daily[Grades],tbl_daily[Attendance Refined],1,tbl_daily[Date],$B$84,tbl_daily[Ones],1),
IF(AND($A$61=Reference!$A$2,$A$71=Reference!$D$6),AVERAGEIFS(tbl_daily[Stress],tbl_daily[Attendance Refined],1,tbl_daily[Date],$B$84,tbl_daily[Ones],1),
IF(AND($A$61=Reference!$A$2,$A$71=Reference!$D$7),AVERAGEIFS(tbl_daily[SleepQuality],tbl_daily[Attendance Refined],1,tbl_daily[Date],$B$84,tbl_daily[Ones],1),
IF(AND($A$61=Reference!$A$2,$A$71=Reference!$D$8),AVERAGEIFS(tbl_daily[Energy],tbl_daily[Attendance Refined],1,tbl_daily[Date],$B$84,tbl_daily[Ones],1),
IF(AND($A$61=Reference!$A$2,$A$71=Reference!$D$9),AVERAGEIFS(tbl_daily[Readiness Score],tbl_daily[Attendance Refined],1,tbl_daily[Date],$B$84,tbl_daily[Ones],1),
IF(AND(OR($A$61=Reference!$A$3,$A$61=Reference!$A$4,$A$61=Reference!$A$5,$A$61=Reference!$A$6,$A$61=Reference!$A$7,$A$61=Reference!$A$8),$A$71=Reference!$D$2),AVERAGEIFS(tbl_daily[LatestRPE],
tbl_daily[Attendance Refined],1,tbl_daily[Date],$B$84,tbl_daily[Cohort of Interest],$A$61,tbl_daily[Ones],1),
IF(AND(OR($A$61=Reference!$A$3,$A$61=Reference!$A$4,$A$61=Reference!$A$5,$A$61=Reference!$A$6,$A$61=Reference!$A$7,$A$61=Reference!$A$8),$A$71=Reference!$D$3),AVERAGEIFS(tbl_daily[LatestDuration],
tbl_daily[Attendance Refined],1,tbl_daily[Date],$B$84,tbl_daily[Cohort of Interest],$A$61,tbl_daily[Ones],1),
IF(AND(OR($A$61=Reference!$A$3,$A$61=Reference!$A$4,$A$61=Reference!$A$5,$A$61=Reference!$A$6,$A$61=Reference!$A$7,$A$61=Reference!$A$8),$A$71=Reference!$D$4),AVERAGEIFS(tbl_daily[sRPE],
tbl_daily[Attendance Refined],1,tbl_daily[Date],$B$84,tbl_daily[Cohort of Interest],$A$61,tbl_daily[Ones],1),
IF(AND(OR($A$61=Reference!$A$3,$A$61=Reference!$A$4,$A$61=Reference!$A$5,$A$61=Reference!$A$6,$A$61=Reference!$A$7,$A$61=Reference!$A$8),$A$71=Reference!$D$5),AVERAGEIFS(tbl_daily[Grades],
tbl_daily[Attendance Refined],1,tbl_daily[Date],$B$84,tbl_daily[Cohort of Interest],$A$61,tbl_daily[Ones],1),
IF(AND(OR($A$61=Reference!$A$3,$A$61=Reference!$A$4,$A$61=Reference!$A$5,$A$61=Reference!$A$6,$A$61=Reference!$A$7,$A$61=Reference!$A$8),$A$71=Reference!$D$6),AVERAGEIFS(tbl_daily[Stress],
tbl_daily[Attendance Refined],1,tbl_daily[Date],$B$84,tbl_daily[Cohort of Interest],$A$61,tbl_daily[Ones],1),
IF(AND(OR($A$61=Reference!$A$3,$A$61=Reference!$A$4,$A$61=Reference!$A$5,$A$61=Reference!$A$6,$A$61=Reference!$A$7,$A$61=Reference!$A$8),$A$71=Reference!$D$7),AVERAGEIFS(tbl_daily[SleepQuality],
tbl_daily[Attendance Refined],1,tbl_daily[Date],$B$84,tbl_daily[Cohort of Interest],$A$61,tbl_daily[Ones],1),
IF(AND(OR($A$61=Reference!$A$3,$A$61=Reference!$A$4,$A$61=Reference!$A$5,$A$61=Reference!$A$6,$A$61=Reference!$A$7,$A$61=Reference!$A$8),$A$71=Reference!$D$8),AVERAGEIFS(tbl_daily[Energy],
tbl_daily[Attendance Refined],1,tbl_daily[Date],$B$84,tbl_daily[Cohort of Interest],$A$61,tbl_daily[Ones],1),
IF(AND(OR($A$61=Reference!$A$3,$A$61=Reference!$A$4,$A$61=Reference!$A$5,$A$61=Reference!$A$6,$A$61=Reference!$A$7,$A$61=Reference!$A$8),$A$71=Reference!$D$9),AVERAGEIFS(tbl_daily[Readiness Score],
tbl_daily[Attendance Refined],1,tbl_daily[Date],$B$84,tbl_daily[Cohort of Interest],$A$61,tbl_daily[Ones],1))))))))))))))))),"")</f>
        <v>6.333333333333333</v>
      </c>
      <c r="C86" s="93">
        <f>IFERROR(IF(AND($A$61=Reference!$A$2,$A$71=Reference!$D$2),AVERAGEIFS(tbl_daily[LatestRPE],tbl_daily[Attendance Refined],1,tbl_daily[Date],$C$84,tbl_daily[Ones],1),
IF(AND($A$61=Reference!$A$2,$A$71=Reference!$D$3),AVERAGEIFS(tbl_daily[LatestDuration],tbl_daily[Attendance Refined],1,tbl_daily[Date],$C$84,tbl_daily[Ones],1),
IF(AND($A$61=Reference!$A$2,$A$71=Reference!$D$4),AVERAGEIFS(tbl_daily[sRPE],tbl_daily[Attendance Refined],1,tbl_daily[Date],$C$84,tbl_daily[Ones],1),
IF(AND($A$61=Reference!$A$2,$A$71=Reference!$D$5),AVERAGEIFS(tbl_daily[Grades],tbl_daily[Attendance Refined],1,tbl_daily[Date],$C$84,tbl_daily[Ones],1),
IF(AND($A$61=Reference!$A$2,$A$71=Reference!$D$6),AVERAGEIFS(tbl_daily[Stress],tbl_daily[Attendance Refined],1,tbl_daily[Date],$C$84,tbl_daily[Ones],1),
IF(AND($A$61=Reference!$A$2,$A$71=Reference!$D$7),AVERAGEIFS(tbl_daily[SleepQuality],tbl_daily[Attendance Refined],1,tbl_daily[Date],$C$84,tbl_daily[Ones],1),
IF(AND($A$61=Reference!$A$2,$A$71=Reference!$D$8),AVERAGEIFS(tbl_daily[Energy],tbl_daily[Attendance Refined],1,tbl_daily[Date],$C$84,tbl_daily[Ones],1),
IF(AND($A$61=Reference!$A$2,$A$71=Reference!$D$9),AVERAGEIFS(tbl_daily[Readiness Score],tbl_daily[Attendance Refined],1,tbl_daily[Date],$C$84,tbl_daily[Ones],1),
IF(AND(OR($A$61=Reference!$A$3,$A$61=Reference!$A$4,$A$61=Reference!$A$5,$A$61=Reference!$A$6,$A$61=Reference!$A$7,$A$61=Reference!$A$8),$A$71=Reference!$D$2),AVERAGEIFS(tbl_daily[LatestRPE],
tbl_daily[Attendance Refined],1,tbl_daily[Date],$C$84,tbl_daily[Cohort of Interest],$A$61,tbl_daily[Ones],1),
IF(AND(OR($A$61=Reference!$A$3,$A$61=Reference!$A$4,$A$61=Reference!$A$5,$A$61=Reference!$A$6,$A$61=Reference!$A$7,$A$61=Reference!$A$8),$A$71=Reference!$D$3),AVERAGEIFS(tbl_daily[LatestDuration],
tbl_daily[Attendance Refined],1,tbl_daily[Date],$C$84,tbl_daily[Cohort of Interest],$A$61,tbl_daily[Ones],1),
IF(AND(OR($A$61=Reference!$A$3,$A$61=Reference!$A$4,$A$61=Reference!$A$5,$A$61=Reference!$A$6,$A$61=Reference!$A$7,$A$61=Reference!$A$8),$A$71=Reference!$D$4),AVERAGEIFS(tbl_daily[sRPE],
tbl_daily[Attendance Refined],1,tbl_daily[Date],$C$84,tbl_daily[Cohort of Interest],$A$61,tbl_daily[Ones],1),
IF(AND(OR($A$61=Reference!$A$3,$A$61=Reference!$A$4,$A$61=Reference!$A$5,$A$61=Reference!$A$6,$A$61=Reference!$A$7,$A$61=Reference!$A$8),$A$71=Reference!$D$5),AVERAGEIFS(tbl_daily[Grades],
tbl_daily[Attendance Refined],1,tbl_daily[Date],$C$84,tbl_daily[Cohort of Interest],$A$61,tbl_daily[Ones],1),
IF(AND(OR($A$61=Reference!$A$3,$A$61=Reference!$A$4,$A$61=Reference!$A$5,$A$61=Reference!$A$6,$A$61=Reference!$A$7,$A$61=Reference!$A$8),$A$71=Reference!$D$6),AVERAGEIFS(tbl_daily[Stress],
tbl_daily[Attendance Refined],1,tbl_daily[Date],$C$84,tbl_daily[Cohort of Interest],$A$61,tbl_daily[Ones],1),
IF(AND(OR($A$61=Reference!$A$3,$A$61=Reference!$A$4,$A$61=Reference!$A$5,$A$61=Reference!$A$6,$A$61=Reference!$A$7,$A$61=Reference!$A$8),$A$71=Reference!$D$7),AVERAGEIFS(tbl_daily[SleepQuality],
tbl_daily[Attendance Refined],1,tbl_daily[Date],$C$84,tbl_daily[Cohort of Interest],$A$61,tbl_daily[Ones],1),
IF(AND(OR($A$61=Reference!$A$3,$A$61=Reference!$A$4,$A$61=Reference!$A$5,$A$61=Reference!$A$6,$A$61=Reference!$A$7,$A$61=Reference!$A$8),$A$71=Reference!$D$8),AVERAGEIFS(tbl_daily[Energy],
tbl_daily[Attendance Refined],1,tbl_daily[Date],$C$84,tbl_daily[Cohort of Interest],$A$61,tbl_daily[Ones],1),
IF(AND(OR($A$61=Reference!$A$3,$A$61=Reference!$A$4,$A$61=Reference!$A$5,$A$61=Reference!$A$6,$A$61=Reference!$A$7,$A$61=Reference!$A$8),$A$71=Reference!$D$9),AVERAGEIFS(tbl_daily[Readiness Score],
tbl_daily[Attendance Refined],1,tbl_daily[Date],$C$84,tbl_daily[Cohort of Interest],$A$61,tbl_daily[Ones],1))))))))))))))))),"")</f>
        <v>5.8214285714285712</v>
      </c>
      <c r="D86" s="93">
        <f>IFERROR(IF(AND($A$61=Reference!$A$2,$A$66=Reference!$D$2),AVERAGEIFS(tbl_daily[LatestRPE],tbl_daily[Attendance Refined],1,tbl_daily[Date],$C$84,tbl_daily[Ones],1),
IF(AND($A$61=Reference!$A$2,$A$66=Reference!$D$3),AVERAGEIFS(tbl_daily[LatestDuration],tbl_daily[Attendance Refined],1,tbl_daily[Date],$C$84,tbl_daily[Ones],1),
IF(AND($A$61=Reference!$A$2,$A$66=Reference!$D$4),AVERAGEIFS(tbl_daily[sRPE],tbl_daily[Attendance Refined],1,tbl_daily[Date],$C$84,tbl_daily[Ones],1),
IF(AND($A$61=Reference!$A$2,$A$66=Reference!$D$5),AVERAGEIFS(tbl_daily[Grades],tbl_daily[Attendance Refined],1,tbl_daily[Date],$C$84,tbl_daily[Ones],1),
IF(AND($A$61=Reference!$A$2,$A$66=Reference!$D$6),AVERAGEIFS(tbl_daily[Stress],tbl_daily[Attendance Refined],1,tbl_daily[Date],$C$84,tbl_daily[Ones],1),
IF(AND($A$61=Reference!$A$2,$A$66=Reference!$D$7),AVERAGEIFS(tbl_daily[SleepQuality],tbl_daily[Attendance Refined],1,tbl_daily[Date],$C$84,tbl_daily[Ones],1),
IF(AND($A$61=Reference!$A$2,$A$66=Reference!$D$8),AVERAGEIFS(tbl_daily[Energy],tbl_daily[Attendance Refined],1,tbl_daily[Date],$C$84,tbl_daily[Ones],1),
IF(AND($A$61=Reference!$A$2,$A$66=Reference!$D$9),AVERAGEIFS(tbl_daily[Readiness Score],tbl_daily[Attendance Refined],1,tbl_daily[Date],$C$84,tbl_daily[Ones],1),
IF(AND(OR($A$61=Reference!$A$3,$A$61=Reference!$A$4,$A$61=Reference!$A$5,$A$61=Reference!$A$6,$A$61=Reference!$A$7,$A$61=Reference!$A$8),$A$66=Reference!$D$2),AVERAGEIFS(tbl_daily[LatestRPE],
tbl_daily[Attendance Refined],1,tbl_daily[Date],$C$84,tbl_daily[Cohort of Interest],$A$61,tbl_daily[Ones],1),
IF(AND(OR($A$61=Reference!$A$3,$A$61=Reference!$A$4,$A$61=Reference!$A$5,$A$61=Reference!$A$6,$A$61=Reference!$A$7,$A$61=Reference!$A$8),$A$66=Reference!$D$3),AVERAGEIFS(tbl_daily[LatestDuration],
tbl_daily[Attendance Refined],1,tbl_daily[Date],$C$84,tbl_daily[Cohort of Interest],$A$61,tbl_daily[Ones],1),
IF(AND(OR($A$61=Reference!$A$3,$A$61=Reference!$A$4,$A$61=Reference!$A$5,$A$61=Reference!$A$6,$A$61=Reference!$A$7,$A$61=Reference!$A$8),$A$66=Reference!$D$4),AVERAGEIFS(tbl_daily[sRPE],
tbl_daily[Attendance Refined],1,tbl_daily[Date],$C$84,tbl_daily[Cohort of Interest],$A$61,tbl_daily[Ones],1),
IF(AND(OR($A$61=Reference!$A$3,$A$61=Reference!$A$4,$A$61=Reference!$A$5,$A$61=Reference!$A$6,$A$61=Reference!$A$7,$A$61=Reference!$A$8),$A$66=Reference!$D$5),AVERAGEIFS(tbl_daily[Grades],
tbl_daily[Attendance Refined],1,tbl_daily[Date],$C$84,tbl_daily[Cohort of Interest],$A$61,tbl_daily[Ones],1),
IF(AND(OR($A$61=Reference!$A$3,$A$61=Reference!$A$4,$A$61=Reference!$A$5,$A$61=Reference!$A$6,$A$61=Reference!$A$7,$A$61=Reference!$A$8),$A$66=Reference!$D$6),AVERAGEIFS(tbl_daily[Stress],
tbl_daily[Attendance Refined],1,tbl_daily[Date],$C$84,tbl_daily[Cohort of Interest],$A$61,tbl_daily[Ones],1),
IF(AND(OR($A$61=Reference!$A$3,$A$61=Reference!$A$4,$A$61=Reference!$A$5,$A$61=Reference!$A$6,$A$61=Reference!$A$7,$A$61=Reference!$A$8),$A$66=Reference!$D$7),AVERAGEIFS(tbl_daily[SleepQuality],
tbl_daily[Attendance Refined],1,tbl_daily[Date],$C$84,tbl_daily[Cohort of Interest],$A$61,tbl_daily[Ones],1),
IF(AND(OR($A$61=Reference!$A$3,$A$61=Reference!$A$4,$A$61=Reference!$A$5,$A$61=Reference!$A$6,$A$61=Reference!$A$7,$A$61=Reference!$A$8),$A$66=Reference!$D$8),AVERAGEIFS(tbl_daily[Energy],
tbl_daily[Attendance Refined],1,tbl_daily[Date],$C$84,tbl_daily[Cohort of Interest],$A$61,tbl_daily[Ones],1),
IF(AND(OR($A$61=Reference!$A$3,$A$61=Reference!$A$4,$A$61=Reference!$A$5,$A$61=Reference!$A$6,$A$61=Reference!$A$7,$A$61=Reference!$A$8),$A$66=Reference!$D$9),AVERAGEIFS(tbl_daily[Readiness Score],
tbl_daily[Attendance Refined],1,tbl_daily[Date],$C$84,tbl_daily[Cohort of Interest],$A$61,tbl_daily[Ones],1))))))))))))))))),"")</f>
        <v>435.89285714285717</v>
      </c>
      <c r="E86" s="93">
        <f>IFERROR(IF(AND($A$61=Reference!$A$2,$A$66=Reference!$D$2),AVERAGEIFS(tbl_daily[LatestRPE],tbl_daily[Attendance Refined],1,tbl_daily[Date],$C$84,tbl_daily[Ones],1),
IF(AND($A$61=Reference!$A$2,$A$66=Reference!$D$3),AVERAGEIFS(tbl_daily[LatestDuration],tbl_daily[Attendance Refined],1,tbl_daily[Date],$C$84,tbl_daily[Ones],1),
IF(AND($A$61=Reference!$A$2,$A$66=Reference!$D$4),AVERAGEIFS(tbl_daily[sRPE],tbl_daily[Attendance Refined],1,tbl_daily[Date],$C$84,tbl_daily[Ones],1),
IF(AND($A$61=Reference!$A$2,$A$66=Reference!$D$5),AVERAGEIFS(tbl_daily[Grades],tbl_daily[Attendance Refined],1,tbl_daily[Date],$C$84,tbl_daily[Ones],1),
IF(AND($A$61=Reference!$A$2,$A$66=Reference!$D$6),AVERAGEIFS(tbl_daily[Stress],tbl_daily[Attendance Refined],1,tbl_daily[Date],$C$84,tbl_daily[Ones],1),
IF(AND($A$61=Reference!$A$2,$A$66=Reference!$D$7),AVERAGEIFS(tbl_daily[SleepQuality],tbl_daily[Attendance Refined],1,tbl_daily[Date],$C$84,tbl_daily[Ones],1),
IF(AND($A$61=Reference!$A$2,$A$66=Reference!$D$8),AVERAGEIFS(tbl_daily[Energy],tbl_daily[Attendance Refined],1,tbl_daily[Date],$C$84,tbl_daily[Ones],1),
IF(AND($A$61=Reference!$A$2,$A$66=Reference!$D$9),AVERAGEIFS(tbl_daily[Readiness Score],tbl_daily[Attendance Refined],1,tbl_daily[Date],$C$84,tbl_daily[Ones],1),
IF(AND(OR($A$61=Reference!$A$3,$A$61=Reference!$A$4,$A$61=Reference!$A$5,$A$61=Reference!$A$6,$A$61=Reference!$A$7,$A$61=Reference!$A$8),$A$66=Reference!$D$2),AVERAGEIFS(tbl_daily[LatestRPE],
tbl_daily[Attendance Refined],1,tbl_daily[Date],$C$84,tbl_daily[Cohort of Interest],$A$61,tbl_daily[Ones],1),
IF(AND(OR($A$61=Reference!$A$3,$A$61=Reference!$A$4,$A$61=Reference!$A$5,$A$61=Reference!$A$6,$A$61=Reference!$A$7,$A$61=Reference!$A$8),$A$66=Reference!$D$3),AVERAGEIFS(tbl_daily[LatestDuration],
tbl_daily[Attendance Refined],1,tbl_daily[Date],$C$84,tbl_daily[Cohort of Interest],$A$61,tbl_daily[Ones],1),
IF(AND(OR($A$61=Reference!$A$3,$A$61=Reference!$A$4,$A$61=Reference!$A$5,$A$61=Reference!$A$6,$A$61=Reference!$A$7,$A$61=Reference!$A$8),$A$66=Reference!$D$4),AVERAGEIFS(tbl_daily[sRPE],
tbl_daily[Attendance Refined],1,tbl_daily[Date],$C$84,tbl_daily[Cohort of Interest],$A$61,tbl_daily[Ones],1),
IF(AND(OR($A$61=Reference!$A$3,$A$61=Reference!$A$4,$A$61=Reference!$A$5,$A$61=Reference!$A$6,$A$61=Reference!$A$7,$A$61=Reference!$A$8),$A$66=Reference!$D$5),AVERAGEIFS(tbl_daily[Grades],
tbl_daily[Attendance Refined],1,tbl_daily[Date],$C$84,tbl_daily[Cohort of Interest],$A$61,tbl_daily[Ones],1),
IF(AND(OR($A$61=Reference!$A$3,$A$61=Reference!$A$4,$A$61=Reference!$A$5,$A$61=Reference!$A$6,$A$61=Reference!$A$7,$A$61=Reference!$A$8),$A$66=Reference!$D$6),AVERAGEIFS(tbl_daily[Stress],
tbl_daily[Attendance Refined],1,tbl_daily[Date],$C$84,tbl_daily[Cohort of Interest],$A$61,tbl_daily[Ones],1),
IF(AND(OR($A$61=Reference!$A$3,$A$61=Reference!$A$4,$A$61=Reference!$A$5,$A$61=Reference!$A$6,$A$61=Reference!$A$7,$A$61=Reference!$A$8),$A$66=Reference!$D$7),AVERAGEIFS(tbl_daily[SleepQuality],
tbl_daily[Attendance Refined],1,tbl_daily[Date],$C$84,tbl_daily[Cohort of Interest],$A$61,tbl_daily[Ones],1),
IF(AND(OR($A$61=Reference!$A$3,$A$61=Reference!$A$4,$A$61=Reference!$A$5,$A$61=Reference!$A$6,$A$61=Reference!$A$7,$A$61=Reference!$A$8),$A$66=Reference!$D$8),AVERAGEIFS(tbl_daily[Energy],
tbl_daily[Attendance Refined],1,tbl_daily[Date],$C$84,tbl_daily[Cohort of Interest],$A$61,tbl_daily[Ones],1),
IF(AND(OR($A$61=Reference!$A$3,$A$61=Reference!$A$4,$A$61=Reference!$A$5,$A$61=Reference!$A$6,$A$61=Reference!$A$7,$A$61=Reference!$A$8),$A$66=Reference!$D$9),AVERAGEIFS(tbl_daily[Readiness Score],
tbl_daily[Attendance Refined],1,tbl_daily[Date],$C$84,tbl_daily[Cohort of Interest],$A$61,tbl_daily[Ones],1))))))))))))))))),"")</f>
        <v>435.89285714285717</v>
      </c>
      <c r="F86" s="93">
        <f>IFERROR(IF(AND($A$61=Reference!$A$2,$A$71=Reference!$D$2),AVERAGEIFS(tbl_daily[LatestRPE],tbl_daily[Attendance Refined],1,tbl_daily[Date],$F$84,tbl_daily[Ones],1),
IF(AND($A$61=Reference!$A$2,$A$71=Reference!$D$3),AVERAGEIFS(tbl_daily[LatestDuration],tbl_daily[Attendance Refined],1,tbl_daily[Date],$F$84,tbl_daily[Ones],1),
IF(AND($A$61=Reference!$A$2,$A$71=Reference!$D$4),AVERAGEIFS(tbl_daily[sRPE],tbl_daily[Attendance Refined],1,tbl_daily[Date],$F$84,tbl_daily[Ones],1),
IF(AND($A$61=Reference!$A$2,$A$71=Reference!$D$5),AVERAGEIFS(tbl_daily[Grades],tbl_daily[Attendance Refined],1,tbl_daily[Date],$F$84,tbl_daily[Ones],1),
IF(AND($A$61=Reference!$A$2,$A$71=Reference!$D$6),AVERAGEIFS(tbl_daily[Stress],tbl_daily[Attendance Refined],1,tbl_daily[Date],$F$84,tbl_daily[Ones],1),
IF(AND($A$61=Reference!$A$2,$A$71=Reference!$D$7),AVERAGEIFS(tbl_daily[SleepQuality],tbl_daily[Attendance Refined],1,tbl_daily[Date],$F$84,tbl_daily[Ones],1),
IF(AND($A$61=Reference!$A$2,$A$71=Reference!$D$8),AVERAGEIFS(tbl_daily[Energy],tbl_daily[Attendance Refined],1,tbl_daily[Date],$F$84,tbl_daily[Ones],1),
IF(AND($A$61=Reference!$A$2,$A$71=Reference!$D$9),AVERAGEIFS(tbl_daily[Readiness Score],tbl_daily[Attendance Refined],1,tbl_daily[Date],$F$84,tbl_daily[Ones],1),
IF(AND(OR($A$61=Reference!$A$3,$A$61=Reference!$A$4,$A$61=Reference!$A$5,$A$61=Reference!$A$6,$A$61=Reference!$A$7,$A$61=Reference!$A$8),$A$71=Reference!$D$2),AVERAGEIFS(tbl_daily[LatestRPE],
tbl_daily[Attendance Refined],1,tbl_daily[Date],$F$84,tbl_daily[Cohort of Interest],$A$61,tbl_daily[Ones],1),
IF(AND(OR($A$61=Reference!$A$3,$A$61=Reference!$A$4,$A$61=Reference!$A$5,$A$61=Reference!$A$6,$A$61=Reference!$A$7,$A$61=Reference!$A$8),$A$71=Reference!$D$3),AVERAGEIFS(tbl_daily[LatestDuration],
tbl_daily[Attendance Refined],1,tbl_daily[Date],$F$84,tbl_daily[Cohort of Interest],$A$61,tbl_daily[Ones],1),
IF(AND(OR($A$61=Reference!$A$3,$A$61=Reference!$A$4,$A$61=Reference!$A$5,$A$61=Reference!$A$6,$A$61=Reference!$A$7,$A$61=Reference!$A$8),$A$71=Reference!$D$4),AVERAGEIFS(tbl_daily[sRPE],
tbl_daily[Attendance Refined],1,tbl_daily[Date],$F$84,tbl_daily[Cohort of Interest],$A$61,tbl_daily[Ones],1),
IF(AND(OR($A$61=Reference!$A$3,$A$61=Reference!$A$4,$A$61=Reference!$A$5,$A$61=Reference!$A$6,$A$61=Reference!$A$7,$A$61=Reference!$A$8),$A$71=Reference!$D$5),AVERAGEIFS(tbl_daily[Grades],
tbl_daily[Attendance Refined],1,tbl_daily[Date],$F$84,tbl_daily[Cohort of Interest],$A$61,tbl_daily[Ones],1),
IF(AND(OR($A$61=Reference!$A$3,$A$61=Reference!$A$4,$A$61=Reference!$A$5,$A$61=Reference!$A$6,$A$61=Reference!$A$7,$A$61=Reference!$A$8),$A$71=Reference!$D$6),AVERAGEIFS(tbl_daily[Stress],
tbl_daily[Attendance Refined],1,tbl_daily[Date],$F$84,tbl_daily[Cohort of Interest],$A$61,tbl_daily[Ones],1),
IF(AND(OR($A$61=Reference!$A$3,$A$61=Reference!$A$4,$A$61=Reference!$A$5,$A$61=Reference!$A$6,$A$61=Reference!$A$7,$A$61=Reference!$A$8),$A$71=Reference!$D$7),AVERAGEIFS(tbl_daily[SleepQuality],
tbl_daily[Attendance Refined],1,tbl_daily[Date],$F$84,tbl_daily[Cohort of Interest],$A$61,tbl_daily[Ones],1),
IF(AND(OR($A$61=Reference!$A$3,$A$61=Reference!$A$4,$A$61=Reference!$A$5,$A$61=Reference!$A$6,$A$61=Reference!$A$7,$A$61=Reference!$A$8),$A$71=Reference!$D$8),AVERAGEIFS(tbl_daily[Energy],
tbl_daily[Attendance Refined],1,tbl_daily[Date],$F$84,tbl_daily[Cohort of Interest],$A$61,tbl_daily[Ones],1),
IF(AND(OR($A$61=Reference!$A$3,$A$61=Reference!$A$4,$A$61=Reference!$A$5,$A$61=Reference!$A$6,$A$61=Reference!$A$7,$A$61=Reference!$A$8),$A$71=Reference!$D$9),AVERAGEIFS(tbl_daily[Readiness Score],
tbl_daily[Attendance Refined],1,tbl_daily[Date],$F$84,tbl_daily[Cohort of Interest],$A$61,tbl_daily[Ones],1))))))))))))))))),"")</f>
        <v>6.1724137931034484</v>
      </c>
      <c r="G86" s="93">
        <f>IFERROR(IF(AND($A$61=Reference!$A$2,$A$66=Reference!$D$2),AVERAGEIFS(tbl_daily[LatestRPE],tbl_daily[Attendance Refined],1,tbl_daily[Date],$C$84,tbl_daily[Ones],1),
IF(AND($A$61=Reference!$A$2,$A$66=Reference!$D$3),AVERAGEIFS(tbl_daily[LatestDuration],tbl_daily[Attendance Refined],1,tbl_daily[Date],$C$84,tbl_daily[Ones],1),
IF(AND($A$61=Reference!$A$2,$A$66=Reference!$D$4),AVERAGEIFS(tbl_daily[sRPE],tbl_daily[Attendance Refined],1,tbl_daily[Date],$C$84,tbl_daily[Ones],1),
IF(AND($A$61=Reference!$A$2,$A$66=Reference!$D$5),AVERAGEIFS(tbl_daily[Grades],tbl_daily[Attendance Refined],1,tbl_daily[Date],$C$84,tbl_daily[Ones],1),
IF(AND($A$61=Reference!$A$2,$A$66=Reference!$D$6),AVERAGEIFS(tbl_daily[Stress],tbl_daily[Attendance Refined],1,tbl_daily[Date],$C$84,tbl_daily[Ones],1),
IF(AND($A$61=Reference!$A$2,$A$66=Reference!$D$7),AVERAGEIFS(tbl_daily[SleepQuality],tbl_daily[Attendance Refined],1,tbl_daily[Date],$C$84,tbl_daily[Ones],1),
IF(AND($A$61=Reference!$A$2,$A$66=Reference!$D$8),AVERAGEIFS(tbl_daily[Energy],tbl_daily[Attendance Refined],1,tbl_daily[Date],$C$84,tbl_daily[Ones],1),
IF(AND($A$61=Reference!$A$2,$A$66=Reference!$D$9),AVERAGEIFS(tbl_daily[Readiness Score],tbl_daily[Attendance Refined],1,tbl_daily[Date],$C$84,tbl_daily[Ones],1),
IF(AND(OR($A$61=Reference!$A$3,$A$61=Reference!$A$4,$A$61=Reference!$A$5,$A$61=Reference!$A$6,$A$61=Reference!$A$7,$A$61=Reference!$A$8),$A$66=Reference!$D$2),AVERAGEIFS(tbl_daily[LatestRPE],
tbl_daily[Attendance Refined],1,tbl_daily[Date],$C$84,tbl_daily[Cohort of Interest],$A$61,tbl_daily[Ones],1),
IF(AND(OR($A$61=Reference!$A$3,$A$61=Reference!$A$4,$A$61=Reference!$A$5,$A$61=Reference!$A$6,$A$61=Reference!$A$7,$A$61=Reference!$A$8),$A$66=Reference!$D$3),AVERAGEIFS(tbl_daily[LatestDuration],
tbl_daily[Attendance Refined],1,tbl_daily[Date],$C$84,tbl_daily[Cohort of Interest],$A$61,tbl_daily[Ones],1),
IF(AND(OR($A$61=Reference!$A$3,$A$61=Reference!$A$4,$A$61=Reference!$A$5,$A$61=Reference!$A$6,$A$61=Reference!$A$7,$A$61=Reference!$A$8),$A$66=Reference!$D$4),AVERAGEIFS(tbl_daily[sRPE],
tbl_daily[Attendance Refined],1,tbl_daily[Date],$C$84,tbl_daily[Cohort of Interest],$A$61,tbl_daily[Ones],1),
IF(AND(OR($A$61=Reference!$A$3,$A$61=Reference!$A$4,$A$61=Reference!$A$5,$A$61=Reference!$A$6,$A$61=Reference!$A$7,$A$61=Reference!$A$8),$A$66=Reference!$D$5),AVERAGEIFS(tbl_daily[Grades],
tbl_daily[Attendance Refined],1,tbl_daily[Date],$C$84,tbl_daily[Cohort of Interest],$A$61,tbl_daily[Ones],1),
IF(AND(OR($A$61=Reference!$A$3,$A$61=Reference!$A$4,$A$61=Reference!$A$5,$A$61=Reference!$A$6,$A$61=Reference!$A$7,$A$61=Reference!$A$8),$A$66=Reference!$D$6),AVERAGEIFS(tbl_daily[Stress],
tbl_daily[Attendance Refined],1,tbl_daily[Date],$C$84,tbl_daily[Cohort of Interest],$A$61,tbl_daily[Ones],1),
IF(AND(OR($A$61=Reference!$A$3,$A$61=Reference!$A$4,$A$61=Reference!$A$5,$A$61=Reference!$A$6,$A$61=Reference!$A$7,$A$61=Reference!$A$8),$A$66=Reference!$D$7),AVERAGEIFS(tbl_daily[SleepQuality],
tbl_daily[Attendance Refined],1,tbl_daily[Date],$C$84,tbl_daily[Cohort of Interest],$A$61,tbl_daily[Ones],1),
IF(AND(OR($A$61=Reference!$A$3,$A$61=Reference!$A$4,$A$61=Reference!$A$5,$A$61=Reference!$A$6,$A$61=Reference!$A$7,$A$61=Reference!$A$8),$A$66=Reference!$D$8),AVERAGEIFS(tbl_daily[Energy],
tbl_daily[Attendance Refined],1,tbl_daily[Date],$C$84,tbl_daily[Cohort of Interest],$A$61,tbl_daily[Ones],1),
IF(AND(OR($A$61=Reference!$A$3,$A$61=Reference!$A$4,$A$61=Reference!$A$5,$A$61=Reference!$A$6,$A$61=Reference!$A$7,$A$61=Reference!$A$8),$A$66=Reference!$D$9),AVERAGEIFS(tbl_daily[Readiness Score],
tbl_daily[Attendance Refined],1,tbl_daily[Date],$C$84,tbl_daily[Cohort of Interest],$A$61,tbl_daily[Ones],1))))))))))))))))),"")</f>
        <v>435.89285714285717</v>
      </c>
      <c r="H86" s="93">
        <f>IFERROR(IF(AND($A$61=Reference!$A$2,$A$66=Reference!$D$2),AVERAGEIFS(tbl_daily[LatestRPE],tbl_daily[Attendance Refined],1,tbl_daily[Date],$C$84,tbl_daily[Ones],1),
IF(AND($A$61=Reference!$A$2,$A$66=Reference!$D$3),AVERAGEIFS(tbl_daily[LatestDuration],tbl_daily[Attendance Refined],1,tbl_daily[Date],$C$84,tbl_daily[Ones],1),
IF(AND($A$61=Reference!$A$2,$A$66=Reference!$D$4),AVERAGEIFS(tbl_daily[sRPE],tbl_daily[Attendance Refined],1,tbl_daily[Date],$C$84,tbl_daily[Ones],1),
IF(AND($A$61=Reference!$A$2,$A$66=Reference!$D$5),AVERAGEIFS(tbl_daily[Grades],tbl_daily[Attendance Refined],1,tbl_daily[Date],$C$84,tbl_daily[Ones],1),
IF(AND($A$61=Reference!$A$2,$A$66=Reference!$D$6),AVERAGEIFS(tbl_daily[Stress],tbl_daily[Attendance Refined],1,tbl_daily[Date],$C$84,tbl_daily[Ones],1),
IF(AND($A$61=Reference!$A$2,$A$66=Reference!$D$7),AVERAGEIFS(tbl_daily[SleepQuality],tbl_daily[Attendance Refined],1,tbl_daily[Date],$C$84,tbl_daily[Ones],1),
IF(AND($A$61=Reference!$A$2,$A$66=Reference!$D$8),AVERAGEIFS(tbl_daily[Energy],tbl_daily[Attendance Refined],1,tbl_daily[Date],$C$84,tbl_daily[Ones],1),
IF(AND($A$61=Reference!$A$2,$A$66=Reference!$D$9),AVERAGEIFS(tbl_daily[Readiness Score],tbl_daily[Attendance Refined],1,tbl_daily[Date],$C$84,tbl_daily[Ones],1),
IF(AND(OR($A$61=Reference!$A$3,$A$61=Reference!$A$4,$A$61=Reference!$A$5,$A$61=Reference!$A$6,$A$61=Reference!$A$7,$A$61=Reference!$A$8),$A$66=Reference!$D$2),AVERAGEIFS(tbl_daily[LatestRPE],
tbl_daily[Attendance Refined],1,tbl_daily[Date],$C$84,tbl_daily[Cohort of Interest],$A$61,tbl_daily[Ones],1),
IF(AND(OR($A$61=Reference!$A$3,$A$61=Reference!$A$4,$A$61=Reference!$A$5,$A$61=Reference!$A$6,$A$61=Reference!$A$7,$A$61=Reference!$A$8),$A$66=Reference!$D$3),AVERAGEIFS(tbl_daily[LatestDuration],
tbl_daily[Attendance Refined],1,tbl_daily[Date],$C$84,tbl_daily[Cohort of Interest],$A$61,tbl_daily[Ones],1),
IF(AND(OR($A$61=Reference!$A$3,$A$61=Reference!$A$4,$A$61=Reference!$A$5,$A$61=Reference!$A$6,$A$61=Reference!$A$7,$A$61=Reference!$A$8),$A$66=Reference!$D$4),AVERAGEIFS(tbl_daily[sRPE],
tbl_daily[Attendance Refined],1,tbl_daily[Date],$C$84,tbl_daily[Cohort of Interest],$A$61,tbl_daily[Ones],1),
IF(AND(OR($A$61=Reference!$A$3,$A$61=Reference!$A$4,$A$61=Reference!$A$5,$A$61=Reference!$A$6,$A$61=Reference!$A$7,$A$61=Reference!$A$8),$A$66=Reference!$D$5),AVERAGEIFS(tbl_daily[Grades],
tbl_daily[Attendance Refined],1,tbl_daily[Date],$C$84,tbl_daily[Cohort of Interest],$A$61,tbl_daily[Ones],1),
IF(AND(OR($A$61=Reference!$A$3,$A$61=Reference!$A$4,$A$61=Reference!$A$5,$A$61=Reference!$A$6,$A$61=Reference!$A$7,$A$61=Reference!$A$8),$A$66=Reference!$D$6),AVERAGEIFS(tbl_daily[Stress],
tbl_daily[Attendance Refined],1,tbl_daily[Date],$C$84,tbl_daily[Cohort of Interest],$A$61,tbl_daily[Ones],1),
IF(AND(OR($A$61=Reference!$A$3,$A$61=Reference!$A$4,$A$61=Reference!$A$5,$A$61=Reference!$A$6,$A$61=Reference!$A$7,$A$61=Reference!$A$8),$A$66=Reference!$D$7),AVERAGEIFS(tbl_daily[SleepQuality],
tbl_daily[Attendance Refined],1,tbl_daily[Date],$C$84,tbl_daily[Cohort of Interest],$A$61,tbl_daily[Ones],1),
IF(AND(OR($A$61=Reference!$A$3,$A$61=Reference!$A$4,$A$61=Reference!$A$5,$A$61=Reference!$A$6,$A$61=Reference!$A$7,$A$61=Reference!$A$8),$A$66=Reference!$D$8),AVERAGEIFS(tbl_daily[Energy],
tbl_daily[Attendance Refined],1,tbl_daily[Date],$C$84,tbl_daily[Cohort of Interest],$A$61,tbl_daily[Ones],1),
IF(AND(OR($A$61=Reference!$A$3,$A$61=Reference!$A$4,$A$61=Reference!$A$5,$A$61=Reference!$A$6,$A$61=Reference!$A$7,$A$61=Reference!$A$8),$A$66=Reference!$D$9),AVERAGEIFS(tbl_daily[Readiness Score],
tbl_daily[Attendance Refined],1,tbl_daily[Date],$C$84,tbl_daily[Cohort of Interest],$A$61,tbl_daily[Ones],1))))))))))))))))),"")</f>
        <v>435.89285714285717</v>
      </c>
      <c r="I86" s="93">
        <f>IFERROR(IF(AND($A$61=Reference!$A$2,$A$71=Reference!$D$2),AVERAGEIFS(tbl_daily[LatestRPE],tbl_daily[Attendance Refined],1,tbl_daily[Date],$I$84,tbl_daily[Ones],1),
IF(AND($A$61=Reference!$A$2,$A$71=Reference!$D$3),AVERAGEIFS(tbl_daily[LatestDuration],tbl_daily[Attendance Refined],1,tbl_daily[Date],$I$84,tbl_daily[Ones],1),
IF(AND($A$61=Reference!$A$2,$A$71=Reference!$D$4),AVERAGEIFS(tbl_daily[sRPE],tbl_daily[Attendance Refined],1,tbl_daily[Date],$I$84,tbl_daily[Ones],1),
IF(AND($A$61=Reference!$A$2,$A$71=Reference!$D$5),AVERAGEIFS(tbl_daily[Grades],tbl_daily[Attendance Refined],1,tbl_daily[Date],$I$84,tbl_daily[Ones],1),
IF(AND($A$61=Reference!$A$2,$A$71=Reference!$D$6),AVERAGEIFS(tbl_daily[Stress],tbl_daily[Attendance Refined],1,tbl_daily[Date],$I$84,tbl_daily[Ones],1),
IF(AND($A$61=Reference!$A$2,$A$71=Reference!$D$7),AVERAGEIFS(tbl_daily[SleepQuality],tbl_daily[Attendance Refined],1,tbl_daily[Date],$I$84,tbl_daily[Ones],1),
IF(AND($A$61=Reference!$A$2,$A$71=Reference!$D$8),AVERAGEIFS(tbl_daily[Energy],tbl_daily[Attendance Refined],1,tbl_daily[Date],$I$84,tbl_daily[Ones],1),
IF(AND($A$61=Reference!$A$2,$A$71=Reference!$D$9),AVERAGEIFS(tbl_daily[Readiness Score],tbl_daily[Attendance Refined],1,tbl_daily[Date],$I$84,tbl_daily[Ones],1),
IF(AND(OR($A$61=Reference!$A$3,$A$61=Reference!$A$4,$A$61=Reference!$A$5,$A$61=Reference!$A$6,$A$61=Reference!$A$7,$A$61=Reference!$A$8),$A$71=Reference!$D$2),AVERAGEIFS(tbl_daily[LatestRPE],
tbl_daily[Attendance Refined],1,tbl_daily[Date],$I$84,tbl_daily[Cohort of Interest],$A$61,tbl_daily[Ones],1),
IF(AND(OR($A$61=Reference!$A$3,$A$61=Reference!$A$4,$A$61=Reference!$A$5,$A$61=Reference!$A$6,$A$61=Reference!$A$7,$A$61=Reference!$A$8),$A$71=Reference!$D$3),AVERAGEIFS(tbl_daily[LatestDuration],
tbl_daily[Attendance Refined],1,tbl_daily[Date],$I$84,tbl_daily[Cohort of Interest],$A$61,tbl_daily[Ones],1),
IF(AND(OR($A$61=Reference!$A$3,$A$61=Reference!$A$4,$A$61=Reference!$A$5,$A$61=Reference!$A$6,$A$61=Reference!$A$7,$A$61=Reference!$A$8),$A$71=Reference!$D$4),AVERAGEIFS(tbl_daily[sRPE],
tbl_daily[Attendance Refined],1,tbl_daily[Date],$I$84,tbl_daily[Cohort of Interest],$A$61,tbl_daily[Ones],1),
IF(AND(OR($A$61=Reference!$A$3,$A$61=Reference!$A$4,$A$61=Reference!$A$5,$A$61=Reference!$A$6,$A$61=Reference!$A$7,$A$61=Reference!$A$8),$A$71=Reference!$D$5),AVERAGEIFS(tbl_daily[Grades],
tbl_daily[Attendance Refined],1,tbl_daily[Date],$I$84,tbl_daily[Cohort of Interest],$A$61,tbl_daily[Ones],1),
IF(AND(OR($A$61=Reference!$A$3,$A$61=Reference!$A$4,$A$61=Reference!$A$5,$A$61=Reference!$A$6,$A$61=Reference!$A$7,$A$61=Reference!$A$8),$A$71=Reference!$D$6),AVERAGEIFS(tbl_daily[Stress],
tbl_daily[Attendance Refined],1,tbl_daily[Date],$I$84,tbl_daily[Cohort of Interest],$A$61,tbl_daily[Ones],1),
IF(AND(OR($A$61=Reference!$A$3,$A$61=Reference!$A$4,$A$61=Reference!$A$5,$A$61=Reference!$A$6,$A$61=Reference!$A$7,$A$61=Reference!$A$8),$A$71=Reference!$D$7),AVERAGEIFS(tbl_daily[SleepQuality],
tbl_daily[Attendance Refined],1,tbl_daily[Date],$I$84,tbl_daily[Cohort of Interest],$A$61,tbl_daily[Ones],1),
IF(AND(OR($A$61=Reference!$A$3,$A$61=Reference!$A$4,$A$61=Reference!$A$5,$A$61=Reference!$A$6,$A$61=Reference!$A$7,$A$61=Reference!$A$8),$A$71=Reference!$D$8),AVERAGEIFS(tbl_daily[Energy],
tbl_daily[Attendance Refined],1,tbl_daily[Date],$I$84,tbl_daily[Cohort of Interest],$A$61,tbl_daily[Ones],1),
IF(AND(OR($A$61=Reference!$A$3,$A$61=Reference!$A$4,$A$61=Reference!$A$5,$A$61=Reference!$A$6,$A$61=Reference!$A$7,$A$61=Reference!$A$8),$A$71=Reference!$D$9),AVERAGEIFS(tbl_daily[Readiness Score],
tbl_daily[Attendance Refined],1,tbl_daily[Date],$I$84,tbl_daily[Cohort of Interest],$A$61,tbl_daily[Ones],1))))))))))))))))),"")</f>
        <v>6.1034482758620694</v>
      </c>
      <c r="J86" s="93">
        <f>IFERROR(IF(AND($A$61=Reference!$A$2,$A$66=Reference!$D$2),AVERAGEIFS(tbl_daily[LatestRPE],tbl_daily[Attendance Refined],1,tbl_daily[Date],$C$84,tbl_daily[Ones],1),
IF(AND($A$61=Reference!$A$2,$A$66=Reference!$D$3),AVERAGEIFS(tbl_daily[LatestDuration],tbl_daily[Attendance Refined],1,tbl_daily[Date],$C$84,tbl_daily[Ones],1),
IF(AND($A$61=Reference!$A$2,$A$66=Reference!$D$4),AVERAGEIFS(tbl_daily[sRPE],tbl_daily[Attendance Refined],1,tbl_daily[Date],$C$84,tbl_daily[Ones],1),
IF(AND($A$61=Reference!$A$2,$A$66=Reference!$D$5),AVERAGEIFS(tbl_daily[Grades],tbl_daily[Attendance Refined],1,tbl_daily[Date],$C$84,tbl_daily[Ones],1),
IF(AND($A$61=Reference!$A$2,$A$66=Reference!$D$6),AVERAGEIFS(tbl_daily[Stress],tbl_daily[Attendance Refined],1,tbl_daily[Date],$C$84,tbl_daily[Ones],1),
IF(AND($A$61=Reference!$A$2,$A$66=Reference!$D$7),AVERAGEIFS(tbl_daily[SleepQuality],tbl_daily[Attendance Refined],1,tbl_daily[Date],$C$84,tbl_daily[Ones],1),
IF(AND($A$61=Reference!$A$2,$A$66=Reference!$D$8),AVERAGEIFS(tbl_daily[Energy],tbl_daily[Attendance Refined],1,tbl_daily[Date],$C$84,tbl_daily[Ones],1),
IF(AND($A$61=Reference!$A$2,$A$66=Reference!$D$9),AVERAGEIFS(tbl_daily[Readiness Score],tbl_daily[Attendance Refined],1,tbl_daily[Date],$C$84,tbl_daily[Ones],1),
IF(AND(OR($A$61=Reference!$A$3,$A$61=Reference!$A$4,$A$61=Reference!$A$5,$A$61=Reference!$A$6,$A$61=Reference!$A$7,$A$61=Reference!$A$8),$A$66=Reference!$D$2),AVERAGEIFS(tbl_daily[LatestRPE],
tbl_daily[Attendance Refined],1,tbl_daily[Date],$C$84,tbl_daily[Cohort of Interest],$A$61,tbl_daily[Ones],1),
IF(AND(OR($A$61=Reference!$A$3,$A$61=Reference!$A$4,$A$61=Reference!$A$5,$A$61=Reference!$A$6,$A$61=Reference!$A$7,$A$61=Reference!$A$8),$A$66=Reference!$D$3),AVERAGEIFS(tbl_daily[LatestDuration],
tbl_daily[Attendance Refined],1,tbl_daily[Date],$C$84,tbl_daily[Cohort of Interest],$A$61,tbl_daily[Ones],1),
IF(AND(OR($A$61=Reference!$A$3,$A$61=Reference!$A$4,$A$61=Reference!$A$5,$A$61=Reference!$A$6,$A$61=Reference!$A$7,$A$61=Reference!$A$8),$A$66=Reference!$D$4),AVERAGEIFS(tbl_daily[sRPE],
tbl_daily[Attendance Refined],1,tbl_daily[Date],$C$84,tbl_daily[Cohort of Interest],$A$61,tbl_daily[Ones],1),
IF(AND(OR($A$61=Reference!$A$3,$A$61=Reference!$A$4,$A$61=Reference!$A$5,$A$61=Reference!$A$6,$A$61=Reference!$A$7,$A$61=Reference!$A$8),$A$66=Reference!$D$5),AVERAGEIFS(tbl_daily[Grades],
tbl_daily[Attendance Refined],1,tbl_daily[Date],$C$84,tbl_daily[Cohort of Interest],$A$61,tbl_daily[Ones],1),
IF(AND(OR($A$61=Reference!$A$3,$A$61=Reference!$A$4,$A$61=Reference!$A$5,$A$61=Reference!$A$6,$A$61=Reference!$A$7,$A$61=Reference!$A$8),$A$66=Reference!$D$6),AVERAGEIFS(tbl_daily[Stress],
tbl_daily[Attendance Refined],1,tbl_daily[Date],$C$84,tbl_daily[Cohort of Interest],$A$61,tbl_daily[Ones],1),
IF(AND(OR($A$61=Reference!$A$3,$A$61=Reference!$A$4,$A$61=Reference!$A$5,$A$61=Reference!$A$6,$A$61=Reference!$A$7,$A$61=Reference!$A$8),$A$66=Reference!$D$7),AVERAGEIFS(tbl_daily[SleepQuality],
tbl_daily[Attendance Refined],1,tbl_daily[Date],$C$84,tbl_daily[Cohort of Interest],$A$61,tbl_daily[Ones],1),
IF(AND(OR($A$61=Reference!$A$3,$A$61=Reference!$A$4,$A$61=Reference!$A$5,$A$61=Reference!$A$6,$A$61=Reference!$A$7,$A$61=Reference!$A$8),$A$66=Reference!$D$8),AVERAGEIFS(tbl_daily[Energy],
tbl_daily[Attendance Refined],1,tbl_daily[Date],$C$84,tbl_daily[Cohort of Interest],$A$61,tbl_daily[Ones],1),
IF(AND(OR($A$61=Reference!$A$3,$A$61=Reference!$A$4,$A$61=Reference!$A$5,$A$61=Reference!$A$6,$A$61=Reference!$A$7,$A$61=Reference!$A$8),$A$66=Reference!$D$9),AVERAGEIFS(tbl_daily[Readiness Score],
tbl_daily[Attendance Refined],1,tbl_daily[Date],$C$84,tbl_daily[Cohort of Interest],$A$61,tbl_daily[Ones],1))))))))))))))))),"")</f>
        <v>435.89285714285717</v>
      </c>
      <c r="K86" s="93">
        <f>IFERROR(IF(AND($A$61=Reference!$A$2,$A$66=Reference!$D$2),AVERAGEIFS(tbl_daily[LatestRPE],tbl_daily[Attendance Refined],1,tbl_daily[Date],$C$84,tbl_daily[Ones],1),
IF(AND($A$61=Reference!$A$2,$A$66=Reference!$D$3),AVERAGEIFS(tbl_daily[LatestDuration],tbl_daily[Attendance Refined],1,tbl_daily[Date],$C$84,tbl_daily[Ones],1),
IF(AND($A$61=Reference!$A$2,$A$66=Reference!$D$4),AVERAGEIFS(tbl_daily[sRPE],tbl_daily[Attendance Refined],1,tbl_daily[Date],$C$84,tbl_daily[Ones],1),
IF(AND($A$61=Reference!$A$2,$A$66=Reference!$D$5),AVERAGEIFS(tbl_daily[Grades],tbl_daily[Attendance Refined],1,tbl_daily[Date],$C$84,tbl_daily[Ones],1),
IF(AND($A$61=Reference!$A$2,$A$66=Reference!$D$6),AVERAGEIFS(tbl_daily[Stress],tbl_daily[Attendance Refined],1,tbl_daily[Date],$C$84,tbl_daily[Ones],1),
IF(AND($A$61=Reference!$A$2,$A$66=Reference!$D$7),AVERAGEIFS(tbl_daily[SleepQuality],tbl_daily[Attendance Refined],1,tbl_daily[Date],$C$84,tbl_daily[Ones],1),
IF(AND($A$61=Reference!$A$2,$A$66=Reference!$D$8),AVERAGEIFS(tbl_daily[Energy],tbl_daily[Attendance Refined],1,tbl_daily[Date],$C$84,tbl_daily[Ones],1),
IF(AND($A$61=Reference!$A$2,$A$66=Reference!$D$9),AVERAGEIFS(tbl_daily[Readiness Score],tbl_daily[Attendance Refined],1,tbl_daily[Date],$C$84,tbl_daily[Ones],1),
IF(AND(OR($A$61=Reference!$A$3,$A$61=Reference!$A$4,$A$61=Reference!$A$5,$A$61=Reference!$A$6,$A$61=Reference!$A$7,$A$61=Reference!$A$8),$A$66=Reference!$D$2),AVERAGEIFS(tbl_daily[LatestRPE],
tbl_daily[Attendance Refined],1,tbl_daily[Date],$C$84,tbl_daily[Cohort of Interest],$A$61,tbl_daily[Ones],1),
IF(AND(OR($A$61=Reference!$A$3,$A$61=Reference!$A$4,$A$61=Reference!$A$5,$A$61=Reference!$A$6,$A$61=Reference!$A$7,$A$61=Reference!$A$8),$A$66=Reference!$D$3),AVERAGEIFS(tbl_daily[LatestDuration],
tbl_daily[Attendance Refined],1,tbl_daily[Date],$C$84,tbl_daily[Cohort of Interest],$A$61,tbl_daily[Ones],1),
IF(AND(OR($A$61=Reference!$A$3,$A$61=Reference!$A$4,$A$61=Reference!$A$5,$A$61=Reference!$A$6,$A$61=Reference!$A$7,$A$61=Reference!$A$8),$A$66=Reference!$D$4),AVERAGEIFS(tbl_daily[sRPE],
tbl_daily[Attendance Refined],1,tbl_daily[Date],$C$84,tbl_daily[Cohort of Interest],$A$61,tbl_daily[Ones],1),
IF(AND(OR($A$61=Reference!$A$3,$A$61=Reference!$A$4,$A$61=Reference!$A$5,$A$61=Reference!$A$6,$A$61=Reference!$A$7,$A$61=Reference!$A$8),$A$66=Reference!$D$5),AVERAGEIFS(tbl_daily[Grades],
tbl_daily[Attendance Refined],1,tbl_daily[Date],$C$84,tbl_daily[Cohort of Interest],$A$61,tbl_daily[Ones],1),
IF(AND(OR($A$61=Reference!$A$3,$A$61=Reference!$A$4,$A$61=Reference!$A$5,$A$61=Reference!$A$6,$A$61=Reference!$A$7,$A$61=Reference!$A$8),$A$66=Reference!$D$6),AVERAGEIFS(tbl_daily[Stress],
tbl_daily[Attendance Refined],1,tbl_daily[Date],$C$84,tbl_daily[Cohort of Interest],$A$61,tbl_daily[Ones],1),
IF(AND(OR($A$61=Reference!$A$3,$A$61=Reference!$A$4,$A$61=Reference!$A$5,$A$61=Reference!$A$6,$A$61=Reference!$A$7,$A$61=Reference!$A$8),$A$66=Reference!$D$7),AVERAGEIFS(tbl_daily[SleepQuality],
tbl_daily[Attendance Refined],1,tbl_daily[Date],$C$84,tbl_daily[Cohort of Interest],$A$61,tbl_daily[Ones],1),
IF(AND(OR($A$61=Reference!$A$3,$A$61=Reference!$A$4,$A$61=Reference!$A$5,$A$61=Reference!$A$6,$A$61=Reference!$A$7,$A$61=Reference!$A$8),$A$66=Reference!$D$8),AVERAGEIFS(tbl_daily[Energy],
tbl_daily[Attendance Refined],1,tbl_daily[Date],$C$84,tbl_daily[Cohort of Interest],$A$61,tbl_daily[Ones],1),
IF(AND(OR($A$61=Reference!$A$3,$A$61=Reference!$A$4,$A$61=Reference!$A$5,$A$61=Reference!$A$6,$A$61=Reference!$A$7,$A$61=Reference!$A$8),$A$66=Reference!$D$9),AVERAGEIFS(tbl_daily[Readiness Score],
tbl_daily[Attendance Refined],1,tbl_daily[Date],$C$84,tbl_daily[Cohort of Interest],$A$61,tbl_daily[Ones],1))))))))))))))))),"")</f>
        <v>435.89285714285717</v>
      </c>
      <c r="L86" s="93">
        <f>IFERROR(IF(AND($A$61=Reference!$A$2,$A$71=Reference!$D$2),AVERAGEIFS(tbl_daily[LatestRPE],tbl_daily[Attendance Refined],1,tbl_daily[Date],$L$84,tbl_daily[Ones],1),
IF(AND($A$61=Reference!$A$2,$A$71=Reference!$D$3),AVERAGEIFS(tbl_daily[LatestDuration],tbl_daily[Attendance Refined],1,tbl_daily[Date],$L$84,tbl_daily[Ones],1),
IF(AND($A$61=Reference!$A$2,$A$71=Reference!$D$4),AVERAGEIFS(tbl_daily[sRPE],tbl_daily[Attendance Refined],1,tbl_daily[Date],$L$84,tbl_daily[Ones],1),
IF(AND($A$61=Reference!$A$2,$A$71=Reference!$D$5),AVERAGEIFS(tbl_daily[Grades],tbl_daily[Attendance Refined],1,tbl_daily[Date],$L$84,tbl_daily[Ones],1),
IF(AND($A$61=Reference!$A$2,$A$71=Reference!$D$6),AVERAGEIFS(tbl_daily[Stress],tbl_daily[Attendance Refined],1,tbl_daily[Date],$L$84,tbl_daily[Ones],1),
IF(AND($A$61=Reference!$A$2,$A$71=Reference!$D$7),AVERAGEIFS(tbl_daily[SleepQuality],tbl_daily[Attendance Refined],1,tbl_daily[Date],$L$84,tbl_daily[Ones],1),
IF(AND($A$61=Reference!$A$2,$A$71=Reference!$D$8),AVERAGEIFS(tbl_daily[Energy],tbl_daily[Attendance Refined],1,tbl_daily[Date],$L$84,tbl_daily[Ones],1),
IF(AND($A$61=Reference!$A$2,$A$71=Reference!$D$9),AVERAGEIFS(tbl_daily[Readiness Score],tbl_daily[Attendance Refined],1,tbl_daily[Date],$L$84,tbl_daily[Ones],1),
IF(AND(OR($A$61=Reference!$A$3,$A$61=Reference!$A$4,$A$61=Reference!$A$5,$A$61=Reference!$A$6,$A$61=Reference!$A$7,$A$61=Reference!$A$8),$A$71=Reference!$D$2),AVERAGEIFS(tbl_daily[LatestRPE],
tbl_daily[Attendance Refined],1,tbl_daily[Date],$L$84,tbl_daily[Cohort of Interest],$A$61,tbl_daily[Ones],1),
IF(AND(OR($A$61=Reference!$A$3,$A$61=Reference!$A$4,$A$61=Reference!$A$5,$A$61=Reference!$A$6,$A$61=Reference!$A$7,$A$61=Reference!$A$8),$A$71=Reference!$D$3),AVERAGEIFS(tbl_daily[LatestDuration],
tbl_daily[Attendance Refined],1,tbl_daily[Date],$L$84,tbl_daily[Cohort of Interest],$A$61,tbl_daily[Ones],1),
IF(AND(OR($A$61=Reference!$A$3,$A$61=Reference!$A$4,$A$61=Reference!$A$5,$A$61=Reference!$A$6,$A$61=Reference!$A$7,$A$61=Reference!$A$8),$A$71=Reference!$D$4),AVERAGEIFS(tbl_daily[sRPE],
tbl_daily[Attendance Refined],1,tbl_daily[Date],$L$84,tbl_daily[Cohort of Interest],$A$61,tbl_daily[Ones],1),
IF(AND(OR($A$61=Reference!$A$3,$A$61=Reference!$A$4,$A$61=Reference!$A$5,$A$61=Reference!$A$6,$A$61=Reference!$A$7,$A$61=Reference!$A$8),$A$71=Reference!$D$5),AVERAGEIFS(tbl_daily[Grades],
tbl_daily[Attendance Refined],1,tbl_daily[Date],$L$84,tbl_daily[Cohort of Interest],$A$61,tbl_daily[Ones],1),
IF(AND(OR($A$61=Reference!$A$3,$A$61=Reference!$A$4,$A$61=Reference!$A$5,$A$61=Reference!$A$6,$A$61=Reference!$A$7,$A$61=Reference!$A$8),$A$71=Reference!$D$6),AVERAGEIFS(tbl_daily[Stress],
tbl_daily[Attendance Refined],1,tbl_daily[Date],$L$84,tbl_daily[Cohort of Interest],$A$61,tbl_daily[Ones],1),
IF(AND(OR($A$61=Reference!$A$3,$A$61=Reference!$A$4,$A$61=Reference!$A$5,$A$61=Reference!$A$6,$A$61=Reference!$A$7,$A$61=Reference!$A$8),$A$71=Reference!$D$7),AVERAGEIFS(tbl_daily[SleepQuality],
tbl_daily[Attendance Refined],1,tbl_daily[Date],$L$84,tbl_daily[Cohort of Interest],$A$61,tbl_daily[Ones],1),
IF(AND(OR($A$61=Reference!$A$3,$A$61=Reference!$A$4,$A$61=Reference!$A$5,$A$61=Reference!$A$6,$A$61=Reference!$A$7,$A$61=Reference!$A$8),$A$71=Reference!$D$8),AVERAGEIFS(tbl_daily[Energy],
tbl_daily[Attendance Refined],1,tbl_daily[Date],$L$84,tbl_daily[Cohort of Interest],$A$61,tbl_daily[Ones],1),
IF(AND(OR($A$61=Reference!$A$3,$A$61=Reference!$A$4,$A$61=Reference!$A$5,$A$61=Reference!$A$6,$A$61=Reference!$A$7,$A$61=Reference!$A$8),$A$71=Reference!$D$9),AVERAGEIFS(tbl_daily[Readiness Score],
tbl_daily[Attendance Refined],1,tbl_daily[Date],$L$84,tbl_daily[Cohort of Interest],$A$61,tbl_daily[Ones],1))))))))))))))))),"")</f>
        <v>6.8</v>
      </c>
      <c r="M86" s="91"/>
      <c r="N86" s="91"/>
      <c r="O86" s="91"/>
      <c r="P86" s="94"/>
      <c r="Q86" s="94"/>
      <c r="R86" s="95"/>
    </row>
    <row r="87" spans="1:18" x14ac:dyDescent="0.25">
      <c r="A87" s="91" t="s">
        <v>408</v>
      </c>
      <c r="B87" s="93">
        <f>IFERROR(AVERAGEIFS(tbl_daily[sRPE],tbl_daily[Attendance Refined],1,tbl_daily[Date],B84,tbl_daily[sRPE],"&lt;&gt;"""),"")</f>
        <v>233.88888888888889</v>
      </c>
      <c r="C87" s="93">
        <f>IFERROR(AVERAGEIFS(tbl_daily[sRPE],tbl_daily[Attendance Refined],1,tbl_daily[Date],C84,tbl_daily[sRPE],"&lt;&gt;"""),"")</f>
        <v>435.89285714285717</v>
      </c>
      <c r="D87" s="91"/>
      <c r="E87" s="91"/>
      <c r="F87" s="93">
        <f>IFERROR(AVERAGEIFS(tbl_daily[sRPE],tbl_daily[Attendance Refined],1,tbl_daily[Date],F84,tbl_daily[sRPE],"&lt;&gt;"""),"")</f>
        <v>156.20689655172413</v>
      </c>
      <c r="G87" s="91"/>
      <c r="H87" s="91"/>
      <c r="I87" s="93">
        <f>IFERROR(AVERAGEIFS(tbl_daily[sRPE],tbl_daily[Attendance Refined],1,tbl_daily[Date],I84,tbl_daily[sRPE],"&lt;&gt;"""),"")</f>
        <v>269.65517241379308</v>
      </c>
      <c r="J87" s="91"/>
      <c r="K87" s="91"/>
      <c r="L87" s="93">
        <f>IFERROR(AVERAGEIFS(tbl_daily[sRPE],tbl_daily[Attendance Refined],1,tbl_daily[Date],L84,tbl_daily[sRPE],"&lt;&gt;"""),"")</f>
        <v>317.33333333333331</v>
      </c>
      <c r="M87" s="91"/>
      <c r="N87" s="91"/>
      <c r="O87" s="91"/>
      <c r="P87" s="94"/>
      <c r="Q87" s="94"/>
      <c r="R87" s="94"/>
    </row>
    <row r="88" spans="1:18" x14ac:dyDescent="0.25">
      <c r="A88" s="91" t="s">
        <v>409</v>
      </c>
      <c r="B88" s="93">
        <f>IFERROR(AVERAGEIFS(tbl_daily[Readiness Score],tbl_daily[Attendance Refined],1,tbl_daily[Date],B84,tbl_daily[Readiness Score],"&lt;&gt;"""),"")</f>
        <v>19</v>
      </c>
      <c r="C88" s="93">
        <f>IFERROR(AVERAGEIFS(tbl_daily[Readiness Score],tbl_daily[Attendance Refined],1,tbl_daily[Date],C84,tbl_daily[Readiness Score],"&lt;&gt;"""),"")</f>
        <v>17.821428571428573</v>
      </c>
      <c r="D88" s="91"/>
      <c r="E88" s="91"/>
      <c r="F88" s="93">
        <f>IFERROR(AVERAGEIFS(tbl_daily[Readiness Score],tbl_daily[Attendance Refined],1,tbl_daily[Date],F84,tbl_daily[Readiness Score],"&lt;&gt;"""),"")</f>
        <v>19.103448275862068</v>
      </c>
      <c r="G88" s="91"/>
      <c r="H88" s="91"/>
      <c r="I88" s="93">
        <f>IFERROR(AVERAGEIFS(tbl_daily[Readiness Score],tbl_daily[Attendance Refined],1,tbl_daily[Date],I84,tbl_daily[Readiness Score],"&lt;&gt;"""),"")</f>
        <v>18.896551724137932</v>
      </c>
      <c r="J88" s="91"/>
      <c r="K88" s="91"/>
      <c r="L88" s="93">
        <f>IFERROR(AVERAGEIFS(tbl_daily[Readiness Score],tbl_daily[Attendance Refined],1,tbl_daily[Date],L84,tbl_daily[Readiness Score],"&lt;&gt;"""),"")</f>
        <v>20.399999999999999</v>
      </c>
      <c r="M88" s="91"/>
      <c r="N88" s="91"/>
      <c r="O88" s="91"/>
      <c r="P88" s="94"/>
      <c r="Q88" s="94"/>
      <c r="R88" s="94"/>
    </row>
    <row r="89" spans="1:18" x14ac:dyDescent="0.25">
      <c r="A89" s="91"/>
      <c r="B89" s="91"/>
      <c r="C89" s="91"/>
      <c r="D89" s="91"/>
      <c r="E89" s="91"/>
      <c r="F89" s="91"/>
      <c r="G89" s="91"/>
      <c r="H89" s="91"/>
      <c r="I89" s="91"/>
      <c r="J89" s="91"/>
      <c r="K89" s="91"/>
      <c r="L89" s="91"/>
      <c r="M89" s="91"/>
      <c r="N89" s="91"/>
      <c r="O89" s="91"/>
      <c r="P89" s="94"/>
      <c r="Q89" s="94"/>
      <c r="R89" s="94"/>
    </row>
    <row r="90" spans="1:18" x14ac:dyDescent="0.25">
      <c r="A90" s="91"/>
      <c r="B90" s="91"/>
      <c r="C90" s="91"/>
      <c r="D90" s="91"/>
      <c r="E90" s="91"/>
      <c r="F90" s="91"/>
      <c r="G90" s="91"/>
      <c r="H90" s="91"/>
      <c r="I90" s="91"/>
      <c r="J90" s="91"/>
      <c r="K90" s="91"/>
      <c r="L90" s="91"/>
      <c r="M90" s="91"/>
      <c r="N90" s="91"/>
      <c r="O90" s="91"/>
      <c r="P90" s="94"/>
      <c r="Q90" s="94"/>
      <c r="R90" s="94"/>
    </row>
    <row r="91" spans="1:18" x14ac:dyDescent="0.25">
      <c r="A91" s="25"/>
      <c r="B91" s="25"/>
      <c r="C91" s="25"/>
      <c r="D91" s="25"/>
      <c r="E91" s="25"/>
      <c r="F91" s="25"/>
      <c r="G91" s="25"/>
      <c r="H91" s="25"/>
      <c r="I91" s="25"/>
      <c r="J91" s="25"/>
      <c r="K91" s="25"/>
      <c r="L91" s="25"/>
      <c r="M91" s="25"/>
      <c r="N91" s="25"/>
      <c r="O91" s="25"/>
    </row>
  </sheetData>
  <mergeCells count="35">
    <mergeCell ref="A1:AG1"/>
    <mergeCell ref="R3:U3"/>
    <mergeCell ref="X3:AA3"/>
    <mergeCell ref="AD3:AG3"/>
    <mergeCell ref="R8:U8"/>
    <mergeCell ref="X8:AA8"/>
    <mergeCell ref="AD8:AG8"/>
    <mergeCell ref="R4:U5"/>
    <mergeCell ref="X4:AA5"/>
    <mergeCell ref="AD4:AG5"/>
    <mergeCell ref="R9:U10"/>
    <mergeCell ref="X9:AA10"/>
    <mergeCell ref="AD9:AG10"/>
    <mergeCell ref="R7:U7"/>
    <mergeCell ref="R6:U6"/>
    <mergeCell ref="X7:AA7"/>
    <mergeCell ref="X6:AA6"/>
    <mergeCell ref="AD7:AG7"/>
    <mergeCell ref="AD6:AG6"/>
    <mergeCell ref="R11:U11"/>
    <mergeCell ref="R12:U12"/>
    <mergeCell ref="X12:AA12"/>
    <mergeCell ref="X11:AA11"/>
    <mergeCell ref="AD12:AG12"/>
    <mergeCell ref="AD11:AG11"/>
    <mergeCell ref="A3:A4"/>
    <mergeCell ref="B3:B4"/>
    <mergeCell ref="C3:C4"/>
    <mergeCell ref="A71:A72"/>
    <mergeCell ref="A69:A70"/>
    <mergeCell ref="A66:A67"/>
    <mergeCell ref="A64:A65"/>
    <mergeCell ref="A61:A62"/>
    <mergeCell ref="A59:A60"/>
    <mergeCell ref="A56:A58"/>
  </mergeCells>
  <phoneticPr fontId="5" type="noConversion"/>
  <conditionalFormatting sqref="C15:C48">
    <cfRule type="colorScale" priority="94">
      <colorScale>
        <cfvo type="num" val="1"/>
        <cfvo type="num" val="2"/>
        <cfvo type="num" val="3"/>
        <color rgb="FF7AB850"/>
        <color rgb="FFFFEB84"/>
        <color rgb="FFE78075"/>
      </colorScale>
    </cfRule>
  </conditionalFormatting>
  <conditionalFormatting sqref="F15:F48">
    <cfRule type="colorScale" priority="93">
      <colorScale>
        <cfvo type="num" val="1"/>
        <cfvo type="num" val="2"/>
        <cfvo type="num" val="3"/>
        <color rgb="FF7AB850"/>
        <color rgb="FFFFEB84"/>
        <color rgb="FFE78075"/>
      </colorScale>
    </cfRule>
  </conditionalFormatting>
  <conditionalFormatting sqref="I15:I48">
    <cfRule type="colorScale" priority="92">
      <colorScale>
        <cfvo type="num" val="0"/>
        <cfvo type="num" val="0.5"/>
        <cfvo type="num" val="1"/>
        <color rgb="FFE78075"/>
        <color rgb="FFFFEB84"/>
        <color rgb="FF7AB850"/>
      </colorScale>
    </cfRule>
  </conditionalFormatting>
  <conditionalFormatting sqref="R6">
    <cfRule type="cellIs" dxfId="70" priority="89" operator="between">
      <formula>R7-(R7*0.1)</formula>
      <formula>R7+(R7*0.1)</formula>
    </cfRule>
    <cfRule type="cellIs" dxfId="69" priority="90" operator="lessThan">
      <formula>R7-(R7*0.1)</formula>
    </cfRule>
    <cfRule type="cellIs" dxfId="68" priority="91" operator="greaterThan">
      <formula>R7+(R7*0.1)</formula>
    </cfRule>
  </conditionalFormatting>
  <conditionalFormatting sqref="X6">
    <cfRule type="cellIs" dxfId="67" priority="86" operator="between">
      <formula>X7-(X7*0.1)</formula>
      <formula>X7+(X7*0.1)</formula>
    </cfRule>
    <cfRule type="cellIs" dxfId="66" priority="87" operator="lessThan">
      <formula>X7-(X7*0.1)</formula>
    </cfRule>
    <cfRule type="cellIs" dxfId="65" priority="88" operator="greaterThan">
      <formula>X7+(X7*0.1)</formula>
    </cfRule>
  </conditionalFormatting>
  <conditionalFormatting sqref="AD6">
    <cfRule type="cellIs" dxfId="64" priority="83" operator="between">
      <formula>AD7-(AD7*0.1)</formula>
      <formula>AD7+(AD7*0.1)</formula>
    </cfRule>
    <cfRule type="cellIs" dxfId="63" priority="84" operator="lessThan">
      <formula>AD7-(AD7*0.1)</formula>
    </cfRule>
    <cfRule type="cellIs" dxfId="62" priority="85" operator="greaterThan">
      <formula>AD7+(AD7*0.1)</formula>
    </cfRule>
  </conditionalFormatting>
  <conditionalFormatting sqref="R11">
    <cfRule type="cellIs" dxfId="61" priority="80" operator="between">
      <formula>R12-(R12*0.1)</formula>
      <formula>R12+(R12*0.1)</formula>
    </cfRule>
    <cfRule type="cellIs" dxfId="60" priority="81" operator="lessThan">
      <formula>R12-(R12*0.1)</formula>
    </cfRule>
    <cfRule type="cellIs" dxfId="59" priority="82" operator="greaterThan">
      <formula>R12+(R12*0.1)</formula>
    </cfRule>
  </conditionalFormatting>
  <conditionalFormatting sqref="AD11">
    <cfRule type="cellIs" dxfId="58" priority="77" operator="between">
      <formula>AD12-(AD12*0.1)</formula>
      <formula>AD12+(AD12*0.1)</formula>
    </cfRule>
    <cfRule type="cellIs" dxfId="57" priority="78" operator="lessThan">
      <formula>AD12-(AD12*0.1)</formula>
    </cfRule>
    <cfRule type="cellIs" dxfId="56" priority="79" operator="greaterThan">
      <formula>AD12+(AD12*0.1)</formula>
    </cfRule>
  </conditionalFormatting>
  <conditionalFormatting sqref="X11">
    <cfRule type="cellIs" dxfId="55" priority="74" operator="between">
      <formula>X12-(X12*0.1)</formula>
      <formula>X12+(X12*0.1)</formula>
    </cfRule>
    <cfRule type="cellIs" dxfId="54" priority="75" operator="greaterThan">
      <formula>X12-(X12*0.1)</formula>
    </cfRule>
    <cfRule type="cellIs" dxfId="53" priority="76" operator="lessThan">
      <formula>X12+(X12*0.1)</formula>
    </cfRule>
  </conditionalFormatting>
  <conditionalFormatting sqref="L15:L48">
    <cfRule type="cellIs" dxfId="52" priority="73" operator="greaterThan">
      <formula>M15+N15</formula>
    </cfRule>
  </conditionalFormatting>
  <conditionalFormatting sqref="L15:L48">
    <cfRule type="cellIs" dxfId="51" priority="72" operator="lessThan">
      <formula>M15-N15</formula>
    </cfRule>
  </conditionalFormatting>
  <conditionalFormatting sqref="L15:L48">
    <cfRule type="containsBlanks" priority="71" stopIfTrue="1">
      <formula>LEN(TRIM(L15))=0</formula>
    </cfRule>
  </conditionalFormatting>
  <conditionalFormatting sqref="O15:O48">
    <cfRule type="cellIs" dxfId="50" priority="70" operator="greaterThan">
      <formula>P15+Q15</formula>
    </cfRule>
  </conditionalFormatting>
  <conditionalFormatting sqref="O15:O48">
    <cfRule type="cellIs" dxfId="49" priority="69" operator="lessThan">
      <formula>P15-Q15</formula>
    </cfRule>
  </conditionalFormatting>
  <conditionalFormatting sqref="O15:O48">
    <cfRule type="containsBlanks" priority="68" stopIfTrue="1">
      <formula>LEN(TRIM(O15))=0</formula>
    </cfRule>
  </conditionalFormatting>
  <conditionalFormatting sqref="R15:R48">
    <cfRule type="cellIs" dxfId="48" priority="67" operator="greaterThan">
      <formula>S15+T15</formula>
    </cfRule>
  </conditionalFormatting>
  <conditionalFormatting sqref="R15:R48">
    <cfRule type="cellIs" dxfId="47" priority="66" operator="lessThan">
      <formula>S15-T15</formula>
    </cfRule>
  </conditionalFormatting>
  <conditionalFormatting sqref="R15:R48">
    <cfRule type="containsBlanks" priority="65" stopIfTrue="1">
      <formula>LEN(TRIM(R15))=0</formula>
    </cfRule>
  </conditionalFormatting>
  <conditionalFormatting sqref="U15:U48">
    <cfRule type="cellIs" dxfId="46" priority="64" operator="greaterThan">
      <formula>V15+W15</formula>
    </cfRule>
  </conditionalFormatting>
  <conditionalFormatting sqref="U15:U48">
    <cfRule type="cellIs" dxfId="45" priority="63" operator="lessThan">
      <formula>V15-W15</formula>
    </cfRule>
  </conditionalFormatting>
  <conditionalFormatting sqref="U15:U48">
    <cfRule type="containsBlanks" priority="62" stopIfTrue="1">
      <formula>LEN(TRIM(U15))=0</formula>
    </cfRule>
  </conditionalFormatting>
  <conditionalFormatting sqref="AG15:AG48">
    <cfRule type="cellIs" dxfId="44" priority="61" operator="greaterThan">
      <formula>AH15+AI15</formula>
    </cfRule>
  </conditionalFormatting>
  <conditionalFormatting sqref="AG15:AG48">
    <cfRule type="cellIs" dxfId="43" priority="60" operator="lessThan">
      <formula>AH15-AI15</formula>
    </cfRule>
  </conditionalFormatting>
  <conditionalFormatting sqref="AG15:AG48">
    <cfRule type="containsBlanks" priority="59" stopIfTrue="1">
      <formula>LEN(TRIM(AG15))=0</formula>
    </cfRule>
  </conditionalFormatting>
  <conditionalFormatting sqref="X15:X48">
    <cfRule type="cellIs" dxfId="42" priority="58" operator="greaterThan">
      <formula>Y15+Z15</formula>
    </cfRule>
  </conditionalFormatting>
  <conditionalFormatting sqref="X15:X48">
    <cfRule type="cellIs" dxfId="41" priority="57" operator="lessThan">
      <formula>Y15-Z15</formula>
    </cfRule>
  </conditionalFormatting>
  <conditionalFormatting sqref="X15:X48">
    <cfRule type="containsBlanks" priority="56" stopIfTrue="1">
      <formula>LEN(TRIM(X15))=0</formula>
    </cfRule>
  </conditionalFormatting>
  <conditionalFormatting sqref="AA15:AA48">
    <cfRule type="cellIs" dxfId="40" priority="55" operator="greaterThan">
      <formula>AB15+AC15</formula>
    </cfRule>
  </conditionalFormatting>
  <conditionalFormatting sqref="AA15:AA48">
    <cfRule type="cellIs" dxfId="39" priority="54" operator="lessThan">
      <formula>AB15-AC15</formula>
    </cfRule>
  </conditionalFormatting>
  <conditionalFormatting sqref="AA15:AA48">
    <cfRule type="containsBlanks" priority="53" stopIfTrue="1">
      <formula>LEN(TRIM(AA15))=0</formula>
    </cfRule>
  </conditionalFormatting>
  <conditionalFormatting sqref="AD15:AD48">
    <cfRule type="cellIs" dxfId="38" priority="52" operator="greaterThan">
      <formula>AE15+AF15</formula>
    </cfRule>
  </conditionalFormatting>
  <conditionalFormatting sqref="AD15:AD48">
    <cfRule type="cellIs" dxfId="37" priority="51" operator="lessThan">
      <formula>AE15-AF15</formula>
    </cfRule>
  </conditionalFormatting>
  <conditionalFormatting sqref="AD15:AD48">
    <cfRule type="containsBlanks" priority="50" stopIfTrue="1">
      <formula>LEN(TRIM(AD15))=0</formula>
    </cfRule>
  </conditionalFormatting>
  <conditionalFormatting sqref="R6:AG6 R11:AG11">
    <cfRule type="containsBlanks" priority="1" stopIfTrue="1">
      <formula>LEN(TRIM(R6))=0</formula>
    </cfRule>
  </conditionalFormatting>
  <printOptions horizontalCentered="1" verticalCentered="1"/>
  <pageMargins left="0.25" right="0.25" top="0.75" bottom="0.75" header="0.3" footer="0.3"/>
  <pageSetup scale="59" orientation="portrait" horizontalDpi="1200" verticalDpi="1200" r:id="rId1"/>
  <drawing r:id="rId2"/>
  <legacyDrawing r:id="rId3"/>
  <mc:AlternateContent xmlns:mc="http://schemas.openxmlformats.org/markup-compatibility/2006">
    <mc:Choice Requires="x14">
      <controls>
        <mc:AlternateContent xmlns:mc="http://schemas.openxmlformats.org/markup-compatibility/2006">
          <mc:Choice Requires="x14">
            <control shapeId="5139" r:id="rId4" name="Spinner 19">
              <controlPr defaultSize="0" autoPict="0">
                <anchor moveWithCells="1" sizeWithCells="1">
                  <from>
                    <xdr:col>2</xdr:col>
                    <xdr:colOff>28575</xdr:colOff>
                    <xdr:row>2</xdr:row>
                    <xdr:rowOff>19050</xdr:rowOff>
                  </from>
                  <to>
                    <xdr:col>2</xdr:col>
                    <xdr:colOff>733425</xdr:colOff>
                    <xdr:row>3</xdr:row>
                    <xdr:rowOff>190500</xdr:rowOff>
                  </to>
                </anchor>
              </controlPr>
            </control>
          </mc:Choice>
        </mc:AlternateContent>
      </controls>
    </mc:Choice>
  </mc:AlternateContent>
  <tableParts count="1">
    <tablePart r:id="rId5"/>
  </tableParts>
  <extLst>
    <ext xmlns:x14="http://schemas.microsoft.com/office/spreadsheetml/2009/9/main" uri="{CCE6A557-97BC-4b89-ADB6-D9C93CAAB3DF}">
      <x14:dataValidations xmlns:xm="http://schemas.microsoft.com/office/excel/2006/main" count="2">
        <x14:dataValidation type="list" allowBlank="1" showInputMessage="1" showErrorMessage="1" xr:uid="{8924FB5E-D3E9-49F0-8493-4917F499FD4D}">
          <x14:formula1>
            <xm:f>Reference!$D$2:$D$9</xm:f>
          </x14:formula1>
          <xm:sqref>A71 A66</xm:sqref>
        </x14:dataValidation>
        <x14:dataValidation type="list" allowBlank="1" showInputMessage="1" showErrorMessage="1" xr:uid="{A3EA4C73-DDEA-4F74-9CEC-DB8A9179444D}">
          <x14:formula1>
            <xm:f>OFFSET(Reference!$A$2,0,0,COUNTA(Reference!$A:$A)-1)</xm:f>
          </x14:formula1>
          <xm:sqref>A61</xm:sqref>
        </x14:dataValidation>
      </x14:dataValidations>
    </ext>
    <ext xmlns:x15="http://schemas.microsoft.com/office/spreadsheetml/2010/11/main" uri="{3A4CF648-6AED-40f4-86FF-DC5316D8AED3}">
      <x14:slicerList xmlns:x14="http://schemas.microsoft.com/office/spreadsheetml/2009/9/main">
        <x14:slicer r:id="rId6"/>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F86B5A-8E83-4423-B3BD-E2B6BFA71AA1}">
  <dimension ref="A1:N44"/>
  <sheetViews>
    <sheetView workbookViewId="0">
      <selection sqref="A1:AG1"/>
    </sheetView>
  </sheetViews>
  <sheetFormatPr defaultRowHeight="15" x14ac:dyDescent="0.25"/>
  <cols>
    <col min="1" max="1" width="16.85546875" bestFit="1" customWidth="1"/>
    <col min="2" max="2" width="8.7109375" bestFit="1" customWidth="1"/>
    <col min="3" max="3" width="15.42578125" bestFit="1" customWidth="1"/>
    <col min="4" max="4" width="15.42578125" customWidth="1"/>
    <col min="7" max="7" width="18" bestFit="1" customWidth="1"/>
    <col min="8" max="8" width="13.28515625" customWidth="1"/>
    <col min="10" max="10" width="9.7109375" style="1" bestFit="1" customWidth="1"/>
  </cols>
  <sheetData>
    <row r="1" spans="1:14" s="21" customFormat="1" x14ac:dyDescent="0.25">
      <c r="A1" s="21" t="s">
        <v>343</v>
      </c>
      <c r="B1" s="21" t="s">
        <v>405</v>
      </c>
      <c r="C1" s="21" t="s">
        <v>367</v>
      </c>
      <c r="D1" s="21" t="s">
        <v>451</v>
      </c>
      <c r="I1" s="21" t="s">
        <v>445</v>
      </c>
      <c r="J1" s="85" t="s">
        <v>0</v>
      </c>
    </row>
    <row r="2" spans="1:14" x14ac:dyDescent="0.25">
      <c r="A2" t="s">
        <v>452</v>
      </c>
      <c r="B2" t="s">
        <v>368</v>
      </c>
      <c r="C2" t="s">
        <v>4</v>
      </c>
      <c r="D2" t="s">
        <v>368</v>
      </c>
      <c r="G2" s="21" t="s">
        <v>446</v>
      </c>
      <c r="H2">
        <v>13</v>
      </c>
      <c r="I2" s="15">
        <f>IF(J2=MIN(tbl_daily[Date]),1,IF(J2="","",I1+1))</f>
        <v>1</v>
      </c>
      <c r="J2" s="1" cm="1">
        <f t="array" ref="J2:J14">_xlfn._xlws.SORT(_xlfn.UNIQUE(tbl_daily[Date]))</f>
        <v>43851</v>
      </c>
    </row>
    <row r="3" spans="1:14" x14ac:dyDescent="0.25">
      <c r="A3" t="str" cm="1">
        <f t="array" ref="A3:A8">_xlfn.UNIQUE(tbl_prof[Cohort of Interest])</f>
        <v>Athletes</v>
      </c>
      <c r="B3" t="s">
        <v>370</v>
      </c>
      <c r="C3" t="s">
        <v>377</v>
      </c>
      <c r="D3" t="s">
        <v>370</v>
      </c>
      <c r="G3" s="21" t="s">
        <v>447</v>
      </c>
      <c r="H3" s="1">
        <f>IFERROR(INDEX(J:J,MATCH(H2,I:I,0)),"")</f>
        <v>43895</v>
      </c>
      <c r="I3" s="15">
        <f>IF(J3=MIN(tbl_daily[Date]),1,IF(J3="","",I2+1))</f>
        <v>2</v>
      </c>
      <c r="J3" s="1">
        <v>43853</v>
      </c>
    </row>
    <row r="4" spans="1:14" x14ac:dyDescent="0.25">
      <c r="A4" t="str">
        <v>Gen Pop</v>
      </c>
      <c r="B4" t="s">
        <v>188</v>
      </c>
      <c r="C4" t="s">
        <v>6</v>
      </c>
      <c r="D4" t="s">
        <v>188</v>
      </c>
      <c r="I4" s="15">
        <f>IF(J4=MIN(tbl_daily[Date]),1,IF(J4="","",I3+1))</f>
        <v>3</v>
      </c>
      <c r="J4" s="1">
        <v>43858</v>
      </c>
    </row>
    <row r="5" spans="1:14" ht="16.5" customHeight="1" x14ac:dyDescent="0.25">
      <c r="A5" t="str">
        <v>Youth</v>
      </c>
      <c r="B5" t="s">
        <v>220</v>
      </c>
      <c r="C5" t="s">
        <v>219</v>
      </c>
      <c r="D5" t="s">
        <v>220</v>
      </c>
      <c r="G5" s="156" t="s">
        <v>457</v>
      </c>
      <c r="I5" s="15">
        <f>IF(J5=MIN(tbl_daily[Date]),1,IF(J5="","",I4+1))</f>
        <v>4</v>
      </c>
      <c r="J5" s="1">
        <v>43860</v>
      </c>
    </row>
    <row r="6" spans="1:14" x14ac:dyDescent="0.25">
      <c r="A6" t="str">
        <v>Special</v>
      </c>
      <c r="D6" t="s">
        <v>4</v>
      </c>
      <c r="G6" s="156"/>
      <c r="I6" s="15">
        <f>IF(J6=MIN(tbl_daily[Date]),1,IF(J6="","",I5+1))</f>
        <v>5</v>
      </c>
      <c r="J6" s="1">
        <v>43865</v>
      </c>
    </row>
    <row r="7" spans="1:14" x14ac:dyDescent="0.25">
      <c r="A7" t="str">
        <v>Older</v>
      </c>
      <c r="D7" t="s">
        <v>377</v>
      </c>
      <c r="G7" s="156"/>
      <c r="I7" s="15">
        <f>IF(J7=MIN(tbl_daily[Date]),1,IF(J7="","",I6+1))</f>
        <v>6</v>
      </c>
      <c r="J7" s="1">
        <v>43867</v>
      </c>
    </row>
    <row r="8" spans="1:14" x14ac:dyDescent="0.25">
      <c r="A8" t="str">
        <v>Football</v>
      </c>
      <c r="D8" t="s">
        <v>6</v>
      </c>
      <c r="G8" s="156"/>
      <c r="I8" s="15">
        <f>IF(J8=MIN(tbl_daily[Date]),1,IF(J8="","",I7+1))</f>
        <v>7</v>
      </c>
      <c r="J8" s="1">
        <v>43872</v>
      </c>
    </row>
    <row r="9" spans="1:14" x14ac:dyDescent="0.25">
      <c r="D9" t="s">
        <v>219</v>
      </c>
      <c r="G9" s="156"/>
      <c r="I9" s="15">
        <f>IF(J9=MIN(tbl_daily[Date]),1,IF(J9="","",I8+1))</f>
        <v>8</v>
      </c>
      <c r="J9" s="1">
        <v>43874</v>
      </c>
      <c r="N9" t="s">
        <v>448</v>
      </c>
    </row>
    <row r="10" spans="1:14" x14ac:dyDescent="0.25">
      <c r="G10" s="156"/>
      <c r="I10" s="15">
        <f>IF(J10=MIN(tbl_daily[Date]),1,IF(J10="","",I9+1))</f>
        <v>9</v>
      </c>
      <c r="J10" s="1">
        <v>43879</v>
      </c>
    </row>
    <row r="11" spans="1:14" x14ac:dyDescent="0.25">
      <c r="G11" s="156"/>
      <c r="I11" s="15">
        <f>IF(J11=MIN(tbl_daily[Date]),1,IF(J11="","",I10+1))</f>
        <v>10</v>
      </c>
      <c r="J11" s="1">
        <v>43881</v>
      </c>
    </row>
    <row r="12" spans="1:14" x14ac:dyDescent="0.25">
      <c r="G12" s="156"/>
      <c r="I12" s="15">
        <f>IF(J12=MIN(tbl_daily[Date]),1,IF(J12="","",I11+1))</f>
        <v>11</v>
      </c>
      <c r="J12" s="1">
        <v>43886</v>
      </c>
    </row>
    <row r="13" spans="1:14" x14ac:dyDescent="0.25">
      <c r="I13" s="15">
        <f>IF(J13=MIN(tbl_daily[Date]),1,IF(J13="","",I12+1))</f>
        <v>12</v>
      </c>
      <c r="J13" s="1">
        <v>43888</v>
      </c>
    </row>
    <row r="14" spans="1:14" x14ac:dyDescent="0.25">
      <c r="I14" s="15">
        <f>IF(J14=MIN(tbl_daily[Date]),1,IF(J14="","",I13+1))</f>
        <v>13</v>
      </c>
      <c r="J14" s="1">
        <v>43895</v>
      </c>
    </row>
    <row r="15" spans="1:14" x14ac:dyDescent="0.25">
      <c r="I15" s="15" t="str">
        <f>IF(J15=MIN(tbl_daily[Date]),1,IF(J15="","",I14+1))</f>
        <v/>
      </c>
    </row>
    <row r="16" spans="1:14" x14ac:dyDescent="0.25">
      <c r="I16" s="15" t="str">
        <f>IF(J16=MIN(tbl_daily[Date]),1,IF(J16="","",I15+1))</f>
        <v/>
      </c>
    </row>
    <row r="17" spans="9:9" x14ac:dyDescent="0.25">
      <c r="I17" s="15" t="str">
        <f>IF(J17=MIN(tbl_daily[Date]),1,IF(J17="","",I16+1))</f>
        <v/>
      </c>
    </row>
    <row r="18" spans="9:9" x14ac:dyDescent="0.25">
      <c r="I18" s="15" t="str">
        <f>IF(J18=MIN(tbl_daily[Date]),1,IF(J18="","",I17+1))</f>
        <v/>
      </c>
    </row>
    <row r="19" spans="9:9" x14ac:dyDescent="0.25">
      <c r="I19" s="15" t="str">
        <f>IF(J19=MIN(tbl_daily[Date]),1,IF(J19="","",I18+1))</f>
        <v/>
      </c>
    </row>
    <row r="20" spans="9:9" x14ac:dyDescent="0.25">
      <c r="I20" s="15" t="str">
        <f>IF(J20=MIN(tbl_daily[Date]),1,IF(J20="","",I19+1))</f>
        <v/>
      </c>
    </row>
    <row r="21" spans="9:9" x14ac:dyDescent="0.25">
      <c r="I21" s="15" t="str">
        <f>IF(J21=MIN(tbl_daily[Date]),1,IF(J21="","",I20+1))</f>
        <v/>
      </c>
    </row>
    <row r="22" spans="9:9" x14ac:dyDescent="0.25">
      <c r="I22" s="15" t="str">
        <f>IF(J22=MIN(tbl_daily[Date]),1,IF(J22="","",I21+1))</f>
        <v/>
      </c>
    </row>
    <row r="23" spans="9:9" x14ac:dyDescent="0.25">
      <c r="I23" s="15" t="str">
        <f>IF(J23=MIN(tbl_daily[Date]),1,IF(J23="","",I22+1))</f>
        <v/>
      </c>
    </row>
    <row r="24" spans="9:9" x14ac:dyDescent="0.25">
      <c r="I24" s="15" t="str">
        <f>IF(J24=MIN(tbl_daily[Date]),1,IF(J24="","",I23+1))</f>
        <v/>
      </c>
    </row>
    <row r="25" spans="9:9" x14ac:dyDescent="0.25">
      <c r="I25" s="15" t="str">
        <f>IF(J25=MIN(tbl_daily[Date]),1,IF(J25="","",I24+1))</f>
        <v/>
      </c>
    </row>
    <row r="26" spans="9:9" x14ac:dyDescent="0.25">
      <c r="I26" s="15" t="str">
        <f>IF(J26=MIN(tbl_daily[Date]),1,IF(J26="","",I25+1))</f>
        <v/>
      </c>
    </row>
    <row r="27" spans="9:9" x14ac:dyDescent="0.25">
      <c r="I27" s="15" t="str">
        <f>IF(J27=MIN(tbl_daily[Date]),1,IF(J27="","",I26+1))</f>
        <v/>
      </c>
    </row>
    <row r="28" spans="9:9" x14ac:dyDescent="0.25">
      <c r="I28" s="15" t="str">
        <f>IF(J28=MIN(tbl_daily[Date]),1,IF(J28="","",I27+1))</f>
        <v/>
      </c>
    </row>
    <row r="29" spans="9:9" x14ac:dyDescent="0.25">
      <c r="I29" s="15" t="str">
        <f>IF(J29=MIN(tbl_daily[Date]),1,IF(J29="","",I28+1))</f>
        <v/>
      </c>
    </row>
    <row r="30" spans="9:9" x14ac:dyDescent="0.25">
      <c r="I30" s="15" t="str">
        <f>IF(J30=MIN(tbl_daily[Date]),1,IF(J30="","",I29+1))</f>
        <v/>
      </c>
    </row>
    <row r="31" spans="9:9" x14ac:dyDescent="0.25">
      <c r="I31" s="15" t="str">
        <f>IF(J31=MIN(tbl_daily[Date]),1,IF(J31="","",I30+1))</f>
        <v/>
      </c>
    </row>
    <row r="32" spans="9:9" x14ac:dyDescent="0.25">
      <c r="I32" s="15" t="str">
        <f>IF(J32=MIN(tbl_daily[Date]),1,IF(J32="","",I31+1))</f>
        <v/>
      </c>
    </row>
    <row r="33" spans="9:9" x14ac:dyDescent="0.25">
      <c r="I33" s="15" t="str">
        <f>IF(J33=MIN(tbl_daily[Date]),1,IF(J33="","",I32+1))</f>
        <v/>
      </c>
    </row>
    <row r="34" spans="9:9" x14ac:dyDescent="0.25">
      <c r="I34" s="15" t="str">
        <f>IF(J34=MIN(tbl_daily[Date]),1,IF(J34="","",I33+1))</f>
        <v/>
      </c>
    </row>
    <row r="35" spans="9:9" x14ac:dyDescent="0.25">
      <c r="I35" s="15" t="str">
        <f>IF(J35=MIN(tbl_daily[Date]),1,IF(J35="","",I34+1))</f>
        <v/>
      </c>
    </row>
    <row r="36" spans="9:9" x14ac:dyDescent="0.25">
      <c r="I36" s="15" t="str">
        <f>IF(J36=MIN(tbl_daily[Date]),1,IF(J36="","",I35+1))</f>
        <v/>
      </c>
    </row>
    <row r="37" spans="9:9" x14ac:dyDescent="0.25">
      <c r="I37" s="15" t="str">
        <f>IF(J37=MIN(tbl_daily[Date]),1,IF(J37="","",I36+1))</f>
        <v/>
      </c>
    </row>
    <row r="38" spans="9:9" x14ac:dyDescent="0.25">
      <c r="I38" s="15" t="str">
        <f>IF(J38=MIN(tbl_daily[Date]),1,IF(J38="","",I37+1))</f>
        <v/>
      </c>
    </row>
    <row r="39" spans="9:9" x14ac:dyDescent="0.25">
      <c r="I39" s="15" t="str">
        <f>IF(J39=MIN(tbl_daily[Date]),1,IF(J39="","",I38+1))</f>
        <v/>
      </c>
    </row>
    <row r="40" spans="9:9" x14ac:dyDescent="0.25">
      <c r="I40" s="15" t="str">
        <f>IF(J40=MIN(tbl_daily[Date]),1,IF(J40="","",I39+1))</f>
        <v/>
      </c>
    </row>
    <row r="41" spans="9:9" x14ac:dyDescent="0.25">
      <c r="I41" s="15" t="str">
        <f>IF(J41=MIN(tbl_daily[Date]),1,IF(J41="","",I40+1))</f>
        <v/>
      </c>
    </row>
    <row r="42" spans="9:9" x14ac:dyDescent="0.25">
      <c r="I42" s="15" t="str">
        <f>IF(J42=MIN(tbl_daily[Date]),1,IF(J42="","",I41+1))</f>
        <v/>
      </c>
    </row>
    <row r="43" spans="9:9" x14ac:dyDescent="0.25">
      <c r="I43" s="15" t="str">
        <f>IF(J43=MIN(tbl_daily[Date]),1,IF(J43="","",I42+1))</f>
        <v/>
      </c>
    </row>
    <row r="44" spans="9:9" x14ac:dyDescent="0.25">
      <c r="I44" s="15" t="str">
        <f>IF(J44=MIN(tbl_daily[Date]),1,IF(J44="","",I43+1))</f>
        <v/>
      </c>
    </row>
  </sheetData>
  <mergeCells count="1">
    <mergeCell ref="G5:G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Daily Entry</vt:lpstr>
      <vt:lpstr>Performance Entry</vt:lpstr>
      <vt:lpstr>Player Profiles</vt:lpstr>
      <vt:lpstr>Planning</vt:lpstr>
      <vt:lpstr>Dashboard</vt:lpstr>
      <vt:lpstr>Reference</vt:lpstr>
      <vt:lpstr>Dashboard!Print_Area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Virgile, Adam</dc:creator>
  <cp:lastModifiedBy>Cross, Janelle</cp:lastModifiedBy>
  <cp:lastPrinted>2023-03-29T16:22:06Z</cp:lastPrinted>
  <dcterms:created xsi:type="dcterms:W3CDTF">2020-02-12T01:00:15Z</dcterms:created>
  <dcterms:modified xsi:type="dcterms:W3CDTF">2023-03-29T20:50:46Z</dcterms:modified>
</cp:coreProperties>
</file>