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u-pe\Downloads\"/>
    </mc:Choice>
  </mc:AlternateContent>
  <xr:revisionPtr revIDLastSave="0" documentId="8_{46CB9176-EA9B-4146-8A77-60B42A08ABE1}" xr6:coauthVersionLast="47" xr6:coauthVersionMax="47" xr10:uidLastSave="{00000000-0000-0000-0000-000000000000}"/>
  <bookViews>
    <workbookView xWindow="-110" yWindow="-110" windowWidth="19420" windowHeight="11500" tabRatio="904" firstSheet="15" activeTab="17" xr2:uid="{00000000-000D-0000-FFFF-FFFF00000000}"/>
  </bookViews>
  <sheets>
    <sheet name="Exh 1 Stores" sheetId="19" r:id="rId1"/>
    <sheet name="Exh 2 Econ Indicators" sheetId="25" r:id="rId2"/>
    <sheet name="Exh 3 Teuer IS" sheetId="17" r:id="rId3"/>
    <sheet name="Exh 4 Teuer BS" sheetId="18" r:id="rId4"/>
    <sheet name="Exh 7 Teuer CFA" sheetId="35" r:id="rId5"/>
    <sheet name="Exh 8 Sales Forecasting" sheetId="32" r:id="rId6"/>
    <sheet name="Exh 5 Stores IS (Hist Sect)" sheetId="37" r:id="rId7"/>
    <sheet name="Ex 11 Teuer IS Pro Forma (HS)" sheetId="38" r:id="rId8"/>
    <sheet name="Ex 12 Teuer BS Pro Forma (HS)" sheetId="39" r:id="rId9"/>
    <sheet name="Ex 13 Teuer CFA Pro Forma (HS)" sheetId="40" r:id="rId10"/>
    <sheet name="Exh 5 Stores IS (Forecast Sect)" sheetId="36" r:id="rId11"/>
    <sheet name="Ex 11 Teuer IS Pro Forma (FS)" sheetId="41" r:id="rId12"/>
    <sheet name="Ex 12 Teuer BS Pro Forma (FS)" sheetId="42" r:id="rId13"/>
    <sheet name="Ex 13 Teuer CFA Pro Forma (FS)" sheetId="43" r:id="rId14"/>
    <sheet name="Exh 5 Stores IS (Hist Teuer)" sheetId="3" r:id="rId15"/>
    <sheet name="Ex 11 Teuer IS Pro Forma (HT)" sheetId="26" r:id="rId16"/>
    <sheet name="Ex 12 Teuer BS Pro Forma (HT)" sheetId="29" r:id="rId17"/>
    <sheet name="Ex 13 Teuer CFA Pro Forma (HT)" sheetId="6" r:id="rId18"/>
    <sheet name="Exh 9 Capital Forecasting" sheetId="34" r:id="rId19"/>
    <sheet name="Exh 6 Stores BS" sheetId="5" r:id="rId20"/>
    <sheet name="Exh 10 Forecast Parameters" sheetId="24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6" l="1"/>
  <c r="M7" i="6"/>
  <c r="O7" i="6" s="1"/>
  <c r="N7" i="43"/>
  <c r="M7" i="43"/>
  <c r="O7" i="43" s="1"/>
  <c r="M102" i="37"/>
  <c r="N7" i="40"/>
  <c r="C26" i="43"/>
  <c r="C24" i="43"/>
  <c r="E2" i="43"/>
  <c r="F2" i="43" s="1"/>
  <c r="G2" i="43" s="1"/>
  <c r="H2" i="43" s="1"/>
  <c r="I2" i="43" s="1"/>
  <c r="C18" i="42"/>
  <c r="C17" i="41"/>
  <c r="C16" i="41"/>
  <c r="C13" i="41"/>
  <c r="C26" i="40"/>
  <c r="C24" i="40"/>
  <c r="M7" i="40"/>
  <c r="O7" i="40" s="1"/>
  <c r="E2" i="40"/>
  <c r="F2" i="40" s="1"/>
  <c r="G2" i="40" s="1"/>
  <c r="H2" i="40" s="1"/>
  <c r="I2" i="40" s="1"/>
  <c r="C18" i="39"/>
  <c r="C17" i="38"/>
  <c r="C16" i="38"/>
  <c r="C13" i="38"/>
  <c r="L20" i="17"/>
  <c r="K20" i="17"/>
  <c r="J20" i="17"/>
  <c r="I20" i="17"/>
  <c r="H20" i="17"/>
  <c r="G20" i="17"/>
  <c r="F20" i="17"/>
  <c r="E20" i="17"/>
  <c r="P72" i="36"/>
  <c r="Q72" i="36" s="1"/>
  <c r="R72" i="36" s="1"/>
  <c r="O60" i="36"/>
  <c r="P60" i="36" s="1"/>
  <c r="Q60" i="36" s="1"/>
  <c r="R60" i="36" s="1"/>
  <c r="S60" i="36" s="1"/>
  <c r="T60" i="36" s="1"/>
  <c r="U60" i="36" s="1"/>
  <c r="O53" i="36"/>
  <c r="P53" i="36" s="1"/>
  <c r="Q53" i="36" s="1"/>
  <c r="R53" i="36" s="1"/>
  <c r="S53" i="36" s="1"/>
  <c r="T53" i="36" s="1"/>
  <c r="U53" i="36" s="1"/>
  <c r="O46" i="36"/>
  <c r="P46" i="36" s="1"/>
  <c r="Q46" i="36" s="1"/>
  <c r="R46" i="36" s="1"/>
  <c r="S46" i="36" s="1"/>
  <c r="T46" i="36" s="1"/>
  <c r="U46" i="36" s="1"/>
  <c r="O39" i="36"/>
  <c r="P39" i="36" s="1"/>
  <c r="Q39" i="36" s="1"/>
  <c r="R39" i="36" s="1"/>
  <c r="S39" i="36" s="1"/>
  <c r="T39" i="36" s="1"/>
  <c r="U39" i="36" s="1"/>
  <c r="O32" i="36"/>
  <c r="P32" i="36" s="1"/>
  <c r="Q32" i="36" s="1"/>
  <c r="R32" i="36" s="1"/>
  <c r="S32" i="36" s="1"/>
  <c r="T32" i="36" s="1"/>
  <c r="U32" i="36" s="1"/>
  <c r="P25" i="36"/>
  <c r="Q25" i="36" s="1"/>
  <c r="R25" i="36" s="1"/>
  <c r="S25" i="36" s="1"/>
  <c r="T25" i="36" s="1"/>
  <c r="U25" i="36" s="1"/>
  <c r="O25" i="36"/>
  <c r="O18" i="36"/>
  <c r="P18" i="36" s="1"/>
  <c r="Q18" i="36" s="1"/>
  <c r="R18" i="36" s="1"/>
  <c r="S18" i="36" s="1"/>
  <c r="T18" i="36" s="1"/>
  <c r="U18" i="36" s="1"/>
  <c r="P11" i="36"/>
  <c r="Q11" i="36" s="1"/>
  <c r="R11" i="36" s="1"/>
  <c r="S11" i="36" s="1"/>
  <c r="T11" i="36" s="1"/>
  <c r="U11" i="36" s="1"/>
  <c r="O11" i="36"/>
  <c r="O4" i="36"/>
  <c r="R93" i="37"/>
  <c r="S93" i="37" s="1"/>
  <c r="T93" i="37" s="1"/>
  <c r="U93" i="37" s="1"/>
  <c r="R88" i="37"/>
  <c r="Q86" i="37"/>
  <c r="R86" i="37" s="1"/>
  <c r="S86" i="37" s="1"/>
  <c r="T86" i="37" s="1"/>
  <c r="U86" i="37" s="1"/>
  <c r="Q81" i="37"/>
  <c r="P79" i="37"/>
  <c r="Q79" i="37" s="1"/>
  <c r="R79" i="37" s="1"/>
  <c r="S79" i="37" s="1"/>
  <c r="T79" i="37" s="1"/>
  <c r="U79" i="37" s="1"/>
  <c r="P74" i="37"/>
  <c r="P72" i="37"/>
  <c r="P71" i="37"/>
  <c r="Q71" i="37" s="1"/>
  <c r="O71" i="37"/>
  <c r="O67" i="37"/>
  <c r="O65" i="37"/>
  <c r="O64" i="37"/>
  <c r="P64" i="37" s="1"/>
  <c r="Q64" i="37" s="1"/>
  <c r="R64" i="37" s="1"/>
  <c r="N64" i="37"/>
  <c r="N58" i="37"/>
  <c r="O58" i="37" s="1"/>
  <c r="P58" i="37" s="1"/>
  <c r="Q58" i="37" s="1"/>
  <c r="R58" i="37" s="1"/>
  <c r="S58" i="37" s="1"/>
  <c r="T58" i="37" s="1"/>
  <c r="U58" i="37" s="1"/>
  <c r="N57" i="37"/>
  <c r="O57" i="37" s="1"/>
  <c r="P57" i="37" s="1"/>
  <c r="Q57" i="37" s="1"/>
  <c r="M57" i="37"/>
  <c r="M51" i="37"/>
  <c r="N51" i="37" s="1"/>
  <c r="O51" i="37" s="1"/>
  <c r="P51" i="37" s="1"/>
  <c r="Q51" i="37" s="1"/>
  <c r="R51" i="37" s="1"/>
  <c r="S51" i="37" s="1"/>
  <c r="T51" i="37" s="1"/>
  <c r="U51" i="37" s="1"/>
  <c r="N50" i="37"/>
  <c r="O50" i="37" s="1"/>
  <c r="P50" i="37" s="1"/>
  <c r="M50" i="37"/>
  <c r="L50" i="37"/>
  <c r="L44" i="37"/>
  <c r="M44" i="37" s="1"/>
  <c r="N44" i="37" s="1"/>
  <c r="O44" i="37" s="1"/>
  <c r="P44" i="37" s="1"/>
  <c r="Q44" i="37" s="1"/>
  <c r="R44" i="37" s="1"/>
  <c r="S44" i="37" s="1"/>
  <c r="T44" i="37" s="1"/>
  <c r="U44" i="37" s="1"/>
  <c r="N43" i="37"/>
  <c r="O43" i="37" s="1"/>
  <c r="M43" i="37"/>
  <c r="L43" i="37"/>
  <c r="K43" i="37"/>
  <c r="K37" i="37"/>
  <c r="L37" i="37" s="1"/>
  <c r="M37" i="37" s="1"/>
  <c r="N37" i="37" s="1"/>
  <c r="O37" i="37" s="1"/>
  <c r="P37" i="37" s="1"/>
  <c r="Q37" i="37" s="1"/>
  <c r="R37" i="37" s="1"/>
  <c r="S37" i="37" s="1"/>
  <c r="T37" i="37" s="1"/>
  <c r="U37" i="37" s="1"/>
  <c r="N36" i="37"/>
  <c r="M36" i="37"/>
  <c r="L36" i="37"/>
  <c r="K36" i="37"/>
  <c r="J36" i="37"/>
  <c r="J30" i="37"/>
  <c r="K30" i="37" s="1"/>
  <c r="L30" i="37" s="1"/>
  <c r="M30" i="37" s="1"/>
  <c r="N30" i="37" s="1"/>
  <c r="O30" i="37" s="1"/>
  <c r="P30" i="37" s="1"/>
  <c r="Q30" i="37" s="1"/>
  <c r="R30" i="37" s="1"/>
  <c r="S30" i="37" s="1"/>
  <c r="T30" i="37" s="1"/>
  <c r="U30" i="37" s="1"/>
  <c r="N29" i="37"/>
  <c r="M29" i="37"/>
  <c r="L29" i="37"/>
  <c r="K29" i="37"/>
  <c r="J29" i="37"/>
  <c r="I29" i="37"/>
  <c r="O23" i="37"/>
  <c r="P23" i="37" s="1"/>
  <c r="Q23" i="37" s="1"/>
  <c r="R23" i="37" s="1"/>
  <c r="S23" i="37" s="1"/>
  <c r="T23" i="37" s="1"/>
  <c r="U23" i="37" s="1"/>
  <c r="I23" i="37"/>
  <c r="J23" i="37" s="1"/>
  <c r="K23" i="37" s="1"/>
  <c r="L23" i="37" s="1"/>
  <c r="M23" i="37" s="1"/>
  <c r="N22" i="37"/>
  <c r="M22" i="37"/>
  <c r="L22" i="37"/>
  <c r="K22" i="37"/>
  <c r="J22" i="37"/>
  <c r="I22" i="37"/>
  <c r="H22" i="37"/>
  <c r="N16" i="37"/>
  <c r="O16" i="37" s="1"/>
  <c r="P16" i="37" s="1"/>
  <c r="Q16" i="37" s="1"/>
  <c r="R16" i="37" s="1"/>
  <c r="S16" i="37" s="1"/>
  <c r="T16" i="37" s="1"/>
  <c r="U16" i="37" s="1"/>
  <c r="H16" i="37"/>
  <c r="I16" i="37" s="1"/>
  <c r="J16" i="37" s="1"/>
  <c r="K16" i="37" s="1"/>
  <c r="L16" i="37" s="1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M9" i="37"/>
  <c r="N9" i="37" s="1"/>
  <c r="O9" i="37" s="1"/>
  <c r="P9" i="37" s="1"/>
  <c r="Q9" i="37" s="1"/>
  <c r="R9" i="37" s="1"/>
  <c r="S9" i="37" s="1"/>
  <c r="T9" i="37" s="1"/>
  <c r="U9" i="37" s="1"/>
  <c r="G9" i="37"/>
  <c r="H9" i="37" s="1"/>
  <c r="I9" i="37" s="1"/>
  <c r="J9" i="37" s="1"/>
  <c r="K9" i="37" s="1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R93" i="36"/>
  <c r="S93" i="36" s="1"/>
  <c r="T93" i="36" s="1"/>
  <c r="U93" i="36" s="1"/>
  <c r="R88" i="36"/>
  <c r="S88" i="36" s="1"/>
  <c r="T88" i="36" s="1"/>
  <c r="U88" i="36" s="1"/>
  <c r="Q86" i="36"/>
  <c r="R86" i="36" s="1"/>
  <c r="S86" i="36" s="1"/>
  <c r="T86" i="36" s="1"/>
  <c r="U86" i="36" s="1"/>
  <c r="Q81" i="36"/>
  <c r="P79" i="36"/>
  <c r="Q79" i="36" s="1"/>
  <c r="R79" i="36" s="1"/>
  <c r="S79" i="36" s="1"/>
  <c r="T79" i="36" s="1"/>
  <c r="U79" i="36" s="1"/>
  <c r="P74" i="36"/>
  <c r="Q74" i="36" s="1"/>
  <c r="R74" i="36" s="1"/>
  <c r="S74" i="36" s="1"/>
  <c r="T74" i="36" s="1"/>
  <c r="U74" i="36" s="1"/>
  <c r="O71" i="36"/>
  <c r="O67" i="36"/>
  <c r="P67" i="36" s="1"/>
  <c r="Q67" i="36" s="1"/>
  <c r="R67" i="36" s="1"/>
  <c r="S67" i="36" s="1"/>
  <c r="T67" i="36" s="1"/>
  <c r="U67" i="36" s="1"/>
  <c r="O65" i="36"/>
  <c r="P65" i="36" s="1"/>
  <c r="Q65" i="36" s="1"/>
  <c r="R65" i="36" s="1"/>
  <c r="S65" i="36" s="1"/>
  <c r="T65" i="36" s="1"/>
  <c r="U65" i="36" s="1"/>
  <c r="N64" i="36"/>
  <c r="O64" i="36" s="1"/>
  <c r="P64" i="36" s="1"/>
  <c r="Q64" i="36" s="1"/>
  <c r="R64" i="36" s="1"/>
  <c r="N58" i="36"/>
  <c r="O58" i="36" s="1"/>
  <c r="P58" i="36" s="1"/>
  <c r="Q58" i="36" s="1"/>
  <c r="R58" i="36" s="1"/>
  <c r="S58" i="36" s="1"/>
  <c r="T58" i="36" s="1"/>
  <c r="U58" i="36" s="1"/>
  <c r="N57" i="36"/>
  <c r="O57" i="36" s="1"/>
  <c r="P57" i="36" s="1"/>
  <c r="Q57" i="36" s="1"/>
  <c r="M57" i="36"/>
  <c r="N51" i="36"/>
  <c r="O51" i="36" s="1"/>
  <c r="P51" i="36" s="1"/>
  <c r="Q51" i="36" s="1"/>
  <c r="R51" i="36" s="1"/>
  <c r="S51" i="36" s="1"/>
  <c r="T51" i="36" s="1"/>
  <c r="U51" i="36" s="1"/>
  <c r="M51" i="36"/>
  <c r="N50" i="36"/>
  <c r="O50" i="36" s="1"/>
  <c r="P50" i="36" s="1"/>
  <c r="M50" i="36"/>
  <c r="L50" i="36"/>
  <c r="L44" i="36"/>
  <c r="M44" i="36" s="1"/>
  <c r="N44" i="36" s="1"/>
  <c r="O44" i="36" s="1"/>
  <c r="P44" i="36" s="1"/>
  <c r="Q44" i="36" s="1"/>
  <c r="R44" i="36" s="1"/>
  <c r="S44" i="36" s="1"/>
  <c r="T44" i="36" s="1"/>
  <c r="U44" i="36" s="1"/>
  <c r="N43" i="36"/>
  <c r="O43" i="36" s="1"/>
  <c r="M43" i="36"/>
  <c r="L43" i="36"/>
  <c r="K43" i="36"/>
  <c r="K37" i="36"/>
  <c r="L37" i="36" s="1"/>
  <c r="M37" i="36" s="1"/>
  <c r="N37" i="36" s="1"/>
  <c r="O37" i="36" s="1"/>
  <c r="P37" i="36" s="1"/>
  <c r="Q37" i="36" s="1"/>
  <c r="R37" i="36" s="1"/>
  <c r="S37" i="36" s="1"/>
  <c r="T37" i="36" s="1"/>
  <c r="U37" i="36" s="1"/>
  <c r="N36" i="36"/>
  <c r="M36" i="36"/>
  <c r="L36" i="36"/>
  <c r="K36" i="36"/>
  <c r="J36" i="36"/>
  <c r="J30" i="36"/>
  <c r="K30" i="36" s="1"/>
  <c r="L30" i="36" s="1"/>
  <c r="M30" i="36" s="1"/>
  <c r="N30" i="36" s="1"/>
  <c r="O30" i="36" s="1"/>
  <c r="P30" i="36" s="1"/>
  <c r="Q30" i="36" s="1"/>
  <c r="R30" i="36" s="1"/>
  <c r="S30" i="36" s="1"/>
  <c r="T30" i="36" s="1"/>
  <c r="U30" i="36" s="1"/>
  <c r="N29" i="36"/>
  <c r="M29" i="36"/>
  <c r="L29" i="36"/>
  <c r="K29" i="36"/>
  <c r="J29" i="36"/>
  <c r="I29" i="36"/>
  <c r="O23" i="36"/>
  <c r="P23" i="36" s="1"/>
  <c r="Q23" i="36" s="1"/>
  <c r="R23" i="36" s="1"/>
  <c r="S23" i="36" s="1"/>
  <c r="T23" i="36" s="1"/>
  <c r="U23" i="36" s="1"/>
  <c r="I23" i="36"/>
  <c r="J23" i="36" s="1"/>
  <c r="K23" i="36" s="1"/>
  <c r="L23" i="36" s="1"/>
  <c r="M23" i="36" s="1"/>
  <c r="N22" i="36"/>
  <c r="M22" i="36"/>
  <c r="L22" i="36"/>
  <c r="K22" i="36"/>
  <c r="J22" i="36"/>
  <c r="I22" i="36"/>
  <c r="H22" i="36"/>
  <c r="N16" i="36"/>
  <c r="O16" i="36" s="1"/>
  <c r="P16" i="36" s="1"/>
  <c r="Q16" i="36" s="1"/>
  <c r="R16" i="36" s="1"/>
  <c r="S16" i="36" s="1"/>
  <c r="T16" i="36" s="1"/>
  <c r="U16" i="36" s="1"/>
  <c r="I16" i="36"/>
  <c r="J16" i="36" s="1"/>
  <c r="K16" i="36" s="1"/>
  <c r="L16" i="36" s="1"/>
  <c r="H16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M9" i="36"/>
  <c r="N9" i="36" s="1"/>
  <c r="O9" i="36" s="1"/>
  <c r="P9" i="36" s="1"/>
  <c r="Q9" i="36" s="1"/>
  <c r="R9" i="36" s="1"/>
  <c r="S9" i="36" s="1"/>
  <c r="T9" i="36" s="1"/>
  <c r="U9" i="36" s="1"/>
  <c r="H9" i="36"/>
  <c r="I9" i="36" s="1"/>
  <c r="J9" i="36" s="1"/>
  <c r="K9" i="36" s="1"/>
  <c r="G9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P4" i="36" l="1"/>
  <c r="Q4" i="36" s="1"/>
  <c r="R81" i="36"/>
  <c r="S81" i="36" s="1"/>
  <c r="T81" i="36" s="1"/>
  <c r="U81" i="36" s="1"/>
  <c r="R4" i="36"/>
  <c r="S4" i="36" s="1"/>
  <c r="T4" i="36" s="1"/>
  <c r="U4" i="36" s="1"/>
  <c r="O106" i="37"/>
  <c r="D8" i="38" s="1"/>
  <c r="O105" i="37"/>
  <c r="D7" i="38" s="1"/>
  <c r="D8" i="40" s="1"/>
  <c r="R71" i="37"/>
  <c r="P65" i="37"/>
  <c r="Q65" i="37" s="1"/>
  <c r="R65" i="37" s="1"/>
  <c r="S65" i="37" s="1"/>
  <c r="T65" i="37" s="1"/>
  <c r="U65" i="37" s="1"/>
  <c r="Q72" i="37"/>
  <c r="Q106" i="36"/>
  <c r="F8" i="41" s="1"/>
  <c r="O106" i="36"/>
  <c r="D8" i="41" s="1"/>
  <c r="O101" i="36"/>
  <c r="O105" i="36"/>
  <c r="D7" i="41" s="1"/>
  <c r="D8" i="43" s="1"/>
  <c r="S72" i="36"/>
  <c r="R106" i="36"/>
  <c r="G8" i="41" s="1"/>
  <c r="P106" i="36"/>
  <c r="E8" i="41" s="1"/>
  <c r="P71" i="36"/>
  <c r="D3" i="41" l="1"/>
  <c r="S71" i="37"/>
  <c r="P106" i="37"/>
  <c r="E8" i="38" s="1"/>
  <c r="R72" i="37"/>
  <c r="Q106" i="37"/>
  <c r="F8" i="38" s="1"/>
  <c r="P101" i="36"/>
  <c r="S106" i="36"/>
  <c r="H8" i="41" s="1"/>
  <c r="T72" i="36"/>
  <c r="Q71" i="36"/>
  <c r="E3" i="41" l="1"/>
  <c r="D3" i="43"/>
  <c r="L3" i="41"/>
  <c r="D9" i="41"/>
  <c r="S72" i="37"/>
  <c r="R106" i="37"/>
  <c r="G8" i="38" s="1"/>
  <c r="R71" i="36"/>
  <c r="T106" i="36"/>
  <c r="I8" i="41" s="1"/>
  <c r="U72" i="36"/>
  <c r="U106" i="36" s="1"/>
  <c r="J8" i="41" s="1"/>
  <c r="Q101" i="36"/>
  <c r="E3" i="43" l="1"/>
  <c r="E9" i="41"/>
  <c r="F3" i="41"/>
  <c r="S106" i="37"/>
  <c r="H8" i="38" s="1"/>
  <c r="T72" i="37"/>
  <c r="S71" i="36"/>
  <c r="R101" i="36"/>
  <c r="F9" i="41" l="1"/>
  <c r="F3" i="43"/>
  <c r="G3" i="41"/>
  <c r="T106" i="37"/>
  <c r="I8" i="38" s="1"/>
  <c r="U72" i="37"/>
  <c r="U106" i="37" s="1"/>
  <c r="J8" i="38" s="1"/>
  <c r="S101" i="36"/>
  <c r="G3" i="43" l="1"/>
  <c r="G9" i="41"/>
  <c r="H3" i="41"/>
  <c r="T101" i="36"/>
  <c r="H3" i="43" l="1"/>
  <c r="H9" i="41"/>
  <c r="I3" i="41"/>
  <c r="U101" i="36"/>
  <c r="J3" i="41" s="1"/>
  <c r="J9" i="41" l="1"/>
  <c r="I9" i="41"/>
  <c r="I3" i="43"/>
  <c r="M15" i="18" l="1"/>
  <c r="M11" i="18"/>
  <c r="M4" i="18"/>
  <c r="M5" i="18"/>
  <c r="M7" i="18"/>
  <c r="G10" i="17"/>
  <c r="N10" i="25"/>
  <c r="C18" i="29"/>
  <c r="C13" i="26"/>
  <c r="B15" i="24"/>
  <c r="O10" i="25" l="1"/>
  <c r="P10" i="25" s="1"/>
  <c r="Q10" i="25" s="1"/>
  <c r="R10" i="25" s="1"/>
  <c r="S10" i="25" s="1"/>
  <c r="M10" i="25"/>
  <c r="C23" i="43"/>
  <c r="C23" i="40"/>
  <c r="L6" i="35"/>
  <c r="L10" i="35" s="1"/>
  <c r="K6" i="35"/>
  <c r="K10" i="35" s="1"/>
  <c r="J6" i="35"/>
  <c r="J10" i="35" s="1"/>
  <c r="I6" i="35"/>
  <c r="I10" i="35" s="1"/>
  <c r="H6" i="35"/>
  <c r="H10" i="35" s="1"/>
  <c r="G6" i="35"/>
  <c r="G10" i="35" s="1"/>
  <c r="F6" i="35"/>
  <c r="F10" i="35" s="1"/>
  <c r="E6" i="35"/>
  <c r="E10" i="35" s="1"/>
  <c r="D6" i="35"/>
  <c r="D10" i="35" s="1"/>
  <c r="C6" i="35"/>
  <c r="C10" i="35" s="1"/>
  <c r="O8" i="3" l="1"/>
  <c r="K3" i="32" l="1"/>
  <c r="J4" i="32"/>
  <c r="I5" i="32"/>
  <c r="H6" i="32"/>
  <c r="G7" i="32"/>
  <c r="F8" i="32"/>
  <c r="E9" i="32"/>
  <c r="D10" i="32"/>
  <c r="O67" i="3"/>
  <c r="P74" i="3"/>
  <c r="Q81" i="3"/>
  <c r="R88" i="3"/>
  <c r="F15" i="32"/>
  <c r="G15" i="32"/>
  <c r="H15" i="32"/>
  <c r="I15" i="32"/>
  <c r="J15" i="32"/>
  <c r="K15" i="32"/>
  <c r="F16" i="32"/>
  <c r="G16" i="32"/>
  <c r="H16" i="32"/>
  <c r="I16" i="32"/>
  <c r="J16" i="32"/>
  <c r="F17" i="32"/>
  <c r="G17" i="32"/>
  <c r="H17" i="32"/>
  <c r="I17" i="32"/>
  <c r="F18" i="32"/>
  <c r="G18" i="32"/>
  <c r="H18" i="32"/>
  <c r="F19" i="32"/>
  <c r="G19" i="32"/>
  <c r="F20" i="32"/>
  <c r="E15" i="32"/>
  <c r="E16" i="32"/>
  <c r="E17" i="32"/>
  <c r="E18" i="32"/>
  <c r="E19" i="32"/>
  <c r="E20" i="32"/>
  <c r="E21" i="32"/>
  <c r="F27" i="32"/>
  <c r="G27" i="32"/>
  <c r="H27" i="32"/>
  <c r="I27" i="32"/>
  <c r="J27" i="32"/>
  <c r="K27" i="32"/>
  <c r="F28" i="32"/>
  <c r="G28" i="32"/>
  <c r="H28" i="32"/>
  <c r="I28" i="32"/>
  <c r="J28" i="32"/>
  <c r="F29" i="32"/>
  <c r="G29" i="32"/>
  <c r="H29" i="32"/>
  <c r="I29" i="32"/>
  <c r="F30" i="32"/>
  <c r="G30" i="32"/>
  <c r="H30" i="32"/>
  <c r="F31" i="32"/>
  <c r="G31" i="32"/>
  <c r="F32" i="32"/>
  <c r="E27" i="32"/>
  <c r="E28" i="32"/>
  <c r="E29" i="32"/>
  <c r="E30" i="32"/>
  <c r="E31" i="32"/>
  <c r="E32" i="32"/>
  <c r="E33" i="32"/>
  <c r="F39" i="32"/>
  <c r="G39" i="32"/>
  <c r="H39" i="32"/>
  <c r="I39" i="32"/>
  <c r="J39" i="32"/>
  <c r="K39" i="32"/>
  <c r="F40" i="32"/>
  <c r="G40" i="32"/>
  <c r="H40" i="32"/>
  <c r="I40" i="32"/>
  <c r="J40" i="32"/>
  <c r="F41" i="32"/>
  <c r="G41" i="32"/>
  <c r="H41" i="32"/>
  <c r="I41" i="32"/>
  <c r="F42" i="32"/>
  <c r="G42" i="32"/>
  <c r="H42" i="32"/>
  <c r="F43" i="32"/>
  <c r="G43" i="32"/>
  <c r="F44" i="32"/>
  <c r="E39" i="32"/>
  <c r="E40" i="32"/>
  <c r="E41" i="32"/>
  <c r="E42" i="32"/>
  <c r="E43" i="32"/>
  <c r="E44" i="32"/>
  <c r="E45" i="32"/>
  <c r="C73" i="5"/>
  <c r="D73" i="5"/>
  <c r="C66" i="5"/>
  <c r="D66" i="5"/>
  <c r="C80" i="5"/>
  <c r="D80" i="5"/>
  <c r="C87" i="5"/>
  <c r="D87" i="5"/>
  <c r="M9" i="3"/>
  <c r="N9" i="3" s="1"/>
  <c r="N16" i="3"/>
  <c r="O16" i="3" s="1"/>
  <c r="P16" i="3" s="1"/>
  <c r="Q16" i="3" s="1"/>
  <c r="R16" i="3" s="1"/>
  <c r="S16" i="3" s="1"/>
  <c r="T16" i="3" s="1"/>
  <c r="U16" i="3" s="1"/>
  <c r="O23" i="3"/>
  <c r="P23" i="3" s="1"/>
  <c r="Q23" i="3" s="1"/>
  <c r="J30" i="3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K37" i="3"/>
  <c r="L37" i="3" s="1"/>
  <c r="M37" i="3" s="1"/>
  <c r="N37" i="3" s="1"/>
  <c r="O37" i="3" s="1"/>
  <c r="P37" i="3" s="1"/>
  <c r="Q37" i="3" s="1"/>
  <c r="R37" i="3" s="1"/>
  <c r="S37" i="3" s="1"/>
  <c r="T37" i="3" s="1"/>
  <c r="L44" i="3"/>
  <c r="M44" i="3" s="1"/>
  <c r="N44" i="3" s="1"/>
  <c r="O44" i="3" s="1"/>
  <c r="P44" i="3" s="1"/>
  <c r="Q44" i="3" s="1"/>
  <c r="R44" i="3" s="1"/>
  <c r="S44" i="3" s="1"/>
  <c r="T44" i="3" s="1"/>
  <c r="U44" i="3" s="1"/>
  <c r="M51" i="3"/>
  <c r="N51" i="3" s="1"/>
  <c r="O51" i="3" s="1"/>
  <c r="P51" i="3" s="1"/>
  <c r="Q51" i="3" s="1"/>
  <c r="R51" i="3" s="1"/>
  <c r="S51" i="3" s="1"/>
  <c r="T51" i="3" s="1"/>
  <c r="U51" i="3" s="1"/>
  <c r="N58" i="3"/>
  <c r="O58" i="3" s="1"/>
  <c r="P58" i="3" s="1"/>
  <c r="Q58" i="3" s="1"/>
  <c r="R58" i="3" s="1"/>
  <c r="S58" i="3" s="1"/>
  <c r="T58" i="3" s="1"/>
  <c r="U58" i="3" s="1"/>
  <c r="O65" i="3"/>
  <c r="P72" i="3"/>
  <c r="P79" i="3"/>
  <c r="Q79" i="3" s="1"/>
  <c r="R79" i="3" s="1"/>
  <c r="S79" i="3" s="1"/>
  <c r="T79" i="3" s="1"/>
  <c r="U79" i="3" s="1"/>
  <c r="Q86" i="3"/>
  <c r="R86" i="3" s="1"/>
  <c r="S86" i="3" s="1"/>
  <c r="T86" i="3" s="1"/>
  <c r="U86" i="3" s="1"/>
  <c r="R93" i="3"/>
  <c r="S93" i="3"/>
  <c r="T93" i="3" s="1"/>
  <c r="U93" i="3" s="1"/>
  <c r="C3" i="34"/>
  <c r="D3" i="34"/>
  <c r="E3" i="34"/>
  <c r="F3" i="34"/>
  <c r="G3" i="34"/>
  <c r="H3" i="34"/>
  <c r="I3" i="34"/>
  <c r="J3" i="34"/>
  <c r="K3" i="34"/>
  <c r="C4" i="34"/>
  <c r="D4" i="34"/>
  <c r="E4" i="34"/>
  <c r="F4" i="34"/>
  <c r="G4" i="34"/>
  <c r="H4" i="34"/>
  <c r="I4" i="34"/>
  <c r="J4" i="34"/>
  <c r="C5" i="34"/>
  <c r="D5" i="34"/>
  <c r="E5" i="34"/>
  <c r="F5" i="34"/>
  <c r="G5" i="34"/>
  <c r="H5" i="34"/>
  <c r="I5" i="34"/>
  <c r="C6" i="34"/>
  <c r="D6" i="34"/>
  <c r="E6" i="34"/>
  <c r="F6" i="34"/>
  <c r="G6" i="34"/>
  <c r="H6" i="34"/>
  <c r="C7" i="34"/>
  <c r="D7" i="34"/>
  <c r="E7" i="34"/>
  <c r="F7" i="34"/>
  <c r="G7" i="34"/>
  <c r="C8" i="34"/>
  <c r="D8" i="34"/>
  <c r="E8" i="34"/>
  <c r="F8" i="34"/>
  <c r="C9" i="34"/>
  <c r="D9" i="34"/>
  <c r="E9" i="34"/>
  <c r="C10" i="34"/>
  <c r="D10" i="34"/>
  <c r="C11" i="34"/>
  <c r="C15" i="34"/>
  <c r="D15" i="34"/>
  <c r="E15" i="34"/>
  <c r="F15" i="34"/>
  <c r="G15" i="34"/>
  <c r="H15" i="34"/>
  <c r="I15" i="34"/>
  <c r="J15" i="34"/>
  <c r="K15" i="34"/>
  <c r="C16" i="34"/>
  <c r="D16" i="34"/>
  <c r="E16" i="34"/>
  <c r="F16" i="34"/>
  <c r="G16" i="34"/>
  <c r="H16" i="34"/>
  <c r="I16" i="34"/>
  <c r="J16" i="34"/>
  <c r="C17" i="34"/>
  <c r="D17" i="34"/>
  <c r="E17" i="34"/>
  <c r="F17" i="34"/>
  <c r="G17" i="34"/>
  <c r="H17" i="34"/>
  <c r="I17" i="34"/>
  <c r="C18" i="34"/>
  <c r="D18" i="34"/>
  <c r="E18" i="34"/>
  <c r="F18" i="34"/>
  <c r="G18" i="34"/>
  <c r="H18" i="34"/>
  <c r="C19" i="34"/>
  <c r="D19" i="34"/>
  <c r="E19" i="34"/>
  <c r="F19" i="34"/>
  <c r="G19" i="34"/>
  <c r="C20" i="34"/>
  <c r="D20" i="34"/>
  <c r="E20" i="34"/>
  <c r="F20" i="34"/>
  <c r="C21" i="34"/>
  <c r="D21" i="34"/>
  <c r="E21" i="34"/>
  <c r="C22" i="34"/>
  <c r="D22" i="34"/>
  <c r="C23" i="34"/>
  <c r="C27" i="34"/>
  <c r="D27" i="34"/>
  <c r="E27" i="34"/>
  <c r="F27" i="34"/>
  <c r="G27" i="34"/>
  <c r="H27" i="34"/>
  <c r="I27" i="34"/>
  <c r="J27" i="34"/>
  <c r="K27" i="34"/>
  <c r="C28" i="34"/>
  <c r="D28" i="34"/>
  <c r="E28" i="34"/>
  <c r="F28" i="34"/>
  <c r="G28" i="34"/>
  <c r="H28" i="34"/>
  <c r="I28" i="34"/>
  <c r="J28" i="34"/>
  <c r="C29" i="34"/>
  <c r="D29" i="34"/>
  <c r="E29" i="34"/>
  <c r="F29" i="34"/>
  <c r="G29" i="34"/>
  <c r="H29" i="34"/>
  <c r="I29" i="34"/>
  <c r="C30" i="34"/>
  <c r="D30" i="34"/>
  <c r="E30" i="34"/>
  <c r="F30" i="34"/>
  <c r="G30" i="34"/>
  <c r="H30" i="34"/>
  <c r="C31" i="34"/>
  <c r="D31" i="34"/>
  <c r="E31" i="34"/>
  <c r="F31" i="34"/>
  <c r="G31" i="34"/>
  <c r="C32" i="34"/>
  <c r="D32" i="34"/>
  <c r="E32" i="34"/>
  <c r="F32" i="34"/>
  <c r="C33" i="34"/>
  <c r="D33" i="34"/>
  <c r="E33" i="34"/>
  <c r="C34" i="34"/>
  <c r="D34" i="34"/>
  <c r="D15" i="32"/>
  <c r="D16" i="32"/>
  <c r="D17" i="32"/>
  <c r="D18" i="32"/>
  <c r="D19" i="32"/>
  <c r="D20" i="32"/>
  <c r="D21" i="32"/>
  <c r="D22" i="32"/>
  <c r="C15" i="32"/>
  <c r="C16" i="32"/>
  <c r="C17" i="32"/>
  <c r="C18" i="32"/>
  <c r="C19" i="32"/>
  <c r="C20" i="32"/>
  <c r="C21" i="32"/>
  <c r="C22" i="32"/>
  <c r="C23" i="32"/>
  <c r="D27" i="32"/>
  <c r="D28" i="32"/>
  <c r="D29" i="32"/>
  <c r="D30" i="32"/>
  <c r="D31" i="32"/>
  <c r="D32" i="32"/>
  <c r="D33" i="32"/>
  <c r="D34" i="32"/>
  <c r="C27" i="32"/>
  <c r="C28" i="32"/>
  <c r="C29" i="32"/>
  <c r="C30" i="32"/>
  <c r="C31" i="32"/>
  <c r="C32" i="32"/>
  <c r="C33" i="32"/>
  <c r="C34" i="32"/>
  <c r="C35" i="32"/>
  <c r="D39" i="32"/>
  <c r="D40" i="32"/>
  <c r="D41" i="32"/>
  <c r="D42" i="32"/>
  <c r="D43" i="32"/>
  <c r="D44" i="32"/>
  <c r="D45" i="32"/>
  <c r="D46" i="32"/>
  <c r="C39" i="32"/>
  <c r="C40" i="32"/>
  <c r="C41" i="32"/>
  <c r="C42" i="32"/>
  <c r="C43" i="32"/>
  <c r="C44" i="32"/>
  <c r="C45" i="32"/>
  <c r="C46" i="32"/>
  <c r="C47" i="32"/>
  <c r="P8" i="3"/>
  <c r="P15" i="3"/>
  <c r="N50" i="3"/>
  <c r="O50" i="3" s="1"/>
  <c r="P50" i="3" s="1"/>
  <c r="N57" i="3"/>
  <c r="O57" i="3" s="1"/>
  <c r="P57" i="3" s="1"/>
  <c r="Q57" i="3" s="1"/>
  <c r="N64" i="3"/>
  <c r="O64" i="3"/>
  <c r="P64" i="3" s="1"/>
  <c r="Q64" i="3" s="1"/>
  <c r="R64" i="3" s="1"/>
  <c r="O71" i="3"/>
  <c r="O15" i="3"/>
  <c r="R8" i="3"/>
  <c r="R15" i="3"/>
  <c r="S15" i="3"/>
  <c r="N43" i="3"/>
  <c r="O43" i="3" s="1"/>
  <c r="Q8" i="3"/>
  <c r="Q15" i="3"/>
  <c r="C24" i="6"/>
  <c r="C23" i="6"/>
  <c r="C39" i="34"/>
  <c r="D39" i="34"/>
  <c r="E39" i="34"/>
  <c r="F39" i="34"/>
  <c r="G39" i="34"/>
  <c r="H39" i="34"/>
  <c r="I39" i="34"/>
  <c r="J39" i="34"/>
  <c r="K39" i="34"/>
  <c r="C40" i="34"/>
  <c r="D40" i="34"/>
  <c r="E40" i="34"/>
  <c r="F40" i="34"/>
  <c r="G40" i="34"/>
  <c r="H40" i="34"/>
  <c r="I40" i="34"/>
  <c r="J40" i="34"/>
  <c r="C41" i="34"/>
  <c r="D41" i="34"/>
  <c r="E41" i="34"/>
  <c r="F41" i="34"/>
  <c r="G41" i="34"/>
  <c r="H41" i="34"/>
  <c r="I41" i="34"/>
  <c r="C42" i="34"/>
  <c r="D42" i="34"/>
  <c r="E42" i="34"/>
  <c r="F42" i="34"/>
  <c r="G42" i="34"/>
  <c r="H42" i="34"/>
  <c r="C43" i="34"/>
  <c r="D43" i="34"/>
  <c r="E43" i="34"/>
  <c r="F43" i="34"/>
  <c r="G43" i="34"/>
  <c r="C44" i="34"/>
  <c r="D44" i="34"/>
  <c r="E44" i="34"/>
  <c r="F44" i="34"/>
  <c r="C45" i="34"/>
  <c r="D45" i="34"/>
  <c r="E45" i="34"/>
  <c r="C46" i="34"/>
  <c r="D46" i="34"/>
  <c r="C47" i="34"/>
  <c r="F8" i="3"/>
  <c r="U37" i="3"/>
  <c r="D10" i="17"/>
  <c r="H10" i="17"/>
  <c r="G12" i="17"/>
  <c r="G13" i="17" s="1"/>
  <c r="F10" i="17"/>
  <c r="F12" i="17" s="1"/>
  <c r="F13" i="17" s="1"/>
  <c r="E10" i="17"/>
  <c r="E12" i="17" s="1"/>
  <c r="E13" i="17" s="1"/>
  <c r="I10" i="17"/>
  <c r="C26" i="6"/>
  <c r="C67" i="34"/>
  <c r="D67" i="34" s="1"/>
  <c r="C68" i="34"/>
  <c r="D68" i="34"/>
  <c r="C17" i="26"/>
  <c r="M3" i="25"/>
  <c r="C16" i="26"/>
  <c r="N8" i="3"/>
  <c r="N15" i="3"/>
  <c r="N22" i="3"/>
  <c r="N29" i="3"/>
  <c r="N36" i="3"/>
  <c r="L10" i="17"/>
  <c r="M8" i="3"/>
  <c r="M15" i="3"/>
  <c r="M22" i="3"/>
  <c r="M29" i="3"/>
  <c r="M36" i="3"/>
  <c r="M43" i="3"/>
  <c r="M50" i="3"/>
  <c r="M57" i="3"/>
  <c r="K10" i="17"/>
  <c r="L8" i="3"/>
  <c r="L15" i="3"/>
  <c r="L22" i="3"/>
  <c r="L29" i="3"/>
  <c r="L36" i="3"/>
  <c r="L43" i="3"/>
  <c r="L50" i="3"/>
  <c r="J10" i="17"/>
  <c r="K8" i="3"/>
  <c r="K15" i="3"/>
  <c r="K22" i="3"/>
  <c r="K29" i="3"/>
  <c r="K36" i="3"/>
  <c r="K43" i="3"/>
  <c r="J8" i="3"/>
  <c r="J15" i="3"/>
  <c r="J22" i="3"/>
  <c r="J29" i="3"/>
  <c r="J36" i="3"/>
  <c r="I8" i="3"/>
  <c r="I15" i="3"/>
  <c r="I22" i="3"/>
  <c r="I29" i="3"/>
  <c r="H8" i="3"/>
  <c r="H15" i="3"/>
  <c r="H22" i="3"/>
  <c r="G8" i="3"/>
  <c r="G15" i="3"/>
  <c r="E2" i="6"/>
  <c r="F2" i="6"/>
  <c r="G2" i="6" s="1"/>
  <c r="H2" i="6"/>
  <c r="I2" i="6" s="1"/>
  <c r="L6" i="18"/>
  <c r="K6" i="18"/>
  <c r="L13" i="18"/>
  <c r="L16" i="18" s="1"/>
  <c r="K13" i="18"/>
  <c r="F4" i="24"/>
  <c r="G4" i="24" s="1"/>
  <c r="H4" i="24" s="1"/>
  <c r="F5" i="24"/>
  <c r="G5" i="24" s="1"/>
  <c r="H5" i="24" s="1"/>
  <c r="F6" i="24"/>
  <c r="G6" i="24"/>
  <c r="H6" i="24" s="1"/>
  <c r="I23" i="3"/>
  <c r="J23" i="3" s="1"/>
  <c r="K23" i="3" s="1"/>
  <c r="L23" i="3" s="1"/>
  <c r="M23" i="3" s="1"/>
  <c r="H16" i="3"/>
  <c r="I16" i="3" s="1"/>
  <c r="J16" i="3" s="1"/>
  <c r="K16" i="3" s="1"/>
  <c r="L16" i="3" s="1"/>
  <c r="G9" i="3"/>
  <c r="H9" i="3" s="1"/>
  <c r="I9" i="3" s="1"/>
  <c r="J9" i="3" s="1"/>
  <c r="K9" i="3" s="1"/>
  <c r="C6" i="18"/>
  <c r="C8" i="18" s="1"/>
  <c r="C13" i="18"/>
  <c r="C16" i="18" s="1"/>
  <c r="D6" i="18"/>
  <c r="D13" i="18"/>
  <c r="D16" i="18" s="1"/>
  <c r="D18" i="18" s="1"/>
  <c r="E6" i="18"/>
  <c r="E8" i="18" s="1"/>
  <c r="E13" i="18"/>
  <c r="E16" i="18" s="1"/>
  <c r="F6" i="18"/>
  <c r="F8" i="18" s="1"/>
  <c r="F18" i="18" s="1"/>
  <c r="F13" i="18"/>
  <c r="G6" i="18"/>
  <c r="G13" i="18"/>
  <c r="H6" i="18"/>
  <c r="H13" i="18"/>
  <c r="I6" i="18"/>
  <c r="I8" i="18" s="1"/>
  <c r="I13" i="18"/>
  <c r="J6" i="18"/>
  <c r="J8" i="18" s="1"/>
  <c r="J13" i="18"/>
  <c r="L7" i="25"/>
  <c r="M7" i="25" s="1"/>
  <c r="N7" i="25" s="1"/>
  <c r="O7" i="25" s="1"/>
  <c r="P7" i="25"/>
  <c r="Q7" i="25" s="1"/>
  <c r="R7" i="25" s="1"/>
  <c r="S7" i="25" s="1"/>
  <c r="C4" i="25"/>
  <c r="D4" i="25"/>
  <c r="E4" i="25"/>
  <c r="F4" i="25"/>
  <c r="G4" i="25"/>
  <c r="H4" i="25"/>
  <c r="I4" i="25"/>
  <c r="J4" i="25"/>
  <c r="K4" i="25"/>
  <c r="L4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C8" i="25"/>
  <c r="N9" i="25" s="1"/>
  <c r="D8" i="25"/>
  <c r="E8" i="25"/>
  <c r="D3" i="32" s="1"/>
  <c r="F8" i="25"/>
  <c r="G8" i="25"/>
  <c r="H8" i="25"/>
  <c r="I8" i="25"/>
  <c r="J8" i="25"/>
  <c r="K8" i="25"/>
  <c r="C35" i="34"/>
  <c r="C10" i="5"/>
  <c r="C52" i="34" s="1"/>
  <c r="D52" i="34" s="1"/>
  <c r="D10" i="5"/>
  <c r="C17" i="5"/>
  <c r="D17" i="5"/>
  <c r="C24" i="5"/>
  <c r="D24" i="5"/>
  <c r="C31" i="5"/>
  <c r="D31" i="5"/>
  <c r="C38" i="5"/>
  <c r="D38" i="5"/>
  <c r="C45" i="5"/>
  <c r="D45" i="5"/>
  <c r="C52" i="5"/>
  <c r="D52" i="5"/>
  <c r="C59" i="5"/>
  <c r="D59" i="5"/>
  <c r="C3" i="5"/>
  <c r="D3" i="5"/>
  <c r="C6" i="19"/>
  <c r="E6" i="19"/>
  <c r="E7" i="19"/>
  <c r="E8" i="19"/>
  <c r="E9" i="19"/>
  <c r="E10" i="19"/>
  <c r="E11" i="19"/>
  <c r="E12" i="19"/>
  <c r="E13" i="19"/>
  <c r="E14" i="19"/>
  <c r="E15" i="19"/>
  <c r="E16" i="19"/>
  <c r="E17" i="19"/>
  <c r="C7" i="19"/>
  <c r="C8" i="19"/>
  <c r="C9" i="19"/>
  <c r="C10" i="19"/>
  <c r="C11" i="19"/>
  <c r="C12" i="19"/>
  <c r="C13" i="19"/>
  <c r="C14" i="19"/>
  <c r="C15" i="19"/>
  <c r="C16" i="19"/>
  <c r="C17" i="19"/>
  <c r="E5" i="19"/>
  <c r="C5" i="19"/>
  <c r="D5" i="19"/>
  <c r="D8" i="18"/>
  <c r="H8" i="18"/>
  <c r="H18" i="18" s="1"/>
  <c r="K8" i="18"/>
  <c r="G8" i="18"/>
  <c r="F16" i="18"/>
  <c r="G16" i="18"/>
  <c r="H16" i="18"/>
  <c r="I16" i="18"/>
  <c r="J16" i="18"/>
  <c r="K16" i="18"/>
  <c r="L8" i="18" l="1"/>
  <c r="M6" i="18"/>
  <c r="Q72" i="3"/>
  <c r="P65" i="3"/>
  <c r="Q65" i="3" s="1"/>
  <c r="R65" i="3" s="1"/>
  <c r="S65" i="3" s="1"/>
  <c r="T65" i="3" s="1"/>
  <c r="U65" i="3" s="1"/>
  <c r="G18" i="18"/>
  <c r="C51" i="34"/>
  <c r="D51" i="34" s="1"/>
  <c r="D69" i="34"/>
  <c r="M9" i="25"/>
  <c r="O9" i="25"/>
  <c r="P9" i="25" s="1"/>
  <c r="Q9" i="25" s="1"/>
  <c r="R9" i="25" s="1"/>
  <c r="S9" i="25" s="1"/>
  <c r="D24" i="32"/>
  <c r="E36" i="32"/>
  <c r="C12" i="34"/>
  <c r="P71" i="3"/>
  <c r="O105" i="3"/>
  <c r="D7" i="26" s="1"/>
  <c r="D8" i="6" s="1"/>
  <c r="F24" i="32"/>
  <c r="D36" i="32"/>
  <c r="C56" i="34"/>
  <c r="D56" i="34" s="1"/>
  <c r="C60" i="34"/>
  <c r="D60" i="34" s="1"/>
  <c r="C58" i="34"/>
  <c r="D58" i="34" s="1"/>
  <c r="C54" i="34"/>
  <c r="D54" i="34" s="1"/>
  <c r="D48" i="32"/>
  <c r="C36" i="34"/>
  <c r="E48" i="32"/>
  <c r="F36" i="32"/>
  <c r="C57" i="34"/>
  <c r="D57" i="34" s="1"/>
  <c r="C53" i="34"/>
  <c r="D53" i="34" s="1"/>
  <c r="C24" i="34"/>
  <c r="O74" i="5"/>
  <c r="C18" i="18"/>
  <c r="F5" i="19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E18" i="18"/>
  <c r="P9" i="3"/>
  <c r="P106" i="3" s="1"/>
  <c r="E8" i="26" s="1"/>
  <c r="O9" i="3"/>
  <c r="O106" i="3" s="1"/>
  <c r="D8" i="26" s="1"/>
  <c r="E24" i="32"/>
  <c r="C59" i="34"/>
  <c r="D59" i="34" s="1"/>
  <c r="C55" i="34"/>
  <c r="D55" i="34" s="1"/>
  <c r="J18" i="18"/>
  <c r="F48" i="32"/>
  <c r="I18" i="18"/>
  <c r="R23" i="3"/>
  <c r="D11" i="17"/>
  <c r="E11" i="17" s="1"/>
  <c r="F11" i="17" s="1"/>
  <c r="G11" i="17" s="1"/>
  <c r="H11" i="17" s="1"/>
  <c r="D12" i="17"/>
  <c r="D13" i="17" s="1"/>
  <c r="C48" i="34"/>
  <c r="O18" i="5"/>
  <c r="K18" i="18"/>
  <c r="F5" i="32"/>
  <c r="D7" i="32"/>
  <c r="E6" i="32"/>
  <c r="H3" i="32"/>
  <c r="G4" i="32"/>
  <c r="D6" i="32"/>
  <c r="E5" i="32"/>
  <c r="G3" i="32"/>
  <c r="F4" i="32"/>
  <c r="N3" i="25"/>
  <c r="P25" i="5" s="1"/>
  <c r="C48" i="32"/>
  <c r="I4" i="32"/>
  <c r="E8" i="32"/>
  <c r="H5" i="32"/>
  <c r="G6" i="32"/>
  <c r="J3" i="32"/>
  <c r="F7" i="32"/>
  <c r="D9" i="32"/>
  <c r="E4" i="32"/>
  <c r="F3" i="32"/>
  <c r="D5" i="32"/>
  <c r="C36" i="32"/>
  <c r="H4" i="32"/>
  <c r="G5" i="32"/>
  <c r="I3" i="32"/>
  <c r="F6" i="32"/>
  <c r="D8" i="32"/>
  <c r="E7" i="32"/>
  <c r="D4" i="32"/>
  <c r="E3" i="32"/>
  <c r="C24" i="32"/>
  <c r="P22" i="37" l="1"/>
  <c r="P22" i="36"/>
  <c r="O95" i="5"/>
  <c r="R84" i="36"/>
  <c r="O63" i="36"/>
  <c r="O63" i="37"/>
  <c r="Q77" i="36"/>
  <c r="S91" i="36"/>
  <c r="P70" i="36"/>
  <c r="O61" i="36"/>
  <c r="R82" i="36"/>
  <c r="Q75" i="36"/>
  <c r="S89" i="36"/>
  <c r="P68" i="36"/>
  <c r="Q83" i="37"/>
  <c r="P76" i="36"/>
  <c r="O69" i="37"/>
  <c r="R90" i="36"/>
  <c r="O69" i="36"/>
  <c r="P76" i="37"/>
  <c r="Q83" i="36"/>
  <c r="R90" i="37"/>
  <c r="P78" i="37"/>
  <c r="Q78" i="37" s="1"/>
  <c r="R78" i="37" s="1"/>
  <c r="S78" i="37" s="1"/>
  <c r="T78" i="37" s="1"/>
  <c r="P78" i="36"/>
  <c r="Q78" i="36" s="1"/>
  <c r="R78" i="36" s="1"/>
  <c r="S78" i="36" s="1"/>
  <c r="T78" i="36" s="1"/>
  <c r="O28" i="37"/>
  <c r="O35" i="36"/>
  <c r="O21" i="36"/>
  <c r="P7" i="36"/>
  <c r="O7" i="36"/>
  <c r="O42" i="36"/>
  <c r="P56" i="36"/>
  <c r="P28" i="36"/>
  <c r="P49" i="36"/>
  <c r="O28" i="36"/>
  <c r="O42" i="37"/>
  <c r="O35" i="37"/>
  <c r="Q7" i="36"/>
  <c r="O14" i="36"/>
  <c r="O49" i="36"/>
  <c r="P35" i="36"/>
  <c r="P21" i="36"/>
  <c r="Q35" i="36"/>
  <c r="P35" i="37"/>
  <c r="Q21" i="36"/>
  <c r="P14" i="36"/>
  <c r="Q56" i="36"/>
  <c r="P42" i="36"/>
  <c r="R35" i="36"/>
  <c r="Q28" i="36"/>
  <c r="Q49" i="36"/>
  <c r="R7" i="36"/>
  <c r="P42" i="37"/>
  <c r="U91" i="37"/>
  <c r="R49" i="36"/>
  <c r="R56" i="36"/>
  <c r="S7" i="36"/>
  <c r="Q63" i="36"/>
  <c r="S35" i="36"/>
  <c r="R28" i="36"/>
  <c r="Q14" i="36"/>
  <c r="Q42" i="36"/>
  <c r="T84" i="36"/>
  <c r="R21" i="36"/>
  <c r="R42" i="37"/>
  <c r="S49" i="36"/>
  <c r="S21" i="36"/>
  <c r="S28" i="36"/>
  <c r="U84" i="36"/>
  <c r="R63" i="36"/>
  <c r="R14" i="36"/>
  <c r="U91" i="36"/>
  <c r="R42" i="36"/>
  <c r="T7" i="36"/>
  <c r="R70" i="36"/>
  <c r="S77" i="36"/>
  <c r="R35" i="37"/>
  <c r="R28" i="37"/>
  <c r="S56" i="36"/>
  <c r="T35" i="36"/>
  <c r="S70" i="36"/>
  <c r="T49" i="36"/>
  <c r="S42" i="36"/>
  <c r="U7" i="36"/>
  <c r="S63" i="36"/>
  <c r="S14" i="36"/>
  <c r="T77" i="36"/>
  <c r="T56" i="36"/>
  <c r="T21" i="36"/>
  <c r="U35" i="36"/>
  <c r="T28" i="36"/>
  <c r="T35" i="37"/>
  <c r="U28" i="36"/>
  <c r="T70" i="36"/>
  <c r="U21" i="36"/>
  <c r="U77" i="36"/>
  <c r="U56" i="36"/>
  <c r="T63" i="36"/>
  <c r="T14" i="36"/>
  <c r="U49" i="36"/>
  <c r="T42" i="36"/>
  <c r="U42" i="36"/>
  <c r="U35" i="37"/>
  <c r="U70" i="36"/>
  <c r="U42" i="37"/>
  <c r="U63" i="36"/>
  <c r="U14" i="36"/>
  <c r="O62" i="36"/>
  <c r="R83" i="36"/>
  <c r="P69" i="36"/>
  <c r="S90" i="36"/>
  <c r="Q76" i="36"/>
  <c r="O5" i="3"/>
  <c r="O12" i="36"/>
  <c r="O33" i="36"/>
  <c r="O19" i="36"/>
  <c r="O5" i="36"/>
  <c r="P5" i="36"/>
  <c r="O26" i="37"/>
  <c r="Q33" i="36"/>
  <c r="O33" i="37"/>
  <c r="O40" i="37"/>
  <c r="P33" i="36"/>
  <c r="P26" i="36"/>
  <c r="P54" i="36"/>
  <c r="O40" i="36"/>
  <c r="O26" i="36"/>
  <c r="P47" i="36"/>
  <c r="P19" i="36"/>
  <c r="O19" i="37"/>
  <c r="O47" i="36"/>
  <c r="Q5" i="36"/>
  <c r="Q26" i="36"/>
  <c r="R33" i="36"/>
  <c r="Q47" i="36"/>
  <c r="P12" i="36"/>
  <c r="R5" i="36"/>
  <c r="Q54" i="36"/>
  <c r="U89" i="37"/>
  <c r="P33" i="37"/>
  <c r="P40" i="37"/>
  <c r="Q19" i="36"/>
  <c r="P40" i="36"/>
  <c r="Q61" i="36"/>
  <c r="R19" i="36"/>
  <c r="R47" i="36"/>
  <c r="S33" i="36"/>
  <c r="R26" i="36"/>
  <c r="R54" i="36"/>
  <c r="Q12" i="36"/>
  <c r="Q40" i="37"/>
  <c r="Q33" i="37"/>
  <c r="S5" i="36"/>
  <c r="T82" i="36"/>
  <c r="Q40" i="36"/>
  <c r="T33" i="36"/>
  <c r="S19" i="36"/>
  <c r="R40" i="37"/>
  <c r="S26" i="36"/>
  <c r="U89" i="36"/>
  <c r="U82" i="36"/>
  <c r="S75" i="36"/>
  <c r="R12" i="36"/>
  <c r="R61" i="36"/>
  <c r="T5" i="36"/>
  <c r="R40" i="36"/>
  <c r="S54" i="36"/>
  <c r="R68" i="36"/>
  <c r="S47" i="36"/>
  <c r="S12" i="36"/>
  <c r="S68" i="36"/>
  <c r="U5" i="36"/>
  <c r="S40" i="36"/>
  <c r="T75" i="36"/>
  <c r="T54" i="36"/>
  <c r="S61" i="36"/>
  <c r="T19" i="36"/>
  <c r="S33" i="37"/>
  <c r="T47" i="36"/>
  <c r="S26" i="37"/>
  <c r="U33" i="36"/>
  <c r="T26" i="36"/>
  <c r="U47" i="36"/>
  <c r="T12" i="36"/>
  <c r="T33" i="37"/>
  <c r="T68" i="36"/>
  <c r="U26" i="36"/>
  <c r="T26" i="37"/>
  <c r="T40" i="36"/>
  <c r="U19" i="36"/>
  <c r="U75" i="36"/>
  <c r="T61" i="36"/>
  <c r="U54" i="36"/>
  <c r="U26" i="37"/>
  <c r="U40" i="36"/>
  <c r="U61" i="36"/>
  <c r="U12" i="36"/>
  <c r="U33" i="37"/>
  <c r="U68" i="36"/>
  <c r="O70" i="37"/>
  <c r="Q84" i="37"/>
  <c r="R91" i="36"/>
  <c r="P77" i="37"/>
  <c r="P77" i="36"/>
  <c r="R91" i="37"/>
  <c r="Q84" i="36"/>
  <c r="O70" i="36"/>
  <c r="Q29" i="37"/>
  <c r="Q29" i="36"/>
  <c r="O25" i="37"/>
  <c r="P25" i="37" s="1"/>
  <c r="Q25" i="37" s="1"/>
  <c r="R25" i="37" s="1"/>
  <c r="S25" i="37" s="1"/>
  <c r="T25" i="37" s="1"/>
  <c r="U25" i="37" s="1"/>
  <c r="U28" i="37" s="1"/>
  <c r="R81" i="37"/>
  <c r="O11" i="37"/>
  <c r="P11" i="37" s="1"/>
  <c r="Q11" i="37" s="1"/>
  <c r="R11" i="37" s="1"/>
  <c r="S11" i="37" s="1"/>
  <c r="T11" i="37" s="1"/>
  <c r="U11" i="37" s="1"/>
  <c r="U12" i="37" s="1"/>
  <c r="Q74" i="37"/>
  <c r="R74" i="37" s="1"/>
  <c r="S74" i="37" s="1"/>
  <c r="T74" i="37" s="1"/>
  <c r="U74" i="37" s="1"/>
  <c r="U76" i="37" s="1"/>
  <c r="O4" i="37"/>
  <c r="O5" i="37" s="1"/>
  <c r="O60" i="37"/>
  <c r="O61" i="37" s="1"/>
  <c r="O53" i="37"/>
  <c r="O46" i="37"/>
  <c r="O39" i="37"/>
  <c r="P39" i="37" s="1"/>
  <c r="Q39" i="37" s="1"/>
  <c r="R39" i="37" s="1"/>
  <c r="S39" i="37" s="1"/>
  <c r="T39" i="37" s="1"/>
  <c r="U39" i="37" s="1"/>
  <c r="U41" i="37" s="1"/>
  <c r="O18" i="37"/>
  <c r="O32" i="37"/>
  <c r="P32" i="37" s="1"/>
  <c r="Q32" i="37" s="1"/>
  <c r="R32" i="37" s="1"/>
  <c r="S32" i="37" s="1"/>
  <c r="T32" i="37" s="1"/>
  <c r="U32" i="37" s="1"/>
  <c r="U34" i="37" s="1"/>
  <c r="S88" i="37"/>
  <c r="T88" i="37" s="1"/>
  <c r="U88" i="37" s="1"/>
  <c r="U90" i="37" s="1"/>
  <c r="P67" i="37"/>
  <c r="P68" i="37" s="1"/>
  <c r="O68" i="36"/>
  <c r="Q82" i="36"/>
  <c r="O68" i="37"/>
  <c r="Q82" i="37"/>
  <c r="P75" i="36"/>
  <c r="R89" i="37"/>
  <c r="P75" i="37"/>
  <c r="R89" i="36"/>
  <c r="O20" i="37"/>
  <c r="O13" i="36"/>
  <c r="O34" i="36"/>
  <c r="O48" i="36"/>
  <c r="O48" i="37"/>
  <c r="O13" i="37"/>
  <c r="Q34" i="36"/>
  <c r="O41" i="37"/>
  <c r="P48" i="36"/>
  <c r="P6" i="36"/>
  <c r="Q6" i="36"/>
  <c r="O27" i="36"/>
  <c r="O34" i="37"/>
  <c r="P34" i="36"/>
  <c r="O6" i="36"/>
  <c r="P55" i="36"/>
  <c r="O20" i="36"/>
  <c r="P20" i="36"/>
  <c r="P27" i="36"/>
  <c r="O41" i="36"/>
  <c r="P34" i="37"/>
  <c r="P41" i="37"/>
  <c r="Q55" i="36"/>
  <c r="P41" i="36"/>
  <c r="Q27" i="36"/>
  <c r="Q48" i="36"/>
  <c r="Q20" i="36"/>
  <c r="R6" i="36"/>
  <c r="R34" i="36"/>
  <c r="P13" i="36"/>
  <c r="T83" i="36"/>
  <c r="Q62" i="36"/>
  <c r="R20" i="36"/>
  <c r="S34" i="36"/>
  <c r="Q41" i="36"/>
  <c r="Q13" i="36"/>
  <c r="Q41" i="37"/>
  <c r="Q34" i="37"/>
  <c r="R48" i="36"/>
  <c r="R27" i="36"/>
  <c r="R55" i="36"/>
  <c r="S6" i="36"/>
  <c r="T34" i="36"/>
  <c r="S20" i="36"/>
  <c r="R41" i="37"/>
  <c r="U90" i="36"/>
  <c r="R41" i="36"/>
  <c r="U83" i="36"/>
  <c r="R27" i="37"/>
  <c r="R69" i="36"/>
  <c r="R13" i="36"/>
  <c r="T76" i="37"/>
  <c r="T6" i="36"/>
  <c r="S27" i="36"/>
  <c r="S55" i="36"/>
  <c r="R34" i="37"/>
  <c r="S48" i="36"/>
  <c r="S76" i="36"/>
  <c r="R62" i="36"/>
  <c r="S69" i="36"/>
  <c r="S34" i="37"/>
  <c r="U34" i="36"/>
  <c r="S41" i="36"/>
  <c r="U6" i="36"/>
  <c r="S41" i="37"/>
  <c r="T55" i="36"/>
  <c r="T20" i="36"/>
  <c r="S27" i="37"/>
  <c r="T48" i="36"/>
  <c r="S62" i="36"/>
  <c r="T76" i="36"/>
  <c r="T27" i="36"/>
  <c r="S13" i="36"/>
  <c r="U27" i="36"/>
  <c r="T34" i="37"/>
  <c r="U76" i="36"/>
  <c r="U48" i="36"/>
  <c r="U20" i="36"/>
  <c r="T69" i="36"/>
  <c r="T27" i="37"/>
  <c r="U55" i="36"/>
  <c r="T41" i="36"/>
  <c r="T62" i="36"/>
  <c r="T13" i="36"/>
  <c r="U69" i="36"/>
  <c r="U41" i="36"/>
  <c r="U62" i="36"/>
  <c r="U27" i="37"/>
  <c r="U13" i="36"/>
  <c r="Q71" i="3"/>
  <c r="R72" i="3"/>
  <c r="Q106" i="3"/>
  <c r="F8" i="26" s="1"/>
  <c r="O54" i="36"/>
  <c r="T89" i="37"/>
  <c r="S82" i="36"/>
  <c r="P61" i="36"/>
  <c r="R75" i="37"/>
  <c r="Q68" i="36"/>
  <c r="T89" i="36"/>
  <c r="R75" i="36"/>
  <c r="O56" i="36"/>
  <c r="O56" i="37"/>
  <c r="T91" i="37"/>
  <c r="P63" i="36"/>
  <c r="S84" i="36"/>
  <c r="R77" i="36"/>
  <c r="T91" i="36"/>
  <c r="Q70" i="36"/>
  <c r="D4" i="42"/>
  <c r="E4" i="42"/>
  <c r="F4" i="42"/>
  <c r="F10" i="43" s="1"/>
  <c r="G4" i="42"/>
  <c r="H4" i="42"/>
  <c r="I4" i="42"/>
  <c r="O55" i="36"/>
  <c r="O55" i="37"/>
  <c r="T90" i="37"/>
  <c r="S83" i="36"/>
  <c r="P62" i="36"/>
  <c r="T90" i="36"/>
  <c r="R76" i="36"/>
  <c r="Q69" i="36"/>
  <c r="L18" i="18"/>
  <c r="M8" i="18"/>
  <c r="L22" i="18"/>
  <c r="H12" i="32"/>
  <c r="O32" i="3" s="1"/>
  <c r="O35" i="3" s="1"/>
  <c r="Q9" i="3"/>
  <c r="I12" i="32"/>
  <c r="O4" i="3" s="1"/>
  <c r="E12" i="32"/>
  <c r="O53" i="3" s="1"/>
  <c r="O56" i="3" s="1"/>
  <c r="D12" i="32"/>
  <c r="P67" i="3" s="1"/>
  <c r="P78" i="3"/>
  <c r="Q78" i="3" s="1"/>
  <c r="R78" i="3" s="1"/>
  <c r="S78" i="3" s="1"/>
  <c r="T78" i="3" s="1"/>
  <c r="C61" i="34"/>
  <c r="D61" i="34" s="1"/>
  <c r="I12" i="17"/>
  <c r="I13" i="17" s="1"/>
  <c r="I11" i="17"/>
  <c r="Q29" i="3"/>
  <c r="R29" i="3" s="1"/>
  <c r="S29" i="3" s="1"/>
  <c r="T29" i="3" s="1"/>
  <c r="U29" i="3" s="1"/>
  <c r="O69" i="3"/>
  <c r="R90" i="3"/>
  <c r="Q83" i="3"/>
  <c r="P76" i="3"/>
  <c r="P32" i="3"/>
  <c r="O34" i="3"/>
  <c r="O33" i="3"/>
  <c r="H12" i="17"/>
  <c r="H13" i="17" s="1"/>
  <c r="F12" i="32"/>
  <c r="O46" i="3" s="1"/>
  <c r="R91" i="3"/>
  <c r="O70" i="3"/>
  <c r="Q84" i="3"/>
  <c r="P77" i="3"/>
  <c r="S23" i="3"/>
  <c r="O68" i="3"/>
  <c r="R89" i="3"/>
  <c r="Q82" i="3"/>
  <c r="P75" i="3"/>
  <c r="P81" i="5"/>
  <c r="P95" i="5" s="1"/>
  <c r="O3" i="25"/>
  <c r="Q32" i="5" s="1"/>
  <c r="G12" i="32"/>
  <c r="O39" i="3" s="1"/>
  <c r="P22" i="3"/>
  <c r="P105" i="3" s="1"/>
  <c r="E7" i="26" s="1"/>
  <c r="E8" i="6" s="1"/>
  <c r="E7" i="43" l="1"/>
  <c r="E7" i="40"/>
  <c r="E7" i="6"/>
  <c r="R36" i="37"/>
  <c r="R36" i="36"/>
  <c r="R103" i="36"/>
  <c r="G5" i="41" s="1"/>
  <c r="P103" i="36"/>
  <c r="E5" i="41" s="1"/>
  <c r="E12" i="42" s="1"/>
  <c r="R77" i="37"/>
  <c r="R83" i="37"/>
  <c r="S81" i="37"/>
  <c r="Q12" i="37"/>
  <c r="U14" i="37"/>
  <c r="H10" i="43"/>
  <c r="Q13" i="37"/>
  <c r="T102" i="36"/>
  <c r="Q76" i="37"/>
  <c r="S12" i="37"/>
  <c r="Q26" i="37"/>
  <c r="P69" i="37"/>
  <c r="T14" i="37"/>
  <c r="Q75" i="37"/>
  <c r="U103" i="36"/>
  <c r="J5" i="41" s="1"/>
  <c r="R29" i="36"/>
  <c r="S29" i="36" s="1"/>
  <c r="T29" i="36" s="1"/>
  <c r="U29" i="36" s="1"/>
  <c r="U40" i="37"/>
  <c r="T40" i="37"/>
  <c r="S90" i="37"/>
  <c r="S42" i="37"/>
  <c r="U77" i="37"/>
  <c r="Q35" i="37"/>
  <c r="R82" i="37"/>
  <c r="R76" i="37"/>
  <c r="E10" i="43"/>
  <c r="Q27" i="37"/>
  <c r="P13" i="37"/>
  <c r="O27" i="37"/>
  <c r="O21" i="37"/>
  <c r="P18" i="37"/>
  <c r="R29" i="37"/>
  <c r="S29" i="37" s="1"/>
  <c r="T29" i="37" s="1"/>
  <c r="U29" i="37" s="1"/>
  <c r="R12" i="37"/>
  <c r="O12" i="37"/>
  <c r="O62" i="37"/>
  <c r="O103" i="37" s="1"/>
  <c r="R104" i="36"/>
  <c r="G6" i="41" s="1"/>
  <c r="O14" i="37"/>
  <c r="O104" i="37" s="1"/>
  <c r="D6" i="38" s="1"/>
  <c r="S89" i="37"/>
  <c r="P70" i="37"/>
  <c r="T75" i="37"/>
  <c r="P102" i="36"/>
  <c r="G10" i="43"/>
  <c r="U13" i="37"/>
  <c r="T103" i="36"/>
  <c r="I5" i="41" s="1"/>
  <c r="I12" i="42" s="1"/>
  <c r="D10" i="43"/>
  <c r="Q42" i="37"/>
  <c r="Q104" i="36"/>
  <c r="F6" i="41" s="1"/>
  <c r="S76" i="37"/>
  <c r="O49" i="37"/>
  <c r="P46" i="37"/>
  <c r="R102" i="36"/>
  <c r="P26" i="37"/>
  <c r="T42" i="37"/>
  <c r="T104" i="36"/>
  <c r="I6" i="41" s="1"/>
  <c r="S35" i="37"/>
  <c r="S104" i="36"/>
  <c r="H6" i="41" s="1"/>
  <c r="R14" i="37"/>
  <c r="S77" i="37"/>
  <c r="P28" i="37"/>
  <c r="D7" i="29"/>
  <c r="E7" i="29" s="1"/>
  <c r="D7" i="43"/>
  <c r="D7" i="40"/>
  <c r="D7" i="42"/>
  <c r="D7" i="39"/>
  <c r="E7" i="39" s="1"/>
  <c r="D7" i="6"/>
  <c r="S103" i="36"/>
  <c r="H5" i="41" s="1"/>
  <c r="U75" i="37"/>
  <c r="S75" i="37"/>
  <c r="Q77" i="37"/>
  <c r="Q103" i="36"/>
  <c r="F5" i="41" s="1"/>
  <c r="F12" i="42" s="1"/>
  <c r="S13" i="37"/>
  <c r="R13" i="37"/>
  <c r="O102" i="36"/>
  <c r="R84" i="37"/>
  <c r="Q67" i="37"/>
  <c r="U102" i="36"/>
  <c r="S102" i="36"/>
  <c r="P14" i="37"/>
  <c r="P27" i="37"/>
  <c r="O104" i="36"/>
  <c r="D6" i="41" s="1"/>
  <c r="R33" i="37"/>
  <c r="O103" i="36"/>
  <c r="D5" i="41" s="1"/>
  <c r="S91" i="37"/>
  <c r="S72" i="3"/>
  <c r="R106" i="3"/>
  <c r="G8" i="26" s="1"/>
  <c r="T41" i="37"/>
  <c r="T13" i="37"/>
  <c r="O54" i="37"/>
  <c r="O102" i="37" s="1"/>
  <c r="P53" i="37"/>
  <c r="T12" i="37"/>
  <c r="S40" i="37"/>
  <c r="P12" i="37"/>
  <c r="O47" i="37"/>
  <c r="T28" i="37"/>
  <c r="S28" i="37"/>
  <c r="Q14" i="37"/>
  <c r="Q22" i="36"/>
  <c r="R22" i="36" s="1"/>
  <c r="S22" i="36" s="1"/>
  <c r="T22" i="36" s="1"/>
  <c r="P105" i="36"/>
  <c r="E7" i="41" s="1"/>
  <c r="E8" i="43" s="1"/>
  <c r="O7" i="37"/>
  <c r="P4" i="37"/>
  <c r="U104" i="36"/>
  <c r="J6" i="41" s="1"/>
  <c r="I10" i="43"/>
  <c r="Q85" i="36"/>
  <c r="R85" i="36" s="1"/>
  <c r="S85" i="36" s="1"/>
  <c r="T85" i="36" s="1"/>
  <c r="U85" i="36" s="1"/>
  <c r="Q85" i="37"/>
  <c r="R85" i="37" s="1"/>
  <c r="S85" i="37" s="1"/>
  <c r="T85" i="37" s="1"/>
  <c r="U85" i="37" s="1"/>
  <c r="Q102" i="36"/>
  <c r="R71" i="3"/>
  <c r="O6" i="37"/>
  <c r="P60" i="37"/>
  <c r="P101" i="37" s="1"/>
  <c r="O101" i="37"/>
  <c r="R26" i="37"/>
  <c r="S14" i="37"/>
  <c r="T77" i="37"/>
  <c r="Q28" i="37"/>
  <c r="P104" i="36"/>
  <c r="E6" i="41" s="1"/>
  <c r="Q22" i="37"/>
  <c r="R22" i="37" s="1"/>
  <c r="S22" i="37" s="1"/>
  <c r="T22" i="37" s="1"/>
  <c r="P105" i="37"/>
  <c r="E7" i="38" s="1"/>
  <c r="E8" i="40" s="1"/>
  <c r="O55" i="3"/>
  <c r="S88" i="3"/>
  <c r="T88" i="3" s="1"/>
  <c r="Q74" i="3"/>
  <c r="Q75" i="3" s="1"/>
  <c r="R81" i="3"/>
  <c r="R84" i="3" s="1"/>
  <c r="O54" i="3"/>
  <c r="O11" i="3"/>
  <c r="P11" i="3" s="1"/>
  <c r="O25" i="3"/>
  <c r="O27" i="3" s="1"/>
  <c r="O18" i="3"/>
  <c r="O19" i="3" s="1"/>
  <c r="O60" i="3"/>
  <c r="O101" i="3" s="1"/>
  <c r="R9" i="3"/>
  <c r="O6" i="3"/>
  <c r="P3" i="25"/>
  <c r="Q88" i="5"/>
  <c r="Q95" i="5" s="1"/>
  <c r="Q32" i="3"/>
  <c r="P34" i="3"/>
  <c r="P35" i="3"/>
  <c r="P33" i="3"/>
  <c r="R74" i="3"/>
  <c r="Q76" i="3"/>
  <c r="Q77" i="3"/>
  <c r="P46" i="3"/>
  <c r="O47" i="3"/>
  <c r="O48" i="3"/>
  <c r="O49" i="3"/>
  <c r="P4" i="3"/>
  <c r="O7" i="3"/>
  <c r="S81" i="3"/>
  <c r="R83" i="3"/>
  <c r="R82" i="3"/>
  <c r="Q85" i="3"/>
  <c r="R85" i="3" s="1"/>
  <c r="S85" i="3" s="1"/>
  <c r="T85" i="3" s="1"/>
  <c r="U85" i="3" s="1"/>
  <c r="C62" i="34"/>
  <c r="D62" i="34" s="1"/>
  <c r="Q22" i="3"/>
  <c r="J12" i="17"/>
  <c r="J13" i="17" s="1"/>
  <c r="J11" i="17"/>
  <c r="P53" i="3"/>
  <c r="P39" i="3"/>
  <c r="O40" i="3"/>
  <c r="O41" i="3"/>
  <c r="O42" i="3"/>
  <c r="T23" i="3"/>
  <c r="S90" i="3"/>
  <c r="S89" i="3"/>
  <c r="S91" i="3"/>
  <c r="Q67" i="3"/>
  <c r="P70" i="3"/>
  <c r="P68" i="3"/>
  <c r="P69" i="3"/>
  <c r="D5" i="39" l="1"/>
  <c r="D11" i="40" s="1"/>
  <c r="D4" i="38"/>
  <c r="O107" i="37"/>
  <c r="D5" i="38"/>
  <c r="D12" i="39" s="1"/>
  <c r="D13" i="40" s="1"/>
  <c r="E3" i="38"/>
  <c r="E4" i="39"/>
  <c r="F7" i="40"/>
  <c r="F7" i="43"/>
  <c r="F7" i="6"/>
  <c r="T81" i="37"/>
  <c r="S83" i="37"/>
  <c r="S84" i="37"/>
  <c r="S82" i="37"/>
  <c r="Q4" i="37"/>
  <c r="P7" i="37"/>
  <c r="P6" i="37"/>
  <c r="P5" i="37"/>
  <c r="Q53" i="37"/>
  <c r="P56" i="37"/>
  <c r="P55" i="37"/>
  <c r="P54" i="37"/>
  <c r="H4" i="41"/>
  <c r="H5" i="42"/>
  <c r="J4" i="41"/>
  <c r="Q105" i="37"/>
  <c r="F7" i="38" s="1"/>
  <c r="F8" i="40" s="1"/>
  <c r="F7" i="39"/>
  <c r="F13" i="43"/>
  <c r="I13" i="43"/>
  <c r="D3" i="38"/>
  <c r="D4" i="39"/>
  <c r="H12" i="42"/>
  <c r="H13" i="43" s="1"/>
  <c r="Q60" i="37"/>
  <c r="P62" i="37"/>
  <c r="P61" i="37"/>
  <c r="P63" i="37"/>
  <c r="G12" i="42"/>
  <c r="G13" i="43" s="1"/>
  <c r="O13" i="3"/>
  <c r="O12" i="3"/>
  <c r="O20" i="3"/>
  <c r="Q105" i="3"/>
  <c r="F7" i="26" s="1"/>
  <c r="F8" i="6" s="1"/>
  <c r="R67" i="37"/>
  <c r="Q68" i="37"/>
  <c r="Q69" i="37"/>
  <c r="Q70" i="37"/>
  <c r="E7" i="42"/>
  <c r="G4" i="41"/>
  <c r="G5" i="42"/>
  <c r="R107" i="36"/>
  <c r="E5" i="42"/>
  <c r="E4" i="41"/>
  <c r="P107" i="36"/>
  <c r="Q18" i="37"/>
  <c r="P19" i="37"/>
  <c r="P21" i="37"/>
  <c r="P20" i="37"/>
  <c r="I4" i="41"/>
  <c r="I5" i="42"/>
  <c r="S36" i="36"/>
  <c r="T36" i="36" s="1"/>
  <c r="U36" i="36" s="1"/>
  <c r="R105" i="36"/>
  <c r="G7" i="41" s="1"/>
  <c r="G8" i="43" s="1"/>
  <c r="S36" i="37"/>
  <c r="T36" i="37" s="1"/>
  <c r="U36" i="37" s="1"/>
  <c r="R105" i="37"/>
  <c r="G7" i="38" s="1"/>
  <c r="G8" i="40" s="1"/>
  <c r="F5" i="42"/>
  <c r="F4" i="41"/>
  <c r="D5" i="42"/>
  <c r="D4" i="41"/>
  <c r="O107" i="36"/>
  <c r="R92" i="36"/>
  <c r="S92" i="36" s="1"/>
  <c r="T92" i="36" s="1"/>
  <c r="U92" i="36" s="1"/>
  <c r="R92" i="37"/>
  <c r="S92" i="37" s="1"/>
  <c r="T92" i="37" s="1"/>
  <c r="U92" i="37" s="1"/>
  <c r="S71" i="3"/>
  <c r="T72" i="3"/>
  <c r="S106" i="3"/>
  <c r="H8" i="26" s="1"/>
  <c r="P47" i="37"/>
  <c r="Q46" i="37"/>
  <c r="P49" i="37"/>
  <c r="P48" i="37"/>
  <c r="P103" i="37" s="1"/>
  <c r="E5" i="38" s="1"/>
  <c r="P60" i="3"/>
  <c r="D12" i="42"/>
  <c r="D13" i="43" s="1"/>
  <c r="Q105" i="36"/>
  <c r="F7" i="41" s="1"/>
  <c r="F8" i="43" s="1"/>
  <c r="O28" i="3"/>
  <c r="O63" i="3"/>
  <c r="O61" i="3"/>
  <c r="D3" i="26"/>
  <c r="D4" i="29"/>
  <c r="O62" i="3"/>
  <c r="O26" i="3"/>
  <c r="O14" i="3"/>
  <c r="P25" i="3"/>
  <c r="Q25" i="3" s="1"/>
  <c r="O21" i="3"/>
  <c r="P18" i="3"/>
  <c r="Q18" i="3" s="1"/>
  <c r="S9" i="3"/>
  <c r="P61" i="3"/>
  <c r="R36" i="3"/>
  <c r="S36" i="3" s="1"/>
  <c r="T36" i="3" s="1"/>
  <c r="U36" i="3" s="1"/>
  <c r="U88" i="3"/>
  <c r="T89" i="3"/>
  <c r="T91" i="3"/>
  <c r="T90" i="3"/>
  <c r="Q3" i="25"/>
  <c r="R39" i="5"/>
  <c r="U23" i="3"/>
  <c r="Q39" i="3"/>
  <c r="P40" i="3"/>
  <c r="P41" i="3"/>
  <c r="P42" i="3"/>
  <c r="T81" i="3"/>
  <c r="S83" i="3"/>
  <c r="S82" i="3"/>
  <c r="S84" i="3"/>
  <c r="Q53" i="3"/>
  <c r="P54" i="3"/>
  <c r="P55" i="3"/>
  <c r="P56" i="3"/>
  <c r="Q11" i="3"/>
  <c r="P13" i="3"/>
  <c r="P14" i="3"/>
  <c r="P12" i="3"/>
  <c r="R22" i="3"/>
  <c r="Q4" i="3"/>
  <c r="P6" i="3"/>
  <c r="P7" i="3"/>
  <c r="P5" i="3"/>
  <c r="Q46" i="3"/>
  <c r="P48" i="3"/>
  <c r="P49" i="3"/>
  <c r="P47" i="3"/>
  <c r="S74" i="3"/>
  <c r="R76" i="3"/>
  <c r="R75" i="3"/>
  <c r="R77" i="3"/>
  <c r="R32" i="3"/>
  <c r="Q33" i="3"/>
  <c r="Q35" i="3"/>
  <c r="Q34" i="3"/>
  <c r="P20" i="3"/>
  <c r="P21" i="3"/>
  <c r="R67" i="3"/>
  <c r="Q69" i="3"/>
  <c r="Q68" i="3"/>
  <c r="Q70" i="3"/>
  <c r="K12" i="17"/>
  <c r="K13" i="17" s="1"/>
  <c r="K11" i="17"/>
  <c r="R92" i="3"/>
  <c r="S92" i="3" s="1"/>
  <c r="T92" i="3" s="1"/>
  <c r="U92" i="3" s="1"/>
  <c r="C63" i="34"/>
  <c r="D63" i="34" s="1"/>
  <c r="U72" i="3" l="1"/>
  <c r="D3" i="40"/>
  <c r="D9" i="38"/>
  <c r="D10" i="38" s="1"/>
  <c r="D13" i="38"/>
  <c r="D6" i="40" s="1"/>
  <c r="H11" i="43"/>
  <c r="H6" i="42"/>
  <c r="E11" i="42"/>
  <c r="E4" i="43"/>
  <c r="E10" i="41"/>
  <c r="U81" i="37"/>
  <c r="T84" i="37"/>
  <c r="T82" i="37"/>
  <c r="T83" i="37"/>
  <c r="P26" i="3"/>
  <c r="R105" i="3"/>
  <c r="G7" i="26" s="1"/>
  <c r="G8" i="6" s="1"/>
  <c r="P28" i="3"/>
  <c r="P27" i="3"/>
  <c r="F7" i="29"/>
  <c r="G7" i="29" s="1"/>
  <c r="G11" i="42"/>
  <c r="G4" i="43"/>
  <c r="G10" i="41"/>
  <c r="P101" i="3"/>
  <c r="I11" i="43"/>
  <c r="I6" i="42"/>
  <c r="E10" i="40"/>
  <c r="P102" i="37"/>
  <c r="E3" i="40"/>
  <c r="E9" i="38"/>
  <c r="P62" i="3"/>
  <c r="O104" i="3"/>
  <c r="D6" i="26" s="1"/>
  <c r="D4" i="43"/>
  <c r="D11" i="42"/>
  <c r="D10" i="41"/>
  <c r="P104" i="37"/>
  <c r="E6" i="38" s="1"/>
  <c r="Q60" i="3"/>
  <c r="Q101" i="3" s="1"/>
  <c r="F4" i="29" s="1"/>
  <c r="R46" i="37"/>
  <c r="R101" i="37" s="1"/>
  <c r="Q48" i="37"/>
  <c r="Q47" i="37"/>
  <c r="Q102" i="37" s="1"/>
  <c r="Q49" i="37"/>
  <c r="Q104" i="37" s="1"/>
  <c r="F6" i="38" s="1"/>
  <c r="D11" i="43"/>
  <c r="D6" i="42"/>
  <c r="D8" i="42" s="1"/>
  <c r="R60" i="37"/>
  <c r="Q61" i="37"/>
  <c r="Q63" i="37"/>
  <c r="Q62" i="37"/>
  <c r="Q103" i="37" s="1"/>
  <c r="F5" i="38" s="1"/>
  <c r="F12" i="39" s="1"/>
  <c r="R4" i="37"/>
  <c r="Q6" i="37"/>
  <c r="Q7" i="37"/>
  <c r="Q5" i="37"/>
  <c r="F6" i="42"/>
  <c r="F8" i="42" s="1"/>
  <c r="F11" i="43"/>
  <c r="D6" i="39"/>
  <c r="D8" i="39" s="1"/>
  <c r="D10" i="40"/>
  <c r="H11" i="42"/>
  <c r="E11" i="43"/>
  <c r="E6" i="42"/>
  <c r="E8" i="42" s="1"/>
  <c r="O103" i="3"/>
  <c r="D5" i="26" s="1"/>
  <c r="D12" i="29" s="1"/>
  <c r="D13" i="6" s="1"/>
  <c r="G11" i="43"/>
  <c r="G6" i="42"/>
  <c r="R53" i="37"/>
  <c r="Q54" i="37"/>
  <c r="Q55" i="37"/>
  <c r="Q56" i="37"/>
  <c r="D3" i="6"/>
  <c r="L3" i="26"/>
  <c r="F7" i="42"/>
  <c r="P63" i="3"/>
  <c r="P104" i="3" s="1"/>
  <c r="E6" i="26" s="1"/>
  <c r="I11" i="42"/>
  <c r="P19" i="3"/>
  <c r="Q107" i="36"/>
  <c r="Q101" i="37"/>
  <c r="E13" i="43"/>
  <c r="D4" i="40"/>
  <c r="D11" i="39"/>
  <c r="S43" i="36"/>
  <c r="S43" i="37"/>
  <c r="R95" i="5"/>
  <c r="G7" i="39" s="1"/>
  <c r="F11" i="42"/>
  <c r="F4" i="43"/>
  <c r="F10" i="41"/>
  <c r="R18" i="37"/>
  <c r="Q21" i="37"/>
  <c r="Q20" i="37"/>
  <c r="Q19" i="37"/>
  <c r="S67" i="37"/>
  <c r="R70" i="37"/>
  <c r="R69" i="37"/>
  <c r="R68" i="37"/>
  <c r="P102" i="3"/>
  <c r="O102" i="3"/>
  <c r="O107" i="3" s="1"/>
  <c r="F3" i="26"/>
  <c r="F3" i="6" s="1"/>
  <c r="D9" i="26"/>
  <c r="D10" i="6"/>
  <c r="T9" i="3"/>
  <c r="T106" i="3" s="1"/>
  <c r="I8" i="26" s="1"/>
  <c r="U90" i="3"/>
  <c r="U91" i="3"/>
  <c r="U89" i="3"/>
  <c r="R18" i="3"/>
  <c r="Q20" i="3"/>
  <c r="Q19" i="3"/>
  <c r="Q21" i="3"/>
  <c r="S32" i="3"/>
  <c r="R35" i="3"/>
  <c r="R34" i="3"/>
  <c r="R33" i="3"/>
  <c r="L11" i="17"/>
  <c r="L12" i="17"/>
  <c r="L13" i="17" s="1"/>
  <c r="S43" i="3"/>
  <c r="T43" i="3" s="1"/>
  <c r="U43" i="3" s="1"/>
  <c r="R25" i="3"/>
  <c r="Q27" i="3"/>
  <c r="Q26" i="3"/>
  <c r="Q28" i="3"/>
  <c r="S67" i="3"/>
  <c r="R70" i="3"/>
  <c r="R69" i="3"/>
  <c r="R68" i="3"/>
  <c r="T74" i="3"/>
  <c r="S77" i="3"/>
  <c r="S76" i="3"/>
  <c r="S75" i="3"/>
  <c r="R46" i="3"/>
  <c r="Q48" i="3"/>
  <c r="Q47" i="3"/>
  <c r="Q49" i="3"/>
  <c r="R4" i="3"/>
  <c r="Q5" i="3"/>
  <c r="Q7" i="3"/>
  <c r="Q6" i="3"/>
  <c r="S22" i="3"/>
  <c r="R11" i="3"/>
  <c r="Q12" i="3"/>
  <c r="Q14" i="3"/>
  <c r="Q13" i="3"/>
  <c r="R53" i="3"/>
  <c r="Q55" i="3"/>
  <c r="Q54" i="3"/>
  <c r="Q56" i="3"/>
  <c r="U81" i="3"/>
  <c r="T83" i="3"/>
  <c r="T82" i="3"/>
  <c r="T84" i="3"/>
  <c r="R39" i="3"/>
  <c r="Q40" i="3"/>
  <c r="Q42" i="3"/>
  <c r="Q41" i="3"/>
  <c r="R3" i="25"/>
  <c r="S46" i="5"/>
  <c r="G4" i="39" l="1"/>
  <c r="G3" i="38"/>
  <c r="F5" i="39"/>
  <c r="F4" i="38"/>
  <c r="Q107" i="37"/>
  <c r="E12" i="41"/>
  <c r="E5" i="43"/>
  <c r="E13" i="41"/>
  <c r="E6" i="43" s="1"/>
  <c r="F12" i="43"/>
  <c r="F9" i="43" s="1"/>
  <c r="M10" i="43" s="1"/>
  <c r="F13" i="42"/>
  <c r="E5" i="39"/>
  <c r="E4" i="38"/>
  <c r="P107" i="37"/>
  <c r="G7" i="42"/>
  <c r="D12" i="41"/>
  <c r="D5" i="43"/>
  <c r="D13" i="41"/>
  <c r="D6" i="43" s="1"/>
  <c r="D12" i="38"/>
  <c r="D5" i="40"/>
  <c r="D1" i="40" s="1"/>
  <c r="G13" i="42"/>
  <c r="G12" i="43"/>
  <c r="G9" i="43" s="1"/>
  <c r="E5" i="29"/>
  <c r="R60" i="3"/>
  <c r="R101" i="3" s="1"/>
  <c r="G3" i="26" s="1"/>
  <c r="G3" i="6" s="1"/>
  <c r="D4" i="26"/>
  <c r="H13" i="42"/>
  <c r="H12" i="43"/>
  <c r="H9" i="43" s="1"/>
  <c r="S60" i="37"/>
  <c r="R62" i="37"/>
  <c r="R103" i="37" s="1"/>
  <c r="G5" i="38" s="1"/>
  <c r="G12" i="39" s="1"/>
  <c r="G13" i="40" s="1"/>
  <c r="R61" i="37"/>
  <c r="R63" i="37"/>
  <c r="D13" i="42"/>
  <c r="D12" i="43"/>
  <c r="F15" i="42"/>
  <c r="R102" i="37"/>
  <c r="S46" i="37"/>
  <c r="S101" i="37" s="1"/>
  <c r="R48" i="37"/>
  <c r="R47" i="37"/>
  <c r="R49" i="37"/>
  <c r="T43" i="36"/>
  <c r="U43" i="36" s="1"/>
  <c r="S105" i="36"/>
  <c r="S4" i="37"/>
  <c r="R5" i="37"/>
  <c r="R7" i="37"/>
  <c r="R6" i="37"/>
  <c r="Q62" i="3"/>
  <c r="Q103" i="3" s="1"/>
  <c r="F5" i="26" s="1"/>
  <c r="F12" i="29" s="1"/>
  <c r="D12" i="40"/>
  <c r="D9" i="40" s="1"/>
  <c r="D13" i="39"/>
  <c r="D15" i="39" s="1"/>
  <c r="E10" i="38"/>
  <c r="Q63" i="3"/>
  <c r="Q104" i="3" s="1"/>
  <c r="F6" i="26" s="1"/>
  <c r="E4" i="26"/>
  <c r="T67" i="37"/>
  <c r="S69" i="37"/>
  <c r="S70" i="37"/>
  <c r="S68" i="37"/>
  <c r="Q61" i="3"/>
  <c r="Q102" i="3" s="1"/>
  <c r="T50" i="36"/>
  <c r="T50" i="37"/>
  <c r="S95" i="5"/>
  <c r="F3" i="38"/>
  <c r="F4" i="39"/>
  <c r="F10" i="40" s="1"/>
  <c r="D1" i="43"/>
  <c r="E3" i="26"/>
  <c r="E4" i="29"/>
  <c r="E10" i="6" s="1"/>
  <c r="U106" i="3"/>
  <c r="J8" i="26" s="1"/>
  <c r="I12" i="43"/>
  <c r="I9" i="43" s="1"/>
  <c r="I13" i="42"/>
  <c r="E13" i="42"/>
  <c r="E15" i="42" s="1"/>
  <c r="E12" i="43"/>
  <c r="E9" i="43" s="1"/>
  <c r="M9" i="43" s="1"/>
  <c r="S105" i="3"/>
  <c r="H7" i="26" s="1"/>
  <c r="H8" i="6" s="1"/>
  <c r="G7" i="43"/>
  <c r="G7" i="40"/>
  <c r="G7" i="6"/>
  <c r="T43" i="37"/>
  <c r="U43" i="37" s="1"/>
  <c r="S105" i="37"/>
  <c r="H7" i="38" s="1"/>
  <c r="H8" i="40" s="1"/>
  <c r="S18" i="37"/>
  <c r="R21" i="37"/>
  <c r="R104" i="37" s="1"/>
  <c r="G6" i="38" s="1"/>
  <c r="R20" i="37"/>
  <c r="R19" i="37"/>
  <c r="S53" i="37"/>
  <c r="R55" i="37"/>
  <c r="R54" i="37"/>
  <c r="R56" i="37"/>
  <c r="D15" i="42"/>
  <c r="F12" i="41"/>
  <c r="F5" i="43"/>
  <c r="F13" i="41"/>
  <c r="F6" i="43" s="1"/>
  <c r="G8" i="42"/>
  <c r="G15" i="42" s="1"/>
  <c r="N11" i="43" s="1"/>
  <c r="D9" i="43"/>
  <c r="M8" i="43" s="1"/>
  <c r="P103" i="3"/>
  <c r="E5" i="26" s="1"/>
  <c r="E12" i="29" s="1"/>
  <c r="E13" i="6" s="1"/>
  <c r="G5" i="43"/>
  <c r="G12" i="41"/>
  <c r="G13" i="41"/>
  <c r="G6" i="43" s="1"/>
  <c r="G14" i="43" s="1"/>
  <c r="G16" i="43" s="1"/>
  <c r="U82" i="37"/>
  <c r="U83" i="37"/>
  <c r="U84" i="37"/>
  <c r="E12" i="39"/>
  <c r="E13" i="40" s="1"/>
  <c r="D5" i="29"/>
  <c r="D11" i="6" s="1"/>
  <c r="D6" i="29"/>
  <c r="D8" i="29" s="1"/>
  <c r="D10" i="26"/>
  <c r="F9" i="26"/>
  <c r="F10" i="6"/>
  <c r="U9" i="3"/>
  <c r="S3" i="25"/>
  <c r="T53" i="5"/>
  <c r="U84" i="3"/>
  <c r="U83" i="3"/>
  <c r="U82" i="3"/>
  <c r="S53" i="3"/>
  <c r="R55" i="3"/>
  <c r="R54" i="3"/>
  <c r="R56" i="3"/>
  <c r="S11" i="3"/>
  <c r="R14" i="3"/>
  <c r="R13" i="3"/>
  <c r="R12" i="3"/>
  <c r="S18" i="3"/>
  <c r="R19" i="3"/>
  <c r="R21" i="3"/>
  <c r="R20" i="3"/>
  <c r="S39" i="3"/>
  <c r="R42" i="3"/>
  <c r="R41" i="3"/>
  <c r="R40" i="3"/>
  <c r="T22" i="3"/>
  <c r="T32" i="3"/>
  <c r="S33" i="3"/>
  <c r="S35" i="3"/>
  <c r="S34" i="3"/>
  <c r="T50" i="3"/>
  <c r="S4" i="3"/>
  <c r="R7" i="3"/>
  <c r="R6" i="3"/>
  <c r="R5" i="3"/>
  <c r="S46" i="3"/>
  <c r="R47" i="3"/>
  <c r="R49" i="3"/>
  <c r="R48" i="3"/>
  <c r="U74" i="3"/>
  <c r="T75" i="3"/>
  <c r="T76" i="3"/>
  <c r="T77" i="3"/>
  <c r="T67" i="3"/>
  <c r="S69" i="3"/>
  <c r="S68" i="3"/>
  <c r="S70" i="3"/>
  <c r="S25" i="3"/>
  <c r="R27" i="3"/>
  <c r="R26" i="3"/>
  <c r="R28" i="3"/>
  <c r="H3" i="38" l="1"/>
  <c r="H4" i="39"/>
  <c r="D16" i="39"/>
  <c r="D18" i="39" s="1"/>
  <c r="N8" i="40"/>
  <c r="D14" i="40"/>
  <c r="D16" i="40" s="1"/>
  <c r="M8" i="40"/>
  <c r="O8" i="40" s="1"/>
  <c r="F4" i="26"/>
  <c r="F10" i="26" s="1"/>
  <c r="Q107" i="3"/>
  <c r="F5" i="29"/>
  <c r="E14" i="43"/>
  <c r="E16" i="43" s="1"/>
  <c r="N9" i="43"/>
  <c r="O9" i="43" s="1"/>
  <c r="N10" i="43"/>
  <c r="O10" i="43" s="1"/>
  <c r="E3" i="6"/>
  <c r="E9" i="26"/>
  <c r="E10" i="26" s="1"/>
  <c r="D14" i="43"/>
  <c r="D16" i="43" s="1"/>
  <c r="F11" i="39"/>
  <c r="R61" i="3"/>
  <c r="R102" i="3" s="1"/>
  <c r="G5" i="29" s="1"/>
  <c r="F6" i="39"/>
  <c r="F8" i="39" s="1"/>
  <c r="F11" i="40"/>
  <c r="R62" i="3"/>
  <c r="R103" i="3" s="1"/>
  <c r="G5" i="26" s="1"/>
  <c r="G12" i="29" s="1"/>
  <c r="G13" i="6" s="1"/>
  <c r="G4" i="29"/>
  <c r="U67" i="37"/>
  <c r="T70" i="37"/>
  <c r="T68" i="37"/>
  <c r="T69" i="37"/>
  <c r="T4" i="37"/>
  <c r="S7" i="37"/>
  <c r="S5" i="37"/>
  <c r="S6" i="37"/>
  <c r="D16" i="42"/>
  <c r="D18" i="42" s="1"/>
  <c r="H7" i="42"/>
  <c r="G3" i="40"/>
  <c r="G9" i="38"/>
  <c r="P107" i="3"/>
  <c r="D12" i="26"/>
  <c r="D5" i="6"/>
  <c r="T18" i="37"/>
  <c r="S21" i="37"/>
  <c r="S20" i="37"/>
  <c r="S19" i="37"/>
  <c r="D11" i="29"/>
  <c r="D4" i="6"/>
  <c r="U50" i="3"/>
  <c r="T105" i="3"/>
  <c r="I7" i="26" s="1"/>
  <c r="I8" i="6" s="1"/>
  <c r="U57" i="36"/>
  <c r="U57" i="37"/>
  <c r="T95" i="5"/>
  <c r="N8" i="43"/>
  <c r="O8" i="43" s="1"/>
  <c r="R63" i="3"/>
  <c r="R104" i="3" s="1"/>
  <c r="G6" i="26" s="1"/>
  <c r="F9" i="38"/>
  <c r="F10" i="38" s="1"/>
  <c r="F3" i="40"/>
  <c r="E11" i="29"/>
  <c r="E4" i="6"/>
  <c r="H7" i="41"/>
  <c r="S107" i="36"/>
  <c r="G6" i="39"/>
  <c r="G8" i="39" s="1"/>
  <c r="G10" i="40"/>
  <c r="T46" i="37"/>
  <c r="S48" i="37"/>
  <c r="S47" i="37"/>
  <c r="S49" i="37"/>
  <c r="G4" i="38"/>
  <c r="G5" i="39"/>
  <c r="G11" i="40" s="1"/>
  <c r="R107" i="37"/>
  <c r="F14" i="43"/>
  <c r="F16" i="43" s="1"/>
  <c r="E6" i="29"/>
  <c r="E8" i="29" s="1"/>
  <c r="S60" i="3"/>
  <c r="S101" i="3" s="1"/>
  <c r="H3" i="26" s="1"/>
  <c r="H3" i="6" s="1"/>
  <c r="H7" i="40"/>
  <c r="H7" i="43"/>
  <c r="H7" i="6"/>
  <c r="H7" i="29"/>
  <c r="I7" i="29" s="1"/>
  <c r="E4" i="40"/>
  <c r="E11" i="39"/>
  <c r="F13" i="40"/>
  <c r="F13" i="6"/>
  <c r="T53" i="37"/>
  <c r="S56" i="37"/>
  <c r="S55" i="37"/>
  <c r="S54" i="37"/>
  <c r="U50" i="37"/>
  <c r="U105" i="37" s="1"/>
  <c r="J7" i="38" s="1"/>
  <c r="T105" i="37"/>
  <c r="I7" i="38" s="1"/>
  <c r="I8" i="40" s="1"/>
  <c r="E12" i="38"/>
  <c r="E5" i="40"/>
  <c r="E13" i="38"/>
  <c r="E6" i="40" s="1"/>
  <c r="M11" i="43"/>
  <c r="O11" i="43" s="1"/>
  <c r="E11" i="40"/>
  <c r="E6" i="39"/>
  <c r="E8" i="39" s="1"/>
  <c r="E16" i="42"/>
  <c r="E18" i="42" s="1"/>
  <c r="T105" i="36"/>
  <c r="U50" i="36"/>
  <c r="U105" i="36" s="1"/>
  <c r="T60" i="37"/>
  <c r="S63" i="37"/>
  <c r="S104" i="37" s="1"/>
  <c r="H6" i="38" s="1"/>
  <c r="S62" i="37"/>
  <c r="S103" i="37" s="1"/>
  <c r="H5" i="38" s="1"/>
  <c r="H12" i="39" s="1"/>
  <c r="H13" i="40" s="1"/>
  <c r="S61" i="37"/>
  <c r="S102" i="37" s="1"/>
  <c r="G16" i="42"/>
  <c r="G18" i="42" s="1"/>
  <c r="F16" i="42"/>
  <c r="F18" i="42" s="1"/>
  <c r="H7" i="39"/>
  <c r="E11" i="6"/>
  <c r="G10" i="6"/>
  <c r="G9" i="26"/>
  <c r="D13" i="26"/>
  <c r="D6" i="6" s="1"/>
  <c r="U57" i="3"/>
  <c r="T25" i="3"/>
  <c r="S28" i="3"/>
  <c r="S27" i="3"/>
  <c r="S26" i="3"/>
  <c r="U77" i="3"/>
  <c r="U76" i="3"/>
  <c r="U75" i="3"/>
  <c r="T46" i="3"/>
  <c r="S49" i="3"/>
  <c r="S48" i="3"/>
  <c r="S47" i="3"/>
  <c r="S62" i="3"/>
  <c r="T53" i="3"/>
  <c r="S56" i="3"/>
  <c r="S55" i="3"/>
  <c r="S54" i="3"/>
  <c r="U67" i="3"/>
  <c r="T70" i="3"/>
  <c r="T69" i="3"/>
  <c r="T68" i="3"/>
  <c r="T4" i="3"/>
  <c r="S5" i="3"/>
  <c r="S7" i="3"/>
  <c r="S6" i="3"/>
  <c r="U32" i="3"/>
  <c r="T35" i="3"/>
  <c r="T33" i="3"/>
  <c r="T34" i="3"/>
  <c r="T11" i="3"/>
  <c r="S13" i="3"/>
  <c r="S12" i="3"/>
  <c r="S14" i="3"/>
  <c r="T39" i="3"/>
  <c r="S41" i="3"/>
  <c r="S40" i="3"/>
  <c r="S42" i="3"/>
  <c r="T18" i="3"/>
  <c r="S21" i="3"/>
  <c r="S20" i="3"/>
  <c r="S19" i="3"/>
  <c r="F5" i="6" l="1"/>
  <c r="F12" i="26"/>
  <c r="F13" i="26"/>
  <c r="F6" i="6" s="1"/>
  <c r="H5" i="39"/>
  <c r="H11" i="40" s="1"/>
  <c r="H4" i="38"/>
  <c r="S107" i="37"/>
  <c r="U18" i="37"/>
  <c r="T19" i="37"/>
  <c r="T20" i="37"/>
  <c r="T21" i="37"/>
  <c r="I7" i="40"/>
  <c r="I7" i="43"/>
  <c r="I7" i="6"/>
  <c r="J7" i="41"/>
  <c r="J10" i="41" s="1"/>
  <c r="U107" i="36"/>
  <c r="U46" i="37"/>
  <c r="T47" i="37"/>
  <c r="T102" i="37" s="1"/>
  <c r="T48" i="37"/>
  <c r="T103" i="37" s="1"/>
  <c r="I5" i="38" s="1"/>
  <c r="I12" i="39" s="1"/>
  <c r="I13" i="40" s="1"/>
  <c r="T49" i="37"/>
  <c r="U60" i="37"/>
  <c r="T63" i="37"/>
  <c r="T104" i="37" s="1"/>
  <c r="I6" i="38" s="1"/>
  <c r="T61" i="37"/>
  <c r="T62" i="37"/>
  <c r="S63" i="3"/>
  <c r="S104" i="3" s="1"/>
  <c r="H6" i="26" s="1"/>
  <c r="H4" i="29"/>
  <c r="U4" i="37"/>
  <c r="T6" i="37"/>
  <c r="T7" i="37"/>
  <c r="T5" i="37"/>
  <c r="F4" i="40"/>
  <c r="I7" i="41"/>
  <c r="T107" i="36"/>
  <c r="H8" i="43"/>
  <c r="H10" i="41"/>
  <c r="H4" i="43"/>
  <c r="E9" i="6"/>
  <c r="E9" i="40"/>
  <c r="F13" i="38"/>
  <c r="F6" i="40" s="1"/>
  <c r="D1" i="6"/>
  <c r="T101" i="37"/>
  <c r="E13" i="26"/>
  <c r="E6" i="6" s="1"/>
  <c r="E5" i="6"/>
  <c r="E12" i="26"/>
  <c r="F15" i="39"/>
  <c r="F16" i="39" s="1"/>
  <c r="F18" i="39" s="1"/>
  <c r="F11" i="6"/>
  <c r="F6" i="29"/>
  <c r="F8" i="29" s="1"/>
  <c r="S103" i="3"/>
  <c r="H5" i="26" s="1"/>
  <c r="H12" i="29" s="1"/>
  <c r="H13" i="6" s="1"/>
  <c r="F12" i="40"/>
  <c r="F9" i="40" s="1"/>
  <c r="M10" i="40" s="1"/>
  <c r="F13" i="39"/>
  <c r="F11" i="29"/>
  <c r="F4" i="6"/>
  <c r="S61" i="3"/>
  <c r="T60" i="3"/>
  <c r="T101" i="3" s="1"/>
  <c r="U53" i="37"/>
  <c r="T55" i="37"/>
  <c r="T56" i="37"/>
  <c r="T54" i="37"/>
  <c r="E13" i="29"/>
  <c r="E15" i="29" s="1"/>
  <c r="E16" i="29" s="1"/>
  <c r="E18" i="29" s="1"/>
  <c r="E12" i="6"/>
  <c r="U105" i="3"/>
  <c r="J7" i="26" s="1"/>
  <c r="I7" i="39"/>
  <c r="E12" i="40"/>
  <c r="E13" i="39"/>
  <c r="E15" i="39" s="1"/>
  <c r="G4" i="40"/>
  <c r="G11" i="39"/>
  <c r="D12" i="6"/>
  <c r="D9" i="6" s="1"/>
  <c r="M8" i="6" s="1"/>
  <c r="D13" i="29"/>
  <c r="D15" i="29" s="1"/>
  <c r="D16" i="29" s="1"/>
  <c r="D18" i="29" s="1"/>
  <c r="G10" i="38"/>
  <c r="U70" i="37"/>
  <c r="U68" i="37"/>
  <c r="U69" i="37"/>
  <c r="H10" i="40"/>
  <c r="H6" i="39"/>
  <c r="H8" i="39" s="1"/>
  <c r="H8" i="42"/>
  <c r="H15" i="42" s="1"/>
  <c r="F12" i="38"/>
  <c r="F5" i="40"/>
  <c r="H3" i="40"/>
  <c r="H9" i="38"/>
  <c r="H10" i="38" s="1"/>
  <c r="H13" i="38"/>
  <c r="H6" i="40" s="1"/>
  <c r="R107" i="3"/>
  <c r="G4" i="26"/>
  <c r="G4" i="6" s="1"/>
  <c r="G11" i="6"/>
  <c r="G6" i="29"/>
  <c r="G8" i="29" s="1"/>
  <c r="S102" i="3"/>
  <c r="H4" i="26" s="1"/>
  <c r="I3" i="26"/>
  <c r="I3" i="6" s="1"/>
  <c r="I4" i="29"/>
  <c r="H10" i="6"/>
  <c r="H9" i="26"/>
  <c r="U60" i="3"/>
  <c r="T63" i="3"/>
  <c r="T61" i="3"/>
  <c r="T62" i="3"/>
  <c r="U46" i="3"/>
  <c r="T47" i="3"/>
  <c r="T49" i="3"/>
  <c r="T48" i="3"/>
  <c r="T103" i="3" s="1"/>
  <c r="I5" i="26" s="1"/>
  <c r="U18" i="3"/>
  <c r="T21" i="3"/>
  <c r="T20" i="3"/>
  <c r="T19" i="3"/>
  <c r="U39" i="3"/>
  <c r="T40" i="3"/>
  <c r="T41" i="3"/>
  <c r="T42" i="3"/>
  <c r="U11" i="3"/>
  <c r="T12" i="3"/>
  <c r="T13" i="3"/>
  <c r="T14" i="3"/>
  <c r="U34" i="3"/>
  <c r="U35" i="3"/>
  <c r="U33" i="3"/>
  <c r="U4" i="3"/>
  <c r="T6" i="3"/>
  <c r="T7" i="3"/>
  <c r="T5" i="3"/>
  <c r="U70" i="3"/>
  <c r="U69" i="3"/>
  <c r="U68" i="3"/>
  <c r="U53" i="3"/>
  <c r="T55" i="3"/>
  <c r="T56" i="3"/>
  <c r="T54" i="3"/>
  <c r="U25" i="3"/>
  <c r="T27" i="3"/>
  <c r="T28" i="3"/>
  <c r="T26" i="3"/>
  <c r="I4" i="38" l="1"/>
  <c r="I5" i="39"/>
  <c r="I11" i="40" s="1"/>
  <c r="T107" i="37"/>
  <c r="E16" i="39"/>
  <c r="E18" i="39" s="1"/>
  <c r="N9" i="40"/>
  <c r="I8" i="43"/>
  <c r="I4" i="43"/>
  <c r="I10" i="41"/>
  <c r="G12" i="38"/>
  <c r="G5" i="40"/>
  <c r="S107" i="3"/>
  <c r="G13" i="39"/>
  <c r="G15" i="39" s="1"/>
  <c r="G16" i="39" s="1"/>
  <c r="G18" i="39" s="1"/>
  <c r="G12" i="40"/>
  <c r="G9" i="40" s="1"/>
  <c r="U56" i="37"/>
  <c r="U54" i="37"/>
  <c r="U55" i="37"/>
  <c r="N8" i="6"/>
  <c r="O8" i="6" s="1"/>
  <c r="U49" i="37"/>
  <c r="U47" i="37"/>
  <c r="U48" i="37"/>
  <c r="H5" i="29"/>
  <c r="H11" i="6" s="1"/>
  <c r="N12" i="43"/>
  <c r="H16" i="42"/>
  <c r="H18" i="42" s="1"/>
  <c r="D14" i="6"/>
  <c r="D16" i="6" s="1"/>
  <c r="U5" i="37"/>
  <c r="U7" i="37"/>
  <c r="U6" i="37"/>
  <c r="J12" i="41"/>
  <c r="J13" i="41"/>
  <c r="H4" i="40"/>
  <c r="H11" i="39"/>
  <c r="U63" i="37"/>
  <c r="U104" i="37" s="1"/>
  <c r="J6" i="38" s="1"/>
  <c r="U61" i="37"/>
  <c r="U102" i="37" s="1"/>
  <c r="U62" i="37"/>
  <c r="U103" i="37" s="1"/>
  <c r="J5" i="38" s="1"/>
  <c r="I7" i="42"/>
  <c r="I8" i="42" s="1"/>
  <c r="I15" i="42" s="1"/>
  <c r="I16" i="42" s="1"/>
  <c r="I18" i="42" s="1"/>
  <c r="E14" i="6"/>
  <c r="E16" i="6" s="1"/>
  <c r="M9" i="6"/>
  <c r="O9" i="6" s="1"/>
  <c r="U19" i="37"/>
  <c r="U20" i="37"/>
  <c r="U21" i="37"/>
  <c r="F12" i="6"/>
  <c r="F9" i="6" s="1"/>
  <c r="F13" i="29"/>
  <c r="F15" i="29" s="1"/>
  <c r="F16" i="29" s="1"/>
  <c r="F18" i="29" s="1"/>
  <c r="H12" i="41"/>
  <c r="H5" i="43"/>
  <c r="H13" i="41"/>
  <c r="H6" i="43" s="1"/>
  <c r="H12" i="38"/>
  <c r="H5" i="40"/>
  <c r="U101" i="37"/>
  <c r="J3" i="38" s="1"/>
  <c r="E14" i="40"/>
  <c r="E16" i="40" s="1"/>
  <c r="M9" i="40"/>
  <c r="O9" i="40" s="1"/>
  <c r="H11" i="29"/>
  <c r="H13" i="29" s="1"/>
  <c r="H4" i="6"/>
  <c r="N9" i="6"/>
  <c r="I4" i="39"/>
  <c r="I3" i="38"/>
  <c r="T104" i="3"/>
  <c r="I6" i="26" s="1"/>
  <c r="G13" i="38"/>
  <c r="G6" i="40" s="1"/>
  <c r="N11" i="40" s="1"/>
  <c r="U101" i="3"/>
  <c r="J3" i="26" s="1"/>
  <c r="J9" i="26" s="1"/>
  <c r="N10" i="40"/>
  <c r="O10" i="40" s="1"/>
  <c r="F14" i="40"/>
  <c r="F16" i="40" s="1"/>
  <c r="G11" i="29"/>
  <c r="G10" i="26"/>
  <c r="G5" i="6" s="1"/>
  <c r="T102" i="3"/>
  <c r="I5" i="29" s="1"/>
  <c r="H6" i="29"/>
  <c r="H8" i="29" s="1"/>
  <c r="H10" i="26"/>
  <c r="I9" i="26"/>
  <c r="I12" i="29"/>
  <c r="I13" i="6" s="1"/>
  <c r="I10" i="6"/>
  <c r="U42" i="3"/>
  <c r="U41" i="3"/>
  <c r="U40" i="3"/>
  <c r="U21" i="3"/>
  <c r="U20" i="3"/>
  <c r="U19" i="3"/>
  <c r="U56" i="3"/>
  <c r="U55" i="3"/>
  <c r="U54" i="3"/>
  <c r="U6" i="3"/>
  <c r="U7" i="3"/>
  <c r="U5" i="3"/>
  <c r="U49" i="3"/>
  <c r="U48" i="3"/>
  <c r="U103" i="3" s="1"/>
  <c r="J5" i="26" s="1"/>
  <c r="U47" i="3"/>
  <c r="U62" i="3"/>
  <c r="U63" i="3"/>
  <c r="U61" i="3"/>
  <c r="U28" i="3"/>
  <c r="U27" i="3"/>
  <c r="U26" i="3"/>
  <c r="U14" i="3"/>
  <c r="U13" i="3"/>
  <c r="U12" i="3"/>
  <c r="J4" i="38" l="1"/>
  <c r="U107" i="37"/>
  <c r="M10" i="6"/>
  <c r="F14" i="6"/>
  <c r="F16" i="6" s="1"/>
  <c r="J9" i="38"/>
  <c r="O12" i="43"/>
  <c r="I4" i="26"/>
  <c r="I12" i="41"/>
  <c r="I5" i="43"/>
  <c r="I13" i="41"/>
  <c r="I6" i="43" s="1"/>
  <c r="H12" i="40"/>
  <c r="H9" i="40" s="1"/>
  <c r="H13" i="39"/>
  <c r="H15" i="39" s="1"/>
  <c r="N10" i="6"/>
  <c r="T107" i="3"/>
  <c r="U104" i="3"/>
  <c r="J6" i="26" s="1"/>
  <c r="H12" i="26"/>
  <c r="H5" i="6"/>
  <c r="I3" i="40"/>
  <c r="I9" i="38"/>
  <c r="I10" i="38" s="1"/>
  <c r="I6" i="39"/>
  <c r="I8" i="39" s="1"/>
  <c r="I10" i="40"/>
  <c r="H14" i="43"/>
  <c r="H16" i="43" s="1"/>
  <c r="M12" i="43"/>
  <c r="G14" i="40"/>
  <c r="G16" i="40" s="1"/>
  <c r="M11" i="40"/>
  <c r="O11" i="40" s="1"/>
  <c r="I11" i="39"/>
  <c r="H12" i="6"/>
  <c r="H9" i="6" s="1"/>
  <c r="M12" i="6" s="1"/>
  <c r="G12" i="26"/>
  <c r="G13" i="26"/>
  <c r="G6" i="6" s="1"/>
  <c r="G12" i="6"/>
  <c r="G9" i="6" s="1"/>
  <c r="G13" i="29"/>
  <c r="I11" i="6"/>
  <c r="I6" i="29"/>
  <c r="I8" i="29" s="1"/>
  <c r="U102" i="3"/>
  <c r="H13" i="26"/>
  <c r="H6" i="6" s="1"/>
  <c r="J4" i="26"/>
  <c r="J10" i="26" s="1"/>
  <c r="U107" i="3"/>
  <c r="H15" i="29"/>
  <c r="H16" i="29" s="1"/>
  <c r="H18" i="29" s="1"/>
  <c r="I12" i="38" l="1"/>
  <c r="I5" i="40"/>
  <c r="I13" i="38"/>
  <c r="I6" i="40" s="1"/>
  <c r="G14" i="6"/>
  <c r="G16" i="6" s="1"/>
  <c r="M11" i="6"/>
  <c r="I11" i="29"/>
  <c r="I4" i="6"/>
  <c r="I4" i="40"/>
  <c r="J10" i="38"/>
  <c r="I14" i="43"/>
  <c r="I15" i="43" s="1"/>
  <c r="I16" i="43" s="1"/>
  <c r="C18" i="43" s="1"/>
  <c r="C20" i="43" s="1"/>
  <c r="N13" i="43"/>
  <c r="M13" i="43"/>
  <c r="H14" i="40"/>
  <c r="H16" i="40" s="1"/>
  <c r="M12" i="40"/>
  <c r="I12" i="40"/>
  <c r="I9" i="40" s="1"/>
  <c r="I13" i="39"/>
  <c r="I15" i="39"/>
  <c r="I16" i="39" s="1"/>
  <c r="I18" i="39" s="1"/>
  <c r="H14" i="6"/>
  <c r="H16" i="6" s="1"/>
  <c r="N12" i="6"/>
  <c r="O12" i="6" s="1"/>
  <c r="I10" i="26"/>
  <c r="O10" i="6"/>
  <c r="H16" i="39"/>
  <c r="H18" i="39" s="1"/>
  <c r="N12" i="40"/>
  <c r="O12" i="40" s="1"/>
  <c r="G15" i="29"/>
  <c r="N11" i="6" s="1"/>
  <c r="G16" i="29"/>
  <c r="G18" i="29" s="1"/>
  <c r="J12" i="26"/>
  <c r="J13" i="26"/>
  <c r="I14" i="40" l="1"/>
  <c r="I15" i="40" s="1"/>
  <c r="I16" i="40" s="1"/>
  <c r="C18" i="40" s="1"/>
  <c r="C20" i="40" s="1"/>
  <c r="M13" i="40"/>
  <c r="O13" i="40" s="1"/>
  <c r="I12" i="26"/>
  <c r="I5" i="6"/>
  <c r="I13" i="26"/>
  <c r="I6" i="6" s="1"/>
  <c r="O11" i="6"/>
  <c r="I13" i="29"/>
  <c r="I15" i="29" s="1"/>
  <c r="I16" i="29" s="1"/>
  <c r="I18" i="29" s="1"/>
  <c r="I12" i="6"/>
  <c r="I9" i="6" s="1"/>
  <c r="M13" i="6" s="1"/>
  <c r="N13" i="40"/>
  <c r="O13" i="43"/>
  <c r="J12" i="38"/>
  <c r="J13" i="38"/>
  <c r="N13" i="6" l="1"/>
  <c r="O13" i="6" s="1"/>
  <c r="I14" i="6"/>
  <c r="I15" i="6" l="1"/>
  <c r="I16" i="6" s="1"/>
  <c r="C18" i="6" s="1"/>
  <c r="C2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Mitchell Petersen</author>
  </authors>
  <commentList>
    <comment ref="B12" authorId="0" shapeId="0" xr:uid="{00000000-0006-0000-0200-000001000000}">
      <text>
        <r>
          <rPr>
            <sz val="8"/>
            <color indexed="81"/>
            <rFont val="Tahoma"/>
            <family val="2"/>
          </rPr>
          <t>Cash taxes. Taxes are zero when there are intial losses. The initial losses lower the tax payments in futures years. Tax loss carry forwards are calculated in row 11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5" authorId="0" shapeId="0" xr:uid="{315F575F-B813-624B-8941-12BE4667AA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seems strange. Tamuna, investigate</t>
        </r>
      </text>
    </comment>
  </commentList>
</comments>
</file>

<file path=xl/sharedStrings.xml><?xml version="1.0" encoding="utf-8"?>
<sst xmlns="http://schemas.openxmlformats.org/spreadsheetml/2006/main" count="653" uniqueCount="121">
  <si>
    <t>Sales</t>
  </si>
  <si>
    <t>CGS</t>
  </si>
  <si>
    <t>CGS (% sales)</t>
  </si>
  <si>
    <t>Average</t>
  </si>
  <si>
    <t xml:space="preserve">   Advertising</t>
  </si>
  <si>
    <t>Taxes</t>
  </si>
  <si>
    <t>Parameters:</t>
  </si>
  <si>
    <t>PPE</t>
  </si>
  <si>
    <t xml:space="preserve">   Depreciation</t>
  </si>
  <si>
    <t>Lease (stores)</t>
  </si>
  <si>
    <t>Lease</t>
  </si>
  <si>
    <t>Accounts Receivable</t>
  </si>
  <si>
    <t>Inventory</t>
  </si>
  <si>
    <t>Accounts Payable</t>
  </si>
  <si>
    <t>Accrued Expenses</t>
  </si>
  <si>
    <t>Depreciation (years)</t>
  </si>
  <si>
    <t xml:space="preserve">  Advertising</t>
  </si>
  <si>
    <t xml:space="preserve">  Depreciation</t>
  </si>
  <si>
    <t>SGA (exc adv &amp; dep)</t>
  </si>
  <si>
    <t>SGA</t>
  </si>
  <si>
    <t xml:space="preserve">     Tax calculation</t>
  </si>
  <si>
    <t xml:space="preserve">     Tax loss carry forwards</t>
  </si>
  <si>
    <t>Net income</t>
  </si>
  <si>
    <t>Corp Expense (inc lease/adv)</t>
  </si>
  <si>
    <t>Furniture sales ($B)</t>
  </si>
  <si>
    <t>Year</t>
  </si>
  <si>
    <t>Sales growth</t>
  </si>
  <si>
    <t>Avg Size</t>
  </si>
  <si>
    <t>Assets</t>
  </si>
  <si>
    <t>Liabilities and Equity</t>
  </si>
  <si>
    <t xml:space="preserve">    Total Current Assets</t>
  </si>
  <si>
    <t xml:space="preserve">    Total Assets</t>
  </si>
  <si>
    <t xml:space="preserve">    Total Current Liabilities </t>
  </si>
  <si>
    <t>Debt</t>
  </si>
  <si>
    <t>Equity</t>
  </si>
  <si>
    <t xml:space="preserve">    Total Liabilities and Equity</t>
  </si>
  <si>
    <t>SQ FT</t>
  </si>
  <si>
    <t>Total</t>
  </si>
  <si>
    <t>Balance sheet check</t>
  </si>
  <si>
    <t xml:space="preserve"> </t>
  </si>
  <si>
    <t>Nominal</t>
  </si>
  <si>
    <t>Balance sheet check (A=L+E)</t>
  </si>
  <si>
    <t>Asset discount rate</t>
  </si>
  <si>
    <t>Share value</t>
  </si>
  <si>
    <t>Shareholders (#)</t>
  </si>
  <si>
    <t>Shares outstanding (K)</t>
  </si>
  <si>
    <t xml:space="preserve">  - Costs</t>
  </si>
  <si>
    <t xml:space="preserve">  - Taxes</t>
  </si>
  <si>
    <t xml:space="preserve">  + Depreciation</t>
  </si>
  <si>
    <t xml:space="preserve">  - Increase in NWC</t>
  </si>
  <si>
    <t>Stores</t>
  </si>
  <si>
    <t>Opened</t>
  </si>
  <si>
    <t>GDP (T$)</t>
  </si>
  <si>
    <t xml:space="preserve">   Inflation (CPI)</t>
  </si>
  <si>
    <t xml:space="preserve">   Furniture sales growth</t>
  </si>
  <si>
    <t>#</t>
  </si>
  <si>
    <t xml:space="preserve">Lease </t>
  </si>
  <si>
    <t>Lease inflation</t>
  </si>
  <si>
    <t>Advertising</t>
  </si>
  <si>
    <t>Construction costs</t>
  </si>
  <si>
    <t>Real</t>
  </si>
  <si>
    <t>Refresh cost</t>
  </si>
  <si>
    <t>Exhibit 8: Forecasting Sales Revenue and Costs</t>
  </si>
  <si>
    <t>Exhibit 9: Forecasting Investment</t>
  </si>
  <si>
    <t>Exhibit 10: Forecasting Parameters</t>
  </si>
  <si>
    <t>Discount rate</t>
  </si>
  <si>
    <t>Cost of goods sold</t>
  </si>
  <si>
    <t>Selling, general and admin</t>
  </si>
  <si>
    <t>Corporate expenses</t>
  </si>
  <si>
    <t>Corporate tax rate</t>
  </si>
  <si>
    <t>SGA (% sales, excluding dep &amp; advertising)</t>
  </si>
  <si>
    <t>Accounts Receivable (% sales)</t>
  </si>
  <si>
    <t>Inventory (% next year's CGS)</t>
  </si>
  <si>
    <t>Accounts Payable (% next year's CGS)</t>
  </si>
  <si>
    <t xml:space="preserve">Exhibit 7: Teuer Furniture Cash Flow Assets </t>
  </si>
  <si>
    <t xml:space="preserve">Exhibit 6: Teuer Furniture Balance Sheet for Individual Showrooms </t>
  </si>
  <si>
    <t xml:space="preserve">Exhibit 5: Teuer Furniture Income Statement for Individual Showrooms </t>
  </si>
  <si>
    <t>Exhibit 1: Teuer Furnitures Showrooms and Square Footage</t>
  </si>
  <si>
    <t xml:space="preserve">  - Capital expenditure</t>
  </si>
  <si>
    <t>Exhibit 2: Economic Indicators: GDP and Furniture Sales Growth</t>
  </si>
  <si>
    <t>Exhibit 3: Teuer Furniture Income Statement</t>
  </si>
  <si>
    <t>Exhibit 4: Teuer Furniture Balance Sheet</t>
  </si>
  <si>
    <t>Refresh  cost</t>
  </si>
  <si>
    <t>Cap expenditure</t>
  </si>
  <si>
    <t>Accts receivable</t>
  </si>
  <si>
    <t>Accts payable</t>
  </si>
  <si>
    <t>Accr expenses</t>
  </si>
  <si>
    <t>Lease rate (2013)</t>
  </si>
  <si>
    <t>Corporate expense</t>
  </si>
  <si>
    <t xml:space="preserve">   GDP growth </t>
  </si>
  <si>
    <t>CPI index</t>
  </si>
  <si>
    <t>Cash flow to assets</t>
  </si>
  <si>
    <t>Advertising (% sales)</t>
  </si>
  <si>
    <t>Accrued expenses (next year's SGA adv)</t>
  </si>
  <si>
    <t>Long-term growth rate</t>
  </si>
  <si>
    <t>Teuer Furniture Pro Forma Income Statement</t>
  </si>
  <si>
    <t>Teuer Furniture Pro Forma Balance Sheet</t>
  </si>
  <si>
    <t xml:space="preserve">Teuer Furniture Pro Forma Cash Flow Assets </t>
  </si>
  <si>
    <t>Cash flow assets</t>
  </si>
  <si>
    <t>Terminal value</t>
  </si>
  <si>
    <t>Asset value</t>
  </si>
  <si>
    <t>TOTALS</t>
  </si>
  <si>
    <t>Change in Account Receivables</t>
  </si>
  <si>
    <t>Change inInventory</t>
  </si>
  <si>
    <t>Change in Account Payables</t>
  </si>
  <si>
    <t>Change in Accrued expenses</t>
  </si>
  <si>
    <t>Discount factor</t>
  </si>
  <si>
    <t>PV of each CF</t>
  </si>
  <si>
    <t>per square foot</t>
  </si>
  <si>
    <t>Vintage</t>
  </si>
  <si>
    <r>
      <t xml:space="preserve">net PPE </t>
    </r>
    <r>
      <rPr>
        <sz val="11"/>
        <color rgb="FFFF0000"/>
        <rFont val="Calibri (Body)"/>
      </rPr>
      <t>(capex - cum. Dep) (property,plant and equipment net)</t>
    </r>
  </si>
  <si>
    <t>total costs</t>
  </si>
  <si>
    <t>terminal value</t>
  </si>
  <si>
    <t>TV = [ FCF2018 * (1+g) ] /  (WACC-g)</t>
  </si>
  <si>
    <t>Question 3</t>
  </si>
  <si>
    <t>Question 4</t>
  </si>
  <si>
    <t>(already done in this file)</t>
  </si>
  <si>
    <t>update the interior</t>
  </si>
  <si>
    <t>Reinvestment</t>
  </si>
  <si>
    <t>growth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</si>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</sst>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"/>
    <numFmt numFmtId="168" formatCode="#,##0.0"/>
    <numFmt numFmtId="169" formatCode="0.000"/>
    <numFmt numFmtId="170" formatCode="_(* #,##0.0_);_(* \(#,##0.0\);_(* &quot;-&quot;??_);_(@_)"/>
    <numFmt numFmtId="171" formatCode="0.0_);\(0.0\)"/>
    <numFmt numFmtId="172" formatCode="#,##0.0\x"/>
    <numFmt numFmtId="173" formatCode="#,##0.0000"/>
    <numFmt numFmtId="174" formatCode="#,##0.000_);\(#,##0.000\)"/>
    <numFmt numFmtId="175" formatCode="#,##0.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indexed="12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 (Body)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2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  <xf numFmtId="0" fontId="0" fillId="0" borderId="1" xfId="0" applyBorder="1"/>
    <xf numFmtId="9" fontId="0" fillId="0" borderId="0" xfId="0" applyNumberFormat="1"/>
    <xf numFmtId="166" fontId="0" fillId="0" borderId="0" xfId="2" applyNumberFormat="1" applyFont="1"/>
    <xf numFmtId="3" fontId="0" fillId="0" borderId="0" xfId="0" applyNumberFormat="1"/>
    <xf numFmtId="167" fontId="0" fillId="0" borderId="0" xfId="0" applyNumberFormat="1"/>
    <xf numFmtId="0" fontId="2" fillId="0" borderId="1" xfId="0" applyFont="1" applyBorder="1"/>
    <xf numFmtId="0" fontId="4" fillId="0" borderId="0" xfId="0" applyFont="1"/>
    <xf numFmtId="3" fontId="0" fillId="0" borderId="1" xfId="0" applyNumberFormat="1" applyBorder="1"/>
    <xf numFmtId="0" fontId="5" fillId="0" borderId="0" xfId="0" applyFont="1"/>
    <xf numFmtId="0" fontId="0" fillId="0" borderId="0" xfId="0" quotePrefix="1"/>
    <xf numFmtId="164" fontId="0" fillId="0" borderId="0" xfId="1" applyFont="1"/>
    <xf numFmtId="0" fontId="9" fillId="0" borderId="0" xfId="0" applyFont="1"/>
    <xf numFmtId="168" fontId="0" fillId="0" borderId="0" xfId="0" applyNumberFormat="1"/>
    <xf numFmtId="10" fontId="0" fillId="0" borderId="0" xfId="0" applyNumberFormat="1"/>
    <xf numFmtId="166" fontId="1" fillId="0" borderId="0" xfId="2" applyNumberFormat="1" applyFont="1"/>
    <xf numFmtId="170" fontId="0" fillId="0" borderId="0" xfId="1" applyNumberFormat="1" applyFont="1"/>
    <xf numFmtId="0" fontId="6" fillId="0" borderId="0" xfId="0" applyFont="1"/>
    <xf numFmtId="10" fontId="1" fillId="0" borderId="0" xfId="2" applyNumberFormat="1" applyFont="1"/>
    <xf numFmtId="166" fontId="1" fillId="0" borderId="0" xfId="2" applyNumberFormat="1" applyFont="1" applyAlignment="1">
      <alignment horizontal="right"/>
    </xf>
    <xf numFmtId="171" fontId="0" fillId="0" borderId="0" xfId="1" applyNumberFormat="1" applyFont="1"/>
    <xf numFmtId="0" fontId="10" fillId="0" borderId="0" xfId="0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0" fontId="2" fillId="0" borderId="0" xfId="0" applyFont="1"/>
    <xf numFmtId="0" fontId="11" fillId="0" borderId="0" xfId="0" applyFont="1"/>
    <xf numFmtId="2" fontId="0" fillId="0" borderId="0" xfId="0" applyNumberFormat="1"/>
    <xf numFmtId="172" fontId="0" fillId="0" borderId="0" xfId="0" applyNumberFormat="1"/>
    <xf numFmtId="169" fontId="0" fillId="0" borderId="0" xfId="0" applyNumberFormat="1"/>
    <xf numFmtId="3" fontId="12" fillId="0" borderId="0" xfId="1" applyNumberFormat="1" applyFont="1"/>
    <xf numFmtId="3" fontId="12" fillId="0" borderId="1" xfId="1" applyNumberFormat="1" applyFont="1" applyBorder="1"/>
    <xf numFmtId="0" fontId="12" fillId="0" borderId="0" xfId="0" applyFont="1"/>
    <xf numFmtId="3" fontId="12" fillId="0" borderId="1" xfId="0" applyNumberFormat="1" applyFont="1" applyBorder="1"/>
    <xf numFmtId="3" fontId="13" fillId="0" borderId="0" xfId="1" applyNumberFormat="1" applyFont="1"/>
    <xf numFmtId="3" fontId="13" fillId="0" borderId="1" xfId="1" applyNumberFormat="1" applyFont="1" applyBorder="1"/>
    <xf numFmtId="3" fontId="13" fillId="0" borderId="0" xfId="0" applyNumberFormat="1" applyFont="1"/>
    <xf numFmtId="165" fontId="13" fillId="0" borderId="0" xfId="0" applyNumberFormat="1" applyFont="1"/>
    <xf numFmtId="3" fontId="0" fillId="0" borderId="0" xfId="2" applyNumberFormat="1" applyFont="1"/>
    <xf numFmtId="3" fontId="12" fillId="0" borderId="0" xfId="0" applyNumberFormat="1" applyFont="1"/>
    <xf numFmtId="9" fontId="12" fillId="0" borderId="0" xfId="0" applyNumberFormat="1" applyFont="1"/>
    <xf numFmtId="0" fontId="0" fillId="0" borderId="0" xfId="0" applyAlignment="1">
      <alignment horizontal="center"/>
    </xf>
    <xf numFmtId="166" fontId="12" fillId="0" borderId="0" xfId="2" applyNumberFormat="1" applyFont="1"/>
    <xf numFmtId="9" fontId="12" fillId="0" borderId="0" xfId="2" applyFont="1"/>
    <xf numFmtId="167" fontId="12" fillId="0" borderId="0" xfId="0" applyNumberFormat="1" applyFont="1"/>
    <xf numFmtId="168" fontId="12" fillId="0" borderId="0" xfId="0" applyNumberFormat="1" applyFont="1"/>
    <xf numFmtId="3" fontId="12" fillId="2" borderId="0" xfId="0" applyNumberFormat="1" applyFont="1" applyFill="1" applyAlignment="1">
      <alignment horizontal="right" vertical="center"/>
    </xf>
    <xf numFmtId="166" fontId="12" fillId="0" borderId="0" xfId="0" applyNumberFormat="1" applyFont="1"/>
    <xf numFmtId="0" fontId="0" fillId="0" borderId="0" xfId="0" applyAlignment="1">
      <alignment horizontal="right"/>
    </xf>
    <xf numFmtId="0" fontId="14" fillId="0" borderId="0" xfId="0" applyFont="1"/>
    <xf numFmtId="0" fontId="14" fillId="0" borderId="1" xfId="0" applyFont="1" applyBorder="1"/>
    <xf numFmtId="0" fontId="15" fillId="0" borderId="1" xfId="0" applyFont="1" applyBorder="1"/>
    <xf numFmtId="3" fontId="16" fillId="0" borderId="0" xfId="0" applyNumberFormat="1" applyFont="1"/>
    <xf numFmtId="3" fontId="14" fillId="0" borderId="0" xfId="0" applyNumberFormat="1" applyFont="1"/>
    <xf numFmtId="0" fontId="14" fillId="0" borderId="2" xfId="0" applyFont="1" applyBorder="1"/>
    <xf numFmtId="0" fontId="16" fillId="0" borderId="2" xfId="0" applyFont="1" applyBorder="1"/>
    <xf numFmtId="3" fontId="16" fillId="0" borderId="2" xfId="0" applyNumberFormat="1" applyFont="1" applyBorder="1"/>
    <xf numFmtId="3" fontId="14" fillId="0" borderId="0" xfId="1" applyNumberFormat="1" applyFont="1"/>
    <xf numFmtId="3" fontId="16" fillId="0" borderId="0" xfId="1" applyNumberFormat="1" applyFont="1"/>
    <xf numFmtId="3" fontId="14" fillId="0" borderId="2" xfId="0" applyNumberFormat="1" applyFont="1" applyBorder="1"/>
    <xf numFmtId="3" fontId="17" fillId="0" borderId="0" xfId="1" applyNumberFormat="1" applyFont="1"/>
    <xf numFmtId="2" fontId="14" fillId="0" borderId="0" xfId="0" applyNumberFormat="1" applyFont="1"/>
    <xf numFmtId="173" fontId="14" fillId="0" borderId="0" xfId="1" applyNumberFormat="1" applyFont="1"/>
    <xf numFmtId="0" fontId="14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10" fillId="0" borderId="0" xfId="0" applyFont="1" applyAlignment="1">
      <alignment horizontal="right"/>
    </xf>
    <xf numFmtId="166" fontId="0" fillId="0" borderId="1" xfId="2" applyNumberFormat="1" applyFont="1" applyBorder="1"/>
    <xf numFmtId="0" fontId="10" fillId="0" borderId="1" xfId="0" applyFont="1" applyBorder="1" applyAlignment="1">
      <alignment horizontal="right"/>
    </xf>
    <xf numFmtId="166" fontId="0" fillId="0" borderId="1" xfId="0" applyNumberFormat="1" applyBorder="1"/>
    <xf numFmtId="1" fontId="0" fillId="0" borderId="0" xfId="0" applyNumberFormat="1"/>
    <xf numFmtId="166" fontId="18" fillId="0" borderId="0" xfId="2" applyNumberFormat="1" applyFont="1"/>
    <xf numFmtId="166" fontId="18" fillId="0" borderId="0" xfId="0" applyNumberFormat="1" applyFont="1"/>
    <xf numFmtId="1" fontId="18" fillId="0" borderId="0" xfId="2" applyNumberFormat="1" applyFont="1"/>
    <xf numFmtId="174" fontId="0" fillId="0" borderId="0" xfId="1" applyNumberFormat="1" applyFont="1"/>
    <xf numFmtId="4" fontId="0" fillId="0" borderId="0" xfId="0" applyNumberFormat="1"/>
    <xf numFmtId="9" fontId="18" fillId="0" borderId="0" xfId="2" applyFont="1"/>
    <xf numFmtId="165" fontId="12" fillId="0" borderId="0" xfId="1" applyNumberFormat="1" applyFont="1"/>
    <xf numFmtId="0" fontId="6" fillId="0" borderId="1" xfId="0" applyFont="1" applyBorder="1"/>
    <xf numFmtId="0" fontId="14" fillId="0" borderId="2" xfId="0" applyFont="1" applyBorder="1" applyAlignment="1">
      <alignment horizontal="center"/>
    </xf>
    <xf numFmtId="3" fontId="19" fillId="0" borderId="0" xfId="0" applyNumberFormat="1" applyFont="1"/>
    <xf numFmtId="3" fontId="19" fillId="0" borderId="0" xfId="1" applyNumberFormat="1" applyFont="1"/>
    <xf numFmtId="0" fontId="0" fillId="0" borderId="0" xfId="0" quotePrefix="1" applyAlignment="1">
      <alignment horizontal="right"/>
    </xf>
    <xf numFmtId="175" fontId="0" fillId="0" borderId="0" xfId="0" applyNumberFormat="1"/>
    <xf numFmtId="0" fontId="20" fillId="0" borderId="0" xfId="0" applyFont="1"/>
    <xf numFmtId="0" fontId="10" fillId="0" borderId="1" xfId="0" applyFont="1" applyBorder="1"/>
    <xf numFmtId="3" fontId="10" fillId="0" borderId="0" xfId="0" applyNumberFormat="1" applyFont="1"/>
    <xf numFmtId="3" fontId="10" fillId="0" borderId="1" xfId="0" applyNumberFormat="1" applyFont="1" applyBorder="1"/>
    <xf numFmtId="166" fontId="12" fillId="3" borderId="0" xfId="2" applyNumberFormat="1" applyFont="1" applyFill="1"/>
    <xf numFmtId="3" fontId="13" fillId="0" borderId="1" xfId="1" applyNumberFormat="1" applyFont="1" applyFill="1" applyBorder="1"/>
    <xf numFmtId="4" fontId="16" fillId="0" borderId="0" xfId="1" applyNumberFormat="1" applyFont="1"/>
    <xf numFmtId="4" fontId="14" fillId="0" borderId="0" xfId="0" applyNumberFormat="1" applyFont="1"/>
    <xf numFmtId="3" fontId="19" fillId="0" borderId="0" xfId="1" applyNumberFormat="1" applyFont="1" applyFill="1"/>
    <xf numFmtId="3" fontId="14" fillId="0" borderId="0" xfId="1" applyNumberFormat="1" applyFont="1" applyFill="1"/>
    <xf numFmtId="3" fontId="17" fillId="0" borderId="0" xfId="1" applyNumberFormat="1" applyFont="1" applyFill="1"/>
    <xf numFmtId="3" fontId="16" fillId="0" borderId="0" xfId="1" applyNumberFormat="1" applyFont="1" applyFill="1"/>
    <xf numFmtId="3" fontId="16" fillId="0" borderId="0" xfId="1" applyNumberFormat="1" applyFont="1" applyFill="1" applyBorder="1"/>
    <xf numFmtId="4" fontId="17" fillId="0" borderId="0" xfId="1" applyNumberFormat="1" applyFont="1" applyFill="1"/>
    <xf numFmtId="3" fontId="13" fillId="0" borderId="0" xfId="1" applyNumberFormat="1" applyFont="1" applyFill="1"/>
    <xf numFmtId="3" fontId="13" fillId="0" borderId="1" xfId="0" applyNumberFormat="1" applyFont="1" applyBorder="1"/>
    <xf numFmtId="3" fontId="21" fillId="0" borderId="0" xfId="0" applyNumberFormat="1" applyFont="1"/>
    <xf numFmtId="166" fontId="1" fillId="0" borderId="0" xfId="2" applyNumberFormat="1" applyFont="1" applyFill="1" applyAlignment="1">
      <alignment horizontal="right"/>
    </xf>
    <xf numFmtId="10" fontId="1" fillId="0" borderId="0" xfId="2" applyNumberFormat="1" applyFont="1" applyFill="1" applyAlignment="1">
      <alignment horizontal="right"/>
    </xf>
    <xf numFmtId="166" fontId="1" fillId="0" borderId="0" xfId="2" applyNumberFormat="1" applyFont="1" applyFill="1"/>
    <xf numFmtId="166" fontId="1" fillId="0" borderId="1" xfId="2" applyNumberFormat="1" applyFont="1" applyFill="1" applyBorder="1" applyAlignment="1">
      <alignment horizontal="right"/>
    </xf>
    <xf numFmtId="166" fontId="0" fillId="0" borderId="0" xfId="2" applyNumberFormat="1" applyFont="1" applyFill="1"/>
    <xf numFmtId="170" fontId="0" fillId="0" borderId="0" xfId="1" applyNumberFormat="1" applyFont="1" applyFill="1"/>
    <xf numFmtId="166" fontId="0" fillId="0" borderId="1" xfId="2" applyNumberFormat="1" applyFont="1" applyFill="1" applyBorder="1"/>
    <xf numFmtId="3" fontId="6" fillId="0" borderId="0" xfId="0" applyNumberFormat="1" applyFont="1"/>
    <xf numFmtId="0" fontId="23" fillId="0" borderId="0" xfId="0" applyFont="1"/>
    <xf numFmtId="3" fontId="13" fillId="0" borderId="0" xfId="1" applyNumberFormat="1" applyFont="1" applyBorder="1"/>
    <xf numFmtId="3" fontId="13" fillId="0" borderId="3" xfId="1" applyNumberFormat="1" applyFont="1" applyBorder="1"/>
    <xf numFmtId="3" fontId="0" fillId="3" borderId="3" xfId="1" applyNumberFormat="1" applyFont="1" applyFill="1" applyBorder="1"/>
    <xf numFmtId="3" fontId="24" fillId="0" borderId="0" xfId="0" applyNumberFormat="1" applyFont="1"/>
    <xf numFmtId="165" fontId="0" fillId="3" borderId="0" xfId="1" applyNumberFormat="1" applyFont="1" applyFill="1"/>
    <xf numFmtId="165" fontId="24" fillId="3" borderId="0" xfId="1" applyNumberFormat="1" applyFont="1" applyFill="1"/>
    <xf numFmtId="10" fontId="0" fillId="0" borderId="0" xfId="2" applyNumberFormat="1" applyFont="1"/>
    <xf numFmtId="10" fontId="6" fillId="3" borderId="0" xfId="0" applyNumberFormat="1" applyFont="1" applyFill="1"/>
    <xf numFmtId="3" fontId="19" fillId="3" borderId="0" xfId="0" applyNumberFormat="1" applyFont="1" applyFill="1"/>
    <xf numFmtId="3" fontId="0" fillId="0" borderId="3" xfId="0" applyNumberFormat="1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3" fontId="24" fillId="0" borderId="0" xfId="1" applyNumberFormat="1" applyFont="1" applyFill="1"/>
  </cellXfs>
  <cellStyles count="12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Number of Showrooms</c:v>
          </c:tx>
          <c:spPr>
            <a:ln w="28575">
              <a:noFill/>
            </a:ln>
          </c:spPr>
          <c:xVal>
            <c:numRef>
              <c:f>'Exh 1 Stores'!$B$5:$B$17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xVal>
          <c:yVal>
            <c:numRef>
              <c:f>'Exh 1 Stores'!$D$5:$D$17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E-3049-A15C-C5955DFA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03528"/>
        <c:axId val="2065523896"/>
      </c:scatterChart>
      <c:scatterChart>
        <c:scatterStyle val="lineMarker"/>
        <c:varyColors val="0"/>
        <c:ser>
          <c:idx val="2"/>
          <c:order val="1"/>
          <c:tx>
            <c:v>Total Square Feet</c:v>
          </c:tx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'Exh 1 Stores'!$B$5:$B$17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xVal>
          <c:yVal>
            <c:numRef>
              <c:f>'Exh 1 Stores'!$F$5:$F$17</c:f>
              <c:numCache>
                <c:formatCode>#,##0</c:formatCode>
                <c:ptCount val="13"/>
                <c:pt idx="0">
                  <c:v>17200</c:v>
                </c:pt>
                <c:pt idx="1">
                  <c:v>70000</c:v>
                </c:pt>
                <c:pt idx="2">
                  <c:v>144000</c:v>
                </c:pt>
                <c:pt idx="3">
                  <c:v>249500</c:v>
                </c:pt>
                <c:pt idx="4">
                  <c:v>382100</c:v>
                </c:pt>
                <c:pt idx="5">
                  <c:v>413100</c:v>
                </c:pt>
                <c:pt idx="6">
                  <c:v>427600</c:v>
                </c:pt>
                <c:pt idx="7">
                  <c:v>457000</c:v>
                </c:pt>
                <c:pt idx="8">
                  <c:v>487800</c:v>
                </c:pt>
                <c:pt idx="9">
                  <c:v>536700</c:v>
                </c:pt>
                <c:pt idx="10">
                  <c:v>568700</c:v>
                </c:pt>
                <c:pt idx="11">
                  <c:v>600700</c:v>
                </c:pt>
                <c:pt idx="12">
                  <c:v>630700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E-3049-A15C-C5955DFA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366232"/>
        <c:axId val="2065431416"/>
      </c:scatterChart>
      <c:valAx>
        <c:axId val="2065403528"/>
        <c:scaling>
          <c:orientation val="minMax"/>
          <c:max val="2015"/>
          <c:min val="2003"/>
        </c:scaling>
        <c:delete val="0"/>
        <c:axPos val="b"/>
        <c:numFmt formatCode="General" sourceLinked="1"/>
        <c:majorTickMark val="out"/>
        <c:minorTickMark val="none"/>
        <c:tickLblPos val="nextTo"/>
        <c:crossAx val="2065523896"/>
        <c:crosses val="autoZero"/>
        <c:crossBetween val="midCat"/>
      </c:valAx>
      <c:valAx>
        <c:axId val="206552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403528"/>
        <c:crosses val="autoZero"/>
        <c:crossBetween val="midCat"/>
      </c:valAx>
      <c:valAx>
        <c:axId val="20654314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crossAx val="2065366232"/>
        <c:crosses val="max"/>
        <c:crossBetween val="midCat"/>
      </c:valAx>
      <c:valAx>
        <c:axId val="2065366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431416"/>
        <c:crosses val="autoZero"/>
        <c:crossBetween val="midCat"/>
      </c:valAx>
    </c:plotArea>
    <c:legend>
      <c:legendPos val="b"/>
      <c:overlay val="0"/>
      <c:spPr>
        <a:ln>
          <a:noFill/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GDP Growth</c:v>
          </c:tx>
          <c:spPr>
            <a:ln w="28575"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'Exh 2 Econ Indicators'!$C$2:$R$2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xVal>
          <c:yVal>
            <c:numRef>
              <c:f>'Exh 2 Econ Indicators'!$C$6:$R$6</c:f>
              <c:numCache>
                <c:formatCode>0.0%</c:formatCode>
                <c:ptCount val="16"/>
                <c:pt idx="0">
                  <c:v>4.6975277900453971E-2</c:v>
                </c:pt>
                <c:pt idx="1">
                  <c:v>6.3813556089560075E-2</c:v>
                </c:pt>
                <c:pt idx="2">
                  <c:v>6.4935777107544501E-2</c:v>
                </c:pt>
                <c:pt idx="3">
                  <c:v>5.9752276607290655E-2</c:v>
                </c:pt>
                <c:pt idx="4">
                  <c:v>4.870040068175685E-2</c:v>
                </c:pt>
                <c:pt idx="5">
                  <c:v>1.8738405444562733E-2</c:v>
                </c:pt>
                <c:pt idx="6">
                  <c:v>-2.2243913361391865E-2</c:v>
                </c:pt>
                <c:pt idx="7">
                  <c:v>3.7590393347479045E-2</c:v>
                </c:pt>
                <c:pt idx="8">
                  <c:v>3.9778811187725971E-2</c:v>
                </c:pt>
                <c:pt idx="9">
                  <c:v>4.0401176066743316E-2</c:v>
                </c:pt>
                <c:pt idx="10">
                  <c:v>3.5256921532061281E-2</c:v>
                </c:pt>
                <c:pt idx="11">
                  <c:v>4.996266107377223E-2</c:v>
                </c:pt>
                <c:pt idx="12">
                  <c:v>5.6493429214464985E-2</c:v>
                </c:pt>
                <c:pt idx="13">
                  <c:v>5.5980104579205436E-2</c:v>
                </c:pt>
                <c:pt idx="14">
                  <c:v>5.5592571155693049E-2</c:v>
                </c:pt>
                <c:pt idx="15">
                  <c:v>5.0974434189059892E-2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6-1B40-A9FF-503570BFE732}"/>
            </c:ext>
          </c:extLst>
        </c:ser>
        <c:ser>
          <c:idx val="9"/>
          <c:order val="1"/>
          <c:tx>
            <c:v>Furniture Sales Growth</c:v>
          </c:tx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'Exh 2 Econ Indicators'!$C$2:$R$2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xVal>
          <c:yVal>
            <c:numRef>
              <c:f>'Exh 2 Econ Indicators'!$C$8:$R$8</c:f>
              <c:numCache>
                <c:formatCode>0.0%</c:formatCode>
                <c:ptCount val="16"/>
                <c:pt idx="0">
                  <c:v>2.4354087251164724E-2</c:v>
                </c:pt>
                <c:pt idx="1">
                  <c:v>7.2565639859416997E-2</c:v>
                </c:pt>
                <c:pt idx="2">
                  <c:v>5.1657671549730111E-2</c:v>
                </c:pt>
                <c:pt idx="3">
                  <c:v>3.3724340175953049E-2</c:v>
                </c:pt>
                <c:pt idx="4">
                  <c:v>-1.4716312056737513E-2</c:v>
                </c:pt>
                <c:pt idx="5">
                  <c:v>-0.10419290984344065</c:v>
                </c:pt>
                <c:pt idx="6">
                  <c:v>-0.13358778625954193</c:v>
                </c:pt>
                <c:pt idx="7">
                  <c:v>1.1940644562949299E-2</c:v>
                </c:pt>
                <c:pt idx="8">
                  <c:v>3.1847863443693392E-2</c:v>
                </c:pt>
                <c:pt idx="9">
                  <c:v>3.4000000000000002E-2</c:v>
                </c:pt>
                <c:pt idx="10">
                  <c:v>0.03</c:v>
                </c:pt>
                <c:pt idx="11">
                  <c:v>2.8000000000000001E-2</c:v>
                </c:pt>
                <c:pt idx="12">
                  <c:v>2.5999999999999999E-2</c:v>
                </c:pt>
                <c:pt idx="13">
                  <c:v>2.4E-2</c:v>
                </c:pt>
                <c:pt idx="14">
                  <c:v>2.1999999999999999E-2</c:v>
                </c:pt>
                <c:pt idx="1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6-1B40-A9FF-503570BFE732}"/>
            </c:ext>
          </c:extLst>
        </c:ser>
        <c:ser>
          <c:idx val="1"/>
          <c:order val="2"/>
          <c:tx>
            <c:v>Inflation (CPI)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'Exh 2 Econ Indicators'!$C$2:$R$2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xVal>
          <c:yVal>
            <c:numRef>
              <c:f>'Exh 2 Econ Indicators'!$C$4:$R$4</c:f>
              <c:numCache>
                <c:formatCode>0.0%</c:formatCode>
                <c:ptCount val="16"/>
                <c:pt idx="0">
                  <c:v>1.8794914317302513E-2</c:v>
                </c:pt>
                <c:pt idx="1">
                  <c:v>3.255561584373301E-2</c:v>
                </c:pt>
                <c:pt idx="2">
                  <c:v>3.4156594850236477E-2</c:v>
                </c:pt>
                <c:pt idx="3">
                  <c:v>2.5406504065040636E-2</c:v>
                </c:pt>
                <c:pt idx="4">
                  <c:v>4.0812685827551931E-2</c:v>
                </c:pt>
                <c:pt idx="5">
                  <c:v>9.1412900645604367E-4</c:v>
                </c:pt>
                <c:pt idx="6">
                  <c:v>2.7213311262058282E-2</c:v>
                </c:pt>
                <c:pt idx="7">
                  <c:v>1.4957235273143077E-2</c:v>
                </c:pt>
                <c:pt idx="8">
                  <c:v>2.9624188448710953E-2</c:v>
                </c:pt>
                <c:pt idx="9">
                  <c:v>1.7410223687475579E-2</c:v>
                </c:pt>
                <c:pt idx="10">
                  <c:v>1.6799999999999999E-2</c:v>
                </c:pt>
                <c:pt idx="11">
                  <c:v>1.8100000000000002E-2</c:v>
                </c:pt>
                <c:pt idx="12">
                  <c:v>1.9400000000000001E-2</c:v>
                </c:pt>
                <c:pt idx="13">
                  <c:v>2.1100000000000001E-2</c:v>
                </c:pt>
                <c:pt idx="14">
                  <c:v>1.9E-2</c:v>
                </c:pt>
                <c:pt idx="15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6-1B40-A9FF-503570BF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69336"/>
        <c:axId val="2126974360"/>
      </c:scatterChart>
      <c:valAx>
        <c:axId val="2126969336"/>
        <c:scaling>
          <c:orientation val="minMax"/>
          <c:max val="2018"/>
          <c:min val="2003"/>
        </c:scaling>
        <c:delete val="0"/>
        <c:axPos val="b"/>
        <c:numFmt formatCode="General" sourceLinked="1"/>
        <c:majorTickMark val="out"/>
        <c:minorTickMark val="none"/>
        <c:tickLblPos val="nextTo"/>
        <c:crossAx val="2126974360"/>
        <c:crosses val="autoZero"/>
        <c:crossBetween val="midCat"/>
      </c:valAx>
      <c:valAx>
        <c:axId val="21269743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6969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'Exh 3 Teuer IS'!$H$20:$L$20</c:f>
              <c:numCache>
                <c:formatCode>0%</c:formatCode>
                <c:ptCount val="5"/>
                <c:pt idx="0">
                  <c:v>0.5365078502743521</c:v>
                </c:pt>
                <c:pt idx="1">
                  <c:v>0.14507582932403951</c:v>
                </c:pt>
                <c:pt idx="2">
                  <c:v>0.22906229288363322</c:v>
                </c:pt>
                <c:pt idx="3">
                  <c:v>0.20315923589738993</c:v>
                </c:pt>
                <c:pt idx="4">
                  <c:v>0.105334121839048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4-FE4A-8B87-9D443EB6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18464"/>
        <c:axId val="488220160"/>
      </c:lineChart>
      <c:catAx>
        <c:axId val="48821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488220160"/>
        <c:crosses val="autoZero"/>
        <c:auto val="1"/>
        <c:lblAlgn val="ctr"/>
        <c:lblOffset val="100"/>
        <c:noMultiLvlLbl val="0"/>
      </c:catAx>
      <c:valAx>
        <c:axId val="4882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4882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 8 Sales Forecasting'!$C$4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 8 Sales Forecasting'!$D$3:$K$3</c:f>
              <c:numCache>
                <c:formatCode>0.0%</c:formatCode>
                <c:ptCount val="8"/>
                <c:pt idx="0">
                  <c:v>0.73576593206719565</c:v>
                </c:pt>
                <c:pt idx="1">
                  <c:v>0.34605432692126037</c:v>
                </c:pt>
                <c:pt idx="2">
                  <c:v>0.19454881809221036</c:v>
                </c:pt>
                <c:pt idx="3">
                  <c:v>0.15137411879793339</c:v>
                </c:pt>
                <c:pt idx="4">
                  <c:v>1.6527639507102343E-3</c:v>
                </c:pt>
                <c:pt idx="5">
                  <c:v>1.1993916106581182E-2</c:v>
                </c:pt>
                <c:pt idx="6">
                  <c:v>9.6339761648136513E-3</c:v>
                </c:pt>
                <c:pt idx="7">
                  <c:v>-6.031350370819144E-3</c:v>
                </c:pt>
              </c:numCache>
            </c:numRef>
          </c:cat>
          <c:val>
            <c:numRef>
              <c:f>'Exh 8 Sales Forecasting'!$D$4:$K$4</c:f>
              <c:numCache>
                <c:formatCode>0.0%</c:formatCode>
                <c:ptCount val="8"/>
                <c:pt idx="0">
                  <c:v>0.72930965789005753</c:v>
                </c:pt>
                <c:pt idx="1">
                  <c:v>0.29198638395839804</c:v>
                </c:pt>
                <c:pt idx="2">
                  <c:v>0.21423889597995305</c:v>
                </c:pt>
                <c:pt idx="3">
                  <c:v>8.1248229034811326E-2</c:v>
                </c:pt>
                <c:pt idx="4">
                  <c:v>3.5653774520969739E-2</c:v>
                </c:pt>
                <c:pt idx="5">
                  <c:v>3.4489308000526187E-2</c:v>
                </c:pt>
                <c:pt idx="6">
                  <c:v>1.1851307829924274E-4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D47-AE96-6824E0E2EEA2}"/>
            </c:ext>
          </c:extLst>
        </c:ser>
        <c:ser>
          <c:idx val="1"/>
          <c:order val="1"/>
          <c:tx>
            <c:strRef>
              <c:f>'Exh 8 Sales Forecasting'!$C$5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'Exh 8 Sales Forecasting'!$D$3:$K$3</c:f>
              <c:numCache>
                <c:formatCode>0.0%</c:formatCode>
                <c:ptCount val="8"/>
                <c:pt idx="0">
                  <c:v>0.73576593206719565</c:v>
                </c:pt>
                <c:pt idx="1">
                  <c:v>0.34605432692126037</c:v>
                </c:pt>
                <c:pt idx="2">
                  <c:v>0.19454881809221036</c:v>
                </c:pt>
                <c:pt idx="3">
                  <c:v>0.15137411879793339</c:v>
                </c:pt>
                <c:pt idx="4">
                  <c:v>1.6527639507102343E-3</c:v>
                </c:pt>
                <c:pt idx="5">
                  <c:v>1.1993916106581182E-2</c:v>
                </c:pt>
                <c:pt idx="6">
                  <c:v>9.6339761648136513E-3</c:v>
                </c:pt>
                <c:pt idx="7">
                  <c:v>-6.031350370819144E-3</c:v>
                </c:pt>
              </c:numCache>
            </c:numRef>
          </c:cat>
          <c:val>
            <c:numRef>
              <c:f>'Exh 8 Sales Forecasting'!$D$5:$K$5</c:f>
              <c:numCache>
                <c:formatCode>0.0%</c:formatCode>
                <c:ptCount val="8"/>
                <c:pt idx="0">
                  <c:v>0.76595935898385559</c:v>
                </c:pt>
                <c:pt idx="1">
                  <c:v>0.32642724377869792</c:v>
                </c:pt>
                <c:pt idx="2">
                  <c:v>0.22217571417212767</c:v>
                </c:pt>
                <c:pt idx="3">
                  <c:v>7.7649860061681952E-2</c:v>
                </c:pt>
                <c:pt idx="4">
                  <c:v>3.7170124544198879E-2</c:v>
                </c:pt>
                <c:pt idx="5">
                  <c:v>-3.0963668213674134E-2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D47-AE96-6824E0E2EEA2}"/>
            </c:ext>
          </c:extLst>
        </c:ser>
        <c:ser>
          <c:idx val="2"/>
          <c:order val="2"/>
          <c:tx>
            <c:strRef>
              <c:f>'Exh 8 Sales Forecasting'!$C$6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'Exh 8 Sales Forecasting'!$D$3:$K$3</c:f>
              <c:numCache>
                <c:formatCode>0.0%</c:formatCode>
                <c:ptCount val="8"/>
                <c:pt idx="0">
                  <c:v>0.73576593206719565</c:v>
                </c:pt>
                <c:pt idx="1">
                  <c:v>0.34605432692126037</c:v>
                </c:pt>
                <c:pt idx="2">
                  <c:v>0.19454881809221036</c:v>
                </c:pt>
                <c:pt idx="3">
                  <c:v>0.15137411879793339</c:v>
                </c:pt>
                <c:pt idx="4">
                  <c:v>1.6527639507102343E-3</c:v>
                </c:pt>
                <c:pt idx="5">
                  <c:v>1.1993916106581182E-2</c:v>
                </c:pt>
                <c:pt idx="6">
                  <c:v>9.6339761648136513E-3</c:v>
                </c:pt>
                <c:pt idx="7">
                  <c:v>-6.031350370819144E-3</c:v>
                </c:pt>
              </c:numCache>
            </c:numRef>
          </c:cat>
          <c:val>
            <c:numRef>
              <c:f>'Exh 8 Sales Forecasting'!$D$6:$K$6</c:f>
              <c:numCache>
                <c:formatCode>0.0%</c:formatCode>
                <c:ptCount val="8"/>
                <c:pt idx="0">
                  <c:v>0.73755703710613796</c:v>
                </c:pt>
                <c:pt idx="1">
                  <c:v>0.28795736986360754</c:v>
                </c:pt>
                <c:pt idx="2">
                  <c:v>0.24410509595769736</c:v>
                </c:pt>
                <c:pt idx="3">
                  <c:v>0.11281244332153828</c:v>
                </c:pt>
                <c:pt idx="4">
                  <c:v>-1.2501962221326379E-2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4D47-AE96-6824E0E2EEA2}"/>
            </c:ext>
          </c:extLst>
        </c:ser>
        <c:ser>
          <c:idx val="3"/>
          <c:order val="3"/>
          <c:tx>
            <c:strRef>
              <c:f>'Exh 8 Sales Forecasting'!$C$7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'Exh 8 Sales Forecasting'!$D$3:$K$3</c:f>
              <c:numCache>
                <c:formatCode>0.0%</c:formatCode>
                <c:ptCount val="8"/>
                <c:pt idx="0">
                  <c:v>0.73576593206719565</c:v>
                </c:pt>
                <c:pt idx="1">
                  <c:v>0.34605432692126037</c:v>
                </c:pt>
                <c:pt idx="2">
                  <c:v>0.19454881809221036</c:v>
                </c:pt>
                <c:pt idx="3">
                  <c:v>0.15137411879793339</c:v>
                </c:pt>
                <c:pt idx="4">
                  <c:v>1.6527639507102343E-3</c:v>
                </c:pt>
                <c:pt idx="5">
                  <c:v>1.1993916106581182E-2</c:v>
                </c:pt>
                <c:pt idx="6">
                  <c:v>9.6339761648136513E-3</c:v>
                </c:pt>
                <c:pt idx="7">
                  <c:v>-6.031350370819144E-3</c:v>
                </c:pt>
              </c:numCache>
            </c:numRef>
          </c:cat>
          <c:val>
            <c:numRef>
              <c:f>'Exh 8 Sales Forecasting'!$D$7:$K$7</c:f>
              <c:numCache>
                <c:formatCode>0.0%</c:formatCode>
                <c:ptCount val="8"/>
                <c:pt idx="0">
                  <c:v>0.64512903258765708</c:v>
                </c:pt>
                <c:pt idx="1">
                  <c:v>0.36841098397463479</c:v>
                </c:pt>
                <c:pt idx="2">
                  <c:v>0.26059234254348174</c:v>
                </c:pt>
                <c:pt idx="3">
                  <c:v>6.2609059525504218E-2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D-4D47-AE96-6824E0E2EEA2}"/>
            </c:ext>
          </c:extLst>
        </c:ser>
        <c:ser>
          <c:idx val="4"/>
          <c:order val="4"/>
          <c:tx>
            <c:strRef>
              <c:f>'Exh 8 Sales Forecasting'!$C$8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'Exh 8 Sales Forecasting'!$D$3:$K$3</c:f>
              <c:numCache>
                <c:formatCode>0.0%</c:formatCode>
                <c:ptCount val="8"/>
                <c:pt idx="0">
                  <c:v>0.73576593206719565</c:v>
                </c:pt>
                <c:pt idx="1">
                  <c:v>0.34605432692126037</c:v>
                </c:pt>
                <c:pt idx="2">
                  <c:v>0.19454881809221036</c:v>
                </c:pt>
                <c:pt idx="3">
                  <c:v>0.15137411879793339</c:v>
                </c:pt>
                <c:pt idx="4">
                  <c:v>1.6527639507102343E-3</c:v>
                </c:pt>
                <c:pt idx="5">
                  <c:v>1.1993916106581182E-2</c:v>
                </c:pt>
                <c:pt idx="6">
                  <c:v>9.6339761648136513E-3</c:v>
                </c:pt>
                <c:pt idx="7">
                  <c:v>-6.031350370819144E-3</c:v>
                </c:pt>
              </c:numCache>
            </c:numRef>
          </c:cat>
          <c:val>
            <c:numRef>
              <c:f>'Exh 8 Sales Forecasting'!$D$8:$K$8</c:f>
              <c:numCache>
                <c:formatCode>0.0%</c:formatCode>
                <c:ptCount val="8"/>
                <c:pt idx="0">
                  <c:v>0.60488359465506125</c:v>
                </c:pt>
                <c:pt idx="1">
                  <c:v>0.35635852048097916</c:v>
                </c:pt>
                <c:pt idx="2">
                  <c:v>0.23587535265475967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D-4D47-AE96-6824E0E2EEA2}"/>
            </c:ext>
          </c:extLst>
        </c:ser>
        <c:ser>
          <c:idx val="5"/>
          <c:order val="5"/>
          <c:tx>
            <c:strRef>
              <c:f>'Exh 8 Sales Forecasting'!$C$9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'Exh 8 Sales Forecasting'!$D$3:$K$3</c:f>
              <c:numCache>
                <c:formatCode>0.0%</c:formatCode>
                <c:ptCount val="8"/>
                <c:pt idx="0">
                  <c:v>0.73576593206719565</c:v>
                </c:pt>
                <c:pt idx="1">
                  <c:v>0.34605432692126037</c:v>
                </c:pt>
                <c:pt idx="2">
                  <c:v>0.19454881809221036</c:v>
                </c:pt>
                <c:pt idx="3">
                  <c:v>0.15137411879793339</c:v>
                </c:pt>
                <c:pt idx="4">
                  <c:v>1.6527639507102343E-3</c:v>
                </c:pt>
                <c:pt idx="5">
                  <c:v>1.1993916106581182E-2</c:v>
                </c:pt>
                <c:pt idx="6">
                  <c:v>9.6339761648136513E-3</c:v>
                </c:pt>
                <c:pt idx="7">
                  <c:v>-6.031350370819144E-3</c:v>
                </c:pt>
              </c:numCache>
            </c:numRef>
          </c:cat>
          <c:val>
            <c:numRef>
              <c:f>'Exh 8 Sales Forecasting'!$D$9:$K$9</c:f>
              <c:numCache>
                <c:formatCode>0.0%</c:formatCode>
                <c:ptCount val="8"/>
                <c:pt idx="0">
                  <c:v>0.69042407518515669</c:v>
                </c:pt>
                <c:pt idx="1">
                  <c:v>0.36554498672450042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D-4D47-AE96-6824E0E2EEA2}"/>
            </c:ext>
          </c:extLst>
        </c:ser>
        <c:ser>
          <c:idx val="6"/>
          <c:order val="6"/>
          <c:tx>
            <c:strRef>
              <c:f>'Exh 8 Sales Forecasting'!$C$10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'Exh 8 Sales Forecasting'!$D$3:$K$3</c:f>
              <c:numCache>
                <c:formatCode>0.0%</c:formatCode>
                <c:ptCount val="8"/>
                <c:pt idx="0">
                  <c:v>0.73576593206719565</c:v>
                </c:pt>
                <c:pt idx="1">
                  <c:v>0.34605432692126037</c:v>
                </c:pt>
                <c:pt idx="2">
                  <c:v>0.19454881809221036</c:v>
                </c:pt>
                <c:pt idx="3">
                  <c:v>0.15137411879793339</c:v>
                </c:pt>
                <c:pt idx="4">
                  <c:v>1.6527639507102343E-3</c:v>
                </c:pt>
                <c:pt idx="5">
                  <c:v>1.1993916106581182E-2</c:v>
                </c:pt>
                <c:pt idx="6">
                  <c:v>9.6339761648136513E-3</c:v>
                </c:pt>
                <c:pt idx="7">
                  <c:v>-6.031350370819144E-3</c:v>
                </c:pt>
              </c:numCache>
            </c:numRef>
          </c:cat>
          <c:val>
            <c:numRef>
              <c:f>'Exh 8 Sales Forecasting'!$D$10:$K$10</c:f>
              <c:numCache>
                <c:formatCode>0.0%</c:formatCode>
                <c:ptCount val="8"/>
                <c:pt idx="0">
                  <c:v>0.70420099693829052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DD-4D47-AE96-6824E0E2EEA2}"/>
            </c:ext>
          </c:extLst>
        </c:ser>
        <c:ser>
          <c:idx val="7"/>
          <c:order val="7"/>
          <c:tx>
            <c:strRef>
              <c:f>'Exh 8 Sales Forecasting'!$C$11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'Exh 8 Sales Forecasting'!$D$3:$K$3</c:f>
              <c:numCache>
                <c:formatCode>0.0%</c:formatCode>
                <c:ptCount val="8"/>
                <c:pt idx="0">
                  <c:v>0.73576593206719565</c:v>
                </c:pt>
                <c:pt idx="1">
                  <c:v>0.34605432692126037</c:v>
                </c:pt>
                <c:pt idx="2">
                  <c:v>0.19454881809221036</c:v>
                </c:pt>
                <c:pt idx="3">
                  <c:v>0.15137411879793339</c:v>
                </c:pt>
                <c:pt idx="4">
                  <c:v>1.6527639507102343E-3</c:v>
                </c:pt>
                <c:pt idx="5">
                  <c:v>1.1993916106581182E-2</c:v>
                </c:pt>
                <c:pt idx="6">
                  <c:v>9.6339761648136513E-3</c:v>
                </c:pt>
                <c:pt idx="7">
                  <c:v>-6.031350370819144E-3</c:v>
                </c:pt>
              </c:numCache>
            </c:numRef>
          </c:cat>
          <c:val>
            <c:numRef>
              <c:f>'Exh 8 Sales Forecasting'!$D$11:$K$11</c:f>
              <c:numCache>
                <c:formatCode>0.0%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DD-4D47-AE96-6824E0E2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687535"/>
        <c:axId val="1881689183"/>
      </c:lineChart>
      <c:catAx>
        <c:axId val="1881687535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1881689183"/>
        <c:crosses val="autoZero"/>
        <c:auto val="1"/>
        <c:lblAlgn val="ctr"/>
        <c:lblOffset val="100"/>
        <c:noMultiLvlLbl val="0"/>
      </c:catAx>
      <c:valAx>
        <c:axId val="1881689183"/>
        <c:scaling>
          <c:orientation val="minMax"/>
          <c:max val="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18816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4</xdr:row>
      <xdr:rowOff>23812</xdr:rowOff>
    </xdr:from>
    <xdr:to>
      <xdr:col>15</xdr:col>
      <xdr:colOff>9525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</xdr:row>
      <xdr:rowOff>109537</xdr:rowOff>
    </xdr:from>
    <xdr:to>
      <xdr:col>12</xdr:col>
      <xdr:colOff>352425</xdr:colOff>
      <xdr:row>29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613834</xdr:colOff>
      <xdr:row>2</xdr:row>
      <xdr:rowOff>14816</xdr:rowOff>
    </xdr:from>
    <xdr:to>
      <xdr:col>18</xdr:col>
      <xdr:colOff>423334</xdr:colOff>
      <xdr:row>16</xdr:row>
      <xdr:rowOff>91016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A6455-6078-3348-B0F3-638A6164A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50806</xdr:colOff>
      <xdr:row>6</xdr:row>
      <xdr:rowOff>88906</xdr:rowOff>
    </xdr:from>
    <xdr:to>
      <xdr:col>23</xdr:col>
      <xdr:colOff>317500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32BF1-49A7-0E42-A660-5B0DE6FBD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33" workbookViewId="0">
      <selection activeCell="E7" sqref="E7"/>
    </sheetView>
  </sheetViews>
  <sheetFormatPr defaultColWidth="8.81640625" defaultRowHeight="14.5"/>
  <sheetData>
    <row r="1" spans="1:7" ht="18.5">
      <c r="A1" s="10" t="s">
        <v>77</v>
      </c>
    </row>
    <row r="2" spans="1:7" ht="18.5">
      <c r="A2" s="10"/>
    </row>
    <row r="3" spans="1:7">
      <c r="C3" s="43" t="s">
        <v>50</v>
      </c>
      <c r="D3" s="43" t="s">
        <v>37</v>
      </c>
      <c r="E3" s="43" t="s">
        <v>36</v>
      </c>
      <c r="F3" s="43" t="s">
        <v>37</v>
      </c>
    </row>
    <row r="4" spans="1:7">
      <c r="C4" s="43" t="s">
        <v>51</v>
      </c>
      <c r="D4" s="43" t="s">
        <v>50</v>
      </c>
      <c r="E4" s="43" t="s">
        <v>51</v>
      </c>
      <c r="F4" s="43" t="s">
        <v>36</v>
      </c>
      <c r="G4" t="s">
        <v>39</v>
      </c>
    </row>
    <row r="5" spans="1:7">
      <c r="B5">
        <v>2003</v>
      </c>
      <c r="C5">
        <f>VLOOKUP($B5,'Exh 5 Stores IS (Hist Teuer)'!$A$3:$D$87,3,FALSE)</f>
        <v>1</v>
      </c>
      <c r="D5">
        <f>C5</f>
        <v>1</v>
      </c>
      <c r="E5" s="7">
        <f>VLOOKUP($B5,'Exh 5 Stores IS (Hist Teuer)'!$A$3:$D$87,4,FALSE)</f>
        <v>17200</v>
      </c>
      <c r="F5" s="7">
        <f>C5*E5</f>
        <v>17200</v>
      </c>
    </row>
    <row r="6" spans="1:7">
      <c r="B6">
        <v>2004</v>
      </c>
      <c r="C6">
        <f>VLOOKUP($B6,'Exh 5 Stores IS (Hist Teuer)'!$A$3:$D$87,3,FALSE)</f>
        <v>3</v>
      </c>
      <c r="D6">
        <f>D5+C6</f>
        <v>4</v>
      </c>
      <c r="E6" s="7">
        <f>VLOOKUP($B6,'Exh 5 Stores IS (Hist Teuer)'!$A$3:$D$87,4,FALSE)</f>
        <v>17600</v>
      </c>
      <c r="F6" s="7">
        <f>F5+C6*E6</f>
        <v>70000</v>
      </c>
      <c r="G6" s="8"/>
    </row>
    <row r="7" spans="1:7">
      <c r="B7">
        <v>2005</v>
      </c>
      <c r="C7">
        <f>VLOOKUP($B7,'Exh 5 Stores IS (Hist Teuer)'!$A$3:$D$87,3,FALSE)</f>
        <v>4</v>
      </c>
      <c r="D7">
        <f t="shared" ref="D7:D17" si="0">D6+C7</f>
        <v>8</v>
      </c>
      <c r="E7" s="7">
        <f>VLOOKUP($B7,'Exh 5 Stores IS (Hist Teuer)'!$A$3:$D$87,4,FALSE)</f>
        <v>18500</v>
      </c>
      <c r="F7" s="7">
        <f t="shared" ref="F7:F17" si="1">F6+C7*E7</f>
        <v>144000</v>
      </c>
      <c r="G7" s="8"/>
    </row>
    <row r="8" spans="1:7">
      <c r="B8">
        <v>2006</v>
      </c>
      <c r="C8">
        <f>VLOOKUP($B8,'Exh 5 Stores IS (Hist Teuer)'!$A$3:$D$87,3,FALSE)</f>
        <v>5</v>
      </c>
      <c r="D8">
        <f t="shared" si="0"/>
        <v>13</v>
      </c>
      <c r="E8" s="7">
        <f>VLOOKUP($B8,'Exh 5 Stores IS (Hist Teuer)'!$A$3:$D$87,4,FALSE)</f>
        <v>21100</v>
      </c>
      <c r="F8" s="7">
        <f t="shared" si="1"/>
        <v>249500</v>
      </c>
      <c r="G8" s="8"/>
    </row>
    <row r="9" spans="1:7">
      <c r="B9">
        <v>2007</v>
      </c>
      <c r="C9">
        <f>VLOOKUP($B9,'Exh 5 Stores IS (Hist Teuer)'!$A$3:$D$87,3,FALSE)</f>
        <v>6</v>
      </c>
      <c r="D9">
        <f t="shared" si="0"/>
        <v>19</v>
      </c>
      <c r="E9" s="7">
        <f>VLOOKUP($B9,'Exh 5 Stores IS (Hist Teuer)'!$A$3:$D$87,4,FALSE)</f>
        <v>22100</v>
      </c>
      <c r="F9" s="7">
        <f t="shared" si="1"/>
        <v>382100</v>
      </c>
      <c r="G9" s="8"/>
    </row>
    <row r="10" spans="1:7">
      <c r="B10">
        <v>2008</v>
      </c>
      <c r="C10">
        <f>VLOOKUP($B10,'Exh 5 Stores IS (Hist Teuer)'!$A$3:$D$87,3,FALSE)</f>
        <v>2</v>
      </c>
      <c r="D10">
        <f t="shared" si="0"/>
        <v>21</v>
      </c>
      <c r="E10" s="7">
        <f>VLOOKUP($B10,'Exh 5 Stores IS (Hist Teuer)'!$A$3:$D$87,4,FALSE)</f>
        <v>15500</v>
      </c>
      <c r="F10" s="7">
        <f t="shared" si="1"/>
        <v>413100</v>
      </c>
      <c r="G10" s="8"/>
    </row>
    <row r="11" spans="1:7">
      <c r="B11">
        <v>2009</v>
      </c>
      <c r="C11">
        <f>VLOOKUP($B11,'Exh 5 Stores IS (Hist Teuer)'!$A$3:$D$87,3,FALSE)</f>
        <v>1</v>
      </c>
      <c r="D11">
        <f t="shared" si="0"/>
        <v>22</v>
      </c>
      <c r="E11" s="7">
        <f>VLOOKUP($B11,'Exh 5 Stores IS (Hist Teuer)'!$A$3:$D$87,4,FALSE)</f>
        <v>14500</v>
      </c>
      <c r="F11" s="7">
        <f t="shared" si="1"/>
        <v>427600</v>
      </c>
      <c r="G11" s="8"/>
    </row>
    <row r="12" spans="1:7">
      <c r="B12">
        <v>2010</v>
      </c>
      <c r="C12">
        <f>VLOOKUP($B12,'Exh 5 Stores IS (Hist Teuer)'!$A$3:$D$87,3,FALSE)</f>
        <v>2</v>
      </c>
      <c r="D12">
        <f t="shared" si="0"/>
        <v>24</v>
      </c>
      <c r="E12" s="7">
        <f>VLOOKUP($B12,'Exh 5 Stores IS (Hist Teuer)'!$A$3:$D$87,4,FALSE)</f>
        <v>14700</v>
      </c>
      <c r="F12" s="7">
        <f t="shared" si="1"/>
        <v>457000</v>
      </c>
      <c r="G12" s="8"/>
    </row>
    <row r="13" spans="1:7">
      <c r="B13">
        <v>2011</v>
      </c>
      <c r="C13">
        <f>VLOOKUP($B13,'Exh 5 Stores IS (Hist Teuer)'!$A$3:$D$87,3,FALSE)</f>
        <v>2</v>
      </c>
      <c r="D13">
        <f t="shared" si="0"/>
        <v>26</v>
      </c>
      <c r="E13" s="7">
        <f>VLOOKUP($B13,'Exh 5 Stores IS (Hist Teuer)'!$A$3:$D$87,4,FALSE)</f>
        <v>15400</v>
      </c>
      <c r="F13" s="7">
        <f t="shared" si="1"/>
        <v>487800</v>
      </c>
      <c r="G13" s="8"/>
    </row>
    <row r="14" spans="1:7">
      <c r="B14">
        <v>2012</v>
      </c>
      <c r="C14">
        <f>VLOOKUP($B14,'Exh 5 Stores IS (Hist Teuer)'!$A$3:$D$87,3,FALSE)</f>
        <v>3</v>
      </c>
      <c r="D14">
        <f t="shared" si="0"/>
        <v>29</v>
      </c>
      <c r="E14" s="7">
        <f>VLOOKUP($B14,'Exh 5 Stores IS (Hist Teuer)'!$A$3:$D$87,4,FALSE)</f>
        <v>16300</v>
      </c>
      <c r="F14" s="7">
        <f t="shared" si="1"/>
        <v>536700</v>
      </c>
      <c r="G14" s="8"/>
    </row>
    <row r="15" spans="1:7">
      <c r="B15">
        <v>2013</v>
      </c>
      <c r="C15">
        <f>VLOOKUP($B15,'Exh 5 Stores IS (Hist Teuer)'!$A$3:$D$87,3,FALSE)</f>
        <v>2</v>
      </c>
      <c r="D15">
        <f t="shared" si="0"/>
        <v>31</v>
      </c>
      <c r="E15" s="7">
        <f>VLOOKUP($B15,'Exh 5 Stores IS (Hist Teuer)'!$A$3:$D$87,4,FALSE)</f>
        <v>16000</v>
      </c>
      <c r="F15" s="7">
        <f t="shared" si="1"/>
        <v>568700</v>
      </c>
      <c r="G15" s="8"/>
    </row>
    <row r="16" spans="1:7">
      <c r="B16">
        <v>2014</v>
      </c>
      <c r="C16">
        <f>VLOOKUP($B16,'Exh 5 Stores IS (Hist Teuer)'!$A$3:$D$87,3,FALSE)</f>
        <v>2</v>
      </c>
      <c r="D16">
        <f t="shared" si="0"/>
        <v>33</v>
      </c>
      <c r="E16" s="7">
        <f>VLOOKUP($B16,'Exh 5 Stores IS (Hist Teuer)'!$A$3:$D$87,4,FALSE)</f>
        <v>16000</v>
      </c>
      <c r="F16" s="7">
        <f t="shared" si="1"/>
        <v>600700</v>
      </c>
      <c r="G16" s="8"/>
    </row>
    <row r="17" spans="2:7">
      <c r="B17">
        <v>2015</v>
      </c>
      <c r="C17">
        <f>VLOOKUP($B17,'Exh 5 Stores IS (Hist Teuer)'!$A$3:$D$87,3,FALSE)</f>
        <v>2</v>
      </c>
      <c r="D17">
        <f t="shared" si="0"/>
        <v>35</v>
      </c>
      <c r="E17" s="7">
        <f>VLOOKUP($B17,'Exh 5 Stores IS (Hist Teuer)'!$A$3:$D$87,4,FALSE)</f>
        <v>15000</v>
      </c>
      <c r="F17" s="7">
        <f t="shared" si="1"/>
        <v>630700</v>
      </c>
      <c r="G17" s="8"/>
    </row>
    <row r="18" spans="2:7">
      <c r="G18" s="8"/>
    </row>
    <row r="32" spans="2:7" ht="14.2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CB3F-D036-ED43-927B-D332DA0CF993}">
  <sheetPr>
    <tabColor theme="8" tint="0.39997558519241921"/>
  </sheetPr>
  <dimension ref="A1:O39"/>
  <sheetViews>
    <sheetView zoomScale="120" zoomScaleNormal="120" workbookViewId="0">
      <selection activeCell="E22" sqref="E22"/>
    </sheetView>
  </sheetViews>
  <sheetFormatPr defaultColWidth="8.81640625" defaultRowHeight="14.5"/>
  <cols>
    <col min="1" max="1" width="5.6328125" customWidth="1"/>
    <col min="2" max="2" width="25.6328125" customWidth="1"/>
    <col min="3" max="7" width="9.6328125" customWidth="1"/>
    <col min="8" max="8" width="12" bestFit="1" customWidth="1"/>
    <col min="9" max="9" width="9.6328125" customWidth="1"/>
    <col min="13" max="13" width="11.453125" bestFit="1" customWidth="1"/>
  </cols>
  <sheetData>
    <row r="1" spans="1:15" ht="18.5">
      <c r="A1" s="10" t="s">
        <v>97</v>
      </c>
      <c r="D1" s="7">
        <f>D3+D4+D5</f>
        <v>39216.896013754063</v>
      </c>
    </row>
    <row r="2" spans="1:15">
      <c r="C2" s="4">
        <v>2012</v>
      </c>
      <c r="D2" s="4">
        <v>2013</v>
      </c>
      <c r="E2" s="4">
        <f>1+D2</f>
        <v>2014</v>
      </c>
      <c r="F2" s="4">
        <f t="shared" ref="F2:I2" si="0">1+E2</f>
        <v>2015</v>
      </c>
      <c r="G2" s="4">
        <f t="shared" si="0"/>
        <v>2016</v>
      </c>
      <c r="H2" s="4">
        <f t="shared" si="0"/>
        <v>2017</v>
      </c>
      <c r="I2" s="4">
        <f t="shared" si="0"/>
        <v>2018</v>
      </c>
    </row>
    <row r="3" spans="1:15" ht="15" customHeight="1">
      <c r="B3" t="s">
        <v>0</v>
      </c>
      <c r="C3" s="7">
        <v>148217.90000000002</v>
      </c>
      <c r="D3" s="120">
        <f>'Ex 11 Teuer IS Pro Forma (HS)'!D3</f>
        <v>157761.9675539477</v>
      </c>
      <c r="E3" s="120">
        <f>'Ex 11 Teuer IS Pro Forma (HS)'!E3</f>
        <v>165817.63271494309</v>
      </c>
      <c r="F3" s="120">
        <f>'Ex 11 Teuer IS Pro Forma (HS)'!F3</f>
        <v>174208.46992403475</v>
      </c>
      <c r="G3" s="120">
        <f>'Ex 11 Teuer IS Pro Forma (HS)'!G3</f>
        <v>182700.89784268336</v>
      </c>
      <c r="H3" s="120">
        <f>'Ex 11 Teuer IS Pro Forma (HS)'!H3</f>
        <v>187834.9712689138</v>
      </c>
      <c r="I3" s="120">
        <f>'Ex 11 Teuer IS Pro Forma (HS)'!I3</f>
        <v>193113.31716592659</v>
      </c>
    </row>
    <row r="4" spans="1:15">
      <c r="B4" s="13" t="s">
        <v>46</v>
      </c>
      <c r="C4" s="7">
        <v>-112132.3</v>
      </c>
      <c r="D4" s="121">
        <f>-SUM('Ex 11 Teuer IS Pro Forma (HS)'!D4:D9)</f>
        <v>-102917.93870128745</v>
      </c>
      <c r="E4" s="121">
        <f>-SUM('Ex 11 Teuer IS Pro Forma (HS)'!E4:E9)</f>
        <v>-108142.57091690577</v>
      </c>
      <c r="F4" s="121">
        <f>-SUM('Ex 11 Teuer IS Pro Forma (HS)'!F4:F9)</f>
        <v>-114057.08828977834</v>
      </c>
      <c r="G4" s="121">
        <f>-SUM('Ex 11 Teuer IS Pro Forma (HS)'!G4:G9)</f>
        <v>-119707.66301966208</v>
      </c>
      <c r="H4" s="121">
        <f>-SUM('Ex 11 Teuer IS Pro Forma (HS)'!H4:H9)</f>
        <v>-121177.08769356605</v>
      </c>
      <c r="I4" s="121">
        <f>-SUM('Ex 11 Teuer IS Pro Forma (HS)'!I4:I9)</f>
        <v>-122798.85675767856</v>
      </c>
    </row>
    <row r="5" spans="1:15">
      <c r="B5" s="13" t="s">
        <v>47</v>
      </c>
      <c r="C5" s="11">
        <v>-14434.3</v>
      </c>
      <c r="D5" s="122">
        <f>'Ex 11 Teuer IS Pro Forma (HS)'!D10</f>
        <v>-15627.132838906191</v>
      </c>
      <c r="E5" s="122">
        <f>'Ex 11 Teuer IS Pro Forma (HS)'!E10</f>
        <v>-16437.319410617209</v>
      </c>
      <c r="F5" s="122">
        <f>'Ex 11 Teuer IS Pro Forma (HS)'!F10</f>
        <v>-17092.213856741175</v>
      </c>
      <c r="G5" s="122">
        <f>'Ex 11 Teuer IS Pro Forma (HS)'!G10</f>
        <v>-17889.258015501178</v>
      </c>
      <c r="H5" s="122">
        <f>'Ex 11 Teuer IS Pro Forma (HS)'!H10</f>
        <v>-19149.754579382552</v>
      </c>
      <c r="I5" s="122">
        <f>'Ex 11 Teuer IS Pro Forma (HS)'!I10</f>
        <v>-20401.251476662153</v>
      </c>
    </row>
    <row r="6" spans="1:15">
      <c r="B6" t="s">
        <v>22</v>
      </c>
      <c r="C6" s="7">
        <v>21651.4</v>
      </c>
      <c r="D6" s="7">
        <f>'Ex 11 Teuer IS Pro Forma (HS)'!D13</f>
        <v>23440.699258359287</v>
      </c>
      <c r="E6" s="7">
        <f>'Ex 11 Teuer IS Pro Forma (HS)'!E13</f>
        <v>24655.979115925809</v>
      </c>
      <c r="F6" s="7">
        <f>'Ex 11 Teuer IS Pro Forma (HS)'!F13</f>
        <v>25638.320785111762</v>
      </c>
      <c r="G6" s="7">
        <f>'Ex 11 Teuer IS Pro Forma (HS)'!G13</f>
        <v>26833.887023251762</v>
      </c>
      <c r="H6" s="7">
        <f>'Ex 11 Teuer IS Pro Forma (HS)'!H13</f>
        <v>28724.631869073823</v>
      </c>
      <c r="I6" s="7">
        <f>'Ex 11 Teuer IS Pro Forma (HS)'!I13</f>
        <v>30601.877214993227</v>
      </c>
      <c r="M6" t="s">
        <v>118</v>
      </c>
      <c r="N6" t="s">
        <v>120</v>
      </c>
      <c r="O6" t="s">
        <v>119</v>
      </c>
    </row>
    <row r="7" spans="1:15">
      <c r="B7" s="13" t="s">
        <v>78</v>
      </c>
      <c r="C7" s="7">
        <v>-2228.6</v>
      </c>
      <c r="D7" s="7">
        <f>-'Exh 6 Stores BS'!O95</f>
        <v>-2366.6780107764826</v>
      </c>
      <c r="E7" s="7">
        <f>-'Exh 6 Stores BS'!P95</f>
        <v>-3325.4327299306556</v>
      </c>
      <c r="F7" s="7">
        <f>-'Exh 6 Stores BS'!Q95</f>
        <v>-4113.9894630983918</v>
      </c>
      <c r="G7" s="7">
        <f>-'Exh 6 Stores BS'!R95</f>
        <v>-761.18830699454759</v>
      </c>
      <c r="H7" s="7">
        <f>-'Exh 6 Stores BS'!S95</f>
        <v>-321.98074746298283</v>
      </c>
      <c r="I7" s="7">
        <f>-'Exh 6 Stores BS'!T95</f>
        <v>-616.38428430149656</v>
      </c>
      <c r="L7">
        <v>2012</v>
      </c>
      <c r="M7" s="117">
        <f>-(C7+C9+C8)/C6</f>
        <v>0.42229601780947185</v>
      </c>
      <c r="N7" s="117">
        <f>C6/'Ex 12 Teuer BS Pro Forma (HS)'!C15</f>
        <v>0.29898131414758489</v>
      </c>
      <c r="O7" s="118">
        <f t="shared" ref="O7:O13" si="1">M7*N7</f>
        <v>0.12625861836396782</v>
      </c>
    </row>
    <row r="8" spans="1:15">
      <c r="B8" s="13" t="s">
        <v>48</v>
      </c>
      <c r="C8" s="7">
        <v>1450.1</v>
      </c>
      <c r="D8" s="7">
        <f>'Ex 11 Teuer IS Pro Forma (HS)'!D7</f>
        <v>1084.2</v>
      </c>
      <c r="E8" s="7">
        <f>'Ex 11 Teuer IS Pro Forma (HS)'!E7</f>
        <v>1372.7356021552964</v>
      </c>
      <c r="F8" s="7">
        <f>'Ex 11 Teuer IS Pro Forma (HS)'!F7</f>
        <v>1959.0221481414276</v>
      </c>
      <c r="G8" s="7">
        <f>'Ex 11 Teuer IS Pro Forma (HS)'!G7</f>
        <v>2631.4200407611061</v>
      </c>
      <c r="H8" s="7">
        <f>'Ex 11 Teuer IS Pro Forma (HS)'!H7</f>
        <v>2559.1777021600155</v>
      </c>
      <c r="I8" s="7">
        <f>'Ex 11 Teuer IS Pro Forma (HS)'!I7</f>
        <v>2177.8538516526123</v>
      </c>
      <c r="L8">
        <v>2013</v>
      </c>
      <c r="M8" s="117">
        <f>-(D7+D9+D8)/D6</f>
        <v>-0.30388838493838677</v>
      </c>
      <c r="N8" s="117">
        <f>D6/'Ex 12 Teuer BS Pro Forma (HS)'!D15</f>
        <v>0.35900301541388652</v>
      </c>
      <c r="O8" s="118">
        <f t="shared" si="1"/>
        <v>-0.10909684654213675</v>
      </c>
    </row>
    <row r="9" spans="1:15">
      <c r="B9" s="13" t="s">
        <v>49</v>
      </c>
      <c r="C9" s="11">
        <v>-8364.7999999999993</v>
      </c>
      <c r="D9" s="11">
        <f>-(D10+D11-D12-D13)</f>
        <v>8405.8342502257274</v>
      </c>
      <c r="E9" s="11">
        <f t="shared" ref="E9:I9" si="2">-(E10+E11-E12-E13)</f>
        <v>-2988.3480007823491</v>
      </c>
      <c r="F9" s="11">
        <f t="shared" si="2"/>
        <v>-3162.1803682856448</v>
      </c>
      <c r="G9" s="11">
        <f t="shared" si="2"/>
        <v>-3158.6380701375638</v>
      </c>
      <c r="H9" s="11">
        <f t="shared" si="2"/>
        <v>-1769.6837607279451</v>
      </c>
      <c r="I9" s="11">
        <f t="shared" si="2"/>
        <v>-1856.1866644126308</v>
      </c>
      <c r="L9">
        <v>2014</v>
      </c>
      <c r="M9" s="117">
        <f>-(E7+E9+E8)/E6</f>
        <v>0.20039946924542063</v>
      </c>
      <c r="N9" s="117">
        <f>E6/'Ex 12 Teuer BS Pro Forma (HS)'!E15</f>
        <v>0.35105013080502545</v>
      </c>
      <c r="O9" s="118">
        <f t="shared" si="1"/>
        <v>7.0350259891862582E-2</v>
      </c>
    </row>
    <row r="10" spans="1:15">
      <c r="B10" s="83" t="s">
        <v>102</v>
      </c>
      <c r="C10" s="7"/>
      <c r="D10" s="7">
        <f>'Ex 12 Teuer BS Pro Forma (HS)'!D4-'Ex 12 Teuer BS Pro Forma (HS)'!C4</f>
        <v>2973.5036603693879</v>
      </c>
      <c r="E10" s="7">
        <f>'Ex 12 Teuer BS Pro Forma (HS)'!E4-'Ex 12 Teuer BS Pro Forma (HS)'!D4</f>
        <v>2613.0270045085781</v>
      </c>
      <c r="F10" s="7">
        <f>'Ex 12 Teuer BS Pro Forma (HS)'!F4-'Ex 12 Teuer BS Pro Forma (HS)'!E4</f>
        <v>2721.7472151092661</v>
      </c>
      <c r="G10" s="7">
        <f>'Ex 12 Teuer BS Pro Forma (HS)'!G4-'Ex 12 Teuer BS Pro Forma (HS)'!F4</f>
        <v>2754.7003309816573</v>
      </c>
      <c r="H10" s="7">
        <f>'Ex 12 Teuer BS Pro Forma (HS)'!H4-'Ex 12 Teuer BS Pro Forma (HS)'!G4</f>
        <v>1665.3463417057355</v>
      </c>
      <c r="I10" s="7">
        <f>'Ex 12 Teuer BS Pro Forma (HS)'!I4-'Ex 12 Teuer BS Pro Forma (HS)'!H4</f>
        <v>1712.1441981989337</v>
      </c>
      <c r="L10">
        <v>2015</v>
      </c>
      <c r="M10" s="117">
        <f>-(F7+F9+F8)/F6</f>
        <v>0.20739063715632619</v>
      </c>
      <c r="N10" s="117">
        <f>F6/'Ex 12 Teuer BS Pro Forma (HS)'!F15</f>
        <v>0.33934636536830853</v>
      </c>
      <c r="O10" s="118">
        <f t="shared" si="1"/>
        <v>7.0377258930416978E-2</v>
      </c>
    </row>
    <row r="11" spans="1:15">
      <c r="B11" s="83" t="s">
        <v>103</v>
      </c>
      <c r="C11" s="7"/>
      <c r="D11" s="7">
        <f>'Ex 12 Teuer BS Pro Forma (HS)'!D5-'Ex 12 Teuer BS Pro Forma (HS)'!C5</f>
        <v>-12117.100092048026</v>
      </c>
      <c r="E11" s="7">
        <f>'Ex 12 Teuer BS Pro Forma (HS)'!E5-'Ex 12 Teuer BS Pro Forma (HS)'!D5</f>
        <v>906.60849580326612</v>
      </c>
      <c r="F11" s="7">
        <f>'Ex 12 Teuer BS Pro Forma (HS)'!F5-'Ex 12 Teuer BS Pro Forma (HS)'!E5</f>
        <v>1055.1562480463181</v>
      </c>
      <c r="G11" s="7">
        <f>'Ex 12 Teuer BS Pro Forma (HS)'!G5-'Ex 12 Teuer BS Pro Forma (HS)'!F5</f>
        <v>975.3125495256063</v>
      </c>
      <c r="H11" s="7">
        <f>'Ex 12 Teuer BS Pro Forma (HS)'!H5-'Ex 12 Teuer BS Pro Forma (HS)'!G5</f>
        <v>281.17036311858101</v>
      </c>
      <c r="I11" s="7">
        <f>'Ex 12 Teuer BS Pro Forma (HS)'!I5-'Ex 12 Teuer BS Pro Forma (HS)'!H5</f>
        <v>372.50652889558114</v>
      </c>
      <c r="L11">
        <v>2016</v>
      </c>
      <c r="M11" s="117">
        <f>-(G7+G9+G8)/G6</f>
        <v>4.8014152226794109E-2</v>
      </c>
      <c r="N11" s="117">
        <f>G6/'Ex 12 Teuer BS Pro Forma (HS)'!G15</f>
        <v>0.34921551577306503</v>
      </c>
      <c r="O11" s="118">
        <f t="shared" si="1"/>
        <v>1.6767286934286363E-2</v>
      </c>
    </row>
    <row r="12" spans="1:15">
      <c r="B12" s="83" t="s">
        <v>104</v>
      </c>
      <c r="C12" s="7"/>
      <c r="D12" s="7">
        <f>'Ex 12 Teuer BS Pro Forma (HS)'!D11-'Ex 12 Teuer BS Pro Forma (HS)'!C11</f>
        <v>-676.26950372958709</v>
      </c>
      <c r="E12" s="7">
        <f>'Ex 12 Teuer BS Pro Forma (HS)'!E11-'Ex 12 Teuer BS Pro Forma (HS)'!D11</f>
        <v>456.47984168556832</v>
      </c>
      <c r="F12" s="7">
        <f>'Ex 12 Teuer BS Pro Forma (HS)'!F11-'Ex 12 Teuer BS Pro Forma (HS)'!E11</f>
        <v>531.27403867417706</v>
      </c>
      <c r="G12" s="7">
        <f>'Ex 12 Teuer BS Pro Forma (HS)'!G11-'Ex 12 Teuer BS Pro Forma (HS)'!F11</f>
        <v>491.07251946380347</v>
      </c>
      <c r="H12" s="7">
        <f>'Ex 12 Teuer BS Pro Forma (HS)'!H11-'Ex 12 Teuer BS Pro Forma (HS)'!G11</f>
        <v>141.57004201612472</v>
      </c>
      <c r="I12" s="7">
        <f>'Ex 12 Teuer BS Pro Forma (HS)'!I11-'Ex 12 Teuer BS Pro Forma (HS)'!H11</f>
        <v>187.55804972513215</v>
      </c>
      <c r="L12">
        <v>2017</v>
      </c>
      <c r="M12" s="117">
        <f>-(H7+H9+H8)/H6</f>
        <v>-1.6275689662447253E-2</v>
      </c>
      <c r="N12" s="117">
        <f>H6/'Ex 12 Teuer BS Pro Forma (HS)'!H15</f>
        <v>0.37610995050534629</v>
      </c>
      <c r="O12" s="118">
        <f t="shared" si="1"/>
        <v>-6.1214488333834124E-3</v>
      </c>
    </row>
    <row r="13" spans="1:15">
      <c r="B13" s="83" t="s">
        <v>105</v>
      </c>
      <c r="C13" s="7"/>
      <c r="D13" s="7">
        <f>'Ex 12 Teuer BS Pro Forma (HS)'!D12-'Ex 12 Teuer BS Pro Forma (HS)'!C12</f>
        <v>-61.492677723323368</v>
      </c>
      <c r="E13" s="7">
        <f>'Ex 12 Teuer BS Pro Forma (HS)'!E12-'Ex 12 Teuer BS Pro Forma (HS)'!D12</f>
        <v>74.807657843927018</v>
      </c>
      <c r="F13" s="7">
        <f>'Ex 12 Teuer BS Pro Forma (HS)'!F12-'Ex 12 Teuer BS Pro Forma (HS)'!E12</f>
        <v>83.449056195762296</v>
      </c>
      <c r="G13" s="7">
        <f>'Ex 12 Teuer BS Pro Forma (HS)'!G12-'Ex 12 Teuer BS Pro Forma (HS)'!F12</f>
        <v>80.302290905896598</v>
      </c>
      <c r="H13" s="7">
        <f>'Ex 12 Teuer BS Pro Forma (HS)'!H12-'Ex 12 Teuer BS Pro Forma (HS)'!G12</f>
        <v>35.262902080246704</v>
      </c>
      <c r="I13" s="7">
        <f>'Ex 12 Teuer BS Pro Forma (HS)'!I12-'Ex 12 Teuer BS Pro Forma (HS)'!H12</f>
        <v>40.906012956751965</v>
      </c>
      <c r="L13">
        <v>2018</v>
      </c>
      <c r="M13" s="117">
        <f>-(I7+I9+I8)/I6</f>
        <v>9.6306868690107725E-3</v>
      </c>
      <c r="N13" s="117">
        <f>I6/'Ex 12 Teuer BS Pro Forma (HS)'!I15</f>
        <v>0.39914963656483343</v>
      </c>
      <c r="O13" s="118">
        <f t="shared" si="1"/>
        <v>3.8440851636353636E-3</v>
      </c>
    </row>
    <row r="14" spans="1:15">
      <c r="B14" t="s">
        <v>98</v>
      </c>
      <c r="C14" s="7">
        <v>12508.1</v>
      </c>
      <c r="D14" s="7">
        <f>D6+D7+D8+D9</f>
        <v>30564.055497808535</v>
      </c>
      <c r="E14" s="7">
        <f t="shared" ref="E14:I14" si="3">E6+E7+E8+E9</f>
        <v>19714.933987368098</v>
      </c>
      <c r="F14" s="7">
        <f t="shared" si="3"/>
        <v>20321.173101869153</v>
      </c>
      <c r="G14" s="7">
        <f t="shared" si="3"/>
        <v>25545.480686880757</v>
      </c>
      <c r="H14" s="7">
        <f t="shared" si="3"/>
        <v>29192.14506304291</v>
      </c>
      <c r="I14" s="7">
        <f t="shared" si="3"/>
        <v>30307.160117931711</v>
      </c>
    </row>
    <row r="15" spans="1:15">
      <c r="B15" t="s">
        <v>99</v>
      </c>
      <c r="D15" s="76"/>
      <c r="E15" s="76"/>
      <c r="F15" s="76"/>
      <c r="G15" s="76"/>
      <c r="H15" s="114" t="s">
        <v>112</v>
      </c>
      <c r="I15" s="7">
        <f>I14*(1+C24)/(C23-C24)</f>
        <v>364743.14793092228</v>
      </c>
      <c r="J15" s="114" t="s">
        <v>113</v>
      </c>
    </row>
    <row r="16" spans="1:15">
      <c r="D16" s="115">
        <f>D14</f>
        <v>30564.055497808535</v>
      </c>
      <c r="E16" s="115">
        <f t="shared" ref="E16:H16" si="4">E14</f>
        <v>19714.933987368098</v>
      </c>
      <c r="F16" s="115">
        <f t="shared" si="4"/>
        <v>20321.173101869153</v>
      </c>
      <c r="G16" s="115">
        <f t="shared" si="4"/>
        <v>25545.480686880757</v>
      </c>
      <c r="H16" s="115">
        <f t="shared" si="4"/>
        <v>29192.14506304291</v>
      </c>
      <c r="I16" s="116">
        <f>I14+I15</f>
        <v>395050.308048854</v>
      </c>
    </row>
    <row r="17" spans="1:12">
      <c r="B17" t="s">
        <v>106</v>
      </c>
      <c r="C17" s="84"/>
      <c r="D17" s="84"/>
      <c r="E17" s="84"/>
      <c r="F17" s="84"/>
      <c r="G17" s="84"/>
      <c r="H17" s="84"/>
      <c r="I17" s="84"/>
    </row>
    <row r="18" spans="1:12">
      <c r="B18" t="s">
        <v>107</v>
      </c>
      <c r="C18" s="1">
        <f>NPV(C23,D16:I16)</f>
        <v>289122.462333298</v>
      </c>
      <c r="E18" s="7"/>
      <c r="F18" s="7"/>
      <c r="G18" s="7"/>
      <c r="H18" s="7"/>
    </row>
    <row r="19" spans="1:12">
      <c r="B19" t="s">
        <v>100</v>
      </c>
      <c r="C19" s="101"/>
      <c r="E19" s="7"/>
      <c r="F19" s="7"/>
      <c r="G19" s="7"/>
      <c r="H19" s="7"/>
      <c r="I19" s="7"/>
    </row>
    <row r="20" spans="1:12">
      <c r="B20" t="s">
        <v>43</v>
      </c>
      <c r="C20" s="29">
        <f>C18/C26</f>
        <v>29.072143019939467</v>
      </c>
      <c r="D20" s="29"/>
      <c r="E20" s="29"/>
      <c r="F20" s="29"/>
      <c r="G20" s="29"/>
      <c r="H20" s="29"/>
      <c r="I20" s="29"/>
    </row>
    <row r="21" spans="1:12">
      <c r="C21" s="8"/>
      <c r="D21" s="7"/>
      <c r="E21" s="8"/>
      <c r="F21" s="8"/>
      <c r="G21" s="8"/>
      <c r="H21" s="8"/>
      <c r="I21" s="8"/>
    </row>
    <row r="22" spans="1:12">
      <c r="A22" s="20" t="s">
        <v>6</v>
      </c>
      <c r="D22" s="76"/>
    </row>
    <row r="23" spans="1:12">
      <c r="A23" s="20"/>
      <c r="B23" t="s">
        <v>42</v>
      </c>
      <c r="C23" s="49">
        <f>'Exh 10 Forecast Parameters'!B15</f>
        <v>0.12100000000000001</v>
      </c>
      <c r="D23" s="6"/>
    </row>
    <row r="24" spans="1:12">
      <c r="A24" s="20"/>
      <c r="B24" t="s">
        <v>94</v>
      </c>
      <c r="C24" s="49">
        <f>'Exh 10 Forecast Parameters'!B16</f>
        <v>3.5000000000000003E-2</v>
      </c>
      <c r="D24" s="26"/>
      <c r="E24" s="26"/>
      <c r="F24" s="26"/>
      <c r="G24" s="26"/>
      <c r="H24" s="26"/>
      <c r="I24" s="26"/>
    </row>
    <row r="25" spans="1:12">
      <c r="A25" s="20"/>
      <c r="B25" t="s">
        <v>44</v>
      </c>
      <c r="C25" s="78">
        <v>187</v>
      </c>
    </row>
    <row r="26" spans="1:12">
      <c r="A26" s="20"/>
      <c r="B26" t="s">
        <v>45</v>
      </c>
      <c r="C26" s="78">
        <f>'Exh 10 Forecast Parameters'!B17</f>
        <v>9945</v>
      </c>
    </row>
    <row r="27" spans="1:12">
      <c r="C27" s="7"/>
    </row>
    <row r="28" spans="1:12">
      <c r="C28" s="7"/>
    </row>
    <row r="30" spans="1:12" ht="18.5">
      <c r="A30" s="85" t="s">
        <v>74</v>
      </c>
      <c r="B30" s="85"/>
      <c r="C30" s="85"/>
      <c r="D30" s="85"/>
      <c r="E30" s="24"/>
      <c r="F30" s="24"/>
      <c r="G30" s="24"/>
      <c r="H30" s="24"/>
      <c r="I30" s="24"/>
      <c r="J30" s="24"/>
      <c r="K30" s="24"/>
      <c r="L30" s="24"/>
    </row>
    <row r="31" spans="1:12">
      <c r="A31" s="24"/>
      <c r="B31" s="24"/>
      <c r="C31" s="86">
        <v>2003</v>
      </c>
      <c r="D31" s="86">
        <v>2004</v>
      </c>
      <c r="E31" s="86">
        <v>2005</v>
      </c>
      <c r="F31" s="86">
        <v>2006</v>
      </c>
      <c r="G31" s="86">
        <v>2007</v>
      </c>
      <c r="H31" s="86">
        <v>2008</v>
      </c>
      <c r="I31" s="86">
        <v>2009</v>
      </c>
      <c r="J31" s="86">
        <v>2010</v>
      </c>
      <c r="K31" s="86">
        <v>2011</v>
      </c>
      <c r="L31" s="86">
        <v>2012</v>
      </c>
    </row>
    <row r="32" spans="1:12">
      <c r="A32" s="24"/>
      <c r="B32" s="24" t="s">
        <v>0</v>
      </c>
      <c r="C32" s="87"/>
      <c r="D32" s="41">
        <v>2057</v>
      </c>
      <c r="E32" s="41">
        <v>10415</v>
      </c>
      <c r="F32" s="41">
        <v>26701</v>
      </c>
      <c r="G32" s="41">
        <v>51540</v>
      </c>
      <c r="H32" s="41">
        <v>79191</v>
      </c>
      <c r="I32" s="41">
        <v>90680</v>
      </c>
      <c r="J32" s="41">
        <v>111451</v>
      </c>
      <c r="K32" s="41">
        <v>134093</v>
      </c>
      <c r="L32" s="41">
        <v>148218</v>
      </c>
    </row>
    <row r="33" spans="1:12">
      <c r="A33" s="24"/>
      <c r="B33" s="24" t="s">
        <v>46</v>
      </c>
      <c r="C33" s="87"/>
      <c r="D33" s="41">
        <v>-2583</v>
      </c>
      <c r="E33" s="41">
        <v>-12003</v>
      </c>
      <c r="F33" s="41">
        <v>-29394</v>
      </c>
      <c r="G33" s="41">
        <v>-53144</v>
      </c>
      <c r="H33" s="41">
        <v>-77592</v>
      </c>
      <c r="I33" s="41">
        <v>-84510</v>
      </c>
      <c r="J33" s="41">
        <v>-89222</v>
      </c>
      <c r="K33" s="41">
        <v>-100704</v>
      </c>
      <c r="L33" s="41">
        <v>-112132</v>
      </c>
    </row>
    <row r="34" spans="1:12">
      <c r="A34" s="24"/>
      <c r="B34" s="24" t="s">
        <v>47</v>
      </c>
      <c r="C34" s="88"/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-543</v>
      </c>
      <c r="J34" s="35">
        <v>-8892</v>
      </c>
      <c r="K34" s="35">
        <v>-13356</v>
      </c>
      <c r="L34" s="35">
        <v>-14434</v>
      </c>
    </row>
    <row r="35" spans="1:12">
      <c r="A35" s="24"/>
      <c r="B35" s="24" t="s">
        <v>22</v>
      </c>
      <c r="C35" s="87">
        <v>0</v>
      </c>
      <c r="D35" s="87">
        <v>-526</v>
      </c>
      <c r="E35" s="87">
        <v>-1588</v>
      </c>
      <c r="F35" s="87">
        <v>-2693</v>
      </c>
      <c r="G35" s="87">
        <v>-1604</v>
      </c>
      <c r="H35" s="87">
        <v>1600</v>
      </c>
      <c r="I35" s="87">
        <v>5626</v>
      </c>
      <c r="J35" s="87">
        <v>13337</v>
      </c>
      <c r="K35" s="87">
        <v>20033</v>
      </c>
      <c r="L35" s="87">
        <v>21651</v>
      </c>
    </row>
    <row r="36" spans="1:12">
      <c r="A36" s="24"/>
      <c r="B36" s="24" t="s">
        <v>78</v>
      </c>
      <c r="C36" s="41">
        <v>-358</v>
      </c>
      <c r="D36" s="41">
        <v>-1175</v>
      </c>
      <c r="E36" s="41">
        <v>-1814</v>
      </c>
      <c r="F36" s="41">
        <v>-2971</v>
      </c>
      <c r="G36" s="41">
        <v>-4058</v>
      </c>
      <c r="H36" s="41">
        <v>-924</v>
      </c>
      <c r="I36" s="41">
        <v>-394</v>
      </c>
      <c r="J36" s="41">
        <v>-752</v>
      </c>
      <c r="K36" s="41">
        <v>-1122</v>
      </c>
      <c r="L36" s="41">
        <v>-2229</v>
      </c>
    </row>
    <row r="37" spans="1:12">
      <c r="A37" s="24"/>
      <c r="B37" s="24" t="s">
        <v>48</v>
      </c>
      <c r="C37" s="41">
        <v>0</v>
      </c>
      <c r="D37" s="41">
        <v>72</v>
      </c>
      <c r="E37" s="41">
        <v>307</v>
      </c>
      <c r="F37" s="41">
        <v>669</v>
      </c>
      <c r="G37" s="41">
        <v>1264</v>
      </c>
      <c r="H37" s="41">
        <v>2075</v>
      </c>
      <c r="I37" s="41">
        <v>2188</v>
      </c>
      <c r="J37" s="41">
        <v>2032</v>
      </c>
      <c r="K37" s="41">
        <v>1820</v>
      </c>
      <c r="L37" s="41">
        <v>1450</v>
      </c>
    </row>
    <row r="38" spans="1:12">
      <c r="A38" s="24"/>
      <c r="B38" s="24" t="s">
        <v>49</v>
      </c>
      <c r="C38" s="35">
        <v>-406</v>
      </c>
      <c r="D38" s="35">
        <v>-2193</v>
      </c>
      <c r="E38" s="35">
        <v>-5957</v>
      </c>
      <c r="F38" s="35">
        <v>-9467</v>
      </c>
      <c r="G38" s="35">
        <v>-11645</v>
      </c>
      <c r="H38" s="35">
        <v>-8498</v>
      </c>
      <c r="I38" s="35">
        <v>-6281</v>
      </c>
      <c r="J38" s="35">
        <v>-8494</v>
      </c>
      <c r="K38" s="35">
        <v>-7192</v>
      </c>
      <c r="L38" s="35">
        <v>-8365</v>
      </c>
    </row>
    <row r="39" spans="1:12">
      <c r="A39" s="24"/>
      <c r="B39" s="24" t="s">
        <v>91</v>
      </c>
      <c r="C39" s="87">
        <v>-764</v>
      </c>
      <c r="D39" s="87">
        <v>-3823</v>
      </c>
      <c r="E39" s="87">
        <v>-9052</v>
      </c>
      <c r="F39" s="87">
        <v>-14461</v>
      </c>
      <c r="G39" s="87">
        <v>-16043</v>
      </c>
      <c r="H39" s="87">
        <v>-5747</v>
      </c>
      <c r="I39" s="87">
        <v>1139</v>
      </c>
      <c r="J39" s="87">
        <v>6124</v>
      </c>
      <c r="K39" s="87">
        <v>13539</v>
      </c>
      <c r="L39" s="87">
        <v>12508</v>
      </c>
    </row>
  </sheetData>
  <pageMargins left="0.7" right="0.7" top="0.75" bottom="0.75" header="0.3" footer="0.3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0FAD-613A-B440-886B-4F7EA23CF31C}">
  <sheetPr>
    <tabColor theme="7" tint="0.39997558519241921"/>
    <pageSetUpPr fitToPage="1"/>
  </sheetPr>
  <dimension ref="A1:AF107"/>
  <sheetViews>
    <sheetView zoomScale="133" workbookViewId="0">
      <pane xSplit="4" ySplit="2" topLeftCell="E86" activePane="bottomRight" state="frozen"/>
      <selection activeCell="A9" sqref="A9"/>
      <selection pane="topRight" activeCell="A9" sqref="A9"/>
      <selection pane="bottomLeft" activeCell="A9" sqref="A9"/>
      <selection pane="bottomRight" activeCell="O101" sqref="O101"/>
    </sheetView>
  </sheetViews>
  <sheetFormatPr defaultColWidth="8.81640625" defaultRowHeight="14.5"/>
  <cols>
    <col min="1" max="1" width="4.453125" customWidth="1"/>
    <col min="2" max="2" width="12.6328125" customWidth="1"/>
    <col min="3" max="3" width="3.6328125" customWidth="1"/>
    <col min="4" max="4" width="6.6328125" customWidth="1"/>
    <col min="5" max="14" width="6.1796875" customWidth="1"/>
    <col min="15" max="21" width="7.6328125" customWidth="1"/>
    <col min="24" max="24" width="9.6328125" customWidth="1"/>
    <col min="25" max="32" width="5.36328125" customWidth="1"/>
  </cols>
  <sheetData>
    <row r="1" spans="1:32" ht="18.5">
      <c r="A1" s="10" t="s">
        <v>76</v>
      </c>
    </row>
    <row r="2" spans="1:32" ht="14" customHeight="1">
      <c r="A2" s="51"/>
      <c r="B2" s="51"/>
      <c r="C2" s="65" t="s">
        <v>55</v>
      </c>
      <c r="D2" s="65" t="s">
        <v>27</v>
      </c>
      <c r="E2" s="51"/>
      <c r="F2" s="52">
        <v>2004</v>
      </c>
      <c r="G2" s="52">
        <v>2005</v>
      </c>
      <c r="H2" s="52">
        <v>2006</v>
      </c>
      <c r="I2" s="52">
        <v>2007</v>
      </c>
      <c r="J2" s="52">
        <v>2008</v>
      </c>
      <c r="K2" s="52">
        <v>2009</v>
      </c>
      <c r="L2" s="52">
        <v>2010</v>
      </c>
      <c r="M2" s="52">
        <v>2011</v>
      </c>
      <c r="N2" s="52">
        <v>2012</v>
      </c>
      <c r="O2" s="53">
        <v>2013</v>
      </c>
      <c r="P2" s="53">
        <v>2014</v>
      </c>
      <c r="Q2" s="53">
        <v>2015</v>
      </c>
      <c r="R2" s="53">
        <v>2016</v>
      </c>
      <c r="S2" s="53">
        <v>2017</v>
      </c>
      <c r="T2" s="53">
        <v>2018</v>
      </c>
      <c r="U2" s="53">
        <v>2019</v>
      </c>
      <c r="V2" s="53"/>
      <c r="W2" s="53"/>
    </row>
    <row r="3" spans="1:32" ht="14" customHeight="1">
      <c r="A3" s="80">
        <v>2003</v>
      </c>
      <c r="B3" s="56"/>
      <c r="C3" s="57">
        <v>1</v>
      </c>
      <c r="D3" s="58">
        <v>17200</v>
      </c>
      <c r="E3" s="56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/>
      <c r="W3" s="56"/>
    </row>
    <row r="4" spans="1:32" ht="14" customHeight="1">
      <c r="A4" s="65"/>
      <c r="B4" s="51" t="s">
        <v>0</v>
      </c>
      <c r="C4" s="51"/>
      <c r="D4" s="55"/>
      <c r="E4" s="51"/>
      <c r="F4" s="60">
        <v>2056.5</v>
      </c>
      <c r="G4" s="60">
        <v>3754</v>
      </c>
      <c r="H4" s="60">
        <v>5223.5</v>
      </c>
      <c r="I4" s="60">
        <v>6147.9</v>
      </c>
      <c r="J4" s="60">
        <v>6341</v>
      </c>
      <c r="K4" s="60">
        <v>5503</v>
      </c>
      <c r="L4" s="60">
        <v>5635.5</v>
      </c>
      <c r="M4" s="60">
        <v>5871</v>
      </c>
      <c r="N4" s="60">
        <v>6034</v>
      </c>
      <c r="O4" s="119">
        <f>N4*(1+'Exh 2 Econ Indicators'!M8)</f>
        <v>6215.02</v>
      </c>
      <c r="P4" s="119">
        <f>O4*(1+'Exh 2 Econ Indicators'!N8)</f>
        <v>6389.0405600000004</v>
      </c>
      <c r="Q4" s="119">
        <f>P4*(1+'Exh 2 Econ Indicators'!O8)</f>
        <v>6555.1556145600007</v>
      </c>
      <c r="R4" s="119">
        <f>Q4*(1+'Exh 2 Econ Indicators'!P8)</f>
        <v>6712.4793493094412</v>
      </c>
      <c r="S4" s="119">
        <f>R4*(1+'Exh 2 Econ Indicators'!Q8)</f>
        <v>6860.1538949942487</v>
      </c>
      <c r="T4" s="119">
        <f>S4*(1+'Exh 2 Econ Indicators'!R8)</f>
        <v>6997.3569728941338</v>
      </c>
      <c r="U4" s="119">
        <f>T4*(1+'Exh 2 Econ Indicators'!S8)</f>
        <v>7137.304112352017</v>
      </c>
      <c r="V4" s="55"/>
      <c r="W4" s="55"/>
      <c r="X4" s="12"/>
    </row>
    <row r="5" spans="1:32" ht="14" customHeight="1">
      <c r="A5" s="65"/>
      <c r="B5" s="51" t="s">
        <v>1</v>
      </c>
      <c r="C5" s="51"/>
      <c r="D5" s="55"/>
      <c r="E5" s="51"/>
      <c r="F5" s="60">
        <v>1462.9</v>
      </c>
      <c r="G5" s="60">
        <v>2308.9</v>
      </c>
      <c r="H5" s="60">
        <v>3018.3</v>
      </c>
      <c r="I5" s="60">
        <v>2393.6</v>
      </c>
      <c r="J5" s="60">
        <v>2753.3</v>
      </c>
      <c r="K5" s="60">
        <v>2311.1999999999998</v>
      </c>
      <c r="L5" s="60">
        <v>2194.1</v>
      </c>
      <c r="M5" s="60">
        <v>2149.6999999999998</v>
      </c>
      <c r="N5" s="60">
        <v>2416</v>
      </c>
      <c r="O5" s="81">
        <f>'Exh 8 Sales Forecasting'!$F$24*O4</f>
        <v>2441.5270638563702</v>
      </c>
      <c r="P5" s="81">
        <f>'Exh 8 Sales Forecasting'!$F$24*P4</f>
        <v>2509.8898216443481</v>
      </c>
      <c r="Q5" s="81">
        <f>'Exh 8 Sales Forecasting'!$F$24*Q4</f>
        <v>2575.1469570071017</v>
      </c>
      <c r="R5" s="81">
        <f>'Exh 8 Sales Forecasting'!$F$24*R4</f>
        <v>2636.9504839752722</v>
      </c>
      <c r="S5" s="81">
        <f>'Exh 8 Sales Forecasting'!$F$24*S4</f>
        <v>2694.9633946227282</v>
      </c>
      <c r="T5" s="81">
        <f>'Exh 8 Sales Forecasting'!$F$24*T4</f>
        <v>2748.8626625151828</v>
      </c>
      <c r="U5" s="81">
        <f>'Exh 8 Sales Forecasting'!$F$24*U4</f>
        <v>2803.8399157654867</v>
      </c>
      <c r="V5" s="55"/>
      <c r="W5" s="55"/>
      <c r="X5" s="12"/>
      <c r="Y5" s="60"/>
      <c r="Z5" s="60"/>
      <c r="AA5" s="60"/>
      <c r="AB5" s="60"/>
      <c r="AC5" s="60"/>
      <c r="AD5" s="60"/>
      <c r="AE5" s="60"/>
      <c r="AF5" s="60"/>
    </row>
    <row r="6" spans="1:32" ht="14" customHeight="1">
      <c r="A6" s="65"/>
      <c r="B6" s="51" t="s">
        <v>19</v>
      </c>
      <c r="C6" s="51"/>
      <c r="D6" s="55"/>
      <c r="E6" s="51"/>
      <c r="F6" s="60">
        <v>409.5</v>
      </c>
      <c r="G6" s="60">
        <v>640.20000000000005</v>
      </c>
      <c r="H6" s="60">
        <v>856.7</v>
      </c>
      <c r="I6" s="60">
        <v>855.5</v>
      </c>
      <c r="J6" s="60">
        <v>815.1</v>
      </c>
      <c r="K6" s="60">
        <v>765.1</v>
      </c>
      <c r="L6" s="60">
        <v>766.8</v>
      </c>
      <c r="M6" s="60">
        <v>686.6</v>
      </c>
      <c r="N6" s="60">
        <v>791</v>
      </c>
      <c r="O6" s="81">
        <f>'Exh 8 Sales Forecasting'!$F$36*O4</f>
        <v>845.18938071264574</v>
      </c>
      <c r="P6" s="81">
        <f>'Exh 8 Sales Forecasting'!$F$36*P4</f>
        <v>868.85468337259988</v>
      </c>
      <c r="Q6" s="81">
        <f>'Exh 8 Sales Forecasting'!$F$36*Q4</f>
        <v>891.44490514028746</v>
      </c>
      <c r="R6" s="81">
        <f>'Exh 8 Sales Forecasting'!$F$36*R4</f>
        <v>912.83958286365441</v>
      </c>
      <c r="S6" s="81">
        <f>'Exh 8 Sales Forecasting'!$F$36*S4</f>
        <v>932.92205368665486</v>
      </c>
      <c r="T6" s="81">
        <f>'Exh 8 Sales Forecasting'!$F$36*T4</f>
        <v>951.58049476038798</v>
      </c>
      <c r="U6" s="81">
        <f>'Exh 8 Sales Forecasting'!$F$36*U4</f>
        <v>970.61210465559577</v>
      </c>
      <c r="V6" s="55"/>
      <c r="W6" s="55"/>
      <c r="X6" s="12"/>
      <c r="Y6" s="51"/>
      <c r="Z6" s="60"/>
      <c r="AA6" s="60"/>
      <c r="AB6" s="60"/>
      <c r="AC6" s="60"/>
      <c r="AD6" s="60"/>
      <c r="AE6" s="60"/>
      <c r="AF6" s="60"/>
    </row>
    <row r="7" spans="1:32" ht="14" customHeight="1">
      <c r="A7" s="65"/>
      <c r="B7" s="51" t="s">
        <v>16</v>
      </c>
      <c r="C7" s="51"/>
      <c r="D7" s="55"/>
      <c r="E7" s="51"/>
      <c r="F7" s="60">
        <v>203.4</v>
      </c>
      <c r="G7" s="60">
        <v>334.1</v>
      </c>
      <c r="H7" s="60">
        <v>399.3</v>
      </c>
      <c r="I7" s="60">
        <v>434.1</v>
      </c>
      <c r="J7" s="60">
        <v>421.9</v>
      </c>
      <c r="K7" s="60">
        <v>422.9</v>
      </c>
      <c r="L7" s="60">
        <v>391</v>
      </c>
      <c r="M7" s="60">
        <v>401.2</v>
      </c>
      <c r="N7" s="60">
        <v>457</v>
      </c>
      <c r="O7" s="81">
        <f>'Exh 8 Sales Forecasting'!$F$48*O4</f>
        <v>445.16753286724213</v>
      </c>
      <c r="P7" s="81">
        <f>'Exh 8 Sales Forecasting'!$F$48*P4</f>
        <v>457.63222378752494</v>
      </c>
      <c r="Q7" s="81">
        <f>'Exh 8 Sales Forecasting'!$F$48*Q4</f>
        <v>469.53066160600059</v>
      </c>
      <c r="R7" s="81">
        <f>'Exh 8 Sales Forecasting'!$F$48*R4</f>
        <v>480.79939748454461</v>
      </c>
      <c r="S7" s="81">
        <f>'Exh 8 Sales Forecasting'!$F$48*S4</f>
        <v>491.3769842292046</v>
      </c>
      <c r="T7" s="81">
        <f>'Exh 8 Sales Forecasting'!$F$48*T4</f>
        <v>501.20452391378871</v>
      </c>
      <c r="U7" s="81">
        <f>'Exh 8 Sales Forecasting'!$F$48*U4</f>
        <v>511.22861439206451</v>
      </c>
      <c r="V7" s="55"/>
      <c r="W7" s="55"/>
      <c r="X7" s="12"/>
      <c r="Y7" s="51"/>
      <c r="Z7" s="51"/>
      <c r="AA7" s="60"/>
      <c r="AB7" s="60"/>
      <c r="AC7" s="60"/>
      <c r="AD7" s="60"/>
      <c r="AE7" s="60"/>
      <c r="AF7" s="60"/>
    </row>
    <row r="8" spans="1:32" ht="14" customHeight="1">
      <c r="A8" s="65"/>
      <c r="B8" s="51" t="s">
        <v>17</v>
      </c>
      <c r="C8" s="51"/>
      <c r="D8" s="55"/>
      <c r="E8" s="51"/>
      <c r="F8" s="60">
        <f>SUM('Exh 6 Stores BS'!A4:E4)/5</f>
        <v>71.599999999999994</v>
      </c>
      <c r="G8" s="60">
        <f>SUM('Exh 6 Stores BS'!B4:F4)/5</f>
        <v>71.599999999999994</v>
      </c>
      <c r="H8" s="60">
        <f>SUM('Exh 6 Stores BS'!C4:G4)/5</f>
        <v>71.599999999999994</v>
      </c>
      <c r="I8" s="60">
        <f>SUM('Exh 6 Stores BS'!D4:H4)/5</f>
        <v>71.599999999999994</v>
      </c>
      <c r="J8" s="60">
        <f>SUM('Exh 6 Stores BS'!E4:I4)/5</f>
        <v>71.599999999999994</v>
      </c>
      <c r="K8" s="60">
        <f>SUM('Exh 6 Stores BS'!F4:J4)/5</f>
        <v>0</v>
      </c>
      <c r="L8" s="60">
        <f>SUM('Exh 6 Stores BS'!G4:K4)/5</f>
        <v>0</v>
      </c>
      <c r="M8" s="60">
        <f>SUM('Exh 6 Stores BS'!H4:L4)/5</f>
        <v>0</v>
      </c>
      <c r="N8" s="60">
        <f>SUM('Exh 6 Stores BS'!I4:M4)/5</f>
        <v>64.88</v>
      </c>
      <c r="O8" s="93">
        <f>SUM('Exh 6 Stores BS'!J4:N4)/5</f>
        <v>64.88</v>
      </c>
      <c r="P8" s="93">
        <f>SUM('Exh 6 Stores BS'!K4:O4)/5</f>
        <v>64.88</v>
      </c>
      <c r="Q8" s="93">
        <f>SUM('Exh 6 Stores BS'!L4:P4)/5</f>
        <v>64.88</v>
      </c>
      <c r="R8" s="93">
        <f>SUM('Exh 6 Stores BS'!M4:Q4)/5</f>
        <v>64.88</v>
      </c>
      <c r="S8" s="93">
        <v>0</v>
      </c>
      <c r="T8" s="93">
        <v>0</v>
      </c>
      <c r="U8" s="82">
        <v>0</v>
      </c>
      <c r="V8" s="62"/>
      <c r="W8" s="62"/>
      <c r="X8" s="12"/>
      <c r="Y8" s="51"/>
      <c r="Z8" s="51"/>
      <c r="AA8" s="51"/>
      <c r="AB8" s="60"/>
      <c r="AC8" s="60"/>
      <c r="AD8" s="60"/>
      <c r="AE8" s="60"/>
      <c r="AF8" s="60"/>
    </row>
    <row r="9" spans="1:32" ht="14" customHeight="1">
      <c r="A9" s="65"/>
      <c r="B9" s="51" t="s">
        <v>10</v>
      </c>
      <c r="C9" s="51"/>
      <c r="D9" s="55"/>
      <c r="E9" s="63"/>
      <c r="F9" s="60">
        <v>250</v>
      </c>
      <c r="G9" s="60">
        <f>F9</f>
        <v>250</v>
      </c>
      <c r="H9" s="60">
        <f>G9</f>
        <v>250</v>
      </c>
      <c r="I9" s="60">
        <f>H9</f>
        <v>250</v>
      </c>
      <c r="J9" s="60">
        <f>I9</f>
        <v>250</v>
      </c>
      <c r="K9" s="60">
        <f>J9</f>
        <v>250</v>
      </c>
      <c r="L9" s="60">
        <v>302</v>
      </c>
      <c r="M9" s="60">
        <f>L9</f>
        <v>302</v>
      </c>
      <c r="N9" s="60">
        <f>M9</f>
        <v>302</v>
      </c>
      <c r="O9" s="93">
        <f>N9</f>
        <v>302</v>
      </c>
      <c r="P9" s="93">
        <f t="shared" ref="P9:Q9" si="0">O9</f>
        <v>302</v>
      </c>
      <c r="Q9" s="93">
        <f t="shared" si="0"/>
        <v>302</v>
      </c>
      <c r="R9" s="93">
        <f>Q9*(1+2%)^6</f>
        <v>340.10105061772805</v>
      </c>
      <c r="S9" s="93">
        <f>R9</f>
        <v>340.10105061772805</v>
      </c>
      <c r="T9" s="93">
        <f t="shared" ref="T9:U9" si="1">S9</f>
        <v>340.10105061772805</v>
      </c>
      <c r="U9" s="82">
        <f t="shared" si="1"/>
        <v>340.10105061772805</v>
      </c>
      <c r="V9" s="59"/>
      <c r="W9" s="59"/>
      <c r="X9" s="12"/>
      <c r="Y9" s="51"/>
      <c r="Z9" s="51"/>
      <c r="AA9" s="51"/>
      <c r="AB9" s="51"/>
      <c r="AC9" s="60"/>
      <c r="AD9" s="60"/>
      <c r="AE9" s="60"/>
      <c r="AF9" s="60"/>
    </row>
    <row r="10" spans="1:32" ht="14" customHeight="1">
      <c r="A10" s="80">
        <v>2004</v>
      </c>
      <c r="B10" s="56"/>
      <c r="C10" s="57">
        <v>3</v>
      </c>
      <c r="D10" s="58">
        <v>17600</v>
      </c>
      <c r="E10" s="56"/>
      <c r="F10" s="56"/>
      <c r="G10" s="56">
        <v>1</v>
      </c>
      <c r="H10" s="56">
        <v>2</v>
      </c>
      <c r="I10" s="56">
        <v>3</v>
      </c>
      <c r="J10" s="56">
        <v>4</v>
      </c>
      <c r="K10" s="56">
        <v>5</v>
      </c>
      <c r="L10" s="56">
        <v>6</v>
      </c>
      <c r="M10" s="56">
        <v>7</v>
      </c>
      <c r="N10" s="56">
        <v>8</v>
      </c>
      <c r="O10" s="56">
        <v>9</v>
      </c>
      <c r="P10" s="56">
        <v>10</v>
      </c>
      <c r="Q10" s="56">
        <v>11</v>
      </c>
      <c r="R10" s="56">
        <v>12</v>
      </c>
      <c r="S10" s="56">
        <v>13</v>
      </c>
      <c r="T10" s="56">
        <v>14</v>
      </c>
      <c r="U10" s="56">
        <v>15</v>
      </c>
      <c r="V10" s="56"/>
      <c r="W10" s="56"/>
      <c r="X10" s="12"/>
      <c r="Y10" s="51"/>
      <c r="Z10" s="51"/>
      <c r="AA10" s="51"/>
      <c r="AB10" s="51"/>
      <c r="AC10" s="51"/>
      <c r="AD10" s="60"/>
      <c r="AE10" s="60"/>
      <c r="AF10" s="60"/>
    </row>
    <row r="11" spans="1:32" ht="14" customHeight="1">
      <c r="A11" s="65"/>
      <c r="B11" s="51" t="s">
        <v>0</v>
      </c>
      <c r="C11" s="51"/>
      <c r="D11" s="55"/>
      <c r="E11" s="51"/>
      <c r="F11" s="51"/>
      <c r="G11" s="60">
        <v>6661</v>
      </c>
      <c r="H11" s="60">
        <v>11907.4</v>
      </c>
      <c r="I11" s="60">
        <v>15157.8</v>
      </c>
      <c r="J11" s="60">
        <v>16487.5</v>
      </c>
      <c r="K11" s="60">
        <v>15445.6</v>
      </c>
      <c r="L11" s="60">
        <v>16187.3</v>
      </c>
      <c r="M11" s="60">
        <v>17278.900000000001</v>
      </c>
      <c r="N11" s="60">
        <v>17868.5</v>
      </c>
      <c r="O11" s="119">
        <f>N11*(1+'Exh 2 Econ Indicators'!M8)</f>
        <v>18404.555</v>
      </c>
      <c r="P11" s="119">
        <f>O11*(1+'Exh 2 Econ Indicators'!N8)</f>
        <v>18919.882540000002</v>
      </c>
      <c r="Q11" s="119">
        <f>P11*(1+'Exh 2 Econ Indicators'!O8)</f>
        <v>19411.799486040003</v>
      </c>
      <c r="R11" s="119">
        <f>Q11*(1+'Exh 2 Econ Indicators'!P8)</f>
        <v>19877.682673704963</v>
      </c>
      <c r="S11" s="119">
        <f>R11*(1+'Exh 2 Econ Indicators'!Q8)</f>
        <v>20314.991692526473</v>
      </c>
      <c r="T11" s="119">
        <f>S11*(1+'Exh 2 Econ Indicators'!R8)</f>
        <v>20721.291526377005</v>
      </c>
      <c r="U11" s="119">
        <f>T11*(1+'Exh 2 Econ Indicators'!S8)</f>
        <v>21135.717356904544</v>
      </c>
      <c r="V11" s="55"/>
      <c r="W11" s="55"/>
    </row>
    <row r="12" spans="1:32" ht="14" customHeight="1">
      <c r="A12" s="65"/>
      <c r="B12" s="51" t="s">
        <v>1</v>
      </c>
      <c r="C12" s="51"/>
      <c r="D12" s="55"/>
      <c r="E12" s="51"/>
      <c r="F12" s="51"/>
      <c r="G12" s="60">
        <v>4747.8</v>
      </c>
      <c r="H12" s="60">
        <v>7427.7</v>
      </c>
      <c r="I12" s="60">
        <v>7893.7</v>
      </c>
      <c r="J12" s="60">
        <v>7216.3</v>
      </c>
      <c r="K12" s="60">
        <v>6031.4</v>
      </c>
      <c r="L12" s="60">
        <v>6675</v>
      </c>
      <c r="M12" s="60">
        <v>6691.1</v>
      </c>
      <c r="N12" s="60">
        <v>7175.9</v>
      </c>
      <c r="O12" s="81">
        <f>'Exh 8 Sales Forecasting'!$F$24*O11</f>
        <v>7230.1004873247502</v>
      </c>
      <c r="P12" s="81">
        <f>'Exh 8 Sales Forecasting'!$F$24*P11</f>
        <v>7432.5433009698445</v>
      </c>
      <c r="Q12" s="81">
        <f>'Exh 8 Sales Forecasting'!$F$24*Q11</f>
        <v>7625.7894267950605</v>
      </c>
      <c r="R12" s="81">
        <f>'Exh 8 Sales Forecasting'!$F$24*R11</f>
        <v>7808.8083730381422</v>
      </c>
      <c r="S12" s="81">
        <f>'Exh 8 Sales Forecasting'!$F$24*S11</f>
        <v>7980.6021572449818</v>
      </c>
      <c r="T12" s="81">
        <f>'Exh 8 Sales Forecasting'!$F$24*T11</f>
        <v>8140.2142003898816</v>
      </c>
      <c r="U12" s="81">
        <f>'Exh 8 Sales Forecasting'!$F$24*U11</f>
        <v>8303.0184843976785</v>
      </c>
      <c r="V12" s="55"/>
      <c r="W12" s="55"/>
    </row>
    <row r="13" spans="1:32" ht="14" customHeight="1">
      <c r="A13" s="65"/>
      <c r="B13" s="51" t="s">
        <v>19</v>
      </c>
      <c r="C13" s="51"/>
      <c r="D13" s="55"/>
      <c r="E13" s="51"/>
      <c r="F13" s="51"/>
      <c r="G13" s="60">
        <v>1171.3</v>
      </c>
      <c r="H13" s="60">
        <v>2147.6999999999998</v>
      </c>
      <c r="I13" s="60">
        <v>2631.4</v>
      </c>
      <c r="J13" s="60">
        <v>2323.4</v>
      </c>
      <c r="K13" s="60">
        <v>2238.6</v>
      </c>
      <c r="L13" s="60">
        <v>2224.1999999999998</v>
      </c>
      <c r="M13" s="60">
        <v>2394.6999999999998</v>
      </c>
      <c r="N13" s="60">
        <v>2318.6999999999998</v>
      </c>
      <c r="O13" s="81">
        <f>'Exh 8 Sales Forecasting'!$F$36*O11</f>
        <v>2502.8615262286889</v>
      </c>
      <c r="P13" s="81">
        <f>'Exh 8 Sales Forecasting'!$F$36*P11</f>
        <v>2572.9416489630926</v>
      </c>
      <c r="Q13" s="81">
        <f>'Exh 8 Sales Forecasting'!$F$36*Q11</f>
        <v>2639.838131836133</v>
      </c>
      <c r="R13" s="81">
        <f>'Exh 8 Sales Forecasting'!$F$36*R11</f>
        <v>2703.1942470002004</v>
      </c>
      <c r="S13" s="81">
        <f>'Exh 8 Sales Forecasting'!$F$36*S11</f>
        <v>2762.6645204342049</v>
      </c>
      <c r="T13" s="81">
        <f>'Exh 8 Sales Forecasting'!$F$36*T11</f>
        <v>2817.9178108428891</v>
      </c>
      <c r="U13" s="81">
        <f>'Exh 8 Sales Forecasting'!$F$36*U11</f>
        <v>2874.276167059747</v>
      </c>
      <c r="V13" s="55"/>
      <c r="W13" s="55"/>
    </row>
    <row r="14" spans="1:32" ht="14" customHeight="1">
      <c r="A14" s="65"/>
      <c r="B14" s="51" t="s">
        <v>16</v>
      </c>
      <c r="C14" s="51"/>
      <c r="D14" s="55"/>
      <c r="E14" s="51"/>
      <c r="F14" s="51"/>
      <c r="G14" s="60">
        <v>684.6</v>
      </c>
      <c r="H14" s="60">
        <v>970.6</v>
      </c>
      <c r="I14" s="60">
        <v>1265.5999999999999</v>
      </c>
      <c r="J14" s="60">
        <v>1213</v>
      </c>
      <c r="K14" s="60">
        <v>1235</v>
      </c>
      <c r="L14" s="60">
        <v>1241</v>
      </c>
      <c r="M14" s="60">
        <v>1245</v>
      </c>
      <c r="N14" s="60">
        <v>1287</v>
      </c>
      <c r="O14" s="81">
        <f>'Exh 8 Sales Forecasting'!$F$48*O11</f>
        <v>1318.2757807488094</v>
      </c>
      <c r="P14" s="81">
        <f>'Exh 8 Sales Forecasting'!$F$48*P11</f>
        <v>1355.1875026097762</v>
      </c>
      <c r="Q14" s="81">
        <f>'Exh 8 Sales Forecasting'!$F$48*Q11</f>
        <v>1390.4223776776305</v>
      </c>
      <c r="R14" s="81">
        <f>'Exh 8 Sales Forecasting'!$F$48*R11</f>
        <v>1423.7925147418935</v>
      </c>
      <c r="S14" s="81">
        <f>'Exh 8 Sales Forecasting'!$F$48*S11</f>
        <v>1455.1159500662152</v>
      </c>
      <c r="T14" s="81">
        <f>'Exh 8 Sales Forecasting'!$F$48*T11</f>
        <v>1484.2182690675397</v>
      </c>
      <c r="U14" s="81">
        <f>'Exh 8 Sales Forecasting'!$F$48*U11</f>
        <v>1513.9026344488905</v>
      </c>
      <c r="V14" s="55"/>
      <c r="W14" s="55"/>
    </row>
    <row r="15" spans="1:32" ht="14" customHeight="1">
      <c r="A15" s="65"/>
      <c r="B15" s="51" t="s">
        <v>17</v>
      </c>
      <c r="C15" s="51"/>
      <c r="D15" s="55"/>
      <c r="E15" s="51"/>
      <c r="F15" s="59"/>
      <c r="G15" s="60">
        <f>SUM('Exh 6 Stores BS'!B11:F11)/5</f>
        <v>235</v>
      </c>
      <c r="H15" s="60">
        <f>SUM('Exh 6 Stores BS'!C11:G11)/5</f>
        <v>235</v>
      </c>
      <c r="I15" s="60">
        <f>SUM('Exh 6 Stores BS'!D11:H11)/5</f>
        <v>235</v>
      </c>
      <c r="J15" s="60">
        <f>SUM('Exh 6 Stores BS'!E11:I11)/5</f>
        <v>235</v>
      </c>
      <c r="K15" s="60">
        <f>SUM('Exh 6 Stores BS'!F11:J11)/5</f>
        <v>235</v>
      </c>
      <c r="L15" s="60">
        <f>SUM('Exh 6 Stores BS'!G11:K11)/5</f>
        <v>0</v>
      </c>
      <c r="M15" s="60">
        <f>SUM('Exh 6 Stores BS'!H11:L11)/5</f>
        <v>0</v>
      </c>
      <c r="N15" s="60">
        <f>SUM('Exh 6 Stores BS'!I11:M11)/5</f>
        <v>0</v>
      </c>
      <c r="O15" s="93">
        <f>'Exh 6 Stores BS'!$N$11/5</f>
        <v>187.12</v>
      </c>
      <c r="P15" s="93">
        <f>'Exh 6 Stores BS'!$N$11/5</f>
        <v>187.12</v>
      </c>
      <c r="Q15" s="93">
        <f>'Exh 6 Stores BS'!$N$11/5</f>
        <v>187.12</v>
      </c>
      <c r="R15" s="93">
        <f>'Exh 6 Stores BS'!$N$11/5</f>
        <v>187.12</v>
      </c>
      <c r="S15" s="93">
        <f>'Exh 6 Stores BS'!$N$11/5</f>
        <v>187.12</v>
      </c>
      <c r="T15" s="93">
        <v>0</v>
      </c>
      <c r="U15" s="59">
        <v>0</v>
      </c>
      <c r="V15" s="59"/>
      <c r="W15" s="59"/>
    </row>
    <row r="16" spans="1:32" ht="14" customHeight="1">
      <c r="A16" s="65"/>
      <c r="B16" s="51" t="s">
        <v>10</v>
      </c>
      <c r="C16" s="51"/>
      <c r="D16" s="55"/>
      <c r="E16" s="63"/>
      <c r="F16" s="64"/>
      <c r="G16" s="60">
        <v>830</v>
      </c>
      <c r="H16" s="60">
        <f>G16</f>
        <v>830</v>
      </c>
      <c r="I16" s="60">
        <f>H16</f>
        <v>830</v>
      </c>
      <c r="J16" s="60">
        <f>I16</f>
        <v>830</v>
      </c>
      <c r="K16" s="60">
        <f>J16</f>
        <v>830</v>
      </c>
      <c r="L16" s="60">
        <f>K16</f>
        <v>830</v>
      </c>
      <c r="M16" s="60">
        <v>1003</v>
      </c>
      <c r="N16" s="60">
        <f>M16</f>
        <v>1003</v>
      </c>
      <c r="O16" s="93">
        <f>N16</f>
        <v>1003</v>
      </c>
      <c r="P16" s="93">
        <f t="shared" ref="P16:R16" si="2">O16</f>
        <v>1003</v>
      </c>
      <c r="Q16" s="93">
        <f t="shared" si="2"/>
        <v>1003</v>
      </c>
      <c r="R16" s="93">
        <f t="shared" si="2"/>
        <v>1003</v>
      </c>
      <c r="S16" s="93">
        <f>R16*(1+2%)^6</f>
        <v>1129.5409065217921</v>
      </c>
      <c r="T16" s="93">
        <f>S16</f>
        <v>1129.5409065217921</v>
      </c>
      <c r="U16" s="82">
        <f>T16</f>
        <v>1129.5409065217921</v>
      </c>
      <c r="V16" s="62"/>
      <c r="W16" s="62"/>
    </row>
    <row r="17" spans="1:32" ht="14" customHeight="1">
      <c r="A17" s="80">
        <v>2005</v>
      </c>
      <c r="B17" s="56"/>
      <c r="C17" s="57">
        <v>4</v>
      </c>
      <c r="D17" s="58">
        <v>18500</v>
      </c>
      <c r="E17" s="56"/>
      <c r="F17" s="56"/>
      <c r="G17" s="56"/>
      <c r="H17" s="56">
        <v>1</v>
      </c>
      <c r="I17" s="56">
        <v>2</v>
      </c>
      <c r="J17" s="56">
        <v>3</v>
      </c>
      <c r="K17" s="56">
        <v>4</v>
      </c>
      <c r="L17" s="56">
        <v>5</v>
      </c>
      <c r="M17" s="56">
        <v>6</v>
      </c>
      <c r="N17" s="56">
        <v>7</v>
      </c>
      <c r="O17" s="56">
        <v>8</v>
      </c>
      <c r="P17" s="56">
        <v>9</v>
      </c>
      <c r="Q17" s="56">
        <v>10</v>
      </c>
      <c r="R17" s="56">
        <v>11</v>
      </c>
      <c r="S17" s="56">
        <v>12</v>
      </c>
      <c r="T17" s="56">
        <v>13</v>
      </c>
      <c r="U17" s="56">
        <v>14</v>
      </c>
      <c r="V17" s="56"/>
      <c r="W17" s="56"/>
    </row>
    <row r="18" spans="1:32" ht="14" customHeight="1">
      <c r="A18" s="65"/>
      <c r="B18" s="51" t="s">
        <v>0</v>
      </c>
      <c r="C18" s="51"/>
      <c r="D18" s="55"/>
      <c r="E18" s="51"/>
      <c r="F18" s="51"/>
      <c r="G18" s="51"/>
      <c r="H18" s="60">
        <v>9569.7000000000007</v>
      </c>
      <c r="I18" s="60">
        <v>16651</v>
      </c>
      <c r="J18" s="60">
        <v>19785.099999999999</v>
      </c>
      <c r="K18" s="60">
        <v>20950.599999999999</v>
      </c>
      <c r="L18" s="60">
        <v>22847</v>
      </c>
      <c r="M18" s="60">
        <v>24450.9</v>
      </c>
      <c r="N18" s="60">
        <v>24499.4</v>
      </c>
      <c r="O18" s="119">
        <f>N18*(1+'Exh 2 Econ Indicators'!M8)</f>
        <v>25234.382000000001</v>
      </c>
      <c r="P18" s="119">
        <f>O18*(1+'Exh 2 Econ Indicators'!N8)</f>
        <v>25940.944696000002</v>
      </c>
      <c r="Q18" s="119">
        <f>P18*(1+'Exh 2 Econ Indicators'!O8)</f>
        <v>26615.409258096002</v>
      </c>
      <c r="R18" s="119">
        <f>Q18*(1+'Exh 2 Econ Indicators'!P8)</f>
        <v>27254.179080290305</v>
      </c>
      <c r="S18" s="119">
        <f>R18*(1+'Exh 2 Econ Indicators'!Q8)</f>
        <v>27853.771020056691</v>
      </c>
      <c r="T18" s="119">
        <f>S18*(1+'Exh 2 Econ Indicators'!R8)</f>
        <v>28410.846440457826</v>
      </c>
      <c r="U18" s="119">
        <f>T18*(1+'Exh 2 Econ Indicators'!S8)</f>
        <v>28979.063369266983</v>
      </c>
      <c r="V18" s="55"/>
      <c r="W18" s="55"/>
    </row>
    <row r="19" spans="1:32" ht="14" customHeight="1">
      <c r="A19" s="65"/>
      <c r="B19" s="51" t="s">
        <v>1</v>
      </c>
      <c r="C19" s="51"/>
      <c r="D19" s="55"/>
      <c r="E19" s="51"/>
      <c r="F19" s="51"/>
      <c r="G19" s="51"/>
      <c r="H19" s="60">
        <v>6977.8</v>
      </c>
      <c r="I19" s="60">
        <v>10916.8</v>
      </c>
      <c r="J19" s="60">
        <v>11430.2</v>
      </c>
      <c r="K19" s="60">
        <v>8499.1</v>
      </c>
      <c r="L19" s="60">
        <v>9387.2999999999993</v>
      </c>
      <c r="M19" s="60">
        <v>9856.7999999999993</v>
      </c>
      <c r="N19" s="60">
        <v>9041.7999999999993</v>
      </c>
      <c r="O19" s="81">
        <f>'Exh 8 Sales Forecasting'!$F$24*O18</f>
        <v>9913.1501737226972</v>
      </c>
      <c r="P19" s="81">
        <f>'Exh 8 Sales Forecasting'!$F$24*P18</f>
        <v>10190.718378586933</v>
      </c>
      <c r="Q19" s="81">
        <f>'Exh 8 Sales Forecasting'!$F$24*Q18</f>
        <v>10455.677056430193</v>
      </c>
      <c r="R19" s="81">
        <f>'Exh 8 Sales Forecasting'!$F$24*R18</f>
        <v>10706.613305784516</v>
      </c>
      <c r="S19" s="81">
        <f>'Exh 8 Sales Forecasting'!$F$24*S18</f>
        <v>10942.158798511775</v>
      </c>
      <c r="T19" s="81">
        <f>'Exh 8 Sales Forecasting'!$F$24*T18</f>
        <v>11161.001974482011</v>
      </c>
      <c r="U19" s="81">
        <f>'Exh 8 Sales Forecasting'!$F$24*U18</f>
        <v>11384.222013971652</v>
      </c>
      <c r="V19" s="55"/>
      <c r="W19" s="55"/>
    </row>
    <row r="20" spans="1:32" ht="14" customHeight="1">
      <c r="A20" s="65"/>
      <c r="B20" s="51" t="s">
        <v>19</v>
      </c>
      <c r="C20" s="51"/>
      <c r="D20" s="55"/>
      <c r="E20" s="51"/>
      <c r="F20" s="51"/>
      <c r="G20" s="55"/>
      <c r="H20" s="60">
        <v>1953.2</v>
      </c>
      <c r="I20" s="60">
        <v>2976.6</v>
      </c>
      <c r="J20" s="60">
        <v>3371.2</v>
      </c>
      <c r="K20" s="60">
        <v>3039.2</v>
      </c>
      <c r="L20" s="60">
        <v>3020.6</v>
      </c>
      <c r="M20" s="60">
        <v>3228.4</v>
      </c>
      <c r="N20" s="60">
        <v>3693</v>
      </c>
      <c r="O20" s="81">
        <f>'Exh 8 Sales Forecasting'!$F$36*O18</f>
        <v>3431.6593824712286</v>
      </c>
      <c r="P20" s="81">
        <f>'Exh 8 Sales Forecasting'!$F$36*P18</f>
        <v>3527.7458451804232</v>
      </c>
      <c r="Q20" s="81">
        <f>'Exh 8 Sales Forecasting'!$F$36*Q18</f>
        <v>3619.4672371551142</v>
      </c>
      <c r="R20" s="81">
        <f>'Exh 8 Sales Forecasting'!$F$36*R18</f>
        <v>3706.3344508468367</v>
      </c>
      <c r="S20" s="81">
        <f>'Exh 8 Sales Forecasting'!$F$36*S18</f>
        <v>3787.8738087654669</v>
      </c>
      <c r="T20" s="81">
        <f>'Exh 8 Sales Forecasting'!$F$36*T18</f>
        <v>3863.6312849407764</v>
      </c>
      <c r="U20" s="81">
        <f>'Exh 8 Sales Forecasting'!$F$36*U18</f>
        <v>3940.9039106395921</v>
      </c>
      <c r="V20" s="55"/>
      <c r="W20" s="55"/>
    </row>
    <row r="21" spans="1:32" ht="14" customHeight="1">
      <c r="A21" s="65"/>
      <c r="B21" s="51" t="s">
        <v>16</v>
      </c>
      <c r="C21" s="51"/>
      <c r="D21" s="55"/>
      <c r="E21" s="51"/>
      <c r="F21" s="51"/>
      <c r="G21" s="55"/>
      <c r="H21" s="60">
        <v>1040.9000000000001</v>
      </c>
      <c r="I21" s="60">
        <v>1487.6</v>
      </c>
      <c r="J21" s="60">
        <v>1587.2</v>
      </c>
      <c r="K21" s="60">
        <v>1598</v>
      </c>
      <c r="L21" s="60">
        <v>1605.4</v>
      </c>
      <c r="M21" s="60">
        <v>1645</v>
      </c>
      <c r="N21" s="60">
        <v>1793.4</v>
      </c>
      <c r="O21" s="81">
        <f>'Exh 8 Sales Forecasting'!$F$48*O18</f>
        <v>1807.4805195107247</v>
      </c>
      <c r="P21" s="81">
        <f>'Exh 8 Sales Forecasting'!$F$48*P18</f>
        <v>1858.0899740570248</v>
      </c>
      <c r="Q21" s="81">
        <f>'Exh 8 Sales Forecasting'!$F$48*Q18</f>
        <v>1906.4003133825076</v>
      </c>
      <c r="R21" s="81">
        <f>'Exh 8 Sales Forecasting'!$F$48*R18</f>
        <v>1952.1539209036875</v>
      </c>
      <c r="S21" s="81">
        <f>'Exh 8 Sales Forecasting'!$F$48*S18</f>
        <v>1995.1013071635687</v>
      </c>
      <c r="T21" s="81">
        <f>'Exh 8 Sales Forecasting'!$F$48*T18</f>
        <v>2035.0033333068402</v>
      </c>
      <c r="U21" s="81">
        <f>'Exh 8 Sales Forecasting'!$F$48*U18</f>
        <v>2075.703399972977</v>
      </c>
      <c r="V21" s="55"/>
      <c r="W21" s="55"/>
    </row>
    <row r="22" spans="1:32" ht="14" customHeight="1">
      <c r="A22" s="65"/>
      <c r="B22" s="51" t="s">
        <v>17</v>
      </c>
      <c r="C22" s="51"/>
      <c r="D22" s="55"/>
      <c r="E22" s="51"/>
      <c r="F22" s="59"/>
      <c r="G22" s="59"/>
      <c r="H22" s="60">
        <f>SUM('Exh 6 Stores BS'!C18:G18)/5</f>
        <v>362.8</v>
      </c>
      <c r="I22" s="60">
        <f>SUM('Exh 6 Stores BS'!D18:H18)/5</f>
        <v>362.8</v>
      </c>
      <c r="J22" s="60">
        <f>SUM('Exh 6 Stores BS'!E18:I18)/5</f>
        <v>362.8</v>
      </c>
      <c r="K22" s="60">
        <f>SUM('Exh 6 Stores BS'!F18:J18)/5</f>
        <v>362.8</v>
      </c>
      <c r="L22" s="60">
        <f>SUM('Exh 6 Stores BS'!G18:K18)/5</f>
        <v>362.8</v>
      </c>
      <c r="M22" s="60">
        <f>SUM('Exh 6 Stores BS'!H18:L18)/5</f>
        <v>0</v>
      </c>
      <c r="N22" s="60">
        <f>SUM('Exh 6 Stores BS'!I18:M18)/5</f>
        <v>0</v>
      </c>
      <c r="O22" s="59">
        <v>0</v>
      </c>
      <c r="P22" s="59">
        <f>'Exh 6 Stores BS'!O18/5</f>
        <v>301.26559479333326</v>
      </c>
      <c r="Q22" s="59">
        <f>P22</f>
        <v>301.26559479333326</v>
      </c>
      <c r="R22" s="59">
        <f t="shared" ref="R22:T22" si="3">Q22</f>
        <v>301.26559479333326</v>
      </c>
      <c r="S22" s="59">
        <f t="shared" si="3"/>
        <v>301.26559479333326</v>
      </c>
      <c r="T22" s="59">
        <f t="shared" si="3"/>
        <v>301.26559479333326</v>
      </c>
      <c r="U22" s="59">
        <v>0</v>
      </c>
      <c r="V22" s="59"/>
      <c r="W22" s="59"/>
    </row>
    <row r="23" spans="1:32" ht="14" customHeight="1">
      <c r="A23" s="65"/>
      <c r="B23" s="51" t="s">
        <v>10</v>
      </c>
      <c r="C23" s="51"/>
      <c r="D23" s="55"/>
      <c r="E23" s="63"/>
      <c r="F23" s="59"/>
      <c r="G23" s="59"/>
      <c r="H23" s="60">
        <v>1250</v>
      </c>
      <c r="I23" s="60">
        <f>H23</f>
        <v>1250</v>
      </c>
      <c r="J23" s="60">
        <f>I23</f>
        <v>1250</v>
      </c>
      <c r="K23" s="60">
        <f>J23</f>
        <v>1250</v>
      </c>
      <c r="L23" s="60">
        <f>K23</f>
        <v>1250</v>
      </c>
      <c r="M23" s="60">
        <f>L23</f>
        <v>1250</v>
      </c>
      <c r="N23" s="60">
        <v>1510</v>
      </c>
      <c r="O23" s="62">
        <f>N23</f>
        <v>1510</v>
      </c>
      <c r="P23" s="62">
        <f t="shared" ref="P23:S23" si="4">O23</f>
        <v>1510</v>
      </c>
      <c r="Q23" s="62">
        <f t="shared" si="4"/>
        <v>1510</v>
      </c>
      <c r="R23" s="62">
        <f t="shared" si="4"/>
        <v>1510</v>
      </c>
      <c r="S23" s="62">
        <f t="shared" si="4"/>
        <v>1510</v>
      </c>
      <c r="T23" s="59">
        <f>S23*(1+2%)^6</f>
        <v>1700.5052530886401</v>
      </c>
      <c r="U23" s="62">
        <f>T23</f>
        <v>1700.5052530886401</v>
      </c>
      <c r="V23" s="59"/>
      <c r="W23" s="62"/>
    </row>
    <row r="24" spans="1:32" ht="14" customHeight="1">
      <c r="A24" s="80">
        <v>2006</v>
      </c>
      <c r="B24" s="56"/>
      <c r="C24" s="57">
        <v>5</v>
      </c>
      <c r="D24" s="58">
        <v>21100</v>
      </c>
      <c r="E24" s="56"/>
      <c r="F24" s="56"/>
      <c r="G24" s="56"/>
      <c r="H24" s="56"/>
      <c r="I24" s="56">
        <v>1</v>
      </c>
      <c r="J24" s="56">
        <v>2</v>
      </c>
      <c r="K24" s="56">
        <v>3</v>
      </c>
      <c r="L24" s="56">
        <v>4</v>
      </c>
      <c r="M24" s="56">
        <v>5</v>
      </c>
      <c r="N24" s="56">
        <v>6</v>
      </c>
      <c r="O24" s="56">
        <v>7</v>
      </c>
      <c r="P24" s="56">
        <v>8</v>
      </c>
      <c r="Q24" s="56">
        <v>9</v>
      </c>
      <c r="R24" s="56">
        <v>10</v>
      </c>
      <c r="S24" s="56">
        <v>11</v>
      </c>
      <c r="T24" s="56">
        <v>12</v>
      </c>
      <c r="U24" s="56">
        <v>13</v>
      </c>
      <c r="V24" s="56"/>
      <c r="W24" s="56"/>
    </row>
    <row r="25" spans="1:32" ht="14" customHeight="1">
      <c r="A25" s="65"/>
      <c r="B25" s="51" t="s">
        <v>0</v>
      </c>
      <c r="C25" s="51"/>
      <c r="D25" s="55"/>
      <c r="E25" s="51"/>
      <c r="F25" s="51"/>
      <c r="G25" s="51"/>
      <c r="H25" s="51"/>
      <c r="I25" s="60">
        <v>13582.9</v>
      </c>
      <c r="J25" s="60">
        <v>21142</v>
      </c>
      <c r="K25" s="60">
        <v>23592.400000000001</v>
      </c>
      <c r="L25" s="60">
        <v>29701.9</v>
      </c>
      <c r="M25" s="60">
        <v>34105.300000000003</v>
      </c>
      <c r="N25" s="60">
        <v>34824</v>
      </c>
      <c r="O25" s="119">
        <f>N25*(1+'Exh 2 Econ Indicators'!M8)</f>
        <v>35868.720000000001</v>
      </c>
      <c r="P25" s="119">
        <f>O25*(1+'Exh 2 Econ Indicators'!N8)</f>
        <v>36873.044160000005</v>
      </c>
      <c r="Q25" s="119">
        <f>P25*(1+'Exh 2 Econ Indicators'!O8)</f>
        <v>37831.743308160003</v>
      </c>
      <c r="R25" s="119">
        <f>Q25*(1+'Exh 2 Econ Indicators'!P8)</f>
        <v>38739.705147555847</v>
      </c>
      <c r="S25" s="119">
        <f>R25*(1+'Exh 2 Econ Indicators'!Q8)</f>
        <v>39591.978660802073</v>
      </c>
      <c r="T25" s="119">
        <f>S25*(1+'Exh 2 Econ Indicators'!R8)</f>
        <v>40383.818234018116</v>
      </c>
      <c r="U25" s="119">
        <f>T25*(1+'Exh 2 Econ Indicators'!S8)</f>
        <v>41191.494598698482</v>
      </c>
      <c r="V25" s="55"/>
      <c r="W25" s="55"/>
    </row>
    <row r="26" spans="1:32" ht="14" customHeight="1">
      <c r="A26" s="65"/>
      <c r="B26" s="51" t="s">
        <v>1</v>
      </c>
      <c r="C26" s="51"/>
      <c r="D26" s="55"/>
      <c r="E26" s="51"/>
      <c r="F26" s="51"/>
      <c r="G26" s="51"/>
      <c r="H26" s="51"/>
      <c r="I26" s="60">
        <v>9526.1</v>
      </c>
      <c r="J26" s="60">
        <v>11229.4</v>
      </c>
      <c r="K26" s="60">
        <v>13594.4</v>
      </c>
      <c r="L26" s="60">
        <v>9902.2999999999993</v>
      </c>
      <c r="M26" s="60">
        <v>13259</v>
      </c>
      <c r="N26" s="60">
        <v>13931.8</v>
      </c>
      <c r="O26" s="81">
        <f>'Exh 8 Sales Forecasting'!$F$24*O25</f>
        <v>14090.775351629802</v>
      </c>
      <c r="P26" s="81">
        <f>'Exh 8 Sales Forecasting'!$F$24*P25</f>
        <v>14485.317061475438</v>
      </c>
      <c r="Q26" s="81">
        <f>'Exh 8 Sales Forecasting'!$F$24*Q25</f>
        <v>14861.935305073799</v>
      </c>
      <c r="R26" s="81">
        <f>'Exh 8 Sales Forecasting'!$F$24*R25</f>
        <v>15218.621752395571</v>
      </c>
      <c r="S26" s="81">
        <f>'Exh 8 Sales Forecasting'!$F$24*S25</f>
        <v>15553.431430948272</v>
      </c>
      <c r="T26" s="81">
        <f>'Exh 8 Sales Forecasting'!$F$24*T25</f>
        <v>15864.500059567239</v>
      </c>
      <c r="U26" s="81">
        <f>'Exh 8 Sales Forecasting'!$F$24*U25</f>
        <v>16181.790060758585</v>
      </c>
      <c r="V26" s="55"/>
      <c r="W26" s="55"/>
    </row>
    <row r="27" spans="1:32" ht="14" customHeight="1">
      <c r="A27" s="65"/>
      <c r="B27" s="51" t="s">
        <v>19</v>
      </c>
      <c r="C27" s="51"/>
      <c r="D27" s="55"/>
      <c r="E27" s="51"/>
      <c r="F27" s="51"/>
      <c r="G27" s="55"/>
      <c r="H27" s="55"/>
      <c r="I27" s="60">
        <v>2766.6</v>
      </c>
      <c r="J27" s="60">
        <v>4016.3</v>
      </c>
      <c r="K27" s="60">
        <v>4236.5</v>
      </c>
      <c r="L27" s="60">
        <v>3780.1</v>
      </c>
      <c r="M27" s="60">
        <v>4895.1000000000004</v>
      </c>
      <c r="N27" s="60">
        <v>4946.3</v>
      </c>
      <c r="O27" s="81">
        <f>'Exh 8 Sales Forecasting'!$F$36*O25</f>
        <v>4877.8380831848153</v>
      </c>
      <c r="P27" s="81">
        <f>'Exh 8 Sales Forecasting'!$F$36*P25</f>
        <v>5014.4175495139907</v>
      </c>
      <c r="Q27" s="81">
        <f>'Exh 8 Sales Forecasting'!$F$36*Q25</f>
        <v>5144.7924058013541</v>
      </c>
      <c r="R27" s="81">
        <f>'Exh 8 Sales Forecasting'!$F$36*R25</f>
        <v>5268.2674235405875</v>
      </c>
      <c r="S27" s="81">
        <f>'Exh 8 Sales Forecasting'!$F$36*S25</f>
        <v>5384.16930685848</v>
      </c>
      <c r="T27" s="81">
        <f>'Exh 8 Sales Forecasting'!$F$36*T25</f>
        <v>5491.8526929956497</v>
      </c>
      <c r="U27" s="81">
        <f>'Exh 8 Sales Forecasting'!$F$36*U25</f>
        <v>5601.6897468555626</v>
      </c>
      <c r="V27" s="55"/>
      <c r="W27" s="55"/>
    </row>
    <row r="28" spans="1:32" ht="14" customHeight="1">
      <c r="A28" s="65"/>
      <c r="B28" s="51" t="s">
        <v>16</v>
      </c>
      <c r="C28" s="51"/>
      <c r="D28" s="55"/>
      <c r="E28" s="51"/>
      <c r="F28" s="51"/>
      <c r="G28" s="55"/>
      <c r="H28" s="55"/>
      <c r="I28" s="60">
        <v>1400.2</v>
      </c>
      <c r="J28" s="60">
        <v>1784.1</v>
      </c>
      <c r="K28" s="60">
        <v>1963.8</v>
      </c>
      <c r="L28" s="60">
        <v>2013.8</v>
      </c>
      <c r="M28" s="60">
        <v>2327.3000000000002</v>
      </c>
      <c r="N28" s="60">
        <v>2287.3000000000002</v>
      </c>
      <c r="O28" s="81">
        <f>'Exh 8 Sales Forecasting'!$F$48*O25</f>
        <v>2569.1935970448858</v>
      </c>
      <c r="P28" s="81">
        <f>'Exh 8 Sales Forecasting'!$F$48*P25</f>
        <v>2641.1310177621426</v>
      </c>
      <c r="Q28" s="81">
        <f>'Exh 8 Sales Forecasting'!$F$48*Q25</f>
        <v>2709.8004242239581</v>
      </c>
      <c r="R28" s="81">
        <f>'Exh 8 Sales Forecasting'!$F$48*R25</f>
        <v>2774.8356344053336</v>
      </c>
      <c r="S28" s="81">
        <f>'Exh 8 Sales Forecasting'!$F$48*S25</f>
        <v>2835.8820183622506</v>
      </c>
      <c r="T28" s="81">
        <f>'Exh 8 Sales Forecasting'!$F$48*T25</f>
        <v>2892.5996587294958</v>
      </c>
      <c r="U28" s="81">
        <f>'Exh 8 Sales Forecasting'!$F$48*U25</f>
        <v>2950.4516519040858</v>
      </c>
      <c r="V28" s="55"/>
      <c r="W28" s="55"/>
    </row>
    <row r="29" spans="1:32" ht="14" customHeight="1">
      <c r="A29" s="65"/>
      <c r="B29" s="51" t="s">
        <v>17</v>
      </c>
      <c r="C29" s="51"/>
      <c r="D29" s="55"/>
      <c r="E29" s="51"/>
      <c r="F29" s="59"/>
      <c r="G29" s="59"/>
      <c r="H29" s="59"/>
      <c r="I29" s="60">
        <f>SUM('Exh 6 Stores BS'!D25:H25)/5</f>
        <v>594.20000000000005</v>
      </c>
      <c r="J29" s="60">
        <f>SUM('Exh 6 Stores BS'!E25:I25)/5</f>
        <v>594.20000000000005</v>
      </c>
      <c r="K29" s="60">
        <f>SUM('Exh 6 Stores BS'!F25:J25)/5</f>
        <v>594.20000000000005</v>
      </c>
      <c r="L29" s="60">
        <f>SUM('Exh 6 Stores BS'!G25:K25)/5</f>
        <v>594.20000000000005</v>
      </c>
      <c r="M29" s="60">
        <f>SUM('Exh 6 Stores BS'!H25:L25)/5</f>
        <v>594.20000000000005</v>
      </c>
      <c r="N29" s="60">
        <f>SUM('Exh 6 Stores BS'!I25:M25)/5</f>
        <v>0</v>
      </c>
      <c r="O29" s="59">
        <v>0</v>
      </c>
      <c r="P29" s="59">
        <v>0</v>
      </c>
      <c r="Q29" s="59">
        <f>'Exh 6 Stores BS'!P25/5</f>
        <v>489.9020714909164</v>
      </c>
      <c r="R29" s="59">
        <f>Q29</f>
        <v>489.9020714909164</v>
      </c>
      <c r="S29" s="59">
        <f t="shared" ref="S29:U29" si="5">R29</f>
        <v>489.9020714909164</v>
      </c>
      <c r="T29" s="59">
        <f t="shared" si="5"/>
        <v>489.9020714909164</v>
      </c>
      <c r="U29" s="59">
        <f t="shared" si="5"/>
        <v>489.9020714909164</v>
      </c>
      <c r="V29" s="59"/>
      <c r="W29" s="59"/>
    </row>
    <row r="30" spans="1:32" ht="14" customHeight="1">
      <c r="A30" s="65"/>
      <c r="B30" s="51" t="s">
        <v>10</v>
      </c>
      <c r="C30" s="51"/>
      <c r="D30" s="55"/>
      <c r="E30" s="63"/>
      <c r="F30" s="59"/>
      <c r="G30" s="59"/>
      <c r="H30" s="59"/>
      <c r="I30" s="60">
        <v>1910</v>
      </c>
      <c r="J30" s="60">
        <f>I30</f>
        <v>1910</v>
      </c>
      <c r="K30" s="60">
        <f>J30</f>
        <v>1910</v>
      </c>
      <c r="L30" s="60">
        <f>K30</f>
        <v>1910</v>
      </c>
      <c r="M30" s="60">
        <f>L30</f>
        <v>1910</v>
      </c>
      <c r="N30" s="60">
        <f>M30</f>
        <v>1910</v>
      </c>
      <c r="O30" s="62">
        <f>N30*(1+2%)^6</f>
        <v>2150.97022079424</v>
      </c>
      <c r="P30" s="62">
        <f>O30</f>
        <v>2150.97022079424</v>
      </c>
      <c r="Q30" s="62">
        <f t="shared" ref="Q30:T30" si="6">P30</f>
        <v>2150.97022079424</v>
      </c>
      <c r="R30" s="62">
        <f t="shared" si="6"/>
        <v>2150.97022079424</v>
      </c>
      <c r="S30" s="62">
        <f t="shared" si="6"/>
        <v>2150.97022079424</v>
      </c>
      <c r="T30" s="62">
        <f t="shared" si="6"/>
        <v>2150.97022079424</v>
      </c>
      <c r="U30" s="59">
        <f>T30*(1+2%)^6</f>
        <v>2422.3418276144616</v>
      </c>
      <c r="V30" s="62"/>
      <c r="W30" s="59"/>
    </row>
    <row r="31" spans="1:32" ht="14" customHeight="1">
      <c r="A31" s="80">
        <v>2007</v>
      </c>
      <c r="B31" s="56"/>
      <c r="C31" s="57">
        <v>6</v>
      </c>
      <c r="D31" s="58">
        <v>22100</v>
      </c>
      <c r="E31" s="56"/>
      <c r="F31" s="56"/>
      <c r="G31" s="56"/>
      <c r="H31" s="56"/>
      <c r="I31" s="56"/>
      <c r="J31" s="56">
        <v>1</v>
      </c>
      <c r="K31" s="56">
        <v>2</v>
      </c>
      <c r="L31" s="56">
        <v>3</v>
      </c>
      <c r="M31" s="56">
        <v>4</v>
      </c>
      <c r="N31" s="56">
        <v>5</v>
      </c>
      <c r="O31" s="56">
        <v>6</v>
      </c>
      <c r="P31" s="56">
        <v>7</v>
      </c>
      <c r="Q31" s="56">
        <v>8</v>
      </c>
      <c r="R31" s="56">
        <v>9</v>
      </c>
      <c r="S31" s="56">
        <v>10</v>
      </c>
      <c r="T31" s="56">
        <v>11</v>
      </c>
      <c r="U31" s="56">
        <v>12</v>
      </c>
      <c r="V31" s="56"/>
      <c r="W31" s="56"/>
    </row>
    <row r="32" spans="1:32" ht="14" customHeight="1">
      <c r="A32" s="65"/>
      <c r="B32" s="51" t="s">
        <v>0</v>
      </c>
      <c r="C32" s="51"/>
      <c r="D32" s="55"/>
      <c r="E32" s="51"/>
      <c r="F32" s="51"/>
      <c r="G32" s="51"/>
      <c r="H32" s="51"/>
      <c r="I32" s="51"/>
      <c r="J32" s="60">
        <v>15435.4</v>
      </c>
      <c r="K32" s="60">
        <v>22001</v>
      </c>
      <c r="L32" s="60">
        <v>30465.9</v>
      </c>
      <c r="M32" s="60">
        <v>39628.199999999997</v>
      </c>
      <c r="N32" s="60">
        <v>43541</v>
      </c>
      <c r="O32" s="119">
        <f>N32*(1+'Exh 2 Econ Indicators'!M8)</f>
        <v>44847.23</v>
      </c>
      <c r="P32" s="119">
        <f>O32*(1+'Exh 2 Econ Indicators'!N8)</f>
        <v>46102.952440000001</v>
      </c>
      <c r="Q32" s="119">
        <f>P32*(1+'Exh 2 Econ Indicators'!O8)</f>
        <v>47301.629203440003</v>
      </c>
      <c r="R32" s="119">
        <f>Q32*(1+'Exh 2 Econ Indicators'!P8)</f>
        <v>48436.868304322561</v>
      </c>
      <c r="S32" s="119">
        <f>R32*(1+'Exh 2 Econ Indicators'!Q8)</f>
        <v>49502.479407017658</v>
      </c>
      <c r="T32" s="119">
        <f>S32*(1+'Exh 2 Econ Indicators'!R8)</f>
        <v>50492.528995158013</v>
      </c>
      <c r="U32" s="119">
        <f>T32*(1+'Exh 2 Econ Indicators'!S8)</f>
        <v>51502.379575061175</v>
      </c>
      <c r="V32" s="55"/>
      <c r="W32" s="55"/>
      <c r="X32" s="51"/>
      <c r="Y32" s="91"/>
      <c r="Z32" s="91"/>
      <c r="AA32" s="91"/>
      <c r="AB32" s="91"/>
      <c r="AC32" s="91"/>
      <c r="AD32" s="91"/>
      <c r="AE32" s="91"/>
      <c r="AF32" s="91"/>
    </row>
    <row r="33" spans="1:32" ht="14" customHeight="1">
      <c r="A33" s="65"/>
      <c r="B33" s="51" t="s">
        <v>1</v>
      </c>
      <c r="C33" s="51"/>
      <c r="D33" s="55"/>
      <c r="E33" s="51"/>
      <c r="F33" s="51"/>
      <c r="G33" s="51"/>
      <c r="H33" s="51"/>
      <c r="I33" s="51"/>
      <c r="J33" s="60">
        <v>11204.6</v>
      </c>
      <c r="K33" s="60">
        <v>14800.5</v>
      </c>
      <c r="L33" s="60">
        <v>16421.7</v>
      </c>
      <c r="M33" s="60">
        <v>15231.6</v>
      </c>
      <c r="N33" s="60">
        <v>17855.8</v>
      </c>
      <c r="O33" s="81">
        <f>'Exh 8 Sales Forecasting'!$F$24*O32</f>
        <v>17617.920100657971</v>
      </c>
      <c r="P33" s="81">
        <f>'Exh 8 Sales Forecasting'!$F$24*P32</f>
        <v>18111.221863476396</v>
      </c>
      <c r="Q33" s="81">
        <f>'Exh 8 Sales Forecasting'!$F$24*Q32</f>
        <v>18582.113631926783</v>
      </c>
      <c r="R33" s="81">
        <f>'Exh 8 Sales Forecasting'!$F$24*R32</f>
        <v>19028.084359093024</v>
      </c>
      <c r="S33" s="81">
        <f>'Exh 8 Sales Forecasting'!$F$24*S32</f>
        <v>19446.702214993071</v>
      </c>
      <c r="T33" s="81">
        <f>'Exh 8 Sales Forecasting'!$F$24*T32</f>
        <v>19835.636259292933</v>
      </c>
      <c r="U33" s="81">
        <f>'Exh 8 Sales Forecasting'!$F$24*U32</f>
        <v>20232.348984478791</v>
      </c>
      <c r="V33" s="55"/>
      <c r="W33" s="55"/>
      <c r="Y33" s="51"/>
      <c r="Z33" s="91"/>
      <c r="AA33" s="91"/>
      <c r="AB33" s="91"/>
      <c r="AC33" s="91"/>
      <c r="AD33" s="91"/>
      <c r="AE33" s="91"/>
      <c r="AF33" s="91"/>
    </row>
    <row r="34" spans="1:32" ht="14" customHeight="1">
      <c r="A34" s="65"/>
      <c r="B34" s="51" t="s">
        <v>19</v>
      </c>
      <c r="C34" s="51"/>
      <c r="D34" s="55"/>
      <c r="E34" s="51"/>
      <c r="F34" s="51"/>
      <c r="G34" s="55"/>
      <c r="H34" s="55"/>
      <c r="I34" s="55"/>
      <c r="J34" s="60">
        <v>3050.4</v>
      </c>
      <c r="K34" s="60">
        <v>3877.8</v>
      </c>
      <c r="L34" s="60">
        <v>5471</v>
      </c>
      <c r="M34" s="60">
        <v>5165.7</v>
      </c>
      <c r="N34" s="60">
        <v>5916.9</v>
      </c>
      <c r="O34" s="81">
        <f>'Exh 8 Sales Forecasting'!$F$36*O32</f>
        <v>6098.8383867433395</v>
      </c>
      <c r="P34" s="81">
        <f>'Exh 8 Sales Forecasting'!$F$36*P32</f>
        <v>6269.6058615721522</v>
      </c>
      <c r="Q34" s="81">
        <f>'Exh 8 Sales Forecasting'!$F$36*Q32</f>
        <v>6432.6156139730292</v>
      </c>
      <c r="R34" s="81">
        <f>'Exh 8 Sales Forecasting'!$F$36*R32</f>
        <v>6586.9983887083808</v>
      </c>
      <c r="S34" s="81">
        <f>'Exh 8 Sales Forecasting'!$F$36*S32</f>
        <v>6731.912353259966</v>
      </c>
      <c r="T34" s="81">
        <f>'Exh 8 Sales Forecasting'!$F$36*T32</f>
        <v>6866.5506003251649</v>
      </c>
      <c r="U34" s="81">
        <f>'Exh 8 Sales Forecasting'!$F$36*U32</f>
        <v>7003.8816123316692</v>
      </c>
      <c r="V34" s="55"/>
      <c r="W34" s="55"/>
      <c r="X34" s="51"/>
      <c r="Y34" s="51"/>
      <c r="Z34" s="92"/>
      <c r="AA34" s="91"/>
      <c r="AB34" s="91"/>
      <c r="AC34" s="91"/>
      <c r="AD34" s="91"/>
      <c r="AE34" s="91"/>
      <c r="AF34" s="91"/>
    </row>
    <row r="35" spans="1:32" ht="14" customHeight="1">
      <c r="A35" s="65"/>
      <c r="B35" s="51" t="s">
        <v>16</v>
      </c>
      <c r="C35" s="51"/>
      <c r="D35" s="55"/>
      <c r="E35" s="51"/>
      <c r="F35" s="51"/>
      <c r="G35" s="55"/>
      <c r="H35" s="55"/>
      <c r="I35" s="55"/>
      <c r="J35" s="60">
        <v>1578.4</v>
      </c>
      <c r="K35" s="60">
        <v>1986.3</v>
      </c>
      <c r="L35" s="60">
        <v>2458.4</v>
      </c>
      <c r="M35" s="60">
        <v>2748</v>
      </c>
      <c r="N35" s="60">
        <v>3109.4</v>
      </c>
      <c r="O35" s="81">
        <f>'Exh 8 Sales Forecasting'!$F$48*O32</f>
        <v>3212.3035380465017</v>
      </c>
      <c r="P35" s="81">
        <f>'Exh 8 Sales Forecasting'!$F$48*P32</f>
        <v>3302.2480371118036</v>
      </c>
      <c r="Q35" s="81">
        <f>'Exh 8 Sales Forecasting'!$F$48*Q32</f>
        <v>3388.1064860767106</v>
      </c>
      <c r="R35" s="81">
        <f>'Exh 8 Sales Forecasting'!$F$48*R32</f>
        <v>3469.4210417425516</v>
      </c>
      <c r="S35" s="81">
        <f>'Exh 8 Sales Forecasting'!$F$48*S32</f>
        <v>3545.7483046608877</v>
      </c>
      <c r="T35" s="81">
        <f>'Exh 8 Sales Forecasting'!$F$48*T32</f>
        <v>3616.6632707541053</v>
      </c>
      <c r="U35" s="81">
        <f>'Exh 8 Sales Forecasting'!$F$48*U32</f>
        <v>3688.9965361691875</v>
      </c>
      <c r="V35" s="55"/>
      <c r="W35" s="55"/>
      <c r="Y35" s="51"/>
      <c r="Z35" s="92"/>
      <c r="AA35" s="92"/>
      <c r="AB35" s="91"/>
      <c r="AC35" s="91"/>
      <c r="AD35" s="91"/>
      <c r="AE35" s="91"/>
      <c r="AF35" s="91"/>
    </row>
    <row r="36" spans="1:32" ht="14" customHeight="1">
      <c r="A36" s="65"/>
      <c r="B36" s="51" t="s">
        <v>17</v>
      </c>
      <c r="C36" s="51"/>
      <c r="D36" s="55"/>
      <c r="E36" s="51"/>
      <c r="F36" s="59"/>
      <c r="G36" s="59"/>
      <c r="H36" s="59"/>
      <c r="I36" s="59"/>
      <c r="J36" s="60">
        <f>SUM('Exh 6 Stores BS'!E32:I32)/5</f>
        <v>811.6</v>
      </c>
      <c r="K36" s="60">
        <f>SUM('Exh 6 Stores BS'!F32:J32)/5</f>
        <v>811.6</v>
      </c>
      <c r="L36" s="60">
        <f>SUM('Exh 6 Stores BS'!G32:K32)/5</f>
        <v>811.6</v>
      </c>
      <c r="M36" s="60">
        <f>SUM('Exh 6 Stores BS'!H32:L32)/5</f>
        <v>811.6</v>
      </c>
      <c r="N36" s="60">
        <f>SUM('Exh 6 Stores BS'!I32:M32)/5</f>
        <v>811.6</v>
      </c>
      <c r="O36" s="59">
        <v>0</v>
      </c>
      <c r="P36" s="59">
        <v>0</v>
      </c>
      <c r="Q36" s="59">
        <v>0</v>
      </c>
      <c r="R36" s="59">
        <f>'Exh 6 Stores BS'!Q32/5</f>
        <v>655.37628015053292</v>
      </c>
      <c r="S36" s="59">
        <f>R36</f>
        <v>655.37628015053292</v>
      </c>
      <c r="T36" s="59">
        <f t="shared" ref="T36:U36" si="7">S36</f>
        <v>655.37628015053292</v>
      </c>
      <c r="U36" s="59">
        <f t="shared" si="7"/>
        <v>655.37628015053292</v>
      </c>
      <c r="V36" s="59"/>
      <c r="W36" s="59"/>
      <c r="X36" s="51"/>
      <c r="Y36" s="51"/>
      <c r="Z36" s="92"/>
      <c r="AA36" s="92"/>
      <c r="AB36" s="92"/>
      <c r="AC36" s="91"/>
      <c r="AD36" s="91"/>
      <c r="AE36" s="91"/>
      <c r="AF36" s="91"/>
    </row>
    <row r="37" spans="1:32" ht="14" customHeight="1">
      <c r="A37" s="65"/>
      <c r="B37" s="51" t="s">
        <v>10</v>
      </c>
      <c r="C37" s="51"/>
      <c r="D37" s="55"/>
      <c r="E37" s="63"/>
      <c r="F37" s="59"/>
      <c r="G37" s="59"/>
      <c r="H37" s="59"/>
      <c r="I37" s="59"/>
      <c r="J37" s="60">
        <v>2530</v>
      </c>
      <c r="K37" s="60">
        <f>J37</f>
        <v>2530</v>
      </c>
      <c r="L37" s="60">
        <f>K37</f>
        <v>2530</v>
      </c>
      <c r="M37" s="60">
        <f>L37</f>
        <v>2530</v>
      </c>
      <c r="N37" s="60">
        <f>M37</f>
        <v>2530</v>
      </c>
      <c r="O37" s="62">
        <f>N37</f>
        <v>2530</v>
      </c>
      <c r="P37" s="59">
        <f>O37*(1+2%)^6</f>
        <v>2849.1909207379204</v>
      </c>
      <c r="Q37" s="62">
        <f>P37</f>
        <v>2849.1909207379204</v>
      </c>
      <c r="R37" s="62">
        <f t="shared" ref="R37:U37" si="8">Q37</f>
        <v>2849.1909207379204</v>
      </c>
      <c r="S37" s="62">
        <f t="shared" si="8"/>
        <v>2849.1909207379204</v>
      </c>
      <c r="T37" s="62">
        <f t="shared" si="8"/>
        <v>2849.1909207379204</v>
      </c>
      <c r="U37" s="62">
        <f t="shared" si="8"/>
        <v>2849.1909207379204</v>
      </c>
      <c r="V37" s="62"/>
      <c r="W37" s="62"/>
      <c r="Y37" s="51"/>
      <c r="Z37" s="92"/>
      <c r="AA37" s="92"/>
      <c r="AB37" s="92"/>
      <c r="AC37" s="92"/>
      <c r="AD37" s="91"/>
      <c r="AE37" s="91"/>
      <c r="AF37" s="91"/>
    </row>
    <row r="38" spans="1:32" ht="14" customHeight="1">
      <c r="A38" s="80">
        <v>2008</v>
      </c>
      <c r="B38" s="56"/>
      <c r="C38" s="57">
        <v>2</v>
      </c>
      <c r="D38" s="58">
        <v>15500</v>
      </c>
      <c r="E38" s="56"/>
      <c r="F38" s="56"/>
      <c r="G38" s="56"/>
      <c r="H38" s="56"/>
      <c r="I38" s="56"/>
      <c r="J38" s="56"/>
      <c r="K38" s="56">
        <v>1</v>
      </c>
      <c r="L38" s="56">
        <v>2</v>
      </c>
      <c r="M38" s="56">
        <v>3</v>
      </c>
      <c r="N38" s="56">
        <v>4</v>
      </c>
      <c r="O38" s="56">
        <v>5</v>
      </c>
      <c r="P38" s="56">
        <v>6</v>
      </c>
      <c r="Q38" s="56">
        <v>7</v>
      </c>
      <c r="R38" s="56">
        <v>8</v>
      </c>
      <c r="S38" s="56">
        <v>9</v>
      </c>
      <c r="T38" s="56">
        <v>10</v>
      </c>
      <c r="U38" s="56">
        <v>11</v>
      </c>
      <c r="V38" s="56"/>
      <c r="W38" s="56"/>
    </row>
    <row r="39" spans="1:32" ht="14" customHeight="1">
      <c r="A39" s="65"/>
      <c r="B39" s="51" t="s">
        <v>0</v>
      </c>
      <c r="C39" s="51"/>
      <c r="D39" s="55"/>
      <c r="E39" s="51"/>
      <c r="F39" s="51"/>
      <c r="G39" s="51"/>
      <c r="H39" s="51"/>
      <c r="I39" s="51"/>
      <c r="J39" s="51"/>
      <c r="K39" s="60">
        <v>3187.1</v>
      </c>
      <c r="L39" s="60">
        <v>5176</v>
      </c>
      <c r="M39" s="60">
        <v>7244.1</v>
      </c>
      <c r="N39" s="60">
        <v>9257.2000000000007</v>
      </c>
      <c r="O39" s="119">
        <f>N39*(1+'Exh 2 Econ Indicators'!M8)</f>
        <v>9534.9160000000011</v>
      </c>
      <c r="P39" s="119">
        <f>O39*(1+'Exh 2 Econ Indicators'!N8)</f>
        <v>9801.8936480000011</v>
      </c>
      <c r="Q39" s="119">
        <f>P39*(1+'Exh 2 Econ Indicators'!O8)</f>
        <v>10056.742882848001</v>
      </c>
      <c r="R39" s="119">
        <f>Q39*(1+'Exh 2 Econ Indicators'!P8)</f>
        <v>10298.104712036353</v>
      </c>
      <c r="S39" s="119">
        <f>R39*(1+'Exh 2 Econ Indicators'!Q8)</f>
        <v>10524.663015701153</v>
      </c>
      <c r="T39" s="119">
        <f>S39*(1+'Exh 2 Econ Indicators'!R8)</f>
        <v>10735.156276015177</v>
      </c>
      <c r="U39" s="119">
        <f>T39*(1+'Exh 2 Econ Indicators'!S8)</f>
        <v>10949.859401535481</v>
      </c>
      <c r="V39" s="55"/>
      <c r="W39" s="55"/>
    </row>
    <row r="40" spans="1:32" ht="14" customHeight="1">
      <c r="A40" s="65"/>
      <c r="B40" s="51" t="s">
        <v>1</v>
      </c>
      <c r="C40" s="51"/>
      <c r="D40" s="55"/>
      <c r="E40" s="51"/>
      <c r="F40" s="51"/>
      <c r="G40" s="51"/>
      <c r="H40" s="51"/>
      <c r="I40" s="51"/>
      <c r="J40" s="51"/>
      <c r="K40" s="60">
        <v>2053.3000000000002</v>
      </c>
      <c r="L40" s="60">
        <v>3466.7</v>
      </c>
      <c r="M40" s="60">
        <v>4420.5</v>
      </c>
      <c r="N40" s="60">
        <v>3764.1</v>
      </c>
      <c r="O40" s="81">
        <f>'Exh 8 Sales Forecasting'!$F$24*O39</f>
        <v>3745.7249478838562</v>
      </c>
      <c r="P40" s="81">
        <f>'Exh 8 Sales Forecasting'!$F$24*P39</f>
        <v>3850.6052464246045</v>
      </c>
      <c r="Q40" s="81">
        <f>'Exh 8 Sales Forecasting'!$F$24*Q39</f>
        <v>3950.7209828316441</v>
      </c>
      <c r="R40" s="81">
        <f>'Exh 8 Sales Forecasting'!$F$24*R39</f>
        <v>4045.5382864196035</v>
      </c>
      <c r="S40" s="81">
        <f>'Exh 8 Sales Forecasting'!$F$24*S39</f>
        <v>4134.5401287208351</v>
      </c>
      <c r="T40" s="81">
        <f>'Exh 8 Sales Forecasting'!$F$24*T39</f>
        <v>4217.230931295252</v>
      </c>
      <c r="U40" s="81">
        <f>'Exh 8 Sales Forecasting'!$F$24*U39</f>
        <v>4301.5755499211573</v>
      </c>
      <c r="V40" s="55"/>
      <c r="W40" s="55"/>
    </row>
    <row r="41" spans="1:32" ht="14" customHeight="1">
      <c r="A41" s="65"/>
      <c r="B41" s="51" t="s">
        <v>19</v>
      </c>
      <c r="C41" s="51"/>
      <c r="D41" s="55"/>
      <c r="E41" s="51"/>
      <c r="F41" s="51"/>
      <c r="G41" s="55"/>
      <c r="H41" s="55"/>
      <c r="I41" s="55"/>
      <c r="J41" s="55"/>
      <c r="K41" s="60">
        <v>521.9</v>
      </c>
      <c r="L41" s="60">
        <v>951.3</v>
      </c>
      <c r="M41" s="60">
        <v>1224.5999999999999</v>
      </c>
      <c r="N41" s="60">
        <v>1242.7</v>
      </c>
      <c r="O41" s="81">
        <f>'Exh 8 Sales Forecasting'!$F$36*O39</f>
        <v>1296.6667443044589</v>
      </c>
      <c r="P41" s="81">
        <f>'Exh 8 Sales Forecasting'!$F$36*P39</f>
        <v>1332.9734131449836</v>
      </c>
      <c r="Q41" s="81">
        <f>'Exh 8 Sales Forecasting'!$F$36*Q39</f>
        <v>1367.6307218867532</v>
      </c>
      <c r="R41" s="81">
        <f>'Exh 8 Sales Forecasting'!$F$36*R39</f>
        <v>1400.4538592120352</v>
      </c>
      <c r="S41" s="81">
        <f>'Exh 8 Sales Forecasting'!$F$36*S39</f>
        <v>1431.2638441147001</v>
      </c>
      <c r="T41" s="81">
        <f>'Exh 8 Sales Forecasting'!$F$36*T39</f>
        <v>1459.8891209969943</v>
      </c>
      <c r="U41" s="81">
        <f>'Exh 8 Sales Forecasting'!$F$36*U39</f>
        <v>1489.0869034169343</v>
      </c>
      <c r="V41" s="55"/>
      <c r="W41" s="55"/>
    </row>
    <row r="42" spans="1:32" ht="14" customHeight="1">
      <c r="A42" s="65"/>
      <c r="B42" s="51" t="s">
        <v>16</v>
      </c>
      <c r="C42" s="51"/>
      <c r="D42" s="55"/>
      <c r="E42" s="51"/>
      <c r="F42" s="51"/>
      <c r="G42" s="55"/>
      <c r="H42" s="55"/>
      <c r="I42" s="55"/>
      <c r="J42" s="55"/>
      <c r="K42" s="60">
        <v>326</v>
      </c>
      <c r="L42" s="60">
        <v>499</v>
      </c>
      <c r="M42" s="60">
        <v>598.4</v>
      </c>
      <c r="N42" s="60">
        <v>675.4</v>
      </c>
      <c r="O42" s="81">
        <f>'Exh 8 Sales Forecasting'!$F$48*O39</f>
        <v>682.96401810716509</v>
      </c>
      <c r="P42" s="81">
        <f>'Exh 8 Sales Forecasting'!$F$48*P39</f>
        <v>702.08701061416571</v>
      </c>
      <c r="Q42" s="81">
        <f>'Exh 8 Sales Forecasting'!$F$48*Q39</f>
        <v>720.34127289013395</v>
      </c>
      <c r="R42" s="81">
        <f>'Exh 8 Sales Forecasting'!$F$48*R39</f>
        <v>737.62946343949716</v>
      </c>
      <c r="S42" s="81">
        <f>'Exh 8 Sales Forecasting'!$F$48*S39</f>
        <v>753.85731163516618</v>
      </c>
      <c r="T42" s="81">
        <f>'Exh 8 Sales Forecasting'!$F$48*T39</f>
        <v>768.93445786786958</v>
      </c>
      <c r="U42" s="81">
        <f>'Exh 8 Sales Forecasting'!$F$48*U39</f>
        <v>784.31314702522695</v>
      </c>
      <c r="V42" s="55"/>
      <c r="W42" s="55"/>
    </row>
    <row r="43" spans="1:32" ht="14" customHeight="1">
      <c r="A43" s="65"/>
      <c r="B43" s="51" t="s">
        <v>17</v>
      </c>
      <c r="C43" s="51"/>
      <c r="D43" s="55"/>
      <c r="E43" s="51"/>
      <c r="F43" s="59"/>
      <c r="G43" s="59"/>
      <c r="H43" s="59"/>
      <c r="I43" s="59"/>
      <c r="J43" s="59"/>
      <c r="K43" s="60">
        <f>SUM('Exh 6 Stores BS'!F39:J39)/5</f>
        <v>184.8</v>
      </c>
      <c r="L43" s="60">
        <f>SUM('Exh 6 Stores BS'!G39:K39)/5</f>
        <v>184.8</v>
      </c>
      <c r="M43" s="60">
        <f>SUM('Exh 6 Stores BS'!H39:L39)/5</f>
        <v>184.8</v>
      </c>
      <c r="N43" s="60">
        <f>SUM('Exh 6 Stores BS'!I39:M39)/5</f>
        <v>184.8</v>
      </c>
      <c r="O43" s="82">
        <f>N43</f>
        <v>184.8</v>
      </c>
      <c r="P43" s="82">
        <v>0</v>
      </c>
      <c r="Q43" s="82">
        <v>0</v>
      </c>
      <c r="R43" s="82">
        <v>0</v>
      </c>
      <c r="S43" s="82">
        <f>'Exh 6 Stores BS'!R39/5</f>
        <v>152.23766139890952</v>
      </c>
      <c r="T43" s="82">
        <f>S43</f>
        <v>152.23766139890952</v>
      </c>
      <c r="U43" s="82">
        <f>T43</f>
        <v>152.23766139890952</v>
      </c>
      <c r="V43" s="59"/>
      <c r="W43" s="59"/>
    </row>
    <row r="44" spans="1:32" ht="14" customHeight="1">
      <c r="A44" s="65"/>
      <c r="B44" s="51" t="s">
        <v>10</v>
      </c>
      <c r="C44" s="51"/>
      <c r="D44" s="55"/>
      <c r="E44" s="63"/>
      <c r="F44" s="59"/>
      <c r="G44" s="59"/>
      <c r="H44" s="59"/>
      <c r="I44" s="59"/>
      <c r="J44" s="59"/>
      <c r="K44" s="60">
        <v>610</v>
      </c>
      <c r="L44" s="60">
        <f>K44</f>
        <v>610</v>
      </c>
      <c r="M44" s="60">
        <f>L44</f>
        <v>610</v>
      </c>
      <c r="N44" s="60">
        <f>M44</f>
        <v>610</v>
      </c>
      <c r="O44" s="82">
        <f>N44</f>
        <v>610</v>
      </c>
      <c r="P44" s="82">
        <f>O44</f>
        <v>610</v>
      </c>
      <c r="Q44" s="82">
        <f>P44*(1+2%)^6</f>
        <v>686.95907575104002</v>
      </c>
      <c r="R44" s="82">
        <f>Q44</f>
        <v>686.95907575104002</v>
      </c>
      <c r="S44" s="82">
        <f t="shared" ref="S44:U44" si="9">R44</f>
        <v>686.95907575104002</v>
      </c>
      <c r="T44" s="82">
        <f t="shared" si="9"/>
        <v>686.95907575104002</v>
      </c>
      <c r="U44" s="82">
        <f t="shared" si="9"/>
        <v>686.95907575104002</v>
      </c>
      <c r="V44" s="62"/>
      <c r="W44" s="62"/>
    </row>
    <row r="45" spans="1:32" ht="14" customHeight="1">
      <c r="A45" s="80">
        <v>2009</v>
      </c>
      <c r="B45" s="56"/>
      <c r="C45" s="57">
        <v>1</v>
      </c>
      <c r="D45" s="58">
        <v>14500</v>
      </c>
      <c r="E45" s="56"/>
      <c r="F45" s="56"/>
      <c r="G45" s="56"/>
      <c r="H45" s="56"/>
      <c r="I45" s="56"/>
      <c r="J45" s="56"/>
      <c r="K45" s="56"/>
      <c r="L45" s="56">
        <v>1</v>
      </c>
      <c r="M45" s="56">
        <v>2</v>
      </c>
      <c r="N45" s="56">
        <v>3</v>
      </c>
      <c r="O45" s="56">
        <v>4</v>
      </c>
      <c r="P45" s="56">
        <v>5</v>
      </c>
      <c r="Q45" s="56">
        <v>6</v>
      </c>
      <c r="R45" s="56">
        <v>7</v>
      </c>
      <c r="S45" s="56">
        <v>8</v>
      </c>
      <c r="T45" s="56">
        <v>9</v>
      </c>
      <c r="U45" s="56">
        <v>10</v>
      </c>
      <c r="V45" s="56"/>
      <c r="W45" s="56"/>
    </row>
    <row r="46" spans="1:32" ht="14" customHeight="1">
      <c r="A46" s="65"/>
      <c r="B46" s="51" t="s">
        <v>0</v>
      </c>
      <c r="C46" s="51"/>
      <c r="D46" s="55"/>
      <c r="E46" s="51"/>
      <c r="F46" s="51"/>
      <c r="G46" s="51"/>
      <c r="H46" s="51"/>
      <c r="I46" s="51"/>
      <c r="J46" s="51"/>
      <c r="K46" s="51"/>
      <c r="L46" s="60">
        <v>1437.4</v>
      </c>
      <c r="M46" s="60">
        <v>2507.1999999999998</v>
      </c>
      <c r="N46" s="60">
        <v>3540.1</v>
      </c>
      <c r="O46" s="119">
        <f>N46*(1+'Exh 2 Econ Indicators'!M8)</f>
        <v>3646.3029999999999</v>
      </c>
      <c r="P46" s="119">
        <f>O46*(1+'Exh 2 Econ Indicators'!N8)</f>
        <v>3748.399484</v>
      </c>
      <c r="Q46" s="119">
        <f>P46*(1+'Exh 2 Econ Indicators'!O8)</f>
        <v>3845.857870584</v>
      </c>
      <c r="R46" s="119">
        <f>Q46*(1+'Exh 2 Econ Indicators'!P8)</f>
        <v>3938.1584594780161</v>
      </c>
      <c r="S46" s="119">
        <f>R46*(1+'Exh 2 Econ Indicators'!Q8)</f>
        <v>4024.7979455865325</v>
      </c>
      <c r="T46" s="119">
        <f>S46*(1+'Exh 2 Econ Indicators'!R8)</f>
        <v>4105.2939044982631</v>
      </c>
      <c r="U46" s="119">
        <f>T46*(1+'Exh 2 Econ Indicators'!S8)</f>
        <v>4187.3997825882288</v>
      </c>
      <c r="V46" s="55"/>
      <c r="W46" s="55"/>
    </row>
    <row r="47" spans="1:32" ht="14" customHeight="1">
      <c r="A47" s="65"/>
      <c r="B47" s="51" t="s">
        <v>1</v>
      </c>
      <c r="C47" s="51"/>
      <c r="D47" s="55"/>
      <c r="E47" s="51"/>
      <c r="F47" s="51"/>
      <c r="G47" s="51"/>
      <c r="H47" s="51"/>
      <c r="I47" s="51"/>
      <c r="J47" s="51"/>
      <c r="K47" s="51"/>
      <c r="L47" s="60">
        <v>1020.6</v>
      </c>
      <c r="M47" s="60">
        <v>1652</v>
      </c>
      <c r="N47" s="60">
        <v>1887</v>
      </c>
      <c r="O47" s="81">
        <f>'Exh 8 Sales Forecasting'!$F$24*O46</f>
        <v>1432.4245871325711</v>
      </c>
      <c r="P47" s="81">
        <f>'Exh 8 Sales Forecasting'!$F$24*P46</f>
        <v>1472.5324755722831</v>
      </c>
      <c r="Q47" s="81">
        <f>'Exh 8 Sales Forecasting'!$F$24*Q46</f>
        <v>1510.8183199371626</v>
      </c>
      <c r="R47" s="81">
        <f>'Exh 8 Sales Forecasting'!$F$24*R46</f>
        <v>1547.0779596156544</v>
      </c>
      <c r="S47" s="81">
        <f>'Exh 8 Sales Forecasting'!$F$24*S46</f>
        <v>1581.1136747271989</v>
      </c>
      <c r="T47" s="81">
        <f>'Exh 8 Sales Forecasting'!$F$24*T46</f>
        <v>1612.735948221743</v>
      </c>
      <c r="U47" s="81">
        <f>'Exh 8 Sales Forecasting'!$F$24*U46</f>
        <v>1644.9906671861779</v>
      </c>
      <c r="V47" s="55"/>
      <c r="W47" s="55"/>
    </row>
    <row r="48" spans="1:32" ht="14" customHeight="1">
      <c r="A48" s="65"/>
      <c r="B48" s="51" t="s">
        <v>19</v>
      </c>
      <c r="C48" s="51"/>
      <c r="D48" s="55"/>
      <c r="E48" s="51"/>
      <c r="F48" s="51"/>
      <c r="G48" s="55"/>
      <c r="H48" s="55"/>
      <c r="I48" s="55"/>
      <c r="J48" s="55"/>
      <c r="K48" s="55"/>
      <c r="L48" s="60">
        <v>256.89999999999998</v>
      </c>
      <c r="M48" s="60">
        <v>480.3</v>
      </c>
      <c r="N48" s="60">
        <v>615</v>
      </c>
      <c r="O48" s="81">
        <f>'Exh 8 Sales Forecasting'!$F$36*O46</f>
        <v>495.86591426265113</v>
      </c>
      <c r="P48" s="81">
        <f>'Exh 8 Sales Forecasting'!$F$36*P46</f>
        <v>509.75015986200538</v>
      </c>
      <c r="Q48" s="81">
        <f>'Exh 8 Sales Forecasting'!$F$36*Q46</f>
        <v>523.00366401841757</v>
      </c>
      <c r="R48" s="81">
        <f>'Exh 8 Sales Forecasting'!$F$36*R46</f>
        <v>535.5557519548596</v>
      </c>
      <c r="S48" s="81">
        <f>'Exh 8 Sales Forecasting'!$F$36*S46</f>
        <v>547.33797849786652</v>
      </c>
      <c r="T48" s="81">
        <f>'Exh 8 Sales Forecasting'!$F$36*T46</f>
        <v>558.28473806782381</v>
      </c>
      <c r="U48" s="81">
        <f>'Exh 8 Sales Forecasting'!$F$36*U46</f>
        <v>569.45043282918039</v>
      </c>
      <c r="V48" s="55"/>
      <c r="W48" s="55"/>
    </row>
    <row r="49" spans="1:23" ht="14" customHeight="1">
      <c r="A49" s="65"/>
      <c r="B49" s="51" t="s">
        <v>16</v>
      </c>
      <c r="C49" s="51"/>
      <c r="D49" s="55"/>
      <c r="E49" s="51"/>
      <c r="F49" s="51"/>
      <c r="G49" s="55"/>
      <c r="H49" s="55"/>
      <c r="I49" s="55"/>
      <c r="J49" s="55"/>
      <c r="K49" s="55"/>
      <c r="L49" s="60">
        <v>158</v>
      </c>
      <c r="M49" s="60">
        <v>227.2</v>
      </c>
      <c r="N49" s="60">
        <v>303.10000000000002</v>
      </c>
      <c r="O49" s="81">
        <f>'Exh 8 Sales Forecasting'!$F$48*O46</f>
        <v>261.1762650154663</v>
      </c>
      <c r="P49" s="81">
        <f>'Exh 8 Sales Forecasting'!$F$48*P46</f>
        <v>268.48920043589936</v>
      </c>
      <c r="Q49" s="81">
        <f>'Exh 8 Sales Forecasting'!$F$48*Q46</f>
        <v>275.46991964723276</v>
      </c>
      <c r="R49" s="81">
        <f>'Exh 8 Sales Forecasting'!$F$48*R46</f>
        <v>282.08119771876636</v>
      </c>
      <c r="S49" s="81">
        <f>'Exh 8 Sales Forecasting'!$F$48*S46</f>
        <v>288.28698406857922</v>
      </c>
      <c r="T49" s="81">
        <f>'Exh 8 Sales Forecasting'!$F$48*T46</f>
        <v>294.05272374995081</v>
      </c>
      <c r="U49" s="81">
        <f>'Exh 8 Sales Forecasting'!$F$48*U46</f>
        <v>299.93377822494983</v>
      </c>
      <c r="V49" s="55"/>
      <c r="W49" s="55"/>
    </row>
    <row r="50" spans="1:23" ht="14" customHeight="1">
      <c r="A50" s="65"/>
      <c r="B50" s="51" t="s">
        <v>17</v>
      </c>
      <c r="C50" s="51"/>
      <c r="D50" s="55"/>
      <c r="E50" s="51"/>
      <c r="F50" s="59"/>
      <c r="G50" s="59"/>
      <c r="H50" s="59"/>
      <c r="I50" s="59"/>
      <c r="J50" s="59"/>
      <c r="K50" s="59"/>
      <c r="L50" s="60">
        <f>SUM('Exh 6 Stores BS'!G46:K46)/5</f>
        <v>78.8</v>
      </c>
      <c r="M50" s="60">
        <f>SUM('Exh 6 Stores BS'!H46:L46)/5</f>
        <v>78.8</v>
      </c>
      <c r="N50" s="60">
        <f>SUM('Exh 6 Stores BS'!I46:M46)/5</f>
        <v>78.8</v>
      </c>
      <c r="O50" s="82">
        <f>N50</f>
        <v>78.8</v>
      </c>
      <c r="P50" s="82">
        <f>O50</f>
        <v>78.8</v>
      </c>
      <c r="Q50" s="82">
        <v>0</v>
      </c>
      <c r="R50" s="82">
        <v>0</v>
      </c>
      <c r="S50" s="82">
        <v>0</v>
      </c>
      <c r="T50" s="82">
        <f>'Exh 6 Stores BS'!S46/5</f>
        <v>64.396149492596564</v>
      </c>
      <c r="U50" s="59">
        <f>T50</f>
        <v>64.396149492596564</v>
      </c>
      <c r="V50" s="59"/>
      <c r="W50" s="59"/>
    </row>
    <row r="51" spans="1:23" ht="14" customHeight="1">
      <c r="A51" s="65"/>
      <c r="B51" s="51" t="s">
        <v>10</v>
      </c>
      <c r="C51" s="51"/>
      <c r="D51" s="55"/>
      <c r="E51" s="63"/>
      <c r="F51" s="59"/>
      <c r="G51" s="59"/>
      <c r="H51" s="59"/>
      <c r="I51" s="59"/>
      <c r="J51" s="59"/>
      <c r="K51" s="59"/>
      <c r="L51" s="60">
        <v>280</v>
      </c>
      <c r="M51" s="60">
        <f>L51</f>
        <v>280</v>
      </c>
      <c r="N51" s="60">
        <f>M51</f>
        <v>280</v>
      </c>
      <c r="O51" s="82">
        <f>N51</f>
        <v>280</v>
      </c>
      <c r="P51" s="82">
        <f t="shared" ref="P51:Q51" si="10">O51</f>
        <v>280</v>
      </c>
      <c r="Q51" s="82">
        <f t="shared" si="10"/>
        <v>280</v>
      </c>
      <c r="R51" s="82">
        <f>Q51*(1+2%)^6</f>
        <v>315.32547739392004</v>
      </c>
      <c r="S51" s="82">
        <f>R51</f>
        <v>315.32547739392004</v>
      </c>
      <c r="T51" s="82">
        <f t="shared" ref="T51:U51" si="11">S51</f>
        <v>315.32547739392004</v>
      </c>
      <c r="U51" s="82">
        <f t="shared" si="11"/>
        <v>315.32547739392004</v>
      </c>
      <c r="V51" s="62"/>
      <c r="W51" s="62"/>
    </row>
    <row r="52" spans="1:23" ht="14" customHeight="1">
      <c r="A52" s="80">
        <v>2010</v>
      </c>
      <c r="B52" s="56"/>
      <c r="C52" s="57">
        <v>2</v>
      </c>
      <c r="D52" s="58">
        <v>14700</v>
      </c>
      <c r="E52" s="56"/>
      <c r="F52" s="56"/>
      <c r="G52" s="56"/>
      <c r="H52" s="56"/>
      <c r="I52" s="56"/>
      <c r="J52" s="56"/>
      <c r="K52" s="56"/>
      <c r="L52" s="56"/>
      <c r="M52" s="56">
        <v>1</v>
      </c>
      <c r="N52" s="56">
        <v>2</v>
      </c>
      <c r="O52" s="56">
        <v>3</v>
      </c>
      <c r="P52" s="56">
        <v>4</v>
      </c>
      <c r="Q52" s="56">
        <v>5</v>
      </c>
      <c r="R52" s="56">
        <v>6</v>
      </c>
      <c r="S52" s="56">
        <v>7</v>
      </c>
      <c r="T52" s="56">
        <v>8</v>
      </c>
      <c r="U52" s="56">
        <v>9</v>
      </c>
      <c r="V52" s="56"/>
      <c r="W52" s="56"/>
    </row>
    <row r="53" spans="1:23" ht="14" customHeight="1">
      <c r="A53" s="65"/>
      <c r="B53" s="51" t="s">
        <v>0</v>
      </c>
      <c r="C53" s="51"/>
      <c r="D53" s="55"/>
      <c r="E53" s="51"/>
      <c r="F53" s="51"/>
      <c r="G53" s="51"/>
      <c r="H53" s="51"/>
      <c r="I53" s="51"/>
      <c r="J53" s="51"/>
      <c r="K53" s="51"/>
      <c r="L53" s="51"/>
      <c r="M53" s="60">
        <v>3007.7</v>
      </c>
      <c r="N53" s="60">
        <v>5300</v>
      </c>
      <c r="O53" s="119">
        <f>N53*(1+'Exh 2 Econ Indicators'!M8)</f>
        <v>5459</v>
      </c>
      <c r="P53" s="119">
        <f>O53*(1+'Exh 2 Econ Indicators'!N8)</f>
        <v>5611.8519999999999</v>
      </c>
      <c r="Q53" s="119">
        <f>P53*(1+'Exh 2 Econ Indicators'!O8)</f>
        <v>5757.7601519999998</v>
      </c>
      <c r="R53" s="119">
        <f>Q53*(1+'Exh 2 Econ Indicators'!P8)</f>
        <v>5895.9463956480004</v>
      </c>
      <c r="S53" s="119">
        <f>R53*(1+'Exh 2 Econ Indicators'!Q8)</f>
        <v>6025.6572163522569</v>
      </c>
      <c r="T53" s="119">
        <f>S53*(1+'Exh 2 Econ Indicators'!R8)</f>
        <v>6146.1703606793026</v>
      </c>
      <c r="U53" s="119">
        <f>T53*(1+'Exh 2 Econ Indicators'!S8)</f>
        <v>6269.0937678928885</v>
      </c>
      <c r="V53" s="55"/>
      <c r="W53" s="55"/>
    </row>
    <row r="54" spans="1:23" ht="14" customHeight="1">
      <c r="A54" s="65"/>
      <c r="B54" s="51" t="s">
        <v>1</v>
      </c>
      <c r="C54" s="51"/>
      <c r="D54" s="55"/>
      <c r="E54" s="51"/>
      <c r="F54" s="51"/>
      <c r="G54" s="51"/>
      <c r="H54" s="51"/>
      <c r="I54" s="51"/>
      <c r="J54" s="51"/>
      <c r="K54" s="51"/>
      <c r="L54" s="51"/>
      <c r="M54" s="60">
        <v>2226</v>
      </c>
      <c r="N54" s="60">
        <v>3525.6</v>
      </c>
      <c r="O54" s="81">
        <f>'Exh 8 Sales Forecasting'!$E$24*O53</f>
        <v>3068.5910359048648</v>
      </c>
      <c r="P54" s="81">
        <f>'Exh 8 Sales Forecasting'!$F$24*P53</f>
        <v>2204.5767409206242</v>
      </c>
      <c r="Q54" s="81">
        <f>'Exh 8 Sales Forecasting'!$F$24*Q53</f>
        <v>2261.8957361845601</v>
      </c>
      <c r="R54" s="81">
        <f>'Exh 8 Sales Forecasting'!$F$24*R53</f>
        <v>2316.1812338529899</v>
      </c>
      <c r="S54" s="81">
        <f>'Exh 8 Sales Forecasting'!$F$24*S53</f>
        <v>2367.1372209977558</v>
      </c>
      <c r="T54" s="81">
        <f>'Exh 8 Sales Forecasting'!$F$24*T53</f>
        <v>2414.4799654177114</v>
      </c>
      <c r="U54" s="81">
        <f>'Exh 8 Sales Forecasting'!$F$24*U53</f>
        <v>2462.7695647260653</v>
      </c>
      <c r="V54" s="55"/>
      <c r="W54" s="55"/>
    </row>
    <row r="55" spans="1:23" ht="14" customHeight="1">
      <c r="A55" s="65"/>
      <c r="B55" s="51" t="s">
        <v>19</v>
      </c>
      <c r="C55" s="51"/>
      <c r="D55" s="55"/>
      <c r="E55" s="51"/>
      <c r="F55" s="51"/>
      <c r="G55" s="55"/>
      <c r="H55" s="55"/>
      <c r="I55" s="55"/>
      <c r="J55" s="55"/>
      <c r="K55" s="55"/>
      <c r="L55" s="55"/>
      <c r="M55" s="60">
        <v>622.70000000000005</v>
      </c>
      <c r="N55" s="60">
        <v>1028</v>
      </c>
      <c r="O55" s="81">
        <f>'Exh 8 Sales Forecasting'!$E$36*O53</f>
        <v>943.56493388098977</v>
      </c>
      <c r="P55" s="81">
        <f>'Exh 8 Sales Forecasting'!$F$36*P53</f>
        <v>763.16370929313541</v>
      </c>
      <c r="Q55" s="81">
        <f>'Exh 8 Sales Forecasting'!$F$36*Q53</f>
        <v>783.00596573475684</v>
      </c>
      <c r="R55" s="81">
        <f>'Exh 8 Sales Forecasting'!$F$36*R53</f>
        <v>801.79810891239117</v>
      </c>
      <c r="S55" s="81">
        <f>'Exh 8 Sales Forecasting'!$F$36*S53</f>
        <v>819.4376673084638</v>
      </c>
      <c r="T55" s="81">
        <f>'Exh 8 Sales Forecasting'!$F$36*T53</f>
        <v>835.82642065463313</v>
      </c>
      <c r="U55" s="81">
        <f>'Exh 8 Sales Forecasting'!$F$36*U53</f>
        <v>852.54294906772577</v>
      </c>
      <c r="V55" s="55"/>
      <c r="W55" s="55"/>
    </row>
    <row r="56" spans="1:23" ht="14" customHeight="1">
      <c r="A56" s="65"/>
      <c r="B56" s="51" t="s">
        <v>16</v>
      </c>
      <c r="C56" s="51"/>
      <c r="D56" s="55"/>
      <c r="E56" s="51"/>
      <c r="F56" s="51"/>
      <c r="G56" s="55"/>
      <c r="H56" s="55"/>
      <c r="I56" s="55"/>
      <c r="J56" s="55"/>
      <c r="K56" s="55"/>
      <c r="L56" s="55"/>
      <c r="M56" s="60">
        <v>352.9</v>
      </c>
      <c r="N56" s="60">
        <v>472.8</v>
      </c>
      <c r="O56" s="81">
        <f>'Exh 8 Sales Forecasting'!$E$48*O53</f>
        <v>446.32497098487931</v>
      </c>
      <c r="P56" s="81">
        <f>'Exh 8 Sales Forecasting'!$F$48*P53</f>
        <v>401.96400166951969</v>
      </c>
      <c r="Q56" s="81">
        <f>'Exh 8 Sales Forecasting'!$F$48*Q53</f>
        <v>412.41506571292723</v>
      </c>
      <c r="R56" s="81">
        <f>'Exh 8 Sales Forecasting'!$F$48*R53</f>
        <v>422.3130272900375</v>
      </c>
      <c r="S56" s="81">
        <f>'Exh 8 Sales Forecasting'!$F$48*S53</f>
        <v>431.60391389041837</v>
      </c>
      <c r="T56" s="81">
        <f>'Exh 8 Sales Forecasting'!$F$48*T53</f>
        <v>440.23599216822674</v>
      </c>
      <c r="U56" s="81">
        <f>'Exh 8 Sales Forecasting'!$F$48*U53</f>
        <v>449.04071201159132</v>
      </c>
      <c r="V56" s="55"/>
      <c r="W56" s="55"/>
    </row>
    <row r="57" spans="1:23" ht="14" customHeight="1">
      <c r="A57" s="65"/>
      <c r="B57" s="51" t="s">
        <v>17</v>
      </c>
      <c r="C57" s="51"/>
      <c r="D57" s="55"/>
      <c r="E57" s="51"/>
      <c r="F57" s="59"/>
      <c r="G57" s="59"/>
      <c r="H57" s="59"/>
      <c r="I57" s="59"/>
      <c r="J57" s="59"/>
      <c r="K57" s="59"/>
      <c r="L57" s="59"/>
      <c r="M57" s="60">
        <f>SUM('Exh 6 Stores BS'!H53:L53)/5</f>
        <v>150.4</v>
      </c>
      <c r="N57" s="60">
        <f>SUM('Exh 6 Stores BS'!I53:M53)/5</f>
        <v>150.4</v>
      </c>
      <c r="O57" s="81">
        <f>N57</f>
        <v>150.4</v>
      </c>
      <c r="P57" s="81">
        <f t="shared" ref="P57:R58" si="12">O57</f>
        <v>150.4</v>
      </c>
      <c r="Q57" s="81">
        <f t="shared" si="12"/>
        <v>150.4</v>
      </c>
      <c r="R57" s="81">
        <v>0</v>
      </c>
      <c r="S57" s="81">
        <v>0</v>
      </c>
      <c r="T57" s="81">
        <v>0</v>
      </c>
      <c r="U57" s="81">
        <f>'Exh 6 Stores BS'!T53/5</f>
        <v>123.27685686029932</v>
      </c>
      <c r="V57" s="94"/>
      <c r="W57" s="94"/>
    </row>
    <row r="58" spans="1:23" ht="14" customHeight="1">
      <c r="A58" s="65"/>
      <c r="B58" s="51" t="s">
        <v>10</v>
      </c>
      <c r="C58" s="51"/>
      <c r="D58" s="55"/>
      <c r="E58" s="63"/>
      <c r="F58" s="59"/>
      <c r="G58" s="59"/>
      <c r="H58" s="59"/>
      <c r="I58" s="59"/>
      <c r="J58" s="59"/>
      <c r="K58" s="59"/>
      <c r="L58" s="59"/>
      <c r="M58" s="60">
        <v>565</v>
      </c>
      <c r="N58" s="60">
        <f>M58</f>
        <v>565</v>
      </c>
      <c r="O58" s="93">
        <f>N58</f>
        <v>565</v>
      </c>
      <c r="P58" s="93">
        <f t="shared" si="12"/>
        <v>565</v>
      </c>
      <c r="Q58" s="93">
        <f t="shared" si="12"/>
        <v>565</v>
      </c>
      <c r="R58" s="93">
        <f t="shared" si="12"/>
        <v>565</v>
      </c>
      <c r="S58" s="93">
        <f>R58*(1+2%)^6</f>
        <v>636.28176688415999</v>
      </c>
      <c r="T58" s="93">
        <f>S58</f>
        <v>636.28176688415999</v>
      </c>
      <c r="U58" s="93">
        <f>T58</f>
        <v>636.28176688415999</v>
      </c>
      <c r="V58" s="95"/>
      <c r="W58" s="95"/>
    </row>
    <row r="59" spans="1:23" ht="14" customHeight="1">
      <c r="A59" s="80">
        <v>2011</v>
      </c>
      <c r="B59" s="56"/>
      <c r="C59" s="57">
        <v>2</v>
      </c>
      <c r="D59" s="58">
        <v>15400</v>
      </c>
      <c r="E59" s="56"/>
      <c r="F59" s="56"/>
      <c r="G59" s="56"/>
      <c r="H59" s="56"/>
      <c r="I59" s="56"/>
      <c r="J59" s="56"/>
      <c r="K59" s="56"/>
      <c r="L59" s="56"/>
      <c r="M59" s="56"/>
      <c r="N59" s="56">
        <v>1</v>
      </c>
      <c r="O59" s="56">
        <v>2</v>
      </c>
      <c r="P59" s="56">
        <v>3</v>
      </c>
      <c r="Q59" s="56">
        <v>4</v>
      </c>
      <c r="R59" s="56">
        <v>5</v>
      </c>
      <c r="S59" s="56">
        <v>6</v>
      </c>
      <c r="T59" s="56">
        <v>7</v>
      </c>
      <c r="U59" s="56">
        <v>8</v>
      </c>
      <c r="V59" s="56"/>
      <c r="W59" s="56"/>
    </row>
    <row r="60" spans="1:23" ht="14" customHeight="1">
      <c r="A60" s="65"/>
      <c r="B60" s="51" t="s">
        <v>0</v>
      </c>
      <c r="C60" s="51"/>
      <c r="D60" s="55"/>
      <c r="E60" s="51"/>
      <c r="F60" s="51"/>
      <c r="G60" s="51"/>
      <c r="H60" s="51"/>
      <c r="I60" s="51"/>
      <c r="J60" s="51"/>
      <c r="K60" s="51"/>
      <c r="L60" s="51"/>
      <c r="M60" s="59"/>
      <c r="N60" s="60">
        <v>3353.7</v>
      </c>
      <c r="O60" s="119">
        <f>N60*(1+'Exh 2 Econ Indicators'!M8)</f>
        <v>3454.3109999999997</v>
      </c>
      <c r="P60" s="119">
        <f>O60*(1+'Exh 2 Econ Indicators'!N8)</f>
        <v>3551.031708</v>
      </c>
      <c r="Q60" s="119">
        <f>P60*(1+'Exh 2 Econ Indicators'!O8)</f>
        <v>3643.358532408</v>
      </c>
      <c r="R60" s="119">
        <f>Q60*(1+'Exh 2 Econ Indicators'!P8)</f>
        <v>3730.799137185792</v>
      </c>
      <c r="S60" s="119">
        <f>R60*(1+'Exh 2 Econ Indicators'!Q8)</f>
        <v>3812.8767182038796</v>
      </c>
      <c r="T60" s="119">
        <f>S60*(1+'Exh 2 Econ Indicators'!R8)</f>
        <v>3889.1342525679574</v>
      </c>
      <c r="U60" s="119">
        <f>T60*(1+'Exh 2 Econ Indicators'!S8)</f>
        <v>3966.9169376193167</v>
      </c>
      <c r="V60" s="55"/>
      <c r="W60" s="55"/>
    </row>
    <row r="61" spans="1:23" ht="14" customHeight="1">
      <c r="A61" s="65"/>
      <c r="B61" s="51" t="s">
        <v>1</v>
      </c>
      <c r="C61" s="51"/>
      <c r="D61" s="55"/>
      <c r="E61" s="51"/>
      <c r="F61" s="51"/>
      <c r="G61" s="51"/>
      <c r="H61" s="51"/>
      <c r="I61" s="51"/>
      <c r="J61" s="51"/>
      <c r="K61" s="51"/>
      <c r="L61" s="51"/>
      <c r="M61" s="55"/>
      <c r="N61" s="60">
        <v>2357.1</v>
      </c>
      <c r="O61" s="81">
        <f>'Exh 8 Sales Forecasting'!D24*O60</f>
        <v>2198.7548334337271</v>
      </c>
      <c r="P61" s="81">
        <f>'Exh 8 Sales Forecasting'!E24*P60</f>
        <v>1996.0916042100644</v>
      </c>
      <c r="Q61" s="81">
        <f>'Exh 8 Sales Forecasting'!$F$24*Q60</f>
        <v>1431.267873668332</v>
      </c>
      <c r="R61" s="81">
        <f>'Exh 8 Sales Forecasting'!$F$24*R60</f>
        <v>1465.6183026363719</v>
      </c>
      <c r="S61" s="81">
        <f>'Exh 8 Sales Forecasting'!$F$24*S60</f>
        <v>1497.8619052943723</v>
      </c>
      <c r="T61" s="81">
        <f>'Exh 8 Sales Forecasting'!$F$24*T60</f>
        <v>1527.8191434002597</v>
      </c>
      <c r="U61" s="81">
        <f>'Exh 8 Sales Forecasting'!$F$24*U60</f>
        <v>1558.375526268265</v>
      </c>
      <c r="V61" s="55"/>
      <c r="W61" s="55"/>
    </row>
    <row r="62" spans="1:23" ht="14" customHeight="1">
      <c r="A62" s="65"/>
      <c r="B62" s="51" t="s">
        <v>19</v>
      </c>
      <c r="C62" s="51"/>
      <c r="D62" s="55"/>
      <c r="E62" s="51"/>
      <c r="F62" s="51"/>
      <c r="G62" s="55"/>
      <c r="H62" s="55"/>
      <c r="I62" s="55"/>
      <c r="J62" s="55"/>
      <c r="K62" s="55"/>
      <c r="L62" s="55"/>
      <c r="M62" s="55"/>
      <c r="N62" s="60">
        <v>700.9</v>
      </c>
      <c r="O62" s="81">
        <f>'Exh 8 Sales Forecasting'!D36*O60</f>
        <v>632.66290704317896</v>
      </c>
      <c r="P62" s="81">
        <f>'Exh 8 Sales Forecasting'!E36*P60</f>
        <v>613.78072884563437</v>
      </c>
      <c r="Q62" s="81">
        <f>'Exh 8 Sales Forecasting'!$F$36*Q60</f>
        <v>495.46549194050078</v>
      </c>
      <c r="R62" s="81">
        <f>'Exh 8 Sales Forecasting'!$F$36*R60</f>
        <v>507.35666374707284</v>
      </c>
      <c r="S62" s="81">
        <f>'Exh 8 Sales Forecasting'!$F$36*S60</f>
        <v>518.51851034950846</v>
      </c>
      <c r="T62" s="81">
        <f>'Exh 8 Sales Forecasting'!$F$36*T60</f>
        <v>528.88888055649863</v>
      </c>
      <c r="U62" s="81">
        <f>'Exh 8 Sales Forecasting'!$F$36*U60</f>
        <v>539.46665816762868</v>
      </c>
      <c r="V62" s="55"/>
      <c r="W62" s="55"/>
    </row>
    <row r="63" spans="1:23" ht="14" customHeight="1">
      <c r="A63" s="65"/>
      <c r="B63" s="51" t="s">
        <v>16</v>
      </c>
      <c r="C63" s="51"/>
      <c r="D63" s="55"/>
      <c r="E63" s="51"/>
      <c r="F63" s="51"/>
      <c r="G63" s="55"/>
      <c r="H63" s="55"/>
      <c r="I63" s="55"/>
      <c r="J63" s="55"/>
      <c r="K63" s="55"/>
      <c r="L63" s="55"/>
      <c r="M63" s="55"/>
      <c r="N63" s="60">
        <v>358.3</v>
      </c>
      <c r="O63" s="81">
        <f>'Exh 8 Sales Forecasting'!D48*O60</f>
        <v>306.89504963818132</v>
      </c>
      <c r="P63" s="81">
        <f>'Exh 8 Sales Forecasting'!E48*P60</f>
        <v>290.33048617686143</v>
      </c>
      <c r="Q63" s="81">
        <f>'Exh 8 Sales Forecasting'!$F$48*Q60</f>
        <v>260.96535960027245</v>
      </c>
      <c r="R63" s="81">
        <f>'Exh 8 Sales Forecasting'!$F$48*R60</f>
        <v>267.22852823067899</v>
      </c>
      <c r="S63" s="81">
        <f>'Exh 8 Sales Forecasting'!$F$48*S60</f>
        <v>273.10755585175394</v>
      </c>
      <c r="T63" s="81">
        <f>'Exh 8 Sales Forecasting'!$F$48*T60</f>
        <v>278.56970696878903</v>
      </c>
      <c r="U63" s="81">
        <f>'Exh 8 Sales Forecasting'!$F$48*U60</f>
        <v>284.14110110816483</v>
      </c>
      <c r="V63" s="55"/>
      <c r="W63" s="55"/>
    </row>
    <row r="64" spans="1:23" ht="14" customHeight="1">
      <c r="A64" s="65"/>
      <c r="B64" s="51" t="s">
        <v>17</v>
      </c>
      <c r="C64" s="51"/>
      <c r="D64" s="55"/>
      <c r="E64" s="51"/>
      <c r="F64" s="59"/>
      <c r="G64" s="59"/>
      <c r="H64" s="59"/>
      <c r="I64" s="59"/>
      <c r="J64" s="59"/>
      <c r="K64" s="59"/>
      <c r="L64" s="59"/>
      <c r="M64" s="59"/>
      <c r="N64" s="60">
        <f>SUM('Exh 6 Stores BS'!I60:M60)/5</f>
        <v>159.6</v>
      </c>
      <c r="O64" s="93">
        <f>N64</f>
        <v>159.6</v>
      </c>
      <c r="P64" s="93">
        <f t="shared" ref="P64:S65" si="13">O64</f>
        <v>159.6</v>
      </c>
      <c r="Q64" s="93">
        <f t="shared" si="13"/>
        <v>159.6</v>
      </c>
      <c r="R64" s="93">
        <f t="shared" si="13"/>
        <v>159.6</v>
      </c>
      <c r="S64" s="93">
        <v>0</v>
      </c>
      <c r="T64" s="93">
        <v>0</v>
      </c>
      <c r="U64" s="94">
        <v>0</v>
      </c>
      <c r="V64" s="94"/>
      <c r="W64" s="94"/>
    </row>
    <row r="65" spans="1:23" ht="14" customHeight="1">
      <c r="A65" s="65"/>
      <c r="B65" s="51" t="s">
        <v>10</v>
      </c>
      <c r="C65" s="51"/>
      <c r="D65" s="55"/>
      <c r="E65" s="63"/>
      <c r="F65" s="59"/>
      <c r="G65" s="59"/>
      <c r="H65" s="59"/>
      <c r="I65" s="59"/>
      <c r="J65" s="59"/>
      <c r="K65" s="59"/>
      <c r="L65" s="59"/>
      <c r="M65" s="59"/>
      <c r="N65" s="60">
        <v>610</v>
      </c>
      <c r="O65" s="93">
        <f>N65</f>
        <v>610</v>
      </c>
      <c r="P65" s="93">
        <f t="shared" si="13"/>
        <v>610</v>
      </c>
      <c r="Q65" s="93">
        <f t="shared" si="13"/>
        <v>610</v>
      </c>
      <c r="R65" s="93">
        <f t="shared" si="13"/>
        <v>610</v>
      </c>
      <c r="S65" s="93">
        <f t="shared" si="13"/>
        <v>610</v>
      </c>
      <c r="T65" s="93">
        <f>S65*(1+2%)^6</f>
        <v>686.95907575104002</v>
      </c>
      <c r="U65" s="95">
        <f>T65</f>
        <v>686.95907575104002</v>
      </c>
      <c r="V65" s="94"/>
      <c r="W65" s="95"/>
    </row>
    <row r="66" spans="1:23" ht="14" customHeight="1">
      <c r="A66" s="80">
        <v>2012</v>
      </c>
      <c r="B66" s="56"/>
      <c r="C66" s="57">
        <v>3</v>
      </c>
      <c r="D66" s="58">
        <v>16300</v>
      </c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>
        <v>1</v>
      </c>
      <c r="P66" s="56">
        <v>2</v>
      </c>
      <c r="Q66" s="56">
        <v>3</v>
      </c>
      <c r="R66" s="56">
        <v>4</v>
      </c>
      <c r="S66" s="56">
        <v>5</v>
      </c>
      <c r="T66" s="56">
        <v>6</v>
      </c>
      <c r="U66" s="56">
        <v>7</v>
      </c>
      <c r="V66" s="56"/>
      <c r="W66" s="56"/>
    </row>
    <row r="67" spans="1:23" ht="14" customHeight="1">
      <c r="A67" s="65"/>
      <c r="B67" s="51" t="s">
        <v>0</v>
      </c>
      <c r="C67" s="51"/>
      <c r="D67" s="55"/>
      <c r="E67" s="51"/>
      <c r="F67" s="51"/>
      <c r="G67" s="51"/>
      <c r="H67" s="51"/>
      <c r="I67" s="51"/>
      <c r="J67" s="51"/>
      <c r="K67" s="51"/>
      <c r="L67" s="51"/>
      <c r="M67" s="51"/>
      <c r="N67" s="59"/>
      <c r="O67" s="96">
        <f>110*C66*D66/1000</f>
        <v>5379</v>
      </c>
      <c r="P67" s="119">
        <f>O67*(1+'Exh 2 Econ Indicators'!N8)</f>
        <v>5529.6120000000001</v>
      </c>
      <c r="Q67" s="119">
        <f>P67*(1+'Exh 2 Econ Indicators'!O8)</f>
        <v>5673.3819119999998</v>
      </c>
      <c r="R67" s="119">
        <f>Q67*(1+'Exh 2 Econ Indicators'!P8)</f>
        <v>5809.543077888</v>
      </c>
      <c r="S67" s="119">
        <f>R67*(1+'Exh 2 Econ Indicators'!Q8)</f>
        <v>5937.3530256015365</v>
      </c>
      <c r="T67" s="119">
        <f>S67*(1+'Exh 2 Econ Indicators'!R8)</f>
        <v>6056.1000861135672</v>
      </c>
      <c r="U67" s="119">
        <f>T67*(1+'Exh 2 Econ Indicators'!S8)</f>
        <v>6177.2220878358385</v>
      </c>
      <c r="V67" s="55"/>
      <c r="W67" s="55"/>
    </row>
    <row r="68" spans="1:23" ht="14" customHeight="1">
      <c r="A68" s="65"/>
      <c r="B68" s="51" t="s">
        <v>1</v>
      </c>
      <c r="C68" s="51"/>
      <c r="D68" s="55"/>
      <c r="E68" s="51"/>
      <c r="F68" s="51"/>
      <c r="G68" s="51"/>
      <c r="H68" s="51"/>
      <c r="I68" s="51"/>
      <c r="J68" s="51"/>
      <c r="K68" s="51"/>
      <c r="L68" s="51"/>
      <c r="M68" s="51"/>
      <c r="N68" s="55"/>
      <c r="O68" s="81">
        <f>'Exh 8 Sales Forecasting'!C24*O67</f>
        <v>3811.7627810760832</v>
      </c>
      <c r="P68" s="81">
        <f>'Exh 8 Sales Forecasting'!D24*P67</f>
        <v>3519.7355165800468</v>
      </c>
      <c r="Q68" s="81">
        <f>'Exh 8 Sales Forecasting'!E24*Q67</f>
        <v>3189.0985305784948</v>
      </c>
      <c r="R68" s="81">
        <f>'Exh 8 Sales Forecasting'!$F$24*R67</f>
        <v>2282.2382958225376</v>
      </c>
      <c r="S68" s="81">
        <f>'Exh 8 Sales Forecasting'!$F$24*S67</f>
        <v>2332.4475383306335</v>
      </c>
      <c r="T68" s="81">
        <f>'Exh 8 Sales Forecasting'!$F$24*T67</f>
        <v>2379.0964890972459</v>
      </c>
      <c r="U68" s="81">
        <f>'Exh 8 Sales Forecasting'!$F$24*U67</f>
        <v>2426.6784188791908</v>
      </c>
      <c r="V68" s="55"/>
      <c r="W68" s="55"/>
    </row>
    <row r="69" spans="1:23" ht="14" customHeight="1">
      <c r="A69" s="65"/>
      <c r="B69" s="51" t="s">
        <v>19</v>
      </c>
      <c r="C69" s="51"/>
      <c r="D69" s="55"/>
      <c r="E69" s="51"/>
      <c r="F69" s="51"/>
      <c r="G69" s="55"/>
      <c r="H69" s="55"/>
      <c r="I69" s="55"/>
      <c r="J69" s="55"/>
      <c r="K69" s="55"/>
      <c r="L69" s="55"/>
      <c r="M69" s="55"/>
      <c r="N69" s="55"/>
      <c r="O69" s="81">
        <f>'Exh 8 Sales Forecasting'!C36*O67</f>
        <v>1039.2739782039746</v>
      </c>
      <c r="P69" s="81">
        <f>'Exh 8 Sales Forecasting'!D36*P67</f>
        <v>1012.757798223972</v>
      </c>
      <c r="Q69" s="81">
        <f>'Exh 8 Sales Forecasting'!E36*Q67</f>
        <v>980.61993564350303</v>
      </c>
      <c r="R69" s="81">
        <f>'Exh 8 Sales Forecasting'!$F$36*R67</f>
        <v>790.04799923791018</v>
      </c>
      <c r="S69" s="81">
        <f>'Exh 8 Sales Forecasting'!$F$36*S67</f>
        <v>807.42905522114427</v>
      </c>
      <c r="T69" s="81">
        <f>'Exh 8 Sales Forecasting'!$F$36*T67</f>
        <v>823.57763632556714</v>
      </c>
      <c r="U69" s="81">
        <f>'Exh 8 Sales Forecasting'!$F$36*U67</f>
        <v>840.04918905207842</v>
      </c>
      <c r="V69" s="55"/>
      <c r="W69" s="55"/>
    </row>
    <row r="70" spans="1:23" ht="14" customHeight="1">
      <c r="A70" s="65"/>
      <c r="B70" s="51" t="s">
        <v>16</v>
      </c>
      <c r="C70" s="51"/>
      <c r="D70" s="55"/>
      <c r="E70" s="51"/>
      <c r="F70" s="51"/>
      <c r="G70" s="55"/>
      <c r="H70" s="55"/>
      <c r="I70" s="55"/>
      <c r="J70" s="55"/>
      <c r="K70" s="55"/>
      <c r="L70" s="55"/>
      <c r="M70" s="55"/>
      <c r="N70" s="55"/>
      <c r="O70" s="81">
        <f>'Exh 8 Sales Forecasting'!C48*O67</f>
        <v>569.08328349561407</v>
      </c>
      <c r="P70" s="81">
        <f>'Exh 8 Sales Forecasting'!D48*P67</f>
        <v>491.27323776576088</v>
      </c>
      <c r="Q70" s="81">
        <f>'Exh 8 Sales Forecasting'!E48*Q67</f>
        <v>463.8527234401061</v>
      </c>
      <c r="R70" s="81">
        <f>'Exh 8 Sales Forecasting'!$F$48*R67</f>
        <v>416.12415713374457</v>
      </c>
      <c r="S70" s="81">
        <f>'Exh 8 Sales Forecasting'!$F$48*S67</f>
        <v>425.27888859068696</v>
      </c>
      <c r="T70" s="81">
        <f>'Exh 8 Sales Forecasting'!$F$48*T67</f>
        <v>433.78446636250072</v>
      </c>
      <c r="U70" s="81">
        <f>'Exh 8 Sales Forecasting'!$F$48*U67</f>
        <v>442.46015568975071</v>
      </c>
      <c r="V70" s="55"/>
      <c r="W70" s="55"/>
    </row>
    <row r="71" spans="1:23" ht="14" customHeight="1">
      <c r="A71" s="65"/>
      <c r="B71" s="51" t="s">
        <v>17</v>
      </c>
      <c r="C71" s="51"/>
      <c r="D71" s="55"/>
      <c r="E71" s="51"/>
      <c r="F71" s="59"/>
      <c r="G71" s="59"/>
      <c r="H71" s="59"/>
      <c r="I71" s="59"/>
      <c r="J71" s="59"/>
      <c r="K71" s="59"/>
      <c r="L71" s="59"/>
      <c r="M71" s="59"/>
      <c r="N71" s="59"/>
      <c r="O71" s="94">
        <f>'Exh 6 Stores BS'!N67/5</f>
        <v>258.60000000000002</v>
      </c>
      <c r="P71" s="93">
        <f>O71</f>
        <v>258.60000000000002</v>
      </c>
      <c r="Q71" s="93">
        <f t="shared" ref="Q71:T72" si="14">P71</f>
        <v>258.60000000000002</v>
      </c>
      <c r="R71" s="93">
        <f t="shared" si="14"/>
        <v>258.60000000000002</v>
      </c>
      <c r="S71" s="93">
        <f t="shared" si="14"/>
        <v>258.60000000000002</v>
      </c>
      <c r="T71" s="93">
        <v>0</v>
      </c>
      <c r="U71" s="94">
        <v>0</v>
      </c>
      <c r="V71" s="94"/>
      <c r="W71" s="94"/>
    </row>
    <row r="72" spans="1:23" ht="14" customHeight="1">
      <c r="A72" s="65"/>
      <c r="B72" s="51" t="s">
        <v>10</v>
      </c>
      <c r="C72" s="51"/>
      <c r="D72" s="55"/>
      <c r="E72" s="63"/>
      <c r="F72" s="59"/>
      <c r="G72" s="59"/>
      <c r="H72" s="59"/>
      <c r="I72" s="59"/>
      <c r="J72" s="59"/>
      <c r="K72" s="59"/>
      <c r="L72" s="59"/>
      <c r="M72" s="59"/>
      <c r="N72" s="59"/>
      <c r="O72" s="96">
        <v>1000</v>
      </c>
      <c r="P72" s="93">
        <f>O72</f>
        <v>1000</v>
      </c>
      <c r="Q72" s="93">
        <f t="shared" si="14"/>
        <v>1000</v>
      </c>
      <c r="R72" s="93">
        <f t="shared" si="14"/>
        <v>1000</v>
      </c>
      <c r="S72" s="93">
        <f t="shared" si="14"/>
        <v>1000</v>
      </c>
      <c r="T72" s="93">
        <f t="shared" si="14"/>
        <v>1000</v>
      </c>
      <c r="U72" s="94">
        <f>T72*(1+2%)^6</f>
        <v>1126.1624192640002</v>
      </c>
      <c r="V72" s="95"/>
      <c r="W72" s="94"/>
    </row>
    <row r="73" spans="1:23" ht="14" customHeight="1">
      <c r="A73" s="80">
        <v>2013</v>
      </c>
      <c r="B73" s="56"/>
      <c r="C73" s="57">
        <v>2</v>
      </c>
      <c r="D73" s="58">
        <v>16000</v>
      </c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>
        <v>1</v>
      </c>
      <c r="Q73" s="56">
        <v>2</v>
      </c>
      <c r="R73" s="56">
        <v>3</v>
      </c>
      <c r="S73" s="56">
        <v>4</v>
      </c>
      <c r="T73" s="56">
        <v>5</v>
      </c>
      <c r="U73" s="56">
        <v>6</v>
      </c>
      <c r="V73" s="56"/>
      <c r="W73" s="56"/>
    </row>
    <row r="74" spans="1:23" ht="14" customHeight="1">
      <c r="A74" s="65"/>
      <c r="B74" s="51" t="s">
        <v>0</v>
      </c>
      <c r="C74" s="51"/>
      <c r="D74" s="55"/>
      <c r="E74" s="51"/>
      <c r="F74" s="51"/>
      <c r="G74" s="51"/>
      <c r="H74" s="51"/>
      <c r="I74" s="51"/>
      <c r="J74" s="51"/>
      <c r="K74" s="51"/>
      <c r="L74" s="51"/>
      <c r="M74" s="59"/>
      <c r="N74" s="55"/>
      <c r="O74" s="55"/>
      <c r="P74" s="96">
        <f>113.2*C73*D73/1000</f>
        <v>3622.4</v>
      </c>
      <c r="Q74" s="119">
        <f>P74*(1+'Exh 2 Econ Indicators'!O8)</f>
        <v>3716.5824000000002</v>
      </c>
      <c r="R74" s="119">
        <f>Q74*(1+'Exh 2 Econ Indicators'!P8)</f>
        <v>3805.7803776000005</v>
      </c>
      <c r="S74" s="119">
        <f>R74*(1+'Exh 2 Econ Indicators'!Q8)</f>
        <v>3889.5075459072004</v>
      </c>
      <c r="T74" s="119">
        <f>S74*(1+'Exh 2 Econ Indicators'!R8)</f>
        <v>3967.2976968253447</v>
      </c>
      <c r="U74" s="119">
        <f>T74*(1+'Exh 2 Econ Indicators'!S8)</f>
        <v>4046.6436507618519</v>
      </c>
      <c r="V74" s="55"/>
      <c r="W74" s="55"/>
    </row>
    <row r="75" spans="1:23" ht="14" customHeight="1">
      <c r="A75" s="65"/>
      <c r="B75" s="51" t="s">
        <v>1</v>
      </c>
      <c r="C75" s="51"/>
      <c r="D75" s="55"/>
      <c r="E75" s="51"/>
      <c r="F75" s="51"/>
      <c r="G75" s="51"/>
      <c r="H75" s="51"/>
      <c r="I75" s="51"/>
      <c r="J75" s="51"/>
      <c r="K75" s="51"/>
      <c r="L75" s="51"/>
      <c r="M75" s="55"/>
      <c r="N75" s="55"/>
      <c r="O75" s="55"/>
      <c r="P75" s="81">
        <f>'Exh 8 Sales Forecasting'!C24*P74</f>
        <v>2566.9696036754053</v>
      </c>
      <c r="Q75" s="81">
        <f>'Exh 8 Sales Forecasting'!D24*Q74</f>
        <v>2365.6971001900879</v>
      </c>
      <c r="R75" s="81">
        <f>'Exh 8 Sales Forecasting'!E24*R74</f>
        <v>2139.28989766001</v>
      </c>
      <c r="S75" s="81">
        <f>'Exh 8 Sales Forecasting'!$F$24*S74</f>
        <v>1527.9657890732453</v>
      </c>
      <c r="T75" s="81">
        <f>'Exh 8 Sales Forecasting'!$F$24*T74</f>
        <v>1558.5251048547104</v>
      </c>
      <c r="U75" s="81">
        <f>'Exh 8 Sales Forecasting'!$F$24*U74</f>
        <v>1589.6956069518046</v>
      </c>
      <c r="V75" s="55"/>
      <c r="W75" s="55"/>
    </row>
    <row r="76" spans="1:23" ht="14" customHeight="1">
      <c r="A76" s="65"/>
      <c r="B76" s="51" t="s">
        <v>19</v>
      </c>
      <c r="C76" s="51"/>
      <c r="D76" s="55"/>
      <c r="E76" s="51"/>
      <c r="F76" s="51"/>
      <c r="G76" s="55"/>
      <c r="H76" s="55"/>
      <c r="I76" s="55"/>
      <c r="J76" s="55"/>
      <c r="K76" s="55"/>
      <c r="L76" s="55"/>
      <c r="M76" s="55"/>
      <c r="N76" s="55"/>
      <c r="O76" s="55"/>
      <c r="P76" s="81">
        <f>'Exh 8 Sales Forecasting'!C36*P74</f>
        <v>699.88214512847696</v>
      </c>
      <c r="Q76" s="81">
        <f>'Exh 8 Sales Forecasting'!D36*Q74</f>
        <v>680.69835792130914</v>
      </c>
      <c r="R76" s="81">
        <f>'Exh 8 Sales Forecasting'!E36*R74</f>
        <v>657.81295298694135</v>
      </c>
      <c r="S76" s="81">
        <f>'Exh 8 Sales Forecasting'!$F$36*S74</f>
        <v>528.93964524691296</v>
      </c>
      <c r="T76" s="81">
        <f>'Exh 8 Sales Forecasting'!$F$36*T74</f>
        <v>539.51843815185123</v>
      </c>
      <c r="U76" s="81">
        <f>'Exh 8 Sales Forecasting'!$F$36*U74</f>
        <v>550.30880691488835</v>
      </c>
      <c r="V76" s="55"/>
      <c r="W76" s="55"/>
    </row>
    <row r="77" spans="1:23" ht="14" customHeight="1">
      <c r="A77" s="65"/>
      <c r="B77" s="51" t="s">
        <v>16</v>
      </c>
      <c r="C77" s="51"/>
      <c r="D77" s="55"/>
      <c r="E77" s="51"/>
      <c r="F77" s="51"/>
      <c r="G77" s="55"/>
      <c r="H77" s="55"/>
      <c r="I77" s="55"/>
      <c r="J77" s="55"/>
      <c r="K77" s="55"/>
      <c r="L77" s="55"/>
      <c r="M77" s="55"/>
      <c r="N77" s="55"/>
      <c r="O77" s="55"/>
      <c r="P77" s="81">
        <f>'Exh 8 Sales Forecasting'!C48*P74</f>
        <v>383.23987472290622</v>
      </c>
      <c r="Q77" s="81">
        <f>'Exh 8 Sales Forecasting'!D48*Q74</f>
        <v>330.19630836146234</v>
      </c>
      <c r="R77" s="81">
        <f>'Exh 8 Sales Forecasting'!E48*R74</f>
        <v>311.15860351843622</v>
      </c>
      <c r="S77" s="81">
        <f>'Exh 8 Sales Forecasting'!$F$48*S74</f>
        <v>278.59644510878968</v>
      </c>
      <c r="T77" s="81">
        <f>'Exh 8 Sales Forecasting'!$F$48*T74</f>
        <v>284.16837401096547</v>
      </c>
      <c r="U77" s="81">
        <f>'Exh 8 Sales Forecasting'!$F$48*U74</f>
        <v>289.85174149118478</v>
      </c>
      <c r="V77" s="55"/>
      <c r="W77" s="55"/>
    </row>
    <row r="78" spans="1:23" ht="14" customHeight="1">
      <c r="A78" s="65"/>
      <c r="B78" s="51" t="s">
        <v>17</v>
      </c>
      <c r="C78" s="51"/>
      <c r="D78" s="55"/>
      <c r="E78" s="51"/>
      <c r="F78" s="59"/>
      <c r="G78" s="59"/>
      <c r="H78" s="59"/>
      <c r="I78" s="59"/>
      <c r="J78" s="59"/>
      <c r="K78" s="59"/>
      <c r="L78" s="59"/>
      <c r="M78" s="59"/>
      <c r="N78" s="59"/>
      <c r="O78" s="94"/>
      <c r="P78" s="94">
        <f>'Exh 6 Stores BS'!O74/5</f>
        <v>172.07000736196318</v>
      </c>
      <c r="Q78" s="93">
        <f>P78</f>
        <v>172.07000736196318</v>
      </c>
      <c r="R78" s="93">
        <f t="shared" ref="R78:U79" si="15">Q78</f>
        <v>172.07000736196318</v>
      </c>
      <c r="S78" s="93">
        <f t="shared" si="15"/>
        <v>172.07000736196318</v>
      </c>
      <c r="T78" s="93">
        <f t="shared" si="15"/>
        <v>172.07000736196318</v>
      </c>
      <c r="U78" s="94">
        <v>0</v>
      </c>
      <c r="V78" s="94"/>
      <c r="W78" s="94"/>
    </row>
    <row r="79" spans="1:23" ht="14" customHeight="1">
      <c r="A79" s="65"/>
      <c r="B79" s="51" t="s">
        <v>10</v>
      </c>
      <c r="C79" s="51"/>
      <c r="D79" s="55"/>
      <c r="E79" s="63"/>
      <c r="F79" s="59"/>
      <c r="G79" s="59"/>
      <c r="H79" s="59"/>
      <c r="I79" s="59"/>
      <c r="J79" s="59"/>
      <c r="K79" s="59"/>
      <c r="L79" s="59"/>
      <c r="M79" s="59"/>
      <c r="N79" s="59"/>
      <c r="O79" s="94"/>
      <c r="P79" s="97">
        <f>$D$96*$C73*$D73/1000</f>
        <v>668.16</v>
      </c>
      <c r="Q79" s="93">
        <f>P79</f>
        <v>668.16</v>
      </c>
      <c r="R79" s="93">
        <f t="shared" si="15"/>
        <v>668.16</v>
      </c>
      <c r="S79" s="93">
        <f t="shared" si="15"/>
        <v>668.16</v>
      </c>
      <c r="T79" s="93">
        <f t="shared" si="15"/>
        <v>668.16</v>
      </c>
      <c r="U79" s="93">
        <f t="shared" si="15"/>
        <v>668.16</v>
      </c>
      <c r="V79" s="95"/>
      <c r="W79" s="95"/>
    </row>
    <row r="80" spans="1:23" ht="14" customHeight="1">
      <c r="A80" s="80">
        <v>2014</v>
      </c>
      <c r="B80" s="56"/>
      <c r="C80" s="57">
        <v>2</v>
      </c>
      <c r="D80" s="58">
        <v>16000</v>
      </c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>
        <v>1</v>
      </c>
      <c r="R80" s="56">
        <v>2</v>
      </c>
      <c r="S80" s="56">
        <v>3</v>
      </c>
      <c r="T80" s="56">
        <v>4</v>
      </c>
      <c r="U80" s="56">
        <v>5</v>
      </c>
      <c r="V80" s="56"/>
      <c r="W80" s="56"/>
    </row>
    <row r="81" spans="1:23" ht="14" customHeight="1">
      <c r="A81" s="65"/>
      <c r="B81" s="51" t="s">
        <v>0</v>
      </c>
      <c r="C81" s="51"/>
      <c r="D81" s="55"/>
      <c r="E81" s="51"/>
      <c r="F81" s="51"/>
      <c r="G81" s="51"/>
      <c r="H81" s="51"/>
      <c r="I81" s="51"/>
      <c r="J81" s="51"/>
      <c r="K81" s="51"/>
      <c r="L81" s="51"/>
      <c r="M81" s="59"/>
      <c r="N81" s="55"/>
      <c r="O81" s="55"/>
      <c r="P81" s="55"/>
      <c r="Q81" s="96">
        <f>116.6*C80*D80/1000</f>
        <v>3731.2</v>
      </c>
      <c r="R81" s="119">
        <f>Q81*(1+'Exh 2 Econ Indicators'!P8)</f>
        <v>3820.7487999999998</v>
      </c>
      <c r="S81" s="119">
        <f>R81*(1+'Exh 2 Econ Indicators'!Q8)</f>
        <v>3904.8052736</v>
      </c>
      <c r="T81" s="119">
        <f>S81*(1+'Exh 2 Econ Indicators'!R8)</f>
        <v>3982.9013790720001</v>
      </c>
      <c r="U81" s="119">
        <f>T81*(1+'Exh 2 Econ Indicators'!S8)</f>
        <v>4062.55940665344</v>
      </c>
      <c r="V81" s="55"/>
      <c r="W81" s="55"/>
    </row>
    <row r="82" spans="1:23" ht="14" customHeight="1">
      <c r="A82" s="65"/>
      <c r="B82" s="51" t="s">
        <v>1</v>
      </c>
      <c r="C82" s="51"/>
      <c r="D82" s="55"/>
      <c r="E82" s="51"/>
      <c r="F82" s="51"/>
      <c r="G82" s="51"/>
      <c r="H82" s="51"/>
      <c r="I82" s="51"/>
      <c r="J82" s="51"/>
      <c r="K82" s="51"/>
      <c r="L82" s="51"/>
      <c r="M82" s="55"/>
      <c r="N82" s="55"/>
      <c r="O82" s="55"/>
      <c r="P82" s="55"/>
      <c r="Q82" s="81">
        <f>'Exh 8 Sales Forecasting'!C24*Q81</f>
        <v>2644.0693974253732</v>
      </c>
      <c r="R82" s="81">
        <f>'Exh 8 Sales Forecasting'!D24*R81</f>
        <v>2432.0016036008665</v>
      </c>
      <c r="S82" s="81">
        <f>'Exh 8 Sales Forecasting'!E24*S81</f>
        <v>2194.9533723251516</v>
      </c>
      <c r="T82" s="81">
        <f>'Exh 8 Sales Forecasting'!F24*T81</f>
        <v>1564.6549021041199</v>
      </c>
      <c r="U82" s="81">
        <f>'Exh 8 Sales Forecasting'!F24*U81</f>
        <v>1595.948000146202</v>
      </c>
      <c r="V82" s="55"/>
      <c r="W82" s="55"/>
    </row>
    <row r="83" spans="1:23" ht="14" customHeight="1">
      <c r="A83" s="65"/>
      <c r="B83" s="51" t="s">
        <v>19</v>
      </c>
      <c r="C83" s="51"/>
      <c r="D83" s="55"/>
      <c r="E83" s="51"/>
      <c r="F83" s="51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81">
        <f>'Exh 8 Sales Forecasting'!C36*Q81</f>
        <v>720.90334030018028</v>
      </c>
      <c r="R83" s="81">
        <f>'Exh 8 Sales Forecasting'!D36*R81</f>
        <v>699.77661041224644</v>
      </c>
      <c r="S83" s="81">
        <f>'Exh 8 Sales Forecasting'!E36*S81</f>
        <v>674.9289851259432</v>
      </c>
      <c r="T83" s="81">
        <f>'Exh 8 Sales Forecasting'!$F$36*T81</f>
        <v>541.64040502160992</v>
      </c>
      <c r="U83" s="81">
        <f>'Exh 8 Sales Forecasting'!$F$36*U81</f>
        <v>552.47321312204213</v>
      </c>
      <c r="V83" s="55"/>
      <c r="W83" s="55"/>
    </row>
    <row r="84" spans="1:23" ht="14" customHeight="1">
      <c r="A84" s="65"/>
      <c r="B84" s="51" t="s">
        <v>16</v>
      </c>
      <c r="C84" s="51"/>
      <c r="D84" s="55"/>
      <c r="E84" s="51"/>
      <c r="F84" s="51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81">
        <f>'Exh 8 Sales Forecasting'!C48*Q81</f>
        <v>394.7506130096366</v>
      </c>
      <c r="R84" s="81">
        <f>'Exh 8 Sales Forecasting'!D48*R81</f>
        <v>339.45087533549287</v>
      </c>
      <c r="S84" s="81">
        <f>'Exh 8 Sales Forecasting'!E48*S81</f>
        <v>319.25482697217876</v>
      </c>
      <c r="T84" s="81">
        <f>'Exh 8 Sales Forecasting'!$F$48*T81</f>
        <v>285.28602974327009</v>
      </c>
      <c r="U84" s="81">
        <f>'Exh 8 Sales Forecasting'!$F$48*U81</f>
        <v>290.99175033813549</v>
      </c>
      <c r="V84" s="55"/>
      <c r="W84" s="55"/>
    </row>
    <row r="85" spans="1:23" ht="14" customHeight="1">
      <c r="A85" s="65"/>
      <c r="B85" s="51" t="s">
        <v>17</v>
      </c>
      <c r="C85" s="51"/>
      <c r="D85" s="55"/>
      <c r="E85" s="51"/>
      <c r="F85" s="59"/>
      <c r="G85" s="59"/>
      <c r="H85" s="59"/>
      <c r="I85" s="59"/>
      <c r="J85" s="59"/>
      <c r="K85" s="59"/>
      <c r="L85" s="59"/>
      <c r="M85" s="59"/>
      <c r="N85" s="59"/>
      <c r="O85" s="94"/>
      <c r="P85" s="94"/>
      <c r="Q85" s="94">
        <f>'Exh 6 Stores BS'!P81/5</f>
        <v>175.18447449521472</v>
      </c>
      <c r="R85" s="94">
        <f>Q85</f>
        <v>175.18447449521472</v>
      </c>
      <c r="S85" s="94">
        <f t="shared" ref="S85:U86" si="16">R85</f>
        <v>175.18447449521472</v>
      </c>
      <c r="T85" s="94">
        <f t="shared" si="16"/>
        <v>175.18447449521472</v>
      </c>
      <c r="U85" s="94">
        <f t="shared" si="16"/>
        <v>175.18447449521472</v>
      </c>
      <c r="V85" s="94"/>
      <c r="W85" s="94"/>
    </row>
    <row r="86" spans="1:23" ht="14" customHeight="1">
      <c r="A86" s="65"/>
      <c r="B86" s="51" t="s">
        <v>10</v>
      </c>
      <c r="C86" s="51"/>
      <c r="D86" s="55"/>
      <c r="E86" s="63"/>
      <c r="F86" s="59"/>
      <c r="G86" s="59"/>
      <c r="H86" s="59"/>
      <c r="I86" s="59"/>
      <c r="J86" s="59"/>
      <c r="K86" s="59"/>
      <c r="L86" s="59"/>
      <c r="M86" s="59"/>
      <c r="N86" s="59"/>
      <c r="O86" s="94"/>
      <c r="P86" s="94"/>
      <c r="Q86" s="96">
        <f>$D$96*(1+$D$97)^($A80-$A$73)*$C80*$D80/1000</f>
        <v>681.52319999999997</v>
      </c>
      <c r="R86" s="95">
        <f>Q86</f>
        <v>681.52319999999997</v>
      </c>
      <c r="S86" s="95">
        <f t="shared" si="16"/>
        <v>681.52319999999997</v>
      </c>
      <c r="T86" s="95">
        <f t="shared" si="16"/>
        <v>681.52319999999997</v>
      </c>
      <c r="U86" s="95">
        <f t="shared" si="16"/>
        <v>681.52319999999997</v>
      </c>
      <c r="V86" s="95"/>
      <c r="W86" s="98"/>
    </row>
    <row r="87" spans="1:23" ht="14" customHeight="1">
      <c r="A87" s="80">
        <v>2015</v>
      </c>
      <c r="B87" s="56"/>
      <c r="C87" s="57">
        <v>2</v>
      </c>
      <c r="D87" s="58">
        <v>15000</v>
      </c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>
        <v>1</v>
      </c>
      <c r="S87" s="56">
        <v>2</v>
      </c>
      <c r="T87" s="56">
        <v>3</v>
      </c>
      <c r="U87" s="56">
        <v>4</v>
      </c>
      <c r="V87" s="56"/>
      <c r="W87" s="56"/>
    </row>
    <row r="88" spans="1:23" ht="14" customHeight="1">
      <c r="A88" s="65"/>
      <c r="B88" s="51" t="s">
        <v>0</v>
      </c>
      <c r="C88" s="51"/>
      <c r="D88" s="55"/>
      <c r="E88" s="51"/>
      <c r="F88" s="51"/>
      <c r="G88" s="51"/>
      <c r="H88" s="51"/>
      <c r="I88" s="51"/>
      <c r="J88" s="51"/>
      <c r="K88" s="51"/>
      <c r="L88" s="51"/>
      <c r="M88" s="59"/>
      <c r="N88" s="55"/>
      <c r="O88" s="55"/>
      <c r="P88" s="55"/>
      <c r="Q88" s="55"/>
      <c r="R88" s="96">
        <f>119.9*C87*D87/1000</f>
        <v>3597</v>
      </c>
      <c r="S88" s="119">
        <f>R88*(1+'Exh 2 Econ Indicators'!Q8)</f>
        <v>3676.134</v>
      </c>
      <c r="T88" s="119">
        <f>S88*(1+'Exh 2 Econ Indicators'!R8)</f>
        <v>3749.6566800000001</v>
      </c>
      <c r="U88" s="119">
        <f>T88*(1+'Exh 2 Econ Indicators'!S8)</f>
        <v>3824.6498136</v>
      </c>
      <c r="V88" s="55"/>
      <c r="W88" s="55"/>
    </row>
    <row r="89" spans="1:23" ht="14" customHeight="1">
      <c r="A89" s="65"/>
      <c r="B89" s="51" t="s">
        <v>1</v>
      </c>
      <c r="C89" s="51"/>
      <c r="D89" s="55"/>
      <c r="E89" s="51"/>
      <c r="F89" s="51"/>
      <c r="G89" s="51"/>
      <c r="H89" s="51"/>
      <c r="I89" s="51"/>
      <c r="J89" s="51"/>
      <c r="K89" s="51"/>
      <c r="L89" s="51"/>
      <c r="M89" s="55"/>
      <c r="N89" s="55"/>
      <c r="O89" s="55"/>
      <c r="P89" s="55"/>
      <c r="Q89" s="55"/>
      <c r="R89" s="81">
        <f>'Exh 8 Sales Forecasting'!C24*R88</f>
        <v>2548.9702032962764</v>
      </c>
      <c r="S89" s="81">
        <f>'Exh 8 Sales Forecasting'!D24*S88</f>
        <v>2339.9506879519708</v>
      </c>
      <c r="T89" s="81">
        <f>'Exh 8 Sales Forecasting'!E24*T88</f>
        <v>2107.7418713993034</v>
      </c>
      <c r="U89" s="81">
        <f>'Exh 8 Sales Forecasting'!F24*U88</f>
        <v>1502.4868833370801</v>
      </c>
      <c r="V89" s="55"/>
      <c r="W89" s="55"/>
    </row>
    <row r="90" spans="1:23" ht="14" customHeight="1">
      <c r="A90" s="65"/>
      <c r="B90" s="51" t="s">
        <v>19</v>
      </c>
      <c r="C90" s="51"/>
      <c r="D90" s="55"/>
      <c r="E90" s="51"/>
      <c r="F90" s="51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81">
        <f>'Exh 8 Sales Forecasting'!C36*R88</f>
        <v>694.97462346155351</v>
      </c>
      <c r="S90" s="81">
        <f>'Exh 8 Sales Forecasting'!D36*S88</f>
        <v>673.2901649910126</v>
      </c>
      <c r="T90" s="81">
        <f>'Exh 8 Sales Forecasting'!E36*T88</f>
        <v>648.11221054050407</v>
      </c>
      <c r="U90" s="81">
        <f>'Exh 8 Sales Forecasting'!F36*U88</f>
        <v>520.11955028291459</v>
      </c>
      <c r="V90" s="55"/>
      <c r="W90" s="55"/>
    </row>
    <row r="91" spans="1:23" ht="14" customHeight="1">
      <c r="A91" s="65"/>
      <c r="B91" s="51" t="s">
        <v>16</v>
      </c>
      <c r="C91" s="51"/>
      <c r="D91" s="55"/>
      <c r="E91" s="51"/>
      <c r="F91" s="51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81">
        <f>'Exh 8 Sales Forecasting'!C48*R88</f>
        <v>380.55262515964381</v>
      </c>
      <c r="S91" s="81">
        <f>'Exh 8 Sales Forecasting'!D48*S88</f>
        <v>326.60270786463821</v>
      </c>
      <c r="T91" s="81">
        <f>'Exh 8 Sales Forecasting'!E48*T88</f>
        <v>306.56995949885675</v>
      </c>
      <c r="U91" s="81">
        <f>'Exh 8 Sales Forecasting'!F48*U88</f>
        <v>273.9508354923185</v>
      </c>
      <c r="V91" s="55"/>
      <c r="W91" s="55"/>
    </row>
    <row r="92" spans="1:23" ht="14" customHeight="1">
      <c r="A92" s="65"/>
      <c r="B92" s="51" t="s">
        <v>17</v>
      </c>
      <c r="C92" s="51"/>
      <c r="D92" s="55"/>
      <c r="E92" s="51"/>
      <c r="F92" s="59"/>
      <c r="G92" s="59"/>
      <c r="H92" s="59"/>
      <c r="I92" s="59"/>
      <c r="J92" s="59"/>
      <c r="K92" s="59"/>
      <c r="L92" s="59"/>
      <c r="M92" s="59"/>
      <c r="N92" s="59"/>
      <c r="O92" s="94"/>
      <c r="P92" s="94"/>
      <c r="Q92" s="94"/>
      <c r="R92" s="94">
        <f>'Exh 6 Stores BS'!Q88/5</f>
        <v>167.42161246914551</v>
      </c>
      <c r="S92" s="94">
        <f>R92</f>
        <v>167.42161246914551</v>
      </c>
      <c r="T92" s="94">
        <f t="shared" ref="T92:U93" si="17">S92</f>
        <v>167.42161246914551</v>
      </c>
      <c r="U92" s="94">
        <f t="shared" si="17"/>
        <v>167.42161246914551</v>
      </c>
      <c r="V92" s="94"/>
      <c r="W92" s="94"/>
    </row>
    <row r="93" spans="1:23" ht="14" customHeight="1">
      <c r="A93" s="65"/>
      <c r="B93" s="51" t="s">
        <v>10</v>
      </c>
      <c r="C93" s="51"/>
      <c r="D93" s="55"/>
      <c r="E93" s="63"/>
      <c r="F93" s="59"/>
      <c r="G93" s="59"/>
      <c r="H93" s="59"/>
      <c r="I93" s="59"/>
      <c r="J93" s="59"/>
      <c r="K93" s="59"/>
      <c r="L93" s="59"/>
      <c r="M93" s="59"/>
      <c r="N93" s="59"/>
      <c r="O93" s="94"/>
      <c r="P93" s="94"/>
      <c r="Q93" s="94"/>
      <c r="R93" s="96">
        <f>$D$96*(1+$D$97)^($A87-$A$73)*$C87*$D87/1000</f>
        <v>651.70655999999997</v>
      </c>
      <c r="S93" s="95">
        <f>R93</f>
        <v>651.70655999999997</v>
      </c>
      <c r="T93" s="95">
        <f t="shared" si="17"/>
        <v>651.70655999999997</v>
      </c>
      <c r="U93" s="95">
        <f t="shared" si="17"/>
        <v>651.70655999999997</v>
      </c>
      <c r="V93" s="95"/>
      <c r="W93" s="98"/>
    </row>
    <row r="94" spans="1:23" ht="14" customHeight="1"/>
    <row r="95" spans="1:23" ht="14" customHeight="1">
      <c r="A95" s="20" t="s">
        <v>6</v>
      </c>
    </row>
    <row r="96" spans="1:23" ht="14" customHeight="1">
      <c r="B96" t="s">
        <v>87</v>
      </c>
      <c r="D96" s="34">
        <v>20.88</v>
      </c>
    </row>
    <row r="97" spans="2:21" ht="14" customHeight="1">
      <c r="B97" t="s">
        <v>57</v>
      </c>
      <c r="D97" s="44">
        <v>0.02</v>
      </c>
    </row>
    <row r="98" spans="2:21" ht="14" customHeight="1">
      <c r="D98" s="7"/>
    </row>
    <row r="99" spans="2:21" s="20" customFormat="1"/>
    <row r="101" spans="2:21">
      <c r="N101" s="51" t="s">
        <v>0</v>
      </c>
      <c r="O101" s="109">
        <f>O67+O60+O46+O53+O39+O32+O25+O11+O18+O4+O74+O81+O88</f>
        <v>158043.43700000001</v>
      </c>
      <c r="P101" s="109">
        <f t="shared" ref="P101:U101" si="18">P67+P60+P46+P53+P39+P32+P25+P11+P18+P4+P74+P81+P88</f>
        <v>166091.05323600001</v>
      </c>
      <c r="Q101" s="109">
        <f t="shared" si="18"/>
        <v>174140.62062013606</v>
      </c>
      <c r="R101" s="109">
        <f t="shared" si="18"/>
        <v>181916.99551501925</v>
      </c>
      <c r="S101" s="109">
        <f t="shared" si="18"/>
        <v>185919.1694163497</v>
      </c>
      <c r="T101" s="109">
        <f t="shared" si="18"/>
        <v>189637.5528046767</v>
      </c>
      <c r="U101" s="109">
        <f t="shared" si="18"/>
        <v>193430.30386077028</v>
      </c>
    </row>
    <row r="102" spans="2:21">
      <c r="N102" s="51" t="s">
        <v>1</v>
      </c>
      <c r="O102" s="7">
        <f t="shared" ref="O102:U106" si="19">O68+O61+O47+O54+O40+O33+O26+O12+O19+O5+O75+O82+O89</f>
        <v>65550.731362622697</v>
      </c>
      <c r="P102" s="7">
        <f t="shared" si="19"/>
        <v>68340.201613535988</v>
      </c>
      <c r="Q102" s="7">
        <f t="shared" si="19"/>
        <v>71454.230318048576</v>
      </c>
      <c r="R102" s="7">
        <f t="shared" si="19"/>
        <v>74175.994057190837</v>
      </c>
      <c r="S102" s="7">
        <f t="shared" si="19"/>
        <v>74593.828313742008</v>
      </c>
      <c r="T102" s="7">
        <f t="shared" si="19"/>
        <v>75132.499512037597</v>
      </c>
      <c r="U102" s="7">
        <f t="shared" si="19"/>
        <v>75987.739676788158</v>
      </c>
    </row>
    <row r="103" spans="2:21">
      <c r="N103" s="51" t="s">
        <v>19</v>
      </c>
      <c r="O103" s="7">
        <f t="shared" si="19"/>
        <v>22164.421237035971</v>
      </c>
      <c r="P103" s="7">
        <f t="shared" si="19"/>
        <v>23185.873543100468</v>
      </c>
      <c r="Q103" s="7">
        <f t="shared" si="19"/>
        <v>24279.485771351337</v>
      </c>
      <c r="R103" s="7">
        <f t="shared" si="19"/>
        <v>25265.410662884664</v>
      </c>
      <c r="S103" s="7">
        <f t="shared" si="19"/>
        <v>25600.687893860326</v>
      </c>
      <c r="T103" s="7">
        <f t="shared" si="19"/>
        <v>25927.270734180354</v>
      </c>
      <c r="U103" s="7">
        <f t="shared" si="19"/>
        <v>26304.861244395557</v>
      </c>
    </row>
    <row r="104" spans="2:21">
      <c r="N104" s="51" t="s">
        <v>16</v>
      </c>
      <c r="O104" s="7">
        <f t="shared" si="19"/>
        <v>11618.86455545947</v>
      </c>
      <c r="P104" s="7">
        <f t="shared" si="19"/>
        <v>12151.672566713383</v>
      </c>
      <c r="Q104" s="7">
        <f t="shared" si="19"/>
        <v>12722.251525628581</v>
      </c>
      <c r="R104" s="7">
        <f t="shared" si="19"/>
        <v>13257.540987104308</v>
      </c>
      <c r="S104" s="7">
        <f t="shared" si="19"/>
        <v>13419.813198464339</v>
      </c>
      <c r="T104" s="7">
        <f t="shared" si="19"/>
        <v>13621.2907661422</v>
      </c>
      <c r="U104" s="7">
        <f t="shared" si="19"/>
        <v>13854.966058268526</v>
      </c>
    </row>
    <row r="105" spans="2:21">
      <c r="N105" s="51" t="s">
        <v>17</v>
      </c>
      <c r="O105" s="7">
        <f t="shared" si="19"/>
        <v>1084.2</v>
      </c>
      <c r="P105" s="7">
        <f t="shared" si="19"/>
        <v>1372.7356021552964</v>
      </c>
      <c r="Q105" s="7">
        <f t="shared" si="19"/>
        <v>1959.0221481414276</v>
      </c>
      <c r="R105" s="7">
        <f t="shared" si="19"/>
        <v>2631.4200407611061</v>
      </c>
      <c r="S105" s="7">
        <f t="shared" si="19"/>
        <v>2559.1777021600155</v>
      </c>
      <c r="T105" s="7">
        <f t="shared" si="19"/>
        <v>2177.8538516526123</v>
      </c>
      <c r="U105" s="7">
        <f t="shared" si="19"/>
        <v>1827.7951063576149</v>
      </c>
    </row>
    <row r="106" spans="2:21">
      <c r="N106" s="51" t="s">
        <v>10</v>
      </c>
      <c r="O106" s="7">
        <f t="shared" si="19"/>
        <v>10560.970220794239</v>
      </c>
      <c r="P106" s="7">
        <f t="shared" si="19"/>
        <v>11548.32114153216</v>
      </c>
      <c r="Q106" s="7">
        <f t="shared" si="19"/>
        <v>12306.803417283201</v>
      </c>
      <c r="R106" s="7">
        <f t="shared" si="19"/>
        <v>13031.936505294849</v>
      </c>
      <c r="S106" s="7">
        <f t="shared" si="19"/>
        <v>13229.7591787008</v>
      </c>
      <c r="T106" s="7">
        <f t="shared" si="19"/>
        <v>13497.223507540482</v>
      </c>
      <c r="U106" s="7">
        <f t="shared" si="19"/>
        <v>13894.757533624703</v>
      </c>
    </row>
    <row r="107" spans="2:21">
      <c r="N107" s="110" t="s">
        <v>111</v>
      </c>
      <c r="O107" s="109">
        <f>SUM(O102:O106)</f>
        <v>110979.18737591238</v>
      </c>
      <c r="P107" s="109">
        <f t="shared" ref="P107:U107" si="20">SUM(P102:P106)</f>
        <v>116598.80446703729</v>
      </c>
      <c r="Q107" s="109">
        <f t="shared" si="20"/>
        <v>122721.79318045313</v>
      </c>
      <c r="R107" s="109">
        <f t="shared" si="20"/>
        <v>128362.30225323577</v>
      </c>
      <c r="S107" s="109">
        <f t="shared" si="20"/>
        <v>129403.26628692749</v>
      </c>
      <c r="T107" s="109">
        <f t="shared" si="20"/>
        <v>130356.13837155324</v>
      </c>
      <c r="U107" s="109">
        <f t="shared" si="20"/>
        <v>131870.11961943455</v>
      </c>
    </row>
  </sheetData>
  <pageMargins left="0.7" right="0.7" top="0.75" bottom="0.75" header="0.3" footer="0.3"/>
  <pageSetup scale="25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4A2A-9D84-0941-AB62-BF59E637D8DD}">
  <sheetPr>
    <tabColor theme="7" tint="0.39997558519241921"/>
    <pageSetUpPr fitToPage="1"/>
  </sheetPr>
  <dimension ref="A1:L33"/>
  <sheetViews>
    <sheetView workbookViewId="0">
      <selection activeCell="L3" sqref="L3"/>
    </sheetView>
  </sheetViews>
  <sheetFormatPr defaultColWidth="8.81640625" defaultRowHeight="14.5"/>
  <cols>
    <col min="1" max="1" width="5.6328125" customWidth="1"/>
    <col min="2" max="2" width="25.6328125" customWidth="1"/>
    <col min="3" max="10" width="9.1796875" customWidth="1"/>
  </cols>
  <sheetData>
    <row r="1" spans="1:12" ht="18.5">
      <c r="A1" s="10" t="s">
        <v>95</v>
      </c>
    </row>
    <row r="2" spans="1:12" ht="15" customHeight="1">
      <c r="C2" s="4">
        <v>2012</v>
      </c>
      <c r="D2" s="9">
        <v>2013</v>
      </c>
      <c r="E2" s="9">
        <v>2014</v>
      </c>
      <c r="F2" s="9">
        <v>2015</v>
      </c>
      <c r="G2" s="9">
        <v>2016</v>
      </c>
      <c r="H2" s="9">
        <v>2017</v>
      </c>
      <c r="I2" s="9">
        <v>2018</v>
      </c>
      <c r="J2" s="9">
        <v>2019</v>
      </c>
    </row>
    <row r="3" spans="1:12" ht="15" customHeight="1">
      <c r="B3" t="s">
        <v>0</v>
      </c>
      <c r="C3" s="36">
        <v>148217.90000000002</v>
      </c>
      <c r="D3" s="41">
        <f>'Exh 5 Stores IS (Forecast Sect)'!O101</f>
        <v>158043.43700000001</v>
      </c>
      <c r="E3" s="41">
        <f>'Exh 5 Stores IS (Forecast Sect)'!P101</f>
        <v>166091.05323600001</v>
      </c>
      <c r="F3" s="41">
        <f>'Exh 5 Stores IS (Forecast Sect)'!Q101</f>
        <v>174140.62062013606</v>
      </c>
      <c r="G3" s="41">
        <f>'Exh 5 Stores IS (Forecast Sect)'!R101</f>
        <v>181916.99551501925</v>
      </c>
      <c r="H3" s="41">
        <f>'Exh 5 Stores IS (Forecast Sect)'!S101</f>
        <v>185919.1694163497</v>
      </c>
      <c r="I3" s="41">
        <f>'Exh 5 Stores IS (Forecast Sect)'!T101</f>
        <v>189637.5528046767</v>
      </c>
      <c r="J3" s="41">
        <f>'Exh 5 Stores IS (Forecast Sect)'!U101</f>
        <v>193430.30386077028</v>
      </c>
      <c r="L3">
        <f>D3/C3-1</f>
        <v>6.629116321308004E-2</v>
      </c>
    </row>
    <row r="4" spans="1:12" ht="15" customHeight="1">
      <c r="B4" t="s">
        <v>1</v>
      </c>
      <c r="C4" s="36">
        <v>-61955.099999999991</v>
      </c>
      <c r="D4" s="41">
        <f>'Exh 5 Stores IS (Forecast Sect)'!O102</f>
        <v>65550.731362622697</v>
      </c>
      <c r="E4" s="41">
        <f>'Exh 5 Stores IS (Forecast Sect)'!P102</f>
        <v>68340.201613535988</v>
      </c>
      <c r="F4" s="41">
        <f>'Exh 5 Stores IS (Forecast Sect)'!Q102</f>
        <v>71454.230318048576</v>
      </c>
      <c r="G4" s="41">
        <f>'Exh 5 Stores IS (Forecast Sect)'!R102</f>
        <v>74175.994057190837</v>
      </c>
      <c r="H4" s="41">
        <f>'Exh 5 Stores IS (Forecast Sect)'!S102</f>
        <v>74593.828313742008</v>
      </c>
      <c r="I4" s="41">
        <f>'Exh 5 Stores IS (Forecast Sect)'!T102</f>
        <v>75132.499512037597</v>
      </c>
      <c r="J4" s="41">
        <f>'Exh 5 Stores IS (Forecast Sect)'!U102</f>
        <v>75987.739676788158</v>
      </c>
    </row>
    <row r="5" spans="1:12" ht="15" customHeight="1">
      <c r="B5" t="s">
        <v>18</v>
      </c>
      <c r="C5" s="36">
        <v>-21252.500000000004</v>
      </c>
      <c r="D5" s="41">
        <f>'Exh 5 Stores IS (Forecast Sect)'!O103</f>
        <v>22164.421237035971</v>
      </c>
      <c r="E5" s="41">
        <f>'Exh 5 Stores IS (Forecast Sect)'!P103</f>
        <v>23185.873543100468</v>
      </c>
      <c r="F5" s="41">
        <f>'Exh 5 Stores IS (Forecast Sect)'!Q103</f>
        <v>24279.485771351337</v>
      </c>
      <c r="G5" s="41">
        <f>'Exh 5 Stores IS (Forecast Sect)'!R103</f>
        <v>25265.410662884664</v>
      </c>
      <c r="H5" s="41">
        <f>'Exh 5 Stores IS (Forecast Sect)'!S103</f>
        <v>25600.687893860326</v>
      </c>
      <c r="I5" s="41">
        <f>'Exh 5 Stores IS (Forecast Sect)'!T103</f>
        <v>25927.270734180354</v>
      </c>
      <c r="J5" s="41">
        <f>'Exh 5 Stores IS (Forecast Sect)'!U103</f>
        <v>26304.861244395557</v>
      </c>
    </row>
    <row r="6" spans="1:12" ht="15" customHeight="1">
      <c r="B6" t="s">
        <v>4</v>
      </c>
      <c r="C6" s="36">
        <v>-10743.699999999999</v>
      </c>
      <c r="D6" s="41">
        <f>'Exh 5 Stores IS (Forecast Sect)'!O104</f>
        <v>11618.86455545947</v>
      </c>
      <c r="E6" s="41">
        <f>'Exh 5 Stores IS (Forecast Sect)'!P104</f>
        <v>12151.672566713383</v>
      </c>
      <c r="F6" s="41">
        <f>'Exh 5 Stores IS (Forecast Sect)'!Q104</f>
        <v>12722.251525628581</v>
      </c>
      <c r="G6" s="41">
        <f>'Exh 5 Stores IS (Forecast Sect)'!R104</f>
        <v>13257.540987104308</v>
      </c>
      <c r="H6" s="41">
        <f>'Exh 5 Stores IS (Forecast Sect)'!S104</f>
        <v>13419.813198464339</v>
      </c>
      <c r="I6" s="41">
        <f>'Exh 5 Stores IS (Forecast Sect)'!T104</f>
        <v>13621.2907661422</v>
      </c>
      <c r="J6" s="41">
        <f>'Exh 5 Stores IS (Forecast Sect)'!U104</f>
        <v>13854.966058268526</v>
      </c>
    </row>
    <row r="7" spans="1:12" ht="15" customHeight="1">
      <c r="B7" t="s">
        <v>8</v>
      </c>
      <c r="C7" s="36">
        <v>-1450.08</v>
      </c>
      <c r="D7" s="41">
        <f>'Exh 5 Stores IS (Forecast Sect)'!O105</f>
        <v>1084.2</v>
      </c>
      <c r="E7" s="41">
        <f>'Exh 5 Stores IS (Forecast Sect)'!P105</f>
        <v>1372.7356021552964</v>
      </c>
      <c r="F7" s="41">
        <f>'Exh 5 Stores IS (Forecast Sect)'!Q105</f>
        <v>1959.0221481414276</v>
      </c>
      <c r="G7" s="41">
        <f>'Exh 5 Stores IS (Forecast Sect)'!R105</f>
        <v>2631.4200407611061</v>
      </c>
      <c r="H7" s="41">
        <f>'Exh 5 Stores IS (Forecast Sect)'!S105</f>
        <v>2559.1777021600155</v>
      </c>
      <c r="I7" s="41">
        <f>'Exh 5 Stores IS (Forecast Sect)'!T105</f>
        <v>2177.8538516526123</v>
      </c>
      <c r="J7" s="41">
        <f>'Exh 5 Stores IS (Forecast Sect)'!U105</f>
        <v>1827.7951063576149</v>
      </c>
    </row>
    <row r="8" spans="1:12" ht="15" customHeight="1">
      <c r="B8" t="s">
        <v>9</v>
      </c>
      <c r="C8" s="36">
        <v>-9320</v>
      </c>
      <c r="D8" s="41">
        <f>'Exh 5 Stores IS (Forecast Sect)'!O106</f>
        <v>10560.970220794239</v>
      </c>
      <c r="E8" s="41">
        <f>'Exh 5 Stores IS (Forecast Sect)'!P106</f>
        <v>11548.32114153216</v>
      </c>
      <c r="F8" s="41">
        <f>'Exh 5 Stores IS (Forecast Sect)'!Q106</f>
        <v>12306.803417283201</v>
      </c>
      <c r="G8" s="41">
        <f>'Exh 5 Stores IS (Forecast Sect)'!R106</f>
        <v>13031.936505294849</v>
      </c>
      <c r="H8" s="41">
        <f>'Exh 5 Stores IS (Forecast Sect)'!S106</f>
        <v>13229.7591787008</v>
      </c>
      <c r="I8" s="41">
        <f>'Exh 5 Stores IS (Forecast Sect)'!T106</f>
        <v>13497.223507540482</v>
      </c>
      <c r="J8" s="41">
        <f>'Exh 5 Stores IS (Forecast Sect)'!U106</f>
        <v>13894.757533624703</v>
      </c>
    </row>
    <row r="9" spans="1:12" ht="15" customHeight="1">
      <c r="B9" t="s">
        <v>23</v>
      </c>
      <c r="C9" s="36">
        <v>-7410.8943379691937</v>
      </c>
      <c r="D9" s="41">
        <f>-D3*$C$17</f>
        <v>-7902.1718500000006</v>
      </c>
      <c r="E9" s="41">
        <f t="shared" ref="E9:J9" si="0">-E3*$C$17</f>
        <v>-8304.5526618000004</v>
      </c>
      <c r="F9" s="41">
        <f t="shared" si="0"/>
        <v>-8707.0310310068035</v>
      </c>
      <c r="G9" s="41">
        <f t="shared" si="0"/>
        <v>-9095.8497757509631</v>
      </c>
      <c r="H9" s="41">
        <f t="shared" si="0"/>
        <v>-9295.9584708174862</v>
      </c>
      <c r="I9" s="41">
        <f t="shared" si="0"/>
        <v>-9481.8776402338353</v>
      </c>
      <c r="J9" s="41">
        <f t="shared" si="0"/>
        <v>-9671.5151930385146</v>
      </c>
    </row>
    <row r="10" spans="1:12" s="14" customFormat="1" ht="15" customHeight="1">
      <c r="B10" s="14" t="s">
        <v>20</v>
      </c>
      <c r="C10" s="7">
        <v>-14434.250264812337</v>
      </c>
      <c r="D10" s="41">
        <f>-(D3-SUM(D4:D8)+D9)*$C$16</f>
        <v>-15664.83110963505</v>
      </c>
      <c r="E10" s="41">
        <f t="shared" ref="E10:J10" si="1">-(E3-SUM(E4:E8)+E9)*$C$16</f>
        <v>-16475.078442865088</v>
      </c>
      <c r="F10" s="41">
        <f t="shared" si="1"/>
        <v>-17084.718563470455</v>
      </c>
      <c r="G10" s="41">
        <f t="shared" si="1"/>
        <v>-17783.537394413008</v>
      </c>
      <c r="H10" s="41">
        <f t="shared" si="1"/>
        <v>-18887.977863441887</v>
      </c>
      <c r="I10" s="41">
        <f t="shared" si="1"/>
        <v>-19919.814717155852</v>
      </c>
      <c r="J10" s="41">
        <f t="shared" si="1"/>
        <v>-20755.467619318882</v>
      </c>
    </row>
    <row r="11" spans="1:12" s="14" customFormat="1" ht="15" customHeight="1">
      <c r="B11" s="14" t="s">
        <v>21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2" ht="15" customHeight="1">
      <c r="B12" s="4" t="s">
        <v>5</v>
      </c>
      <c r="C12" s="11">
        <v>-14434.250264812337</v>
      </c>
      <c r="D12" s="35">
        <f>D10</f>
        <v>-15664.83110963505</v>
      </c>
      <c r="E12" s="35">
        <f t="shared" ref="E12:J12" si="2">E10</f>
        <v>-16475.078442865088</v>
      </c>
      <c r="F12" s="35">
        <f t="shared" si="2"/>
        <v>-17084.718563470455</v>
      </c>
      <c r="G12" s="35">
        <f t="shared" si="2"/>
        <v>-17783.537394413008</v>
      </c>
      <c r="H12" s="35">
        <f t="shared" si="2"/>
        <v>-18887.977863441887</v>
      </c>
      <c r="I12" s="35">
        <f t="shared" si="2"/>
        <v>-19919.814717155852</v>
      </c>
      <c r="J12" s="35">
        <f t="shared" si="2"/>
        <v>-20755.467619318882</v>
      </c>
    </row>
    <row r="13" spans="1:12" ht="15" customHeight="1">
      <c r="B13" t="s">
        <v>22</v>
      </c>
      <c r="C13" s="7">
        <f>SUM(C3:C9)+C12</f>
        <v>21651.375397218504</v>
      </c>
      <c r="D13" s="7">
        <f>D3-SUM(D4:D8)+D9+D10</f>
        <v>23497.24666445257</v>
      </c>
      <c r="E13" s="7">
        <f t="shared" ref="E13:J13" si="3">E3-SUM(E4:E8)+E9+E10</f>
        <v>24712.617664297628</v>
      </c>
      <c r="F13" s="7">
        <f t="shared" si="3"/>
        <v>25627.07784520568</v>
      </c>
      <c r="G13" s="7">
        <f t="shared" si="3"/>
        <v>26675.306091619514</v>
      </c>
      <c r="H13" s="7">
        <f t="shared" si="3"/>
        <v>28331.966795162833</v>
      </c>
      <c r="I13" s="7">
        <f t="shared" si="3"/>
        <v>29879.722075733771</v>
      </c>
      <c r="J13" s="7">
        <f t="shared" si="3"/>
        <v>31133.201428978322</v>
      </c>
    </row>
    <row r="14" spans="1:12" ht="15" customHeight="1"/>
    <row r="15" spans="1:12" ht="15" customHeight="1">
      <c r="A15" s="20" t="s">
        <v>6</v>
      </c>
      <c r="C15" s="40"/>
      <c r="D15" s="40"/>
      <c r="E15" s="40"/>
      <c r="F15" s="40"/>
      <c r="G15" s="40"/>
      <c r="H15" s="40"/>
      <c r="I15" s="40"/>
      <c r="J15" s="40"/>
    </row>
    <row r="16" spans="1:12" ht="15" customHeight="1">
      <c r="B16" t="s">
        <v>69</v>
      </c>
      <c r="C16" s="42">
        <f>'Exh 10 Forecast Parameters'!B13</f>
        <v>0.4</v>
      </c>
      <c r="D16" s="6"/>
    </row>
    <row r="17" spans="2:10" ht="15" customHeight="1">
      <c r="B17" t="s">
        <v>68</v>
      </c>
      <c r="C17" s="42">
        <f>'Exh 10 Forecast Parameters'!B14</f>
        <v>0.05</v>
      </c>
      <c r="D17" s="6"/>
    </row>
    <row r="18" spans="2:10">
      <c r="C18" s="32"/>
      <c r="D18" s="32"/>
      <c r="E18" s="32"/>
      <c r="F18" s="32"/>
      <c r="G18" s="32"/>
      <c r="H18" s="32"/>
      <c r="I18" s="32"/>
      <c r="J18" s="45"/>
    </row>
    <row r="19" spans="2:10">
      <c r="C19" s="75"/>
      <c r="D19" s="6"/>
      <c r="E19" s="6"/>
      <c r="F19" s="6"/>
      <c r="G19" s="6"/>
      <c r="H19" s="6"/>
      <c r="I19" s="6"/>
      <c r="J19" s="6"/>
    </row>
    <row r="20" spans="2:10">
      <c r="C20" s="75"/>
      <c r="D20" s="6"/>
      <c r="E20" s="6"/>
      <c r="F20" s="6"/>
      <c r="G20" s="6"/>
      <c r="H20" s="6"/>
      <c r="I20" s="6"/>
      <c r="J20" s="6"/>
    </row>
    <row r="21" spans="2:10">
      <c r="C21" s="75"/>
      <c r="D21" s="6"/>
      <c r="E21" s="6"/>
      <c r="F21" s="6"/>
      <c r="G21" s="6"/>
      <c r="H21" s="6"/>
      <c r="I21" s="6"/>
      <c r="J21" s="6"/>
    </row>
    <row r="22" spans="2:10">
      <c r="C22" s="75"/>
      <c r="D22" s="6"/>
      <c r="E22" s="6"/>
      <c r="F22" s="6"/>
      <c r="G22" s="6"/>
      <c r="H22" s="6"/>
      <c r="I22" s="6"/>
      <c r="J22" s="6"/>
    </row>
    <row r="23" spans="2:10">
      <c r="C23" s="75"/>
      <c r="D23" s="6"/>
      <c r="E23" s="6"/>
      <c r="F23" s="6"/>
      <c r="G23" s="6"/>
      <c r="H23" s="6"/>
      <c r="I23" s="6"/>
      <c r="J23" s="6"/>
    </row>
    <row r="24" spans="2:10">
      <c r="C24" s="75"/>
      <c r="D24" s="6"/>
      <c r="E24" s="6"/>
      <c r="F24" s="6"/>
      <c r="G24" s="6"/>
      <c r="H24" s="6"/>
      <c r="I24" s="6"/>
      <c r="J24" s="6"/>
    </row>
    <row r="25" spans="2:10">
      <c r="C25" s="75"/>
      <c r="D25" s="6"/>
      <c r="E25" s="6"/>
      <c r="F25" s="6"/>
      <c r="G25" s="6"/>
      <c r="H25" s="6"/>
      <c r="I25" s="6"/>
      <c r="J25" s="6"/>
    </row>
    <row r="26" spans="2:10">
      <c r="C26" s="75"/>
      <c r="D26" s="6"/>
      <c r="E26" s="6"/>
      <c r="F26" s="6"/>
      <c r="G26" s="6"/>
      <c r="H26" s="6"/>
      <c r="I26" s="6"/>
      <c r="J26" s="6"/>
    </row>
    <row r="27" spans="2:10">
      <c r="C27" s="75"/>
      <c r="D27" s="6"/>
      <c r="E27" s="6"/>
      <c r="F27" s="6"/>
      <c r="G27" s="6"/>
      <c r="H27" s="6"/>
      <c r="I27" s="6"/>
      <c r="J27" s="6"/>
    </row>
    <row r="28" spans="2:10">
      <c r="C28" s="3"/>
      <c r="D28" s="3"/>
      <c r="E28" s="6"/>
      <c r="F28" s="3"/>
      <c r="G28" s="3"/>
      <c r="H28" s="3"/>
      <c r="I28" s="3"/>
      <c r="J28" s="3"/>
    </row>
    <row r="29" spans="2:10">
      <c r="C29" s="6"/>
      <c r="D29" s="6"/>
      <c r="E29" s="6"/>
      <c r="F29" s="6"/>
      <c r="G29" s="6"/>
      <c r="H29" s="6"/>
      <c r="I29" s="6"/>
      <c r="J29" s="6"/>
    </row>
    <row r="30" spans="2:10">
      <c r="C30" s="75"/>
      <c r="D30" s="6"/>
      <c r="E30" s="6"/>
      <c r="F30" s="6"/>
      <c r="G30" s="6"/>
      <c r="H30" s="6"/>
      <c r="I30" s="6"/>
      <c r="J30" s="6"/>
    </row>
    <row r="31" spans="2:10">
      <c r="C31" s="75"/>
      <c r="D31" s="6"/>
      <c r="E31" s="6"/>
      <c r="F31" s="6"/>
      <c r="G31" s="6"/>
      <c r="H31" s="6"/>
      <c r="I31" s="6"/>
      <c r="J31" s="6"/>
    </row>
    <row r="32" spans="2:10">
      <c r="C32" s="75"/>
    </row>
    <row r="33" spans="3:3">
      <c r="C33" s="75"/>
    </row>
  </sheetData>
  <pageMargins left="0.7" right="0.7" top="0.75" bottom="0.75" header="0.3" footer="0.3"/>
  <pageSetup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1E1D-D519-1A4E-8230-DDC5493B378B}">
  <sheetPr>
    <tabColor theme="7" tint="0.39997558519241921"/>
    <pageSetUpPr fitToPage="1"/>
  </sheetPr>
  <dimension ref="A1:M33"/>
  <sheetViews>
    <sheetView zoomScale="140" zoomScaleNormal="140" workbookViewId="0">
      <selection activeCell="I11" sqref="I11"/>
    </sheetView>
  </sheetViews>
  <sheetFormatPr defaultColWidth="8.81640625" defaultRowHeight="14.5"/>
  <cols>
    <col min="1" max="1" width="5.6328125" customWidth="1"/>
    <col min="2" max="2" width="25.6328125" customWidth="1"/>
    <col min="3" max="9" width="9.1796875" customWidth="1"/>
    <col min="13" max="13" width="10.1796875" bestFit="1" customWidth="1"/>
  </cols>
  <sheetData>
    <row r="1" spans="1:13" ht="18.5">
      <c r="A1" s="10" t="s">
        <v>96</v>
      </c>
    </row>
    <row r="2" spans="1:13" ht="15" customHeight="1">
      <c r="C2" s="4">
        <v>2012</v>
      </c>
      <c r="D2" s="9">
        <v>2013</v>
      </c>
      <c r="E2" s="9">
        <v>2014</v>
      </c>
      <c r="F2" s="9">
        <v>2015</v>
      </c>
      <c r="G2" s="9">
        <v>2016</v>
      </c>
      <c r="H2" s="9">
        <v>2017</v>
      </c>
      <c r="I2" s="9">
        <v>2018</v>
      </c>
    </row>
    <row r="3" spans="1:13" ht="15" customHeight="1">
      <c r="A3" s="28" t="s">
        <v>28</v>
      </c>
      <c r="D3" s="27"/>
      <c r="E3" s="27"/>
      <c r="F3" s="27"/>
      <c r="G3" s="27"/>
      <c r="H3" s="27"/>
      <c r="I3" s="27"/>
      <c r="M3" s="20"/>
    </row>
    <row r="4" spans="1:13" ht="15" customHeight="1">
      <c r="B4" t="s">
        <v>11</v>
      </c>
      <c r="C4" s="36">
        <v>48199.959146758287</v>
      </c>
      <c r="D4" s="99">
        <f>'Exh 5 Stores IS (Forecast Sect)'!O101*'Exh 9 Capital Forecasting'!$C$12</f>
        <v>51264.763432064261</v>
      </c>
      <c r="E4" s="99">
        <f>'Exh 5 Stores IS (Forecast Sect)'!P101*'Exh 9 Capital Forecasting'!$C$12</f>
        <v>53875.179595884969</v>
      </c>
      <c r="F4" s="99">
        <f>'Exh 5 Stores IS (Forecast Sect)'!Q101*'Exh 9 Capital Forecasting'!$C$12</f>
        <v>56486.228656265725</v>
      </c>
      <c r="G4" s="99">
        <f>'Exh 5 Stores IS (Forecast Sect)'!R101*'Exh 9 Capital Forecasting'!$C$12</f>
        <v>59008.661899382489</v>
      </c>
      <c r="H4" s="99">
        <f>'Exh 5 Stores IS (Forecast Sect)'!S101*'Exh 9 Capital Forecasting'!$C$12</f>
        <v>60306.852461168914</v>
      </c>
      <c r="I4" s="99">
        <f>'Exh 5 Stores IS (Forecast Sect)'!T101*'Exh 9 Capital Forecasting'!$C$12</f>
        <v>61512.98951039229</v>
      </c>
      <c r="M4" s="1"/>
    </row>
    <row r="5" spans="1:13" ht="15" customHeight="1">
      <c r="B5" t="s">
        <v>12</v>
      </c>
      <c r="C5" s="37">
        <v>33342.956637222087</v>
      </c>
      <c r="D5" s="99">
        <f>'Exh 5 Stores IS (Forecast Sect)'!O102*'Exh 9 Capital Forecasting'!$C$12</f>
        <v>21262.779397183371</v>
      </c>
      <c r="E5" s="99">
        <f>'Exh 5 Stores IS (Forecast Sect)'!P102*'Exh 9 Capital Forecasting'!$C$12</f>
        <v>22167.603635559371</v>
      </c>
      <c r="F5" s="99">
        <f>'Exh 5 Stores IS (Forecast Sect)'!Q102*'Exh 9 Capital Forecasting'!$C$12</f>
        <v>23177.705338532938</v>
      </c>
      <c r="G5" s="99">
        <f>'Exh 5 Stores IS (Forecast Sect)'!R102*'Exh 9 Capital Forecasting'!$C$12</f>
        <v>24060.567524104736</v>
      </c>
      <c r="H5" s="99">
        <f>'Exh 5 Stores IS (Forecast Sect)'!S102*'Exh 9 Capital Forecasting'!$C$12</f>
        <v>24196.100987072314</v>
      </c>
      <c r="I5" s="99">
        <f>'Exh 5 Stores IS (Forecast Sect)'!T102*'Exh 9 Capital Forecasting'!$C$12</f>
        <v>24370.830492279732</v>
      </c>
    </row>
    <row r="6" spans="1:13" ht="15" customHeight="1">
      <c r="A6" t="s">
        <v>30</v>
      </c>
      <c r="C6" s="36">
        <v>81542.915783980367</v>
      </c>
      <c r="D6" s="99">
        <f>SUM(D4:D5)</f>
        <v>72527.542829247628</v>
      </c>
      <c r="E6" s="99">
        <f t="shared" ref="E6:I6" si="0">SUM(E4:E5)</f>
        <v>76042.783231444337</v>
      </c>
      <c r="F6" s="99">
        <f t="shared" si="0"/>
        <v>79663.933994798659</v>
      </c>
      <c r="G6" s="99">
        <f t="shared" si="0"/>
        <v>83069.229423487224</v>
      </c>
      <c r="H6" s="99">
        <f t="shared" si="0"/>
        <v>84502.953448241227</v>
      </c>
      <c r="I6" s="99">
        <f t="shared" si="0"/>
        <v>85883.82000267203</v>
      </c>
    </row>
    <row r="7" spans="1:13" ht="15" customHeight="1">
      <c r="B7" t="s">
        <v>110</v>
      </c>
      <c r="C7" s="37">
        <v>3920.119999999999</v>
      </c>
      <c r="D7" s="90">
        <f>C7+'Exh 6 Stores BS'!O95-'Ex 11 Teuer IS Pro Forma (FS)'!D7</f>
        <v>5202.5980107764817</v>
      </c>
      <c r="E7" s="90">
        <f>D7+'Exh 6 Stores BS'!P95-'Ex 11 Teuer IS Pro Forma (FS)'!E7</f>
        <v>7155.2951385518409</v>
      </c>
      <c r="F7" s="90">
        <f>E7+'Exh 6 Stores BS'!Q95-'Ex 11 Teuer IS Pro Forma (FS)'!F7</f>
        <v>9310.2624535088053</v>
      </c>
      <c r="G7" s="90">
        <f>F7+'Exh 6 Stores BS'!R95-'Ex 11 Teuer IS Pro Forma (FS)'!G7</f>
        <v>7440.0307197422462</v>
      </c>
      <c r="H7" s="90">
        <f>G7+'Exh 6 Stores BS'!S95-'Ex 11 Teuer IS Pro Forma (FS)'!H7</f>
        <v>5202.8337650452131</v>
      </c>
      <c r="I7" s="90">
        <f>H7+'Exh 6 Stores BS'!T95-'Ex 11 Teuer IS Pro Forma (FS)'!I7</f>
        <v>3641.3641976940971</v>
      </c>
    </row>
    <row r="8" spans="1:13" ht="15" customHeight="1">
      <c r="A8" t="s">
        <v>31</v>
      </c>
      <c r="C8" s="38">
        <v>85463.035783980362</v>
      </c>
      <c r="D8" s="38">
        <f>D6+D7</f>
        <v>77730.140840024105</v>
      </c>
      <c r="E8" s="38">
        <f t="shared" ref="E8:I8" si="1">E6+E7</f>
        <v>83198.078369996176</v>
      </c>
      <c r="F8" s="38">
        <f t="shared" si="1"/>
        <v>88974.19644830747</v>
      </c>
      <c r="G8" s="38">
        <f t="shared" si="1"/>
        <v>90509.260143229476</v>
      </c>
      <c r="H8" s="38">
        <f t="shared" si="1"/>
        <v>89705.787213286443</v>
      </c>
      <c r="I8" s="38">
        <f t="shared" si="1"/>
        <v>89525.18420036613</v>
      </c>
    </row>
    <row r="9" spans="1:13" ht="15" customHeight="1">
      <c r="C9" s="38"/>
      <c r="D9" s="7"/>
      <c r="E9" s="38"/>
      <c r="F9" s="38"/>
      <c r="G9" s="38"/>
      <c r="H9" s="38"/>
      <c r="I9" s="38"/>
    </row>
    <row r="10" spans="1:13" ht="15" customHeight="1">
      <c r="A10" s="20" t="s">
        <v>29</v>
      </c>
      <c r="C10" s="39"/>
      <c r="D10" s="39"/>
      <c r="E10" s="39"/>
      <c r="F10" s="39"/>
      <c r="G10" s="39"/>
      <c r="H10" s="39"/>
      <c r="I10" s="39"/>
    </row>
    <row r="11" spans="1:13" ht="15" customHeight="1">
      <c r="B11" t="s">
        <v>13</v>
      </c>
      <c r="C11" s="36">
        <v>11363.545963450968</v>
      </c>
      <c r="D11" s="99">
        <f>'Ex 11 Teuer IS Pro Forma (FS)'!D4*'Exh 9 Capital Forecasting'!$C$36</f>
        <v>10705.867216059767</v>
      </c>
      <c r="E11" s="99">
        <f>'Ex 11 Teuer IS Pro Forma (FS)'!E4*'Exh 9 Capital Forecasting'!$C$36</f>
        <v>11161.44867928132</v>
      </c>
      <c r="F11" s="99">
        <f>'Ex 11 Teuer IS Pro Forma (FS)'!F4*'Exh 9 Capital Forecasting'!$C$36</f>
        <v>11670.037632058742</v>
      </c>
      <c r="G11" s="99">
        <f>'Ex 11 Teuer IS Pro Forma (FS)'!G4*'Exh 9 Capital Forecasting'!$C$36</f>
        <v>12114.561142003262</v>
      </c>
      <c r="H11" s="99">
        <f>'Ex 11 Teuer IS Pro Forma (FS)'!H4*'Exh 9 Capital Forecasting'!$C$36</f>
        <v>12182.802608970456</v>
      </c>
      <c r="I11" s="99">
        <f>'Ex 11 Teuer IS Pro Forma (FS)'!I4*'Exh 9 Capital Forecasting'!$C$36</f>
        <v>12270.779389735357</v>
      </c>
    </row>
    <row r="12" spans="1:13" ht="15" customHeight="1">
      <c r="B12" t="s">
        <v>14</v>
      </c>
      <c r="C12" s="111">
        <v>1682.2551123017518</v>
      </c>
      <c r="D12" s="99">
        <f>SUM('Ex 11 Teuer IS Pro Forma (FS)'!D5:D6)*'Exh 9 Capital Forecasting'!$C$48</f>
        <v>1623.6133984134174</v>
      </c>
      <c r="E12" s="99">
        <f>SUM('Ex 11 Teuer IS Pro Forma (FS)'!E5:E6)*'Exh 9 Capital Forecasting'!$C$48</f>
        <v>1698.3106286153718</v>
      </c>
      <c r="F12" s="99">
        <f>SUM('Ex 11 Teuer IS Pro Forma (FS)'!F5:F6)*'Exh 9 Capital Forecasting'!$C$48</f>
        <v>1778.2910995974034</v>
      </c>
      <c r="G12" s="99">
        <f>SUM('Ex 11 Teuer IS Pro Forma (FS)'!G5:G6)*'Exh 9 Capital Forecasting'!$C$48</f>
        <v>1851.4001518244354</v>
      </c>
      <c r="H12" s="99">
        <f>SUM('Ex 11 Teuer IS Pro Forma (FS)'!H5:H6)*'Exh 9 Capital Forecasting'!$C$48</f>
        <v>1875.3122113532575</v>
      </c>
      <c r="I12" s="99">
        <f>SUM('Ex 11 Teuer IS Pro Forma (FS)'!I5:I6)*'Exh 9 Capital Forecasting'!$C$48</f>
        <v>1900.6906176711971</v>
      </c>
    </row>
    <row r="13" spans="1:13" ht="15" customHeight="1">
      <c r="A13" t="s">
        <v>32</v>
      </c>
      <c r="C13" s="112">
        <v>13045.801075752719</v>
      </c>
      <c r="D13" s="113">
        <f>SUM(D11:D12)</f>
        <v>12329.480614473185</v>
      </c>
      <c r="E13" s="113">
        <f t="shared" ref="E13:I13" si="2">SUM(E11:E12)</f>
        <v>12859.759307896693</v>
      </c>
      <c r="F13" s="113">
        <f t="shared" si="2"/>
        <v>13448.328731656145</v>
      </c>
      <c r="G13" s="113">
        <f t="shared" si="2"/>
        <v>13965.961293827697</v>
      </c>
      <c r="H13" s="113">
        <f t="shared" si="2"/>
        <v>14058.114820323714</v>
      </c>
      <c r="I13" s="113">
        <f t="shared" si="2"/>
        <v>14171.470007406553</v>
      </c>
    </row>
    <row r="14" spans="1:13" ht="15" customHeight="1">
      <c r="B14" t="s">
        <v>33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</row>
    <row r="15" spans="1:13" ht="15" customHeight="1">
      <c r="B15" t="s">
        <v>34</v>
      </c>
      <c r="C15" s="37">
        <v>72417.234708227654</v>
      </c>
      <c r="D15" s="100">
        <f>D8-D13-D14</f>
        <v>65400.660225550921</v>
      </c>
      <c r="E15" s="100">
        <f t="shared" ref="E15:I15" si="3">E8-E13-E14</f>
        <v>70338.319062099486</v>
      </c>
      <c r="F15" s="100">
        <f t="shared" si="3"/>
        <v>75525.867716651323</v>
      </c>
      <c r="G15" s="100">
        <f t="shared" si="3"/>
        <v>76543.298849401777</v>
      </c>
      <c r="H15" s="100">
        <f t="shared" si="3"/>
        <v>75647.672392962733</v>
      </c>
      <c r="I15" s="100">
        <f t="shared" si="3"/>
        <v>75353.714192959582</v>
      </c>
    </row>
    <row r="16" spans="1:13" ht="15" customHeight="1">
      <c r="A16" t="s">
        <v>35</v>
      </c>
      <c r="C16" s="38">
        <v>85463.035783980376</v>
      </c>
      <c r="D16" s="7">
        <f>D13+D15</f>
        <v>77730.140840024105</v>
      </c>
      <c r="E16" s="7">
        <f t="shared" ref="E16:I16" si="4">E13+E15</f>
        <v>83198.078369996176</v>
      </c>
      <c r="F16" s="7">
        <f t="shared" si="4"/>
        <v>88974.19644830747</v>
      </c>
      <c r="G16" s="7">
        <f t="shared" si="4"/>
        <v>90509.260143229476</v>
      </c>
      <c r="H16" s="7">
        <f t="shared" si="4"/>
        <v>89705.787213286443</v>
      </c>
      <c r="I16" s="7">
        <f t="shared" si="4"/>
        <v>89525.18420036613</v>
      </c>
    </row>
    <row r="17" spans="1:9" ht="15" customHeight="1">
      <c r="C17" s="7"/>
      <c r="D17" s="7"/>
      <c r="E17" s="7"/>
      <c r="F17" s="7"/>
      <c r="G17" s="7"/>
      <c r="H17" s="7"/>
      <c r="I17" s="7"/>
    </row>
    <row r="18" spans="1:9" ht="15" customHeight="1">
      <c r="B18" s="27" t="s">
        <v>41</v>
      </c>
      <c r="C18" s="7">
        <f>C16-C8</f>
        <v>0</v>
      </c>
      <c r="D18" s="7">
        <f t="shared" ref="D18:I18" si="5">D16-D8</f>
        <v>0</v>
      </c>
      <c r="E18" s="7">
        <f t="shared" si="5"/>
        <v>0</v>
      </c>
      <c r="F18" s="7">
        <f t="shared" si="5"/>
        <v>0</v>
      </c>
      <c r="G18" s="7">
        <f t="shared" si="5"/>
        <v>0</v>
      </c>
      <c r="H18" s="7">
        <f t="shared" si="5"/>
        <v>0</v>
      </c>
      <c r="I18" s="7">
        <f t="shared" si="5"/>
        <v>0</v>
      </c>
    </row>
    <row r="19" spans="1:9" ht="15" customHeight="1">
      <c r="C19" s="6"/>
      <c r="D19" s="6"/>
      <c r="E19" s="6"/>
      <c r="F19" s="6"/>
      <c r="G19" s="6"/>
      <c r="H19" s="6"/>
      <c r="I19" s="6"/>
    </row>
    <row r="20" spans="1:9" ht="15" customHeight="1">
      <c r="A20" s="20"/>
      <c r="C20" s="8"/>
      <c r="D20" s="8"/>
      <c r="E20" s="8"/>
      <c r="F20" s="8"/>
      <c r="G20" s="8"/>
      <c r="H20" s="8"/>
      <c r="I20" s="8"/>
    </row>
    <row r="21" spans="1:9" ht="15" customHeight="1">
      <c r="C21" s="6"/>
      <c r="D21" s="40"/>
      <c r="E21" s="6"/>
      <c r="F21" s="6"/>
      <c r="G21" s="6"/>
      <c r="H21" s="6"/>
      <c r="I21" s="6"/>
    </row>
    <row r="22" spans="1:9" ht="15" customHeight="1">
      <c r="B22" s="20"/>
      <c r="C22" s="6"/>
      <c r="D22" s="6"/>
      <c r="E22" s="6"/>
      <c r="F22" s="6"/>
      <c r="G22" s="6"/>
      <c r="H22" s="6"/>
      <c r="I22" s="6"/>
    </row>
    <row r="23" spans="1:9" ht="15" customHeight="1">
      <c r="C23" s="6"/>
    </row>
    <row r="24" spans="1:9" ht="15" customHeight="1">
      <c r="C24" s="6"/>
    </row>
    <row r="25" spans="1:9" ht="15" customHeight="1">
      <c r="C25" s="6"/>
    </row>
    <row r="26" spans="1:9" ht="15" customHeight="1">
      <c r="C26" s="6"/>
    </row>
    <row r="27" spans="1:9" ht="15" customHeight="1">
      <c r="C27" s="6"/>
    </row>
    <row r="28" spans="1:9" ht="15" customHeight="1">
      <c r="C28" s="6"/>
    </row>
    <row r="29" spans="1:9">
      <c r="C29" s="6"/>
    </row>
    <row r="30" spans="1:9">
      <c r="C30" s="6"/>
    </row>
    <row r="31" spans="1:9">
      <c r="C31" s="6"/>
    </row>
    <row r="32" spans="1:9">
      <c r="C32" s="6"/>
    </row>
    <row r="33" spans="3:3">
      <c r="C33" s="6"/>
    </row>
  </sheetData>
  <pageMargins left="0.7" right="0.7" top="0.75" bottom="0.75" header="0.3" footer="0.3"/>
  <pageSetup fitToHeight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1668-8358-7644-8BFF-001EB1A8BC13}">
  <sheetPr>
    <tabColor theme="7" tint="0.39997558519241921"/>
  </sheetPr>
  <dimension ref="A1:O39"/>
  <sheetViews>
    <sheetView zoomScale="120" zoomScaleNormal="120" workbookViewId="0">
      <selection activeCell="I21" sqref="I21"/>
    </sheetView>
  </sheetViews>
  <sheetFormatPr defaultColWidth="8.81640625" defaultRowHeight="14.5"/>
  <cols>
    <col min="1" max="1" width="5.6328125" customWidth="1"/>
    <col min="2" max="2" width="25.6328125" customWidth="1"/>
    <col min="3" max="7" width="9.6328125" customWidth="1"/>
    <col min="8" max="8" width="12" bestFit="1" customWidth="1"/>
    <col min="9" max="9" width="9.6328125" customWidth="1"/>
    <col min="13" max="13" width="11.453125" bestFit="1" customWidth="1"/>
  </cols>
  <sheetData>
    <row r="1" spans="1:15" ht="18.5">
      <c r="A1" s="10" t="s">
        <v>97</v>
      </c>
      <c r="D1" s="7">
        <f>D3+D4+D5</f>
        <v>39301.590364452568</v>
      </c>
    </row>
    <row r="2" spans="1:15">
      <c r="C2" s="4">
        <v>2012</v>
      </c>
      <c r="D2" s="4">
        <v>2013</v>
      </c>
      <c r="E2" s="4">
        <f>1+D2</f>
        <v>2014</v>
      </c>
      <c r="F2" s="4">
        <f t="shared" ref="F2:I2" si="0">1+E2</f>
        <v>2015</v>
      </c>
      <c r="G2" s="4">
        <f t="shared" si="0"/>
        <v>2016</v>
      </c>
      <c r="H2" s="4">
        <f t="shared" si="0"/>
        <v>2017</v>
      </c>
      <c r="I2" s="4">
        <f t="shared" si="0"/>
        <v>2018</v>
      </c>
    </row>
    <row r="3" spans="1:15" ht="15" customHeight="1">
      <c r="B3" t="s">
        <v>0</v>
      </c>
      <c r="C3" s="7">
        <v>148217.90000000002</v>
      </c>
      <c r="D3" s="120">
        <f>'Ex 11 Teuer IS Pro Forma (FS)'!D3</f>
        <v>158043.43700000001</v>
      </c>
      <c r="E3" s="120">
        <f>'Ex 11 Teuer IS Pro Forma (FS)'!E3</f>
        <v>166091.05323600001</v>
      </c>
      <c r="F3" s="120">
        <f>'Ex 11 Teuer IS Pro Forma (FS)'!F3</f>
        <v>174140.62062013606</v>
      </c>
      <c r="G3" s="120">
        <f>'Ex 11 Teuer IS Pro Forma (FS)'!G3</f>
        <v>181916.99551501925</v>
      </c>
      <c r="H3" s="120">
        <f>'Ex 11 Teuer IS Pro Forma (FS)'!H3</f>
        <v>185919.1694163497</v>
      </c>
      <c r="I3" s="120">
        <f>'Ex 11 Teuer IS Pro Forma (FS)'!I3</f>
        <v>189637.5528046767</v>
      </c>
    </row>
    <row r="4" spans="1:15">
      <c r="B4" s="13" t="s">
        <v>46</v>
      </c>
      <c r="C4" s="7">
        <v>-112132.3</v>
      </c>
      <c r="D4" s="121">
        <f>-SUM('Ex 11 Teuer IS Pro Forma (FS)'!D4:D9)</f>
        <v>-103077.01552591239</v>
      </c>
      <c r="E4" s="121">
        <f>-SUM('Ex 11 Teuer IS Pro Forma (FS)'!E4:E9)</f>
        <v>-108294.25180523729</v>
      </c>
      <c r="F4" s="121">
        <f>-SUM('Ex 11 Teuer IS Pro Forma (FS)'!F4:F9)</f>
        <v>-114014.76214944632</v>
      </c>
      <c r="G4" s="121">
        <f>-SUM('Ex 11 Teuer IS Pro Forma (FS)'!G4:G9)</f>
        <v>-119266.45247748481</v>
      </c>
      <c r="H4" s="121">
        <f>-SUM('Ex 11 Teuer IS Pro Forma (FS)'!H4:H9)</f>
        <v>-120107.30781611001</v>
      </c>
      <c r="I4" s="121">
        <f>-SUM('Ex 11 Teuer IS Pro Forma (FS)'!I4:I9)</f>
        <v>-120874.2607313194</v>
      </c>
    </row>
    <row r="5" spans="1:15">
      <c r="B5" s="13" t="s">
        <v>47</v>
      </c>
      <c r="C5" s="11">
        <v>-14434.3</v>
      </c>
      <c r="D5" s="122">
        <f>'Ex 11 Teuer IS Pro Forma (FS)'!D10</f>
        <v>-15664.83110963505</v>
      </c>
      <c r="E5" s="122">
        <f>'Ex 11 Teuer IS Pro Forma (FS)'!E10</f>
        <v>-16475.078442865088</v>
      </c>
      <c r="F5" s="122">
        <f>'Ex 11 Teuer IS Pro Forma (FS)'!F10</f>
        <v>-17084.718563470455</v>
      </c>
      <c r="G5" s="122">
        <f>'Ex 11 Teuer IS Pro Forma (FS)'!G10</f>
        <v>-17783.537394413008</v>
      </c>
      <c r="H5" s="122">
        <f>'Ex 11 Teuer IS Pro Forma (FS)'!H10</f>
        <v>-18887.977863441887</v>
      </c>
      <c r="I5" s="122">
        <f>'Ex 11 Teuer IS Pro Forma (FS)'!I10</f>
        <v>-19919.814717155852</v>
      </c>
    </row>
    <row r="6" spans="1:15">
      <c r="B6" t="s">
        <v>22</v>
      </c>
      <c r="C6" s="7">
        <v>21651.4</v>
      </c>
      <c r="D6" s="7">
        <f>'Ex 11 Teuer IS Pro Forma (FS)'!D13</f>
        <v>23497.24666445257</v>
      </c>
      <c r="E6" s="7">
        <f>'Ex 11 Teuer IS Pro Forma (FS)'!E13</f>
        <v>24712.617664297628</v>
      </c>
      <c r="F6" s="7">
        <f>'Ex 11 Teuer IS Pro Forma (FS)'!F13</f>
        <v>25627.07784520568</v>
      </c>
      <c r="G6" s="7">
        <f>'Ex 11 Teuer IS Pro Forma (FS)'!G13</f>
        <v>26675.306091619514</v>
      </c>
      <c r="H6" s="7">
        <f>'Ex 11 Teuer IS Pro Forma (FS)'!H13</f>
        <v>28331.966795162833</v>
      </c>
      <c r="I6" s="7">
        <f>'Ex 11 Teuer IS Pro Forma (FS)'!I13</f>
        <v>29879.722075733771</v>
      </c>
      <c r="M6" t="s">
        <v>118</v>
      </c>
      <c r="N6" t="s">
        <v>120</v>
      </c>
      <c r="O6" t="s">
        <v>119</v>
      </c>
    </row>
    <row r="7" spans="1:15">
      <c r="B7" s="13" t="s">
        <v>78</v>
      </c>
      <c r="C7" s="7">
        <v>-2228.6</v>
      </c>
      <c r="D7" s="7">
        <f>-'Exh 6 Stores BS'!O95</f>
        <v>-2366.6780107764826</v>
      </c>
      <c r="E7" s="7">
        <f>-'Exh 6 Stores BS'!P95</f>
        <v>-3325.4327299306556</v>
      </c>
      <c r="F7" s="7">
        <f>-'Exh 6 Stores BS'!Q95</f>
        <v>-4113.9894630983918</v>
      </c>
      <c r="G7" s="7">
        <f>-'Exh 6 Stores BS'!R95</f>
        <v>-761.18830699454759</v>
      </c>
      <c r="H7" s="7">
        <f>-'Exh 6 Stores BS'!S95</f>
        <v>-321.98074746298283</v>
      </c>
      <c r="I7" s="7">
        <f>-'Exh 6 Stores BS'!T95</f>
        <v>-616.38428430149656</v>
      </c>
      <c r="L7">
        <v>2012</v>
      </c>
      <c r="M7" s="117">
        <f>-(C7+C9+C8)/C6</f>
        <v>0.42229601780947185</v>
      </c>
      <c r="N7" s="117">
        <f>C6/'Ex 12 Teuer BS Pro Forma (FS)'!C15</f>
        <v>0.29898131414758489</v>
      </c>
      <c r="O7" s="118">
        <f t="shared" ref="O7:O13" si="1">M7*N7</f>
        <v>0.12625861836396782</v>
      </c>
    </row>
    <row r="8" spans="1:15">
      <c r="B8" s="13" t="s">
        <v>48</v>
      </c>
      <c r="C8" s="7">
        <v>1450.1</v>
      </c>
      <c r="D8" s="7">
        <f>'Ex 11 Teuer IS Pro Forma (FS)'!D7</f>
        <v>1084.2</v>
      </c>
      <c r="E8" s="7">
        <f>'Ex 11 Teuer IS Pro Forma (FS)'!E7</f>
        <v>1372.7356021552964</v>
      </c>
      <c r="F8" s="7">
        <f>'Ex 11 Teuer IS Pro Forma (FS)'!F7</f>
        <v>1959.0221481414276</v>
      </c>
      <c r="G8" s="7">
        <f>'Ex 11 Teuer IS Pro Forma (FS)'!G7</f>
        <v>2631.4200407611061</v>
      </c>
      <c r="H8" s="7">
        <f>'Ex 11 Teuer IS Pro Forma (FS)'!H7</f>
        <v>2559.1777021600155</v>
      </c>
      <c r="I8" s="7">
        <f>'Ex 11 Teuer IS Pro Forma (FS)'!I7</f>
        <v>2177.8538516526123</v>
      </c>
      <c r="L8">
        <v>2013</v>
      </c>
      <c r="M8" s="117">
        <f>-(D7+D9+D8)/D6</f>
        <v>-0.29861262397571187</v>
      </c>
      <c r="N8" s="117">
        <f>D6/'Ex 12 Teuer BS Pro Forma (FS)'!D15</f>
        <v>0.35928149017787131</v>
      </c>
      <c r="O8" s="118">
        <f t="shared" si="1"/>
        <v>-0.1072859885279181</v>
      </c>
    </row>
    <row r="9" spans="1:15">
      <c r="B9" s="13" t="s">
        <v>49</v>
      </c>
      <c r="C9" s="11">
        <v>-8364.7999999999993</v>
      </c>
      <c r="D9" s="11">
        <f>-(D10+D11-D12-D13)</f>
        <v>8299.0524934532077</v>
      </c>
      <c r="E9" s="11">
        <f t="shared" ref="E9:I9" si="2">-(E10+E11-E12-E13)</f>
        <v>-2984.9617087732008</v>
      </c>
      <c r="F9" s="11">
        <f t="shared" si="2"/>
        <v>-3032.581339594869</v>
      </c>
      <c r="G9" s="11">
        <f t="shared" si="2"/>
        <v>-2887.6628665170097</v>
      </c>
      <c r="H9" s="11">
        <f t="shared" si="2"/>
        <v>-1341.5704982579866</v>
      </c>
      <c r="I9" s="11">
        <f t="shared" si="2"/>
        <v>-1267.511367347955</v>
      </c>
      <c r="L9">
        <v>2014</v>
      </c>
      <c r="M9" s="117">
        <f>-(E7+E9+E8)/E6</f>
        <v>0.19980314929089873</v>
      </c>
      <c r="N9" s="117">
        <f>E6/'Ex 12 Teuer BS Pro Forma (FS)'!E15</f>
        <v>0.35133932675416418</v>
      </c>
      <c r="O9" s="118">
        <f t="shared" si="1"/>
        <v>7.0198703955226122E-2</v>
      </c>
    </row>
    <row r="10" spans="1:15">
      <c r="B10" s="83" t="s">
        <v>102</v>
      </c>
      <c r="C10" s="7"/>
      <c r="D10" s="7">
        <f>'Ex 12 Teuer BS Pro Forma (FS)'!D4-'Ex 12 Teuer BS Pro Forma (FS)'!C4</f>
        <v>3064.8042853059742</v>
      </c>
      <c r="E10" s="7">
        <f>'Ex 12 Teuer BS Pro Forma (FS)'!E4-'Ex 12 Teuer BS Pro Forma (FS)'!D4</f>
        <v>2610.4161638207079</v>
      </c>
      <c r="F10" s="7">
        <f>'Ex 12 Teuer BS Pro Forma (FS)'!F4-'Ex 12 Teuer BS Pro Forma (FS)'!E4</f>
        <v>2611.0490603807557</v>
      </c>
      <c r="G10" s="7">
        <f>'Ex 12 Teuer BS Pro Forma (FS)'!G4-'Ex 12 Teuer BS Pro Forma (FS)'!F4</f>
        <v>2522.4332431167641</v>
      </c>
      <c r="H10" s="7">
        <f>'Ex 12 Teuer BS Pro Forma (FS)'!H4-'Ex 12 Teuer BS Pro Forma (FS)'!G4</f>
        <v>1298.190561786425</v>
      </c>
      <c r="I10" s="7">
        <f>'Ex 12 Teuer BS Pro Forma (FS)'!I4-'Ex 12 Teuer BS Pro Forma (FS)'!H4</f>
        <v>1206.1370492233764</v>
      </c>
      <c r="L10">
        <v>2015</v>
      </c>
      <c r="M10" s="117">
        <f>-(F7+F9+F8)/F6</f>
        <v>0.20242450918071883</v>
      </c>
      <c r="N10" s="117">
        <f>F6/'Ex 12 Teuer BS Pro Forma (FS)'!F15</f>
        <v>0.33931523887087539</v>
      </c>
      <c r="O10" s="118">
        <f t="shared" si="1"/>
        <v>6.8685720685975324E-2</v>
      </c>
    </row>
    <row r="11" spans="1:15">
      <c r="B11" s="83" t="s">
        <v>103</v>
      </c>
      <c r="C11" s="7"/>
      <c r="D11" s="7">
        <f>'Ex 12 Teuer BS Pro Forma (FS)'!D5-'Ex 12 Teuer BS Pro Forma (FS)'!C5</f>
        <v>-12080.177240038716</v>
      </c>
      <c r="E11" s="7">
        <f>'Ex 12 Teuer BS Pro Forma (FS)'!E5-'Ex 12 Teuer BS Pro Forma (FS)'!D5</f>
        <v>904.82423837600072</v>
      </c>
      <c r="F11" s="7">
        <f>'Ex 12 Teuer BS Pro Forma (FS)'!F5-'Ex 12 Teuer BS Pro Forma (FS)'!E5</f>
        <v>1010.1017029735667</v>
      </c>
      <c r="G11" s="7">
        <f>'Ex 12 Teuer BS Pro Forma (FS)'!G5-'Ex 12 Teuer BS Pro Forma (FS)'!F5</f>
        <v>882.86218557179745</v>
      </c>
      <c r="H11" s="7">
        <f>'Ex 12 Teuer BS Pro Forma (FS)'!H5-'Ex 12 Teuer BS Pro Forma (FS)'!G5</f>
        <v>135.53346296757809</v>
      </c>
      <c r="I11" s="7">
        <f>'Ex 12 Teuer BS Pro Forma (FS)'!I5-'Ex 12 Teuer BS Pro Forma (FS)'!H5</f>
        <v>174.7295052074187</v>
      </c>
      <c r="L11">
        <v>2016</v>
      </c>
      <c r="M11" s="117">
        <f>-(G7+G9+G8)/G6</f>
        <v>3.8141310516024172E-2</v>
      </c>
      <c r="N11" s="117">
        <f>G6/'Ex 12 Teuer BS Pro Forma (FS)'!G15</f>
        <v>0.34849956158935519</v>
      </c>
      <c r="O11" s="118">
        <f t="shared" si="1"/>
        <v>1.3292229993277886E-2</v>
      </c>
    </row>
    <row r="12" spans="1:15">
      <c r="B12" s="83" t="s">
        <v>104</v>
      </c>
      <c r="C12" s="7"/>
      <c r="D12" s="7">
        <f>'Ex 12 Teuer BS Pro Forma (FS)'!D11-'Ex 12 Teuer BS Pro Forma (FS)'!C11</f>
        <v>-657.67874739120089</v>
      </c>
      <c r="E12" s="7">
        <f>'Ex 12 Teuer BS Pro Forma (FS)'!E11-'Ex 12 Teuer BS Pro Forma (FS)'!D11</f>
        <v>455.58146322155335</v>
      </c>
      <c r="F12" s="7">
        <f>'Ex 12 Teuer BS Pro Forma (FS)'!F11-'Ex 12 Teuer BS Pro Forma (FS)'!E11</f>
        <v>508.58895277742158</v>
      </c>
      <c r="G12" s="7">
        <f>'Ex 12 Teuer BS Pro Forma (FS)'!G11-'Ex 12 Teuer BS Pro Forma (FS)'!F11</f>
        <v>444.5235099445199</v>
      </c>
      <c r="H12" s="7">
        <f>'Ex 12 Teuer BS Pro Forma (FS)'!H11-'Ex 12 Teuer BS Pro Forma (FS)'!G11</f>
        <v>68.241466967194356</v>
      </c>
      <c r="I12" s="7">
        <f>'Ex 12 Teuer BS Pro Forma (FS)'!I11-'Ex 12 Teuer BS Pro Forma (FS)'!H11</f>
        <v>87.976780764900468</v>
      </c>
      <c r="L12">
        <v>2017</v>
      </c>
      <c r="M12" s="117">
        <f>-(H7+H9+H8)/H6</f>
        <v>-3.1611870185869265E-2</v>
      </c>
      <c r="N12" s="117">
        <f>H6/'Ex 12 Teuer BS Pro Forma (FS)'!H15</f>
        <v>0.37452529468439361</v>
      </c>
      <c r="O12" s="118">
        <f t="shared" si="1"/>
        <v>-1.1839444996887483E-2</v>
      </c>
    </row>
    <row r="13" spans="1:15">
      <c r="B13" s="83" t="s">
        <v>105</v>
      </c>
      <c r="C13" s="7"/>
      <c r="D13" s="7">
        <f>'Ex 12 Teuer BS Pro Forma (FS)'!D12-'Ex 12 Teuer BS Pro Forma (FS)'!C12</f>
        <v>-58.64171388833438</v>
      </c>
      <c r="E13" s="7">
        <f>'Ex 12 Teuer BS Pro Forma (FS)'!E12-'Ex 12 Teuer BS Pro Forma (FS)'!D12</f>
        <v>74.697230201954426</v>
      </c>
      <c r="F13" s="7">
        <f>'Ex 12 Teuer BS Pro Forma (FS)'!F12-'Ex 12 Teuer BS Pro Forma (FS)'!E12</f>
        <v>79.980470982031648</v>
      </c>
      <c r="G13" s="7">
        <f>'Ex 12 Teuer BS Pro Forma (FS)'!G12-'Ex 12 Teuer BS Pro Forma (FS)'!F12</f>
        <v>73.109052227031952</v>
      </c>
      <c r="H13" s="7">
        <f>'Ex 12 Teuer BS Pro Forma (FS)'!H12-'Ex 12 Teuer BS Pro Forma (FS)'!G12</f>
        <v>23.912059528822056</v>
      </c>
      <c r="I13" s="7">
        <f>'Ex 12 Teuer BS Pro Forma (FS)'!I12-'Ex 12 Teuer BS Pro Forma (FS)'!H12</f>
        <v>25.378406317939607</v>
      </c>
      <c r="L13">
        <v>2018</v>
      </c>
      <c r="M13" s="117">
        <f>-(I7+I9+I8)/I6</f>
        <v>-9.8380500078979367E-3</v>
      </c>
      <c r="N13" s="117">
        <f>I6/'Ex 12 Teuer BS Pro Forma (FS)'!I15</f>
        <v>0.39652620173731901</v>
      </c>
      <c r="O13" s="118">
        <f t="shared" si="1"/>
        <v>-3.9010446021335702E-3</v>
      </c>
    </row>
    <row r="14" spans="1:15">
      <c r="B14" t="s">
        <v>98</v>
      </c>
      <c r="C14" s="7">
        <v>12508.1</v>
      </c>
      <c r="D14" s="7">
        <f>D6+D7+D8+D9</f>
        <v>30513.821147129296</v>
      </c>
      <c r="E14" s="7">
        <f t="shared" ref="E14:I14" si="3">E6+E7+E8+E9</f>
        <v>19774.958827749066</v>
      </c>
      <c r="F14" s="7">
        <f t="shared" si="3"/>
        <v>20439.529190653848</v>
      </c>
      <c r="G14" s="7">
        <f t="shared" si="3"/>
        <v>25657.874958869063</v>
      </c>
      <c r="H14" s="7">
        <f t="shared" si="3"/>
        <v>29227.593251601877</v>
      </c>
      <c r="I14" s="7">
        <f t="shared" si="3"/>
        <v>30173.680275736933</v>
      </c>
    </row>
    <row r="15" spans="1:15">
      <c r="B15" t="s">
        <v>99</v>
      </c>
      <c r="D15" s="76"/>
      <c r="E15" s="76"/>
      <c r="F15" s="76"/>
      <c r="G15" s="76"/>
      <c r="H15" s="114" t="s">
        <v>112</v>
      </c>
      <c r="I15" s="7">
        <f>I14*(1+C24)/(C23-C24)</f>
        <v>363136.73355101998</v>
      </c>
      <c r="J15" s="114" t="s">
        <v>113</v>
      </c>
    </row>
    <row r="16" spans="1:15">
      <c r="D16" s="115">
        <f>D14</f>
        <v>30513.821147129296</v>
      </c>
      <c r="E16" s="115">
        <f t="shared" ref="E16:H16" si="4">E14</f>
        <v>19774.958827749066</v>
      </c>
      <c r="F16" s="115">
        <f t="shared" si="4"/>
        <v>20439.529190653848</v>
      </c>
      <c r="G16" s="115">
        <f t="shared" si="4"/>
        <v>25657.874958869063</v>
      </c>
      <c r="H16" s="115">
        <f t="shared" si="4"/>
        <v>29227.593251601877</v>
      </c>
      <c r="I16" s="116">
        <f>I14+I15</f>
        <v>393310.41382675694</v>
      </c>
    </row>
    <row r="17" spans="1:12">
      <c r="B17" t="s">
        <v>106</v>
      </c>
      <c r="C17" s="84"/>
      <c r="D17" s="84"/>
      <c r="E17" s="84"/>
      <c r="F17" s="84"/>
      <c r="G17" s="84"/>
      <c r="H17" s="84"/>
      <c r="I17" s="84"/>
    </row>
    <row r="18" spans="1:12">
      <c r="B18" t="s">
        <v>107</v>
      </c>
      <c r="C18" s="1">
        <f>NPV(C23,D16:I16)</f>
        <v>288423.85633488063</v>
      </c>
      <c r="E18" s="7"/>
      <c r="F18" s="7"/>
      <c r="G18" s="7"/>
      <c r="H18" s="7"/>
    </row>
    <row r="19" spans="1:12">
      <c r="B19" t="s">
        <v>100</v>
      </c>
      <c r="C19" s="101"/>
      <c r="E19" s="7"/>
      <c r="F19" s="7"/>
      <c r="G19" s="7"/>
      <c r="H19" s="7"/>
      <c r="I19" s="7"/>
    </row>
    <row r="20" spans="1:12">
      <c r="B20" t="s">
        <v>43</v>
      </c>
      <c r="C20" s="29">
        <f>C18/C26</f>
        <v>29.00189606182812</v>
      </c>
      <c r="D20" s="29"/>
      <c r="E20" s="29"/>
      <c r="F20" s="29"/>
      <c r="G20" s="29"/>
      <c r="H20" s="29"/>
      <c r="I20" s="29"/>
    </row>
    <row r="21" spans="1:12">
      <c r="C21" s="8"/>
      <c r="D21" s="7"/>
      <c r="E21" s="8"/>
      <c r="F21" s="8"/>
      <c r="G21" s="8"/>
      <c r="H21" s="8"/>
      <c r="I21" s="8"/>
    </row>
    <row r="22" spans="1:12">
      <c r="A22" s="20" t="s">
        <v>6</v>
      </c>
      <c r="D22" s="76"/>
    </row>
    <row r="23" spans="1:12">
      <c r="A23" s="20"/>
      <c r="B23" t="s">
        <v>42</v>
      </c>
      <c r="C23" s="49">
        <f>'Exh 10 Forecast Parameters'!B15</f>
        <v>0.12100000000000001</v>
      </c>
      <c r="D23" s="6"/>
    </row>
    <row r="24" spans="1:12">
      <c r="A24" s="20"/>
      <c r="B24" t="s">
        <v>94</v>
      </c>
      <c r="C24" s="49">
        <f>'Exh 10 Forecast Parameters'!B16</f>
        <v>3.5000000000000003E-2</v>
      </c>
      <c r="D24" s="26"/>
      <c r="E24" s="26"/>
      <c r="F24" s="26"/>
      <c r="G24" s="26"/>
      <c r="H24" s="26"/>
      <c r="I24" s="26"/>
    </row>
    <row r="25" spans="1:12">
      <c r="A25" s="20"/>
      <c r="B25" t="s">
        <v>44</v>
      </c>
      <c r="C25" s="78">
        <v>187</v>
      </c>
    </row>
    <row r="26" spans="1:12">
      <c r="A26" s="20"/>
      <c r="B26" t="s">
        <v>45</v>
      </c>
      <c r="C26" s="78">
        <f>'Exh 10 Forecast Parameters'!B17</f>
        <v>9945</v>
      </c>
    </row>
    <row r="27" spans="1:12">
      <c r="C27" s="7"/>
    </row>
    <row r="28" spans="1:12">
      <c r="C28" s="7"/>
    </row>
    <row r="30" spans="1:12" ht="18.5">
      <c r="A30" s="85" t="s">
        <v>74</v>
      </c>
      <c r="B30" s="85"/>
      <c r="C30" s="85"/>
      <c r="D30" s="85"/>
      <c r="E30" s="24"/>
      <c r="F30" s="24"/>
      <c r="G30" s="24"/>
      <c r="H30" s="24"/>
      <c r="I30" s="24"/>
      <c r="J30" s="24"/>
      <c r="K30" s="24"/>
      <c r="L30" s="24"/>
    </row>
    <row r="31" spans="1:12">
      <c r="A31" s="24"/>
      <c r="B31" s="24"/>
      <c r="C31" s="86">
        <v>2003</v>
      </c>
      <c r="D31" s="86">
        <v>2004</v>
      </c>
      <c r="E31" s="86">
        <v>2005</v>
      </c>
      <c r="F31" s="86">
        <v>2006</v>
      </c>
      <c r="G31" s="86">
        <v>2007</v>
      </c>
      <c r="H31" s="86">
        <v>2008</v>
      </c>
      <c r="I31" s="86">
        <v>2009</v>
      </c>
      <c r="J31" s="86">
        <v>2010</v>
      </c>
      <c r="K31" s="86">
        <v>2011</v>
      </c>
      <c r="L31" s="86">
        <v>2012</v>
      </c>
    </row>
    <row r="32" spans="1:12">
      <c r="A32" s="24"/>
      <c r="B32" s="24" t="s">
        <v>0</v>
      </c>
      <c r="C32" s="87"/>
      <c r="D32" s="41">
        <v>2057</v>
      </c>
      <c r="E32" s="41">
        <v>10415</v>
      </c>
      <c r="F32" s="41">
        <v>26701</v>
      </c>
      <c r="G32" s="41">
        <v>51540</v>
      </c>
      <c r="H32" s="41">
        <v>79191</v>
      </c>
      <c r="I32" s="41">
        <v>90680</v>
      </c>
      <c r="J32" s="41">
        <v>111451</v>
      </c>
      <c r="K32" s="41">
        <v>134093</v>
      </c>
      <c r="L32" s="41">
        <v>148218</v>
      </c>
    </row>
    <row r="33" spans="1:12">
      <c r="A33" s="24"/>
      <c r="B33" s="24" t="s">
        <v>46</v>
      </c>
      <c r="C33" s="87"/>
      <c r="D33" s="41">
        <v>-2583</v>
      </c>
      <c r="E33" s="41">
        <v>-12003</v>
      </c>
      <c r="F33" s="41">
        <v>-29394</v>
      </c>
      <c r="G33" s="41">
        <v>-53144</v>
      </c>
      <c r="H33" s="41">
        <v>-77592</v>
      </c>
      <c r="I33" s="41">
        <v>-84510</v>
      </c>
      <c r="J33" s="41">
        <v>-89222</v>
      </c>
      <c r="K33" s="41">
        <v>-100704</v>
      </c>
      <c r="L33" s="41">
        <v>-112132</v>
      </c>
    </row>
    <row r="34" spans="1:12">
      <c r="A34" s="24"/>
      <c r="B34" s="24" t="s">
        <v>47</v>
      </c>
      <c r="C34" s="88"/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-543</v>
      </c>
      <c r="J34" s="35">
        <v>-8892</v>
      </c>
      <c r="K34" s="35">
        <v>-13356</v>
      </c>
      <c r="L34" s="35">
        <v>-14434</v>
      </c>
    </row>
    <row r="35" spans="1:12">
      <c r="A35" s="24"/>
      <c r="B35" s="24" t="s">
        <v>22</v>
      </c>
      <c r="C35" s="87">
        <v>0</v>
      </c>
      <c r="D35" s="87">
        <v>-526</v>
      </c>
      <c r="E35" s="87">
        <v>-1588</v>
      </c>
      <c r="F35" s="87">
        <v>-2693</v>
      </c>
      <c r="G35" s="87">
        <v>-1604</v>
      </c>
      <c r="H35" s="87">
        <v>1600</v>
      </c>
      <c r="I35" s="87">
        <v>5626</v>
      </c>
      <c r="J35" s="87">
        <v>13337</v>
      </c>
      <c r="K35" s="87">
        <v>20033</v>
      </c>
      <c r="L35" s="87">
        <v>21651</v>
      </c>
    </row>
    <row r="36" spans="1:12">
      <c r="A36" s="24"/>
      <c r="B36" s="24" t="s">
        <v>78</v>
      </c>
      <c r="C36" s="41">
        <v>-358</v>
      </c>
      <c r="D36" s="41">
        <v>-1175</v>
      </c>
      <c r="E36" s="41">
        <v>-1814</v>
      </c>
      <c r="F36" s="41">
        <v>-2971</v>
      </c>
      <c r="G36" s="41">
        <v>-4058</v>
      </c>
      <c r="H36" s="41">
        <v>-924</v>
      </c>
      <c r="I36" s="41">
        <v>-394</v>
      </c>
      <c r="J36" s="41">
        <v>-752</v>
      </c>
      <c r="K36" s="41">
        <v>-1122</v>
      </c>
      <c r="L36" s="41">
        <v>-2229</v>
      </c>
    </row>
    <row r="37" spans="1:12">
      <c r="A37" s="24"/>
      <c r="B37" s="24" t="s">
        <v>48</v>
      </c>
      <c r="C37" s="41">
        <v>0</v>
      </c>
      <c r="D37" s="41">
        <v>72</v>
      </c>
      <c r="E37" s="41">
        <v>307</v>
      </c>
      <c r="F37" s="41">
        <v>669</v>
      </c>
      <c r="G37" s="41">
        <v>1264</v>
      </c>
      <c r="H37" s="41">
        <v>2075</v>
      </c>
      <c r="I37" s="41">
        <v>2188</v>
      </c>
      <c r="J37" s="41">
        <v>2032</v>
      </c>
      <c r="K37" s="41">
        <v>1820</v>
      </c>
      <c r="L37" s="41">
        <v>1450</v>
      </c>
    </row>
    <row r="38" spans="1:12">
      <c r="A38" s="24"/>
      <c r="B38" s="24" t="s">
        <v>49</v>
      </c>
      <c r="C38" s="35">
        <v>-406</v>
      </c>
      <c r="D38" s="35">
        <v>-2193</v>
      </c>
      <c r="E38" s="35">
        <v>-5957</v>
      </c>
      <c r="F38" s="35">
        <v>-9467</v>
      </c>
      <c r="G38" s="35">
        <v>-11645</v>
      </c>
      <c r="H38" s="35">
        <v>-8498</v>
      </c>
      <c r="I38" s="35">
        <v>-6281</v>
      </c>
      <c r="J38" s="35">
        <v>-8494</v>
      </c>
      <c r="K38" s="35">
        <v>-7192</v>
      </c>
      <c r="L38" s="35">
        <v>-8365</v>
      </c>
    </row>
    <row r="39" spans="1:12">
      <c r="A39" s="24"/>
      <c r="B39" s="24" t="s">
        <v>91</v>
      </c>
      <c r="C39" s="87">
        <v>-764</v>
      </c>
      <c r="D39" s="87">
        <v>-3823</v>
      </c>
      <c r="E39" s="87">
        <v>-9052</v>
      </c>
      <c r="F39" s="87">
        <v>-14461</v>
      </c>
      <c r="G39" s="87">
        <v>-16043</v>
      </c>
      <c r="H39" s="87">
        <v>-5747</v>
      </c>
      <c r="I39" s="87">
        <v>1139</v>
      </c>
      <c r="J39" s="87">
        <v>6124</v>
      </c>
      <c r="K39" s="87">
        <v>13539</v>
      </c>
      <c r="L39" s="87">
        <v>12508</v>
      </c>
    </row>
  </sheetData>
  <pageMargins left="0.7" right="0.7" top="0.75" bottom="0.75" header="0.3" footer="0.3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AF107"/>
  <sheetViews>
    <sheetView zoomScale="133" workbookViewId="0">
      <pane xSplit="4" ySplit="2" topLeftCell="E90" activePane="bottomRight" state="frozen"/>
      <selection activeCell="A9" sqref="A9"/>
      <selection pane="topRight" activeCell="A9" sqref="A9"/>
      <selection pane="bottomLeft" activeCell="A9" sqref="A9"/>
      <selection pane="bottomRight" activeCell="O101" sqref="O101"/>
    </sheetView>
  </sheetViews>
  <sheetFormatPr defaultColWidth="8.81640625" defaultRowHeight="14.5"/>
  <cols>
    <col min="1" max="1" width="4.453125" customWidth="1"/>
    <col min="2" max="2" width="12.6328125" customWidth="1"/>
    <col min="3" max="3" width="3.6328125" customWidth="1"/>
    <col min="4" max="4" width="6.6328125" customWidth="1"/>
    <col min="5" max="14" width="6.1796875" customWidth="1"/>
    <col min="15" max="21" width="7.6328125" customWidth="1"/>
    <col min="24" max="24" width="9.6328125" customWidth="1"/>
    <col min="25" max="32" width="5.36328125" customWidth="1"/>
  </cols>
  <sheetData>
    <row r="1" spans="1:32" ht="18.5">
      <c r="A1" s="10" t="s">
        <v>76</v>
      </c>
    </row>
    <row r="2" spans="1:32" ht="14" customHeight="1">
      <c r="A2" s="51"/>
      <c r="B2" s="51"/>
      <c r="C2" s="65" t="s">
        <v>55</v>
      </c>
      <c r="D2" s="65" t="s">
        <v>27</v>
      </c>
      <c r="E2" s="51"/>
      <c r="F2" s="52">
        <v>2004</v>
      </c>
      <c r="G2" s="52">
        <v>2005</v>
      </c>
      <c r="H2" s="52">
        <v>2006</v>
      </c>
      <c r="I2" s="52">
        <v>2007</v>
      </c>
      <c r="J2" s="52">
        <v>2008</v>
      </c>
      <c r="K2" s="52">
        <v>2009</v>
      </c>
      <c r="L2" s="52">
        <v>2010</v>
      </c>
      <c r="M2" s="52">
        <v>2011</v>
      </c>
      <c r="N2" s="52">
        <v>2012</v>
      </c>
      <c r="O2" s="53">
        <v>2013</v>
      </c>
      <c r="P2" s="53">
        <v>2014</v>
      </c>
      <c r="Q2" s="53">
        <v>2015</v>
      </c>
      <c r="R2" s="53">
        <v>2016</v>
      </c>
      <c r="S2" s="53">
        <v>2017</v>
      </c>
      <c r="T2" s="53">
        <v>2018</v>
      </c>
      <c r="U2" s="53">
        <v>2019</v>
      </c>
      <c r="V2" s="53"/>
      <c r="W2" s="53"/>
    </row>
    <row r="3" spans="1:32" ht="14" customHeight="1">
      <c r="A3" s="80">
        <v>2003</v>
      </c>
      <c r="B3" s="56"/>
      <c r="C3" s="57">
        <v>1</v>
      </c>
      <c r="D3" s="58">
        <v>17200</v>
      </c>
      <c r="E3" s="56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/>
      <c r="W3" s="56"/>
    </row>
    <row r="4" spans="1:32" ht="14" customHeight="1">
      <c r="A4" s="65"/>
      <c r="B4" s="51" t="s">
        <v>0</v>
      </c>
      <c r="C4" s="51"/>
      <c r="D4" s="55"/>
      <c r="E4" s="51"/>
      <c r="F4" s="60">
        <v>2056.5</v>
      </c>
      <c r="G4" s="60">
        <v>3754</v>
      </c>
      <c r="H4" s="60">
        <v>5223.5</v>
      </c>
      <c r="I4" s="60">
        <v>6147.9</v>
      </c>
      <c r="J4" s="60">
        <v>6341</v>
      </c>
      <c r="K4" s="60">
        <v>5503</v>
      </c>
      <c r="L4" s="60">
        <v>5635.5</v>
      </c>
      <c r="M4" s="60">
        <v>5871</v>
      </c>
      <c r="N4" s="60">
        <v>6034</v>
      </c>
      <c r="O4" s="81">
        <f>N4*(1+'Exh 2 Econ Indicators'!M8)*(1+'Exh 8 Sales Forecasting'!$I$12)</f>
        <v>6234.9502171304821</v>
      </c>
      <c r="P4" s="81">
        <f>O4*(1+'Exh 2 Econ Indicators'!N8)*(1+'Exh 8 Sales Forecasting'!$I$12)</f>
        <v>6430.0827878233886</v>
      </c>
      <c r="Q4" s="81">
        <f>P4*(1+'Exh 2 Econ Indicators'!O8)*(1+'Exh 8 Sales Forecasting'!$I$12)</f>
        <v>6618.4209338076435</v>
      </c>
      <c r="R4" s="81">
        <f>Q4*(1+'Exh 2 Econ Indicators'!P8)*(1+'Exh 8 Sales Forecasting'!$I$12)</f>
        <v>6798.9962444568491</v>
      </c>
      <c r="S4" s="81">
        <f>R4*(1+'Exh 2 Econ Indicators'!Q8)*(1+'Exh 8 Sales Forecasting'!$I$12)</f>
        <v>6970.856727585714</v>
      </c>
      <c r="T4" s="81">
        <f>S4*(1+'Exh 2 Econ Indicators'!R8)*(1+'Exh 8 Sales Forecasting'!$I$12)</f>
        <v>7133.0749636511136</v>
      </c>
      <c r="U4" s="81">
        <f>T4*(1+'Exh 2 Econ Indicators'!S8)*(1+'Exh 8 Sales Forecasting'!$I$12)</f>
        <v>7299.0681670039676</v>
      </c>
      <c r="V4" s="55"/>
      <c r="W4" s="55"/>
      <c r="X4" s="12"/>
    </row>
    <row r="5" spans="1:32" ht="14" customHeight="1">
      <c r="A5" s="65"/>
      <c r="B5" s="51" t="s">
        <v>1</v>
      </c>
      <c r="C5" s="51"/>
      <c r="D5" s="55"/>
      <c r="E5" s="51"/>
      <c r="F5" s="60">
        <v>1462.9</v>
      </c>
      <c r="G5" s="60">
        <v>2308.9</v>
      </c>
      <c r="H5" s="60">
        <v>3018.3</v>
      </c>
      <c r="I5" s="60">
        <v>2393.6</v>
      </c>
      <c r="J5" s="60">
        <v>2753.3</v>
      </c>
      <c r="K5" s="60">
        <v>2311.1999999999998</v>
      </c>
      <c r="L5" s="60">
        <v>2194.1</v>
      </c>
      <c r="M5" s="60">
        <v>2149.6999999999998</v>
      </c>
      <c r="N5" s="60">
        <v>2416</v>
      </c>
      <c r="O5" s="81">
        <f>'Exh 8 Sales Forecasting'!$F$24*O4</f>
        <v>2449.3565100226906</v>
      </c>
      <c r="P5" s="81">
        <f>'Exh 8 Sales Forecasting'!$F$24*P4</f>
        <v>2526.0129732982064</v>
      </c>
      <c r="Q5" s="81">
        <f>'Exh 8 Sales Forecasting'!$F$24*Q4</f>
        <v>2600.0002944294483</v>
      </c>
      <c r="R5" s="81">
        <f>'Exh 8 Sales Forecasting'!$F$24*R4</f>
        <v>2670.9380400866316</v>
      </c>
      <c r="S5" s="81">
        <f>'Exh 8 Sales Forecasting'!$F$24*S4</f>
        <v>2738.4522268095311</v>
      </c>
      <c r="T5" s="81">
        <f>'Exh 8 Sales Forecasting'!$F$24*T4</f>
        <v>2802.1785243282379</v>
      </c>
      <c r="U5" s="81">
        <f>'Exh 8 Sales Forecasting'!$F$24*U4</f>
        <v>2867.3877912979674</v>
      </c>
      <c r="V5" s="55"/>
      <c r="W5" s="55"/>
      <c r="X5" s="12"/>
      <c r="Y5" s="60"/>
      <c r="Z5" s="60"/>
      <c r="AA5" s="60"/>
      <c r="AB5" s="60"/>
      <c r="AC5" s="60"/>
      <c r="AD5" s="60"/>
      <c r="AE5" s="60"/>
      <c r="AF5" s="60"/>
    </row>
    <row r="6" spans="1:32" ht="14" customHeight="1">
      <c r="A6" s="65"/>
      <c r="B6" s="51" t="s">
        <v>19</v>
      </c>
      <c r="C6" s="51"/>
      <c r="D6" s="55"/>
      <c r="E6" s="51"/>
      <c r="F6" s="60">
        <v>409.5</v>
      </c>
      <c r="G6" s="60">
        <v>640.20000000000005</v>
      </c>
      <c r="H6" s="60">
        <v>856.7</v>
      </c>
      <c r="I6" s="60">
        <v>855.5</v>
      </c>
      <c r="J6" s="60">
        <v>815.1</v>
      </c>
      <c r="K6" s="60">
        <v>765.1</v>
      </c>
      <c r="L6" s="60">
        <v>766.8</v>
      </c>
      <c r="M6" s="60">
        <v>686.6</v>
      </c>
      <c r="N6" s="60">
        <v>791</v>
      </c>
      <c r="O6" s="81">
        <f>'Exh 8 Sales Forecasting'!$F$36*O4</f>
        <v>847.89971919490006</v>
      </c>
      <c r="P6" s="81">
        <f>'Exh 8 Sales Forecasting'!$F$36*P4</f>
        <v>874.43607411906839</v>
      </c>
      <c r="Q6" s="81">
        <f>'Exh 8 Sales Forecasting'!$F$36*Q4</f>
        <v>900.04844559478374</v>
      </c>
      <c r="R6" s="81">
        <f>'Exh 8 Sales Forecasting'!$F$36*R4</f>
        <v>924.60513808806536</v>
      </c>
      <c r="S6" s="81">
        <f>'Exh 8 Sales Forecasting'!$F$36*S4</f>
        <v>947.97668883201493</v>
      </c>
      <c r="T6" s="81">
        <f>'Exh 8 Sales Forecasting'!$F$36*T4</f>
        <v>970.03697672817827</v>
      </c>
      <c r="U6" s="81">
        <f>'Exh 8 Sales Forecasting'!$F$36*U4</f>
        <v>992.61062777745997</v>
      </c>
      <c r="V6" s="55"/>
      <c r="W6" s="55"/>
      <c r="X6" s="12"/>
      <c r="Y6" s="51"/>
      <c r="Z6" s="60"/>
      <c r="AA6" s="60"/>
      <c r="AB6" s="60"/>
      <c r="AC6" s="60"/>
      <c r="AD6" s="60"/>
      <c r="AE6" s="60"/>
      <c r="AF6" s="60"/>
    </row>
    <row r="7" spans="1:32" ht="14" customHeight="1">
      <c r="A7" s="65"/>
      <c r="B7" s="51" t="s">
        <v>16</v>
      </c>
      <c r="C7" s="51"/>
      <c r="D7" s="55"/>
      <c r="E7" s="51"/>
      <c r="F7" s="60">
        <v>203.4</v>
      </c>
      <c r="G7" s="60">
        <v>334.1</v>
      </c>
      <c r="H7" s="60">
        <v>399.3</v>
      </c>
      <c r="I7" s="60">
        <v>434.1</v>
      </c>
      <c r="J7" s="60">
        <v>421.9</v>
      </c>
      <c r="K7" s="60">
        <v>422.9</v>
      </c>
      <c r="L7" s="60">
        <v>391</v>
      </c>
      <c r="M7" s="60">
        <v>401.2</v>
      </c>
      <c r="N7" s="60">
        <v>457</v>
      </c>
      <c r="O7" s="81">
        <f>'Exh 8 Sales Forecasting'!$F$48*O4</f>
        <v>446.5950883038272</v>
      </c>
      <c r="P7" s="81">
        <f>'Exh 8 Sales Forecasting'!$F$48*P4</f>
        <v>460.57198380495254</v>
      </c>
      <c r="Q7" s="81">
        <f>'Exh 8 Sales Forecasting'!$F$48*Q4</f>
        <v>474.06221035170563</v>
      </c>
      <c r="R7" s="81">
        <f>'Exh 8 Sales Forecasting'!$F$48*R4</f>
        <v>486.99640292686109</v>
      </c>
      <c r="S7" s="81">
        <f>'Exh 8 Sales Forecasting'!$F$48*S4</f>
        <v>499.3063725282218</v>
      </c>
      <c r="T7" s="81">
        <f>'Exh 8 Sales Forecasting'!$F$48*T4</f>
        <v>510.92569023521389</v>
      </c>
      <c r="U7" s="81">
        <f>'Exh 8 Sales Forecasting'!$F$48*U4</f>
        <v>522.81540013306142</v>
      </c>
      <c r="V7" s="55"/>
      <c r="W7" s="55"/>
      <c r="X7" s="12"/>
      <c r="Y7" s="51"/>
      <c r="Z7" s="51"/>
      <c r="AA7" s="60"/>
      <c r="AB7" s="60"/>
      <c r="AC7" s="60"/>
      <c r="AD7" s="60"/>
      <c r="AE7" s="60"/>
      <c r="AF7" s="60"/>
    </row>
    <row r="8" spans="1:32" ht="14" customHeight="1">
      <c r="A8" s="65"/>
      <c r="B8" s="51" t="s">
        <v>17</v>
      </c>
      <c r="C8" s="51"/>
      <c r="D8" s="55"/>
      <c r="E8" s="51"/>
      <c r="F8" s="60">
        <f>SUM('Exh 6 Stores BS'!A4:E4)/5</f>
        <v>71.599999999999994</v>
      </c>
      <c r="G8" s="60">
        <f>SUM('Exh 6 Stores BS'!B4:F4)/5</f>
        <v>71.599999999999994</v>
      </c>
      <c r="H8" s="60">
        <f>SUM('Exh 6 Stores BS'!C4:G4)/5</f>
        <v>71.599999999999994</v>
      </c>
      <c r="I8" s="60">
        <f>SUM('Exh 6 Stores BS'!D4:H4)/5</f>
        <v>71.599999999999994</v>
      </c>
      <c r="J8" s="60">
        <f>SUM('Exh 6 Stores BS'!E4:I4)/5</f>
        <v>71.599999999999994</v>
      </c>
      <c r="K8" s="60">
        <f>SUM('Exh 6 Stores BS'!F4:J4)/5</f>
        <v>0</v>
      </c>
      <c r="L8" s="60">
        <f>SUM('Exh 6 Stores BS'!G4:K4)/5</f>
        <v>0</v>
      </c>
      <c r="M8" s="60">
        <f>SUM('Exh 6 Stores BS'!H4:L4)/5</f>
        <v>0</v>
      </c>
      <c r="N8" s="60">
        <f>SUM('Exh 6 Stores BS'!I4:M4)/5</f>
        <v>64.88</v>
      </c>
      <c r="O8" s="93">
        <f>SUM('Exh 6 Stores BS'!J4:N4)/5</f>
        <v>64.88</v>
      </c>
      <c r="P8" s="93">
        <f>SUM('Exh 6 Stores BS'!K4:O4)/5</f>
        <v>64.88</v>
      </c>
      <c r="Q8" s="93">
        <f>SUM('Exh 6 Stores BS'!L4:P4)/5</f>
        <v>64.88</v>
      </c>
      <c r="R8" s="93">
        <f>SUM('Exh 6 Stores BS'!M4:Q4)/5</f>
        <v>64.88</v>
      </c>
      <c r="S8" s="93">
        <v>0</v>
      </c>
      <c r="T8" s="93">
        <v>0</v>
      </c>
      <c r="U8" s="82">
        <v>0</v>
      </c>
      <c r="V8" s="62"/>
      <c r="W8" s="62"/>
      <c r="X8" s="12"/>
      <c r="Y8" s="51"/>
      <c r="Z8" s="51"/>
      <c r="AA8" s="51"/>
      <c r="AB8" s="60"/>
      <c r="AC8" s="60"/>
      <c r="AD8" s="60"/>
      <c r="AE8" s="60"/>
      <c r="AF8" s="60"/>
    </row>
    <row r="9" spans="1:32" ht="14" customHeight="1">
      <c r="A9" s="65"/>
      <c r="B9" s="51" t="s">
        <v>10</v>
      </c>
      <c r="C9" s="51"/>
      <c r="D9" s="55"/>
      <c r="E9" s="63"/>
      <c r="F9" s="60">
        <v>250</v>
      </c>
      <c r="G9" s="60">
        <f>F9</f>
        <v>250</v>
      </c>
      <c r="H9" s="60">
        <f>G9</f>
        <v>250</v>
      </c>
      <c r="I9" s="60">
        <f>H9</f>
        <v>250</v>
      </c>
      <c r="J9" s="60">
        <f>I9</f>
        <v>250</v>
      </c>
      <c r="K9" s="60">
        <f>J9</f>
        <v>250</v>
      </c>
      <c r="L9" s="60">
        <v>302</v>
      </c>
      <c r="M9" s="60">
        <f>L9</f>
        <v>302</v>
      </c>
      <c r="N9" s="60">
        <f>M9</f>
        <v>302</v>
      </c>
      <c r="O9" s="93">
        <f>N9</f>
        <v>302</v>
      </c>
      <c r="P9" s="93">
        <f t="shared" ref="P9:Q9" si="0">O9</f>
        <v>302</v>
      </c>
      <c r="Q9" s="93">
        <f t="shared" si="0"/>
        <v>302</v>
      </c>
      <c r="R9" s="93">
        <f>Q9*(1+2%)^6</f>
        <v>340.10105061772805</v>
      </c>
      <c r="S9" s="93">
        <f>R9</f>
        <v>340.10105061772805</v>
      </c>
      <c r="T9" s="93">
        <f t="shared" ref="T9:U9" si="1">S9</f>
        <v>340.10105061772805</v>
      </c>
      <c r="U9" s="82">
        <f t="shared" si="1"/>
        <v>340.10105061772805</v>
      </c>
      <c r="V9" s="59"/>
      <c r="W9" s="59"/>
      <c r="X9" s="12"/>
      <c r="Y9" s="51"/>
      <c r="Z9" s="51"/>
      <c r="AA9" s="51"/>
      <c r="AB9" s="51"/>
      <c r="AC9" s="60"/>
      <c r="AD9" s="60"/>
      <c r="AE9" s="60"/>
      <c r="AF9" s="60"/>
    </row>
    <row r="10" spans="1:32" ht="14" customHeight="1">
      <c r="A10" s="80">
        <v>2004</v>
      </c>
      <c r="B10" s="56"/>
      <c r="C10" s="57">
        <v>3</v>
      </c>
      <c r="D10" s="58">
        <v>17600</v>
      </c>
      <c r="E10" s="56"/>
      <c r="F10" s="56"/>
      <c r="G10" s="56">
        <v>1</v>
      </c>
      <c r="H10" s="56">
        <v>2</v>
      </c>
      <c r="I10" s="56">
        <v>3</v>
      </c>
      <c r="J10" s="56">
        <v>4</v>
      </c>
      <c r="K10" s="56">
        <v>5</v>
      </c>
      <c r="L10" s="56">
        <v>6</v>
      </c>
      <c r="M10" s="56">
        <v>7</v>
      </c>
      <c r="N10" s="56">
        <v>8</v>
      </c>
      <c r="O10" s="56">
        <v>9</v>
      </c>
      <c r="P10" s="56">
        <v>10</v>
      </c>
      <c r="Q10" s="56">
        <v>11</v>
      </c>
      <c r="R10" s="56">
        <v>12</v>
      </c>
      <c r="S10" s="56">
        <v>13</v>
      </c>
      <c r="T10" s="56">
        <v>14</v>
      </c>
      <c r="U10" s="56">
        <v>15</v>
      </c>
      <c r="V10" s="56"/>
      <c r="W10" s="56"/>
      <c r="X10" s="12"/>
      <c r="Y10" s="51"/>
      <c r="Z10" s="51"/>
      <c r="AA10" s="51"/>
      <c r="AB10" s="51"/>
      <c r="AC10" s="51"/>
      <c r="AD10" s="60"/>
      <c r="AE10" s="60"/>
      <c r="AF10" s="60"/>
    </row>
    <row r="11" spans="1:32" ht="14" customHeight="1">
      <c r="A11" s="65"/>
      <c r="B11" s="51" t="s">
        <v>0</v>
      </c>
      <c r="C11" s="51"/>
      <c r="D11" s="55"/>
      <c r="E11" s="51"/>
      <c r="F11" s="51"/>
      <c r="G11" s="60">
        <v>6661</v>
      </c>
      <c r="H11" s="60">
        <v>11907.4</v>
      </c>
      <c r="I11" s="60">
        <v>15157.8</v>
      </c>
      <c r="J11" s="60">
        <v>16487.5</v>
      </c>
      <c r="K11" s="60">
        <v>15445.6</v>
      </c>
      <c r="L11" s="60">
        <v>16187.3</v>
      </c>
      <c r="M11" s="60">
        <v>17278.900000000001</v>
      </c>
      <c r="N11" s="60">
        <v>17868.5</v>
      </c>
      <c r="O11" s="81">
        <f>N11*(1+'Exh 2 Econ Indicators'!M8)*(1+'Exh 8 Sales Forecasting'!$I$12)</f>
        <v>18463.574404175673</v>
      </c>
      <c r="P11" s="81">
        <f>O11*(1+'Exh 2 Econ Indicators'!N8)*(1+'Exh 8 Sales Forecasting'!$I$12)</f>
        <v>19041.420996722278</v>
      </c>
      <c r="Q11" s="81">
        <f>P11*(1+'Exh 2 Econ Indicators'!O8)*(1+'Exh 8 Sales Forecasting'!$I$12)</f>
        <v>19599.147241587983</v>
      </c>
      <c r="R11" s="81">
        <f>Q11*(1+'Exh 2 Econ Indicators'!P8)*(1+'Exh 8 Sales Forecasting'!$I$12)</f>
        <v>20133.885381849061</v>
      </c>
      <c r="S11" s="81">
        <f>R11*(1+'Exh 2 Econ Indicators'!Q8)*(1+'Exh 8 Sales Forecasting'!$I$12)</f>
        <v>20642.81628055442</v>
      </c>
      <c r="T11" s="81">
        <f>S11*(1+'Exh 2 Econ Indicators'!R8)*(1+'Exh 8 Sales Forecasting'!$I$12)</f>
        <v>21123.19356778256</v>
      </c>
      <c r="U11" s="81">
        <f>T11*(1+'Exh 2 Econ Indicators'!S8)*(1+'Exh 8 Sales Forecasting'!$I$12)</f>
        <v>21614.749675523777</v>
      </c>
      <c r="V11" s="55"/>
      <c r="W11" s="55"/>
    </row>
    <row r="12" spans="1:32" ht="14" customHeight="1">
      <c r="A12" s="65"/>
      <c r="B12" s="51" t="s">
        <v>1</v>
      </c>
      <c r="C12" s="51"/>
      <c r="D12" s="55"/>
      <c r="E12" s="51"/>
      <c r="F12" s="51"/>
      <c r="G12" s="60">
        <v>4747.8</v>
      </c>
      <c r="H12" s="60">
        <v>7427.7</v>
      </c>
      <c r="I12" s="60">
        <v>7893.7</v>
      </c>
      <c r="J12" s="60">
        <v>7216.3</v>
      </c>
      <c r="K12" s="60">
        <v>6031.4</v>
      </c>
      <c r="L12" s="60">
        <v>6675</v>
      </c>
      <c r="M12" s="60">
        <v>6691.1</v>
      </c>
      <c r="N12" s="60">
        <v>7175.9</v>
      </c>
      <c r="O12" s="81">
        <f>'Exh 8 Sales Forecasting'!$F$24*O11</f>
        <v>7253.2858467584419</v>
      </c>
      <c r="P12" s="81">
        <f>'Exh 8 Sales Forecasting'!$F$24*P11</f>
        <v>7480.2888321808095</v>
      </c>
      <c r="Q12" s="81">
        <f>'Exh 8 Sales Forecasting'!$F$24*Q11</f>
        <v>7699.387679982201</v>
      </c>
      <c r="R12" s="81">
        <f>'Exh 8 Sales Forecasting'!$F$24*R11</f>
        <v>7909.4558119469648</v>
      </c>
      <c r="S12" s="81">
        <f>'Exh 8 Sales Forecasting'!$F$24*S11</f>
        <v>8109.3857498750613</v>
      </c>
      <c r="T12" s="81">
        <f>'Exh 8 Sales Forecasting'!$F$24*T11</f>
        <v>8298.0986015842118</v>
      </c>
      <c r="U12" s="81">
        <f>'Exh 8 Sales Forecasting'!$F$24*U11</f>
        <v>8491.202974611826</v>
      </c>
      <c r="V12" s="55"/>
      <c r="W12" s="55"/>
    </row>
    <row r="13" spans="1:32" ht="14" customHeight="1">
      <c r="A13" s="65"/>
      <c r="B13" s="51" t="s">
        <v>19</v>
      </c>
      <c r="C13" s="51"/>
      <c r="D13" s="55"/>
      <c r="E13" s="51"/>
      <c r="F13" s="51"/>
      <c r="G13" s="60">
        <v>1171.3</v>
      </c>
      <c r="H13" s="60">
        <v>2147.6999999999998</v>
      </c>
      <c r="I13" s="60">
        <v>2631.4</v>
      </c>
      <c r="J13" s="60">
        <v>2323.4</v>
      </c>
      <c r="K13" s="60">
        <v>2238.6</v>
      </c>
      <c r="L13" s="60">
        <v>2224.1999999999998</v>
      </c>
      <c r="M13" s="60">
        <v>2394.6999999999998</v>
      </c>
      <c r="N13" s="60">
        <v>2318.6999999999998</v>
      </c>
      <c r="O13" s="81">
        <f>'Exh 8 Sales Forecasting'!$F$36*O11</f>
        <v>2510.8876586731972</v>
      </c>
      <c r="P13" s="81">
        <f>'Exh 8 Sales Forecasting'!$F$36*P11</f>
        <v>2589.4698359954546</v>
      </c>
      <c r="Q13" s="81">
        <f>'Exh 8 Sales Forecasting'!$F$36*Q11</f>
        <v>2665.3158187123622</v>
      </c>
      <c r="R13" s="81">
        <f>'Exh 8 Sales Forecasting'!$F$36*R11</f>
        <v>2738.0356164942991</v>
      </c>
      <c r="S13" s="81">
        <f>'Exh 8 Sales Forecasting'!$F$36*S11</f>
        <v>2807.2458509106505</v>
      </c>
      <c r="T13" s="81">
        <f>'Exh 8 Sales Forecasting'!$F$36*T11</f>
        <v>2872.5730392223168</v>
      </c>
      <c r="U13" s="81">
        <f>'Exh 8 Sales Forecasting'!$F$36*U11</f>
        <v>2939.4204511835524</v>
      </c>
      <c r="V13" s="55"/>
      <c r="W13" s="55"/>
    </row>
    <row r="14" spans="1:32" ht="14" customHeight="1">
      <c r="A14" s="65"/>
      <c r="B14" s="51" t="s">
        <v>16</v>
      </c>
      <c r="C14" s="51"/>
      <c r="D14" s="55"/>
      <c r="E14" s="51"/>
      <c r="F14" s="51"/>
      <c r="G14" s="60">
        <v>684.6</v>
      </c>
      <c r="H14" s="60">
        <v>970.6</v>
      </c>
      <c r="I14" s="60">
        <v>1265.5999999999999</v>
      </c>
      <c r="J14" s="60">
        <v>1213</v>
      </c>
      <c r="K14" s="60">
        <v>1235</v>
      </c>
      <c r="L14" s="60">
        <v>1241</v>
      </c>
      <c r="M14" s="60">
        <v>1245</v>
      </c>
      <c r="N14" s="60">
        <v>1287</v>
      </c>
      <c r="O14" s="81">
        <f>'Exh 8 Sales Forecasting'!$F$48*O11</f>
        <v>1322.5032044012157</v>
      </c>
      <c r="P14" s="81">
        <f>'Exh 8 Sales Forecasting'!$F$48*P11</f>
        <v>1363.8930216471319</v>
      </c>
      <c r="Q14" s="81">
        <f>'Exh 8 Sales Forecasting'!$F$48*Q11</f>
        <v>1403.8416648441255</v>
      </c>
      <c r="R14" s="81">
        <f>'Exh 8 Sales Forecasting'!$F$48*R11</f>
        <v>1442.1437231850546</v>
      </c>
      <c r="S14" s="81">
        <f>'Exh 8 Sales Forecasting'!$F$48*S11</f>
        <v>1478.5972683991604</v>
      </c>
      <c r="T14" s="81">
        <f>'Exh 8 Sales Forecasting'!$F$48*T11</f>
        <v>1513.0055843500038</v>
      </c>
      <c r="U14" s="81">
        <f>'Exh 8 Sales Forecasting'!$F$48*U11</f>
        <v>1548.2146134036482</v>
      </c>
      <c r="V14" s="55"/>
      <c r="W14" s="55"/>
    </row>
    <row r="15" spans="1:32" ht="14" customHeight="1">
      <c r="A15" s="65"/>
      <c r="B15" s="51" t="s">
        <v>17</v>
      </c>
      <c r="C15" s="51"/>
      <c r="D15" s="55"/>
      <c r="E15" s="51"/>
      <c r="F15" s="59"/>
      <c r="G15" s="60">
        <f>SUM('Exh 6 Stores BS'!B11:F11)/5</f>
        <v>235</v>
      </c>
      <c r="H15" s="60">
        <f>SUM('Exh 6 Stores BS'!C11:G11)/5</f>
        <v>235</v>
      </c>
      <c r="I15" s="60">
        <f>SUM('Exh 6 Stores BS'!D11:H11)/5</f>
        <v>235</v>
      </c>
      <c r="J15" s="60">
        <f>SUM('Exh 6 Stores BS'!E11:I11)/5</f>
        <v>235</v>
      </c>
      <c r="K15" s="60">
        <f>SUM('Exh 6 Stores BS'!F11:J11)/5</f>
        <v>235</v>
      </c>
      <c r="L15" s="60">
        <f>SUM('Exh 6 Stores BS'!G11:K11)/5</f>
        <v>0</v>
      </c>
      <c r="M15" s="60">
        <f>SUM('Exh 6 Stores BS'!H11:L11)/5</f>
        <v>0</v>
      </c>
      <c r="N15" s="60">
        <f>SUM('Exh 6 Stores BS'!I11:M11)/5</f>
        <v>0</v>
      </c>
      <c r="O15" s="93">
        <f>'Exh 6 Stores BS'!$N$11/5</f>
        <v>187.12</v>
      </c>
      <c r="P15" s="93">
        <f>'Exh 6 Stores BS'!$N$11/5</f>
        <v>187.12</v>
      </c>
      <c r="Q15" s="93">
        <f>'Exh 6 Stores BS'!$N$11/5</f>
        <v>187.12</v>
      </c>
      <c r="R15" s="93">
        <f>'Exh 6 Stores BS'!$N$11/5</f>
        <v>187.12</v>
      </c>
      <c r="S15" s="93">
        <f>'Exh 6 Stores BS'!$N$11/5</f>
        <v>187.12</v>
      </c>
      <c r="T15" s="93">
        <v>0</v>
      </c>
      <c r="U15" s="59">
        <v>0</v>
      </c>
      <c r="V15" s="59"/>
      <c r="W15" s="59"/>
    </row>
    <row r="16" spans="1:32" ht="14" customHeight="1">
      <c r="A16" s="65"/>
      <c r="B16" s="51" t="s">
        <v>10</v>
      </c>
      <c r="C16" s="51"/>
      <c r="D16" s="55"/>
      <c r="E16" s="63"/>
      <c r="F16" s="64"/>
      <c r="G16" s="60">
        <v>830</v>
      </c>
      <c r="H16" s="60">
        <f>G16</f>
        <v>830</v>
      </c>
      <c r="I16" s="60">
        <f>H16</f>
        <v>830</v>
      </c>
      <c r="J16" s="60">
        <f>I16</f>
        <v>830</v>
      </c>
      <c r="K16" s="60">
        <f>J16</f>
        <v>830</v>
      </c>
      <c r="L16" s="60">
        <f>K16</f>
        <v>830</v>
      </c>
      <c r="M16" s="60">
        <v>1003</v>
      </c>
      <c r="N16" s="60">
        <f>M16</f>
        <v>1003</v>
      </c>
      <c r="O16" s="93">
        <f>N16</f>
        <v>1003</v>
      </c>
      <c r="P16" s="93">
        <f t="shared" ref="P16:R16" si="2">O16</f>
        <v>1003</v>
      </c>
      <c r="Q16" s="93">
        <f t="shared" si="2"/>
        <v>1003</v>
      </c>
      <c r="R16" s="93">
        <f t="shared" si="2"/>
        <v>1003</v>
      </c>
      <c r="S16" s="93">
        <f>R16*(1+2%)^6</f>
        <v>1129.5409065217921</v>
      </c>
      <c r="T16" s="93">
        <f>S16</f>
        <v>1129.5409065217921</v>
      </c>
      <c r="U16" s="82">
        <f>T16</f>
        <v>1129.5409065217921</v>
      </c>
      <c r="V16" s="62"/>
      <c r="W16" s="62"/>
    </row>
    <row r="17" spans="1:32" ht="14" customHeight="1">
      <c r="A17" s="80">
        <v>2005</v>
      </c>
      <c r="B17" s="56"/>
      <c r="C17" s="57">
        <v>4</v>
      </c>
      <c r="D17" s="58">
        <v>18500</v>
      </c>
      <c r="E17" s="56"/>
      <c r="F17" s="56"/>
      <c r="G17" s="56"/>
      <c r="H17" s="56">
        <v>1</v>
      </c>
      <c r="I17" s="56">
        <v>2</v>
      </c>
      <c r="J17" s="56">
        <v>3</v>
      </c>
      <c r="K17" s="56">
        <v>4</v>
      </c>
      <c r="L17" s="56">
        <v>5</v>
      </c>
      <c r="M17" s="56">
        <v>6</v>
      </c>
      <c r="N17" s="56">
        <v>7</v>
      </c>
      <c r="O17" s="56">
        <v>8</v>
      </c>
      <c r="P17" s="56">
        <v>9</v>
      </c>
      <c r="Q17" s="56">
        <v>10</v>
      </c>
      <c r="R17" s="56">
        <v>11</v>
      </c>
      <c r="S17" s="56">
        <v>12</v>
      </c>
      <c r="T17" s="56">
        <v>13</v>
      </c>
      <c r="U17" s="56">
        <v>14</v>
      </c>
      <c r="V17" s="56"/>
      <c r="W17" s="56"/>
    </row>
    <row r="18" spans="1:32" ht="14" customHeight="1">
      <c r="A18" s="65"/>
      <c r="B18" s="51" t="s">
        <v>0</v>
      </c>
      <c r="C18" s="51"/>
      <c r="D18" s="55"/>
      <c r="E18" s="51"/>
      <c r="F18" s="51"/>
      <c r="G18" s="51"/>
      <c r="H18" s="60">
        <v>9569.7000000000007</v>
      </c>
      <c r="I18" s="60">
        <v>16651</v>
      </c>
      <c r="J18" s="60">
        <v>19785.099999999999</v>
      </c>
      <c r="K18" s="60">
        <v>20950.599999999999</v>
      </c>
      <c r="L18" s="60">
        <v>22847</v>
      </c>
      <c r="M18" s="60">
        <v>24450.9</v>
      </c>
      <c r="N18" s="60">
        <v>24499.4</v>
      </c>
      <c r="O18" s="81">
        <f>N18*(1+'Exh 2 Econ Indicators'!M8)*(1+'Exh 8 Sales Forecasting'!$I$12)</f>
        <v>25315.303173610628</v>
      </c>
      <c r="P18" s="81">
        <f>O18*(1+'Exh 2 Econ Indicators'!N8)*(1+'Exh 8 Sales Forecasting'!$I$12)</f>
        <v>26107.585391448512</v>
      </c>
      <c r="Q18" s="81">
        <f>P18*(1+'Exh 2 Econ Indicators'!O8)*(1+'Exh 8 Sales Forecasting'!$I$12)</f>
        <v>26872.280713577555</v>
      </c>
      <c r="R18" s="81">
        <f>Q18*(1+'Exh 2 Econ Indicators'!P8)*(1+'Exh 8 Sales Forecasting'!$I$12)</f>
        <v>27605.457174585041</v>
      </c>
      <c r="S18" s="81">
        <f>R18*(1+'Exh 2 Econ Indicators'!Q8)*(1+'Exh 8 Sales Forecasting'!$I$12)</f>
        <v>28303.249471629675</v>
      </c>
      <c r="T18" s="81">
        <f>S18*(1+'Exh 2 Econ Indicators'!R8)*(1+'Exh 8 Sales Forecasting'!$I$12)</f>
        <v>28961.892072335784</v>
      </c>
      <c r="U18" s="81">
        <f>T18*(1+'Exh 2 Econ Indicators'!S8)*(1+'Exh 8 Sales Forecasting'!$I$12)</f>
        <v>29635.861891066797</v>
      </c>
      <c r="V18" s="55"/>
      <c r="W18" s="55"/>
    </row>
    <row r="19" spans="1:32" ht="14" customHeight="1">
      <c r="A19" s="65"/>
      <c r="B19" s="51" t="s">
        <v>1</v>
      </c>
      <c r="C19" s="51"/>
      <c r="D19" s="55"/>
      <c r="E19" s="51"/>
      <c r="F19" s="51"/>
      <c r="G19" s="51"/>
      <c r="H19" s="60">
        <v>6977.8</v>
      </c>
      <c r="I19" s="60">
        <v>10916.8</v>
      </c>
      <c r="J19" s="60">
        <v>11430.2</v>
      </c>
      <c r="K19" s="60">
        <v>8499.1</v>
      </c>
      <c r="L19" s="60">
        <v>9387.2999999999993</v>
      </c>
      <c r="M19" s="60">
        <v>9856.7999999999993</v>
      </c>
      <c r="N19" s="60">
        <v>9041.7999999999993</v>
      </c>
      <c r="O19" s="81">
        <f>'Exh 8 Sales Forecasting'!$F$24*O18</f>
        <v>9944.9394898325991</v>
      </c>
      <c r="P19" s="81">
        <f>'Exh 8 Sales Forecasting'!$F$24*P18</f>
        <v>10256.182008290036</v>
      </c>
      <c r="Q19" s="81">
        <f>'Exh 8 Sales Forecasting'!$F$24*Q18</f>
        <v>10556.587208045214</v>
      </c>
      <c r="R19" s="81">
        <f>'Exh 8 Sales Forecasting'!$F$24*R18</f>
        <v>10844.610444033548</v>
      </c>
      <c r="S19" s="81">
        <f>'Exh 8 Sales Forecasting'!$F$24*S18</f>
        <v>11118.73325911459</v>
      </c>
      <c r="T19" s="81">
        <f>'Exh 8 Sales Forecasting'!$F$24*T18</f>
        <v>11377.476390276308</v>
      </c>
      <c r="U19" s="81">
        <f>'Exh 8 Sales Forecasting'!$F$24*U18</f>
        <v>11642.240711654862</v>
      </c>
      <c r="V19" s="55"/>
      <c r="W19" s="55"/>
    </row>
    <row r="20" spans="1:32" ht="14" customHeight="1">
      <c r="A20" s="65"/>
      <c r="B20" s="51" t="s">
        <v>19</v>
      </c>
      <c r="C20" s="51"/>
      <c r="D20" s="55"/>
      <c r="E20" s="51"/>
      <c r="F20" s="51"/>
      <c r="G20" s="55"/>
      <c r="H20" s="60">
        <v>1953.2</v>
      </c>
      <c r="I20" s="60">
        <v>2976.6</v>
      </c>
      <c r="J20" s="60">
        <v>3371.2</v>
      </c>
      <c r="K20" s="60">
        <v>3039.2</v>
      </c>
      <c r="L20" s="60">
        <v>3020.6</v>
      </c>
      <c r="M20" s="60">
        <v>3228.4</v>
      </c>
      <c r="N20" s="60">
        <v>3693</v>
      </c>
      <c r="O20" s="81">
        <f>'Exh 8 Sales Forecasting'!$F$36*O18</f>
        <v>3442.6639675909073</v>
      </c>
      <c r="P20" s="81">
        <f>'Exh 8 Sales Forecasting'!$F$36*P18</f>
        <v>3550.4075495977299</v>
      </c>
      <c r="Q20" s="81">
        <f>'Exh 8 Sales Forecasting'!$F$36*Q18</f>
        <v>3654.3995505477033</v>
      </c>
      <c r="R20" s="81">
        <f>'Exh 8 Sales Forecasting'!$F$36*R18</f>
        <v>3754.1052568900814</v>
      </c>
      <c r="S20" s="81">
        <f>'Exh 8 Sales Forecasting'!$F$36*S18</f>
        <v>3848.9990206117118</v>
      </c>
      <c r="T20" s="81">
        <f>'Exh 8 Sales Forecasting'!$F$36*T18</f>
        <v>3938.5687616265054</v>
      </c>
      <c r="U20" s="81">
        <f>'Exh 8 Sales Forecasting'!$F$36*U18</f>
        <v>4030.222872749604</v>
      </c>
      <c r="V20" s="55"/>
      <c r="W20" s="55"/>
    </row>
    <row r="21" spans="1:32" ht="14" customHeight="1">
      <c r="A21" s="65"/>
      <c r="B21" s="51" t="s">
        <v>16</v>
      </c>
      <c r="C21" s="51"/>
      <c r="D21" s="55"/>
      <c r="E21" s="51"/>
      <c r="F21" s="51"/>
      <c r="G21" s="55"/>
      <c r="H21" s="60">
        <v>1040.9000000000001</v>
      </c>
      <c r="I21" s="60">
        <v>1487.6</v>
      </c>
      <c r="J21" s="60">
        <v>1587.2</v>
      </c>
      <c r="K21" s="60">
        <v>1598</v>
      </c>
      <c r="L21" s="60">
        <v>1605.4</v>
      </c>
      <c r="M21" s="60">
        <v>1645</v>
      </c>
      <c r="N21" s="60">
        <v>1793.4</v>
      </c>
      <c r="O21" s="81">
        <f>'Exh 8 Sales Forecasting'!$F$48*O18</f>
        <v>1813.2767163392084</v>
      </c>
      <c r="P21" s="81">
        <f>'Exh 8 Sales Forecasting'!$F$48*P18</f>
        <v>1870.026062318703</v>
      </c>
      <c r="Q21" s="81">
        <f>'Exh 8 Sales Forecasting'!$F$48*Q18</f>
        <v>1924.7994226533933</v>
      </c>
      <c r="R21" s="81">
        <f>'Exh 8 Sales Forecasting'!$F$48*R18</f>
        <v>1977.3151597392014</v>
      </c>
      <c r="S21" s="81">
        <f>'Exh 8 Sales Forecasting'!$F$48*S18</f>
        <v>2027.2964108581239</v>
      </c>
      <c r="T21" s="81">
        <f>'Exh 8 Sales Forecasting'!$F$48*T18</f>
        <v>2074.473459620252</v>
      </c>
      <c r="U21" s="81">
        <f>'Exh 8 Sales Forecasting'!$F$48*U18</f>
        <v>2122.7483616208037</v>
      </c>
      <c r="V21" s="55"/>
      <c r="W21" s="55"/>
    </row>
    <row r="22" spans="1:32" ht="14" customHeight="1">
      <c r="A22" s="65"/>
      <c r="B22" s="51" t="s">
        <v>17</v>
      </c>
      <c r="C22" s="51"/>
      <c r="D22" s="55"/>
      <c r="E22" s="51"/>
      <c r="F22" s="59"/>
      <c r="G22" s="59"/>
      <c r="H22" s="60">
        <f>SUM('Exh 6 Stores BS'!C18:G18)/5</f>
        <v>362.8</v>
      </c>
      <c r="I22" s="60">
        <f>SUM('Exh 6 Stores BS'!D18:H18)/5</f>
        <v>362.8</v>
      </c>
      <c r="J22" s="60">
        <f>SUM('Exh 6 Stores BS'!E18:I18)/5</f>
        <v>362.8</v>
      </c>
      <c r="K22" s="60">
        <f>SUM('Exh 6 Stores BS'!F18:J18)/5</f>
        <v>362.8</v>
      </c>
      <c r="L22" s="60">
        <f>SUM('Exh 6 Stores BS'!G18:K18)/5</f>
        <v>362.8</v>
      </c>
      <c r="M22" s="60">
        <f>SUM('Exh 6 Stores BS'!H18:L18)/5</f>
        <v>0</v>
      </c>
      <c r="N22" s="60">
        <f>SUM('Exh 6 Stores BS'!I18:M18)/5</f>
        <v>0</v>
      </c>
      <c r="O22" s="59">
        <v>0</v>
      </c>
      <c r="P22" s="59">
        <f>'Exh 6 Stores BS'!O18/5</f>
        <v>301.26559479333326</v>
      </c>
      <c r="Q22" s="59">
        <f>P22</f>
        <v>301.26559479333326</v>
      </c>
      <c r="R22" s="59">
        <f t="shared" ref="R22:T22" si="3">Q22</f>
        <v>301.26559479333326</v>
      </c>
      <c r="S22" s="59">
        <f t="shared" si="3"/>
        <v>301.26559479333326</v>
      </c>
      <c r="T22" s="59">
        <f t="shared" si="3"/>
        <v>301.26559479333326</v>
      </c>
      <c r="U22" s="59">
        <v>0</v>
      </c>
      <c r="V22" s="59"/>
      <c r="W22" s="59"/>
    </row>
    <row r="23" spans="1:32" ht="14" customHeight="1">
      <c r="A23" s="65"/>
      <c r="B23" s="51" t="s">
        <v>10</v>
      </c>
      <c r="C23" s="51"/>
      <c r="D23" s="55"/>
      <c r="E23" s="63"/>
      <c r="F23" s="59"/>
      <c r="G23" s="59"/>
      <c r="H23" s="60">
        <v>1250</v>
      </c>
      <c r="I23" s="60">
        <f>H23</f>
        <v>1250</v>
      </c>
      <c r="J23" s="60">
        <f>I23</f>
        <v>1250</v>
      </c>
      <c r="K23" s="60">
        <f>J23</f>
        <v>1250</v>
      </c>
      <c r="L23" s="60">
        <f>K23</f>
        <v>1250</v>
      </c>
      <c r="M23" s="60">
        <f>L23</f>
        <v>1250</v>
      </c>
      <c r="N23" s="60">
        <v>1510</v>
      </c>
      <c r="O23" s="62">
        <f>N23</f>
        <v>1510</v>
      </c>
      <c r="P23" s="62">
        <f t="shared" ref="P23:S23" si="4">O23</f>
        <v>1510</v>
      </c>
      <c r="Q23" s="62">
        <f t="shared" si="4"/>
        <v>1510</v>
      </c>
      <c r="R23" s="62">
        <f t="shared" si="4"/>
        <v>1510</v>
      </c>
      <c r="S23" s="62">
        <f t="shared" si="4"/>
        <v>1510</v>
      </c>
      <c r="T23" s="59">
        <f>S23*(1+2%)^6</f>
        <v>1700.5052530886401</v>
      </c>
      <c r="U23" s="62">
        <f>T23</f>
        <v>1700.5052530886401</v>
      </c>
      <c r="V23" s="59"/>
      <c r="W23" s="62"/>
    </row>
    <row r="24" spans="1:32" ht="14" customHeight="1">
      <c r="A24" s="80">
        <v>2006</v>
      </c>
      <c r="B24" s="56"/>
      <c r="C24" s="57">
        <v>5</v>
      </c>
      <c r="D24" s="58">
        <v>21100</v>
      </c>
      <c r="E24" s="56"/>
      <c r="F24" s="56"/>
      <c r="G24" s="56"/>
      <c r="H24" s="56"/>
      <c r="I24" s="56">
        <v>1</v>
      </c>
      <c r="J24" s="56">
        <v>2</v>
      </c>
      <c r="K24" s="56">
        <v>3</v>
      </c>
      <c r="L24" s="56">
        <v>4</v>
      </c>
      <c r="M24" s="56">
        <v>5</v>
      </c>
      <c r="N24" s="56">
        <v>6</v>
      </c>
      <c r="O24" s="56">
        <v>7</v>
      </c>
      <c r="P24" s="56">
        <v>8</v>
      </c>
      <c r="Q24" s="56">
        <v>9</v>
      </c>
      <c r="R24" s="56">
        <v>10</v>
      </c>
      <c r="S24" s="56">
        <v>11</v>
      </c>
      <c r="T24" s="56">
        <v>12</v>
      </c>
      <c r="U24" s="56">
        <v>13</v>
      </c>
      <c r="V24" s="56"/>
      <c r="W24" s="56"/>
    </row>
    <row r="25" spans="1:32" ht="14" customHeight="1">
      <c r="A25" s="65"/>
      <c r="B25" s="51" t="s">
        <v>0</v>
      </c>
      <c r="C25" s="51"/>
      <c r="D25" s="55"/>
      <c r="E25" s="51"/>
      <c r="F25" s="51"/>
      <c r="G25" s="51"/>
      <c r="H25" s="51"/>
      <c r="I25" s="60">
        <v>13582.9</v>
      </c>
      <c r="J25" s="60">
        <v>21142</v>
      </c>
      <c r="K25" s="60">
        <v>23592.400000000001</v>
      </c>
      <c r="L25" s="60">
        <v>29701.9</v>
      </c>
      <c r="M25" s="60">
        <v>34105.300000000003</v>
      </c>
      <c r="N25" s="60">
        <v>34824</v>
      </c>
      <c r="O25" s="81">
        <f>N25*(1+'Exh 2 Econ Indicators'!M8)*(1+'Exh 8 Sales Forecasting'!$I$12)</f>
        <v>35983.743182192891</v>
      </c>
      <c r="P25" s="81">
        <f>O25*(1+'Exh 2 Econ Indicators'!N8)*(1+'Exh 8 Sales Forecasting'!$I$12)</f>
        <v>37109.911004832895</v>
      </c>
      <c r="Q25" s="81">
        <f>P25*(1+'Exh 2 Econ Indicators'!O8)*(1+'Exh 8 Sales Forecasting'!$I$12)</f>
        <v>38196.866191401619</v>
      </c>
      <c r="R25" s="81">
        <f>Q25*(1+'Exh 2 Econ Indicators'!P8)*(1+'Exh 8 Sales Forecasting'!$I$12)</f>
        <v>39239.019757534857</v>
      </c>
      <c r="S25" s="81">
        <f>R25*(1+'Exh 2 Econ Indicators'!Q8)*(1+'Exh 8 Sales Forecasting'!$I$12)</f>
        <v>40230.877474551693</v>
      </c>
      <c r="T25" s="81">
        <f>S25*(1+'Exh 2 Econ Indicators'!R8)*(1+'Exh 8 Sales Forecasting'!$I$12)</f>
        <v>41167.086929762416</v>
      </c>
      <c r="U25" s="81">
        <f>T25*(1+'Exh 2 Econ Indicators'!S8)*(1+'Exh 8 Sales Forecasting'!$I$12)</f>
        <v>42125.082838539318</v>
      </c>
      <c r="V25" s="55"/>
      <c r="W25" s="55"/>
    </row>
    <row r="26" spans="1:32" ht="14" customHeight="1">
      <c r="A26" s="65"/>
      <c r="B26" s="51" t="s">
        <v>1</v>
      </c>
      <c r="C26" s="51"/>
      <c r="D26" s="55"/>
      <c r="E26" s="51"/>
      <c r="F26" s="51"/>
      <c r="G26" s="51"/>
      <c r="H26" s="51"/>
      <c r="I26" s="60">
        <v>9526.1</v>
      </c>
      <c r="J26" s="60">
        <v>11229.4</v>
      </c>
      <c r="K26" s="60">
        <v>13594.4</v>
      </c>
      <c r="L26" s="60">
        <v>9902.2999999999993</v>
      </c>
      <c r="M26" s="60">
        <v>13259</v>
      </c>
      <c r="N26" s="60">
        <v>13931.8</v>
      </c>
      <c r="O26" s="81">
        <f>'Exh 8 Sales Forecasting'!$F$24*O25</f>
        <v>14135.961402888659</v>
      </c>
      <c r="P26" s="81">
        <f>'Exh 8 Sales Forecasting'!$F$24*P25</f>
        <v>14578.36854195173</v>
      </c>
      <c r="Q26" s="81">
        <f>'Exh 8 Sales Forecasting'!$F$24*Q25</f>
        <v>15005.37127166243</v>
      </c>
      <c r="R26" s="81">
        <f>'Exh 8 Sales Forecasting'!$F$24*R25</f>
        <v>15414.773998670345</v>
      </c>
      <c r="S26" s="81">
        <f>'Exh 8 Sales Forecasting'!$F$24*S25</f>
        <v>15804.418353731373</v>
      </c>
      <c r="T26" s="81">
        <f>'Exh 8 Sales Forecasting'!$F$24*T25</f>
        <v>16172.201679019981</v>
      </c>
      <c r="U26" s="81">
        <f>'Exh 8 Sales Forecasting'!$F$24*U25</f>
        <v>16548.54365995367</v>
      </c>
      <c r="V26" s="55"/>
      <c r="W26" s="55"/>
    </row>
    <row r="27" spans="1:32" ht="14" customHeight="1">
      <c r="A27" s="65"/>
      <c r="B27" s="51" t="s">
        <v>19</v>
      </c>
      <c r="C27" s="51"/>
      <c r="D27" s="55"/>
      <c r="E27" s="51"/>
      <c r="F27" s="51"/>
      <c r="G27" s="55"/>
      <c r="H27" s="55"/>
      <c r="I27" s="60">
        <v>2766.6</v>
      </c>
      <c r="J27" s="60">
        <v>4016.3</v>
      </c>
      <c r="K27" s="60">
        <v>4236.5</v>
      </c>
      <c r="L27" s="60">
        <v>3780.1</v>
      </c>
      <c r="M27" s="60">
        <v>4895.1000000000004</v>
      </c>
      <c r="N27" s="60">
        <v>4946.3</v>
      </c>
      <c r="O27" s="81">
        <f>'Exh 8 Sales Forecasting'!$F$36*O25</f>
        <v>4893.4802487973484</v>
      </c>
      <c r="P27" s="81">
        <f>'Exh 8 Sales Forecasting'!$F$36*P25</f>
        <v>5046.629407544322</v>
      </c>
      <c r="Q27" s="81">
        <f>'Exh 8 Sales Forecasting'!$F$36*Q25</f>
        <v>5194.4459843209725</v>
      </c>
      <c r="R27" s="81">
        <f>'Exh 8 Sales Forecasting'!$F$36*R25</f>
        <v>5336.169925220217</v>
      </c>
      <c r="S27" s="81">
        <f>'Exh 8 Sales Forecasting'!$F$36*S25</f>
        <v>5471.0540622946783</v>
      </c>
      <c r="T27" s="81">
        <f>'Exh 8 Sales Forecasting'!$F$36*T25</f>
        <v>5598.3705133546709</v>
      </c>
      <c r="U27" s="81">
        <f>'Exh 8 Sales Forecasting'!$F$36*U25</f>
        <v>5728.6497351213584</v>
      </c>
      <c r="V27" s="55"/>
      <c r="W27" s="55"/>
    </row>
    <row r="28" spans="1:32" ht="14" customHeight="1">
      <c r="A28" s="65"/>
      <c r="B28" s="51" t="s">
        <v>16</v>
      </c>
      <c r="C28" s="51"/>
      <c r="D28" s="55"/>
      <c r="E28" s="51"/>
      <c r="F28" s="51"/>
      <c r="G28" s="55"/>
      <c r="H28" s="55"/>
      <c r="I28" s="60">
        <v>1400.2</v>
      </c>
      <c r="J28" s="60">
        <v>1784.1</v>
      </c>
      <c r="K28" s="60">
        <v>1963.8</v>
      </c>
      <c r="L28" s="60">
        <v>2013.8</v>
      </c>
      <c r="M28" s="60">
        <v>2327.3000000000002</v>
      </c>
      <c r="N28" s="60">
        <v>2287.3000000000002</v>
      </c>
      <c r="O28" s="81">
        <f>'Exh 8 Sales Forecasting'!$F$48*O25</f>
        <v>2577.4324420106859</v>
      </c>
      <c r="P28" s="81">
        <f>'Exh 8 Sales Forecasting'!$F$48*P25</f>
        <v>2658.0972429605017</v>
      </c>
      <c r="Q28" s="81">
        <f>'Exh 8 Sales Forecasting'!$F$48*Q25</f>
        <v>2735.9533333257864</v>
      </c>
      <c r="R28" s="81">
        <f>'Exh 8 Sales Forecasting'!$F$48*R25</f>
        <v>2810.6003870608238</v>
      </c>
      <c r="S28" s="81">
        <f>'Exh 8 Sales Forecasting'!$F$48*S25</f>
        <v>2881.644865250712</v>
      </c>
      <c r="T28" s="81">
        <f>'Exh 8 Sales Forecasting'!$F$48*T25</f>
        <v>2948.7033869325637</v>
      </c>
      <c r="U28" s="81">
        <f>'Exh 8 Sales Forecasting'!$F$48*U25</f>
        <v>3017.3224219810636</v>
      </c>
      <c r="V28" s="55"/>
      <c r="W28" s="55"/>
    </row>
    <row r="29" spans="1:32" ht="14" customHeight="1">
      <c r="A29" s="65"/>
      <c r="B29" s="51" t="s">
        <v>17</v>
      </c>
      <c r="C29" s="51"/>
      <c r="D29" s="55"/>
      <c r="E29" s="51"/>
      <c r="F29" s="59"/>
      <c r="G29" s="59"/>
      <c r="H29" s="59"/>
      <c r="I29" s="60">
        <f>SUM('Exh 6 Stores BS'!D25:H25)/5</f>
        <v>594.20000000000005</v>
      </c>
      <c r="J29" s="60">
        <f>SUM('Exh 6 Stores BS'!E25:I25)/5</f>
        <v>594.20000000000005</v>
      </c>
      <c r="K29" s="60">
        <f>SUM('Exh 6 Stores BS'!F25:J25)/5</f>
        <v>594.20000000000005</v>
      </c>
      <c r="L29" s="60">
        <f>SUM('Exh 6 Stores BS'!G25:K25)/5</f>
        <v>594.20000000000005</v>
      </c>
      <c r="M29" s="60">
        <f>SUM('Exh 6 Stores BS'!H25:L25)/5</f>
        <v>594.20000000000005</v>
      </c>
      <c r="N29" s="60">
        <f>SUM('Exh 6 Stores BS'!I25:M25)/5</f>
        <v>0</v>
      </c>
      <c r="O29" s="59">
        <v>0</v>
      </c>
      <c r="P29" s="59">
        <v>0</v>
      </c>
      <c r="Q29" s="59">
        <f>'Exh 6 Stores BS'!P25/5</f>
        <v>489.9020714909164</v>
      </c>
      <c r="R29" s="59">
        <f>Q29</f>
        <v>489.9020714909164</v>
      </c>
      <c r="S29" s="59">
        <f t="shared" ref="S29:U29" si="5">R29</f>
        <v>489.9020714909164</v>
      </c>
      <c r="T29" s="59">
        <f t="shared" si="5"/>
        <v>489.9020714909164</v>
      </c>
      <c r="U29" s="59">
        <f t="shared" si="5"/>
        <v>489.9020714909164</v>
      </c>
      <c r="V29" s="59"/>
      <c r="W29" s="59"/>
    </row>
    <row r="30" spans="1:32" ht="14" customHeight="1">
      <c r="A30" s="65"/>
      <c r="B30" s="51" t="s">
        <v>10</v>
      </c>
      <c r="C30" s="51"/>
      <c r="D30" s="55"/>
      <c r="E30" s="63"/>
      <c r="F30" s="59"/>
      <c r="G30" s="59"/>
      <c r="H30" s="59"/>
      <c r="I30" s="60">
        <v>1910</v>
      </c>
      <c r="J30" s="60">
        <f>I30</f>
        <v>1910</v>
      </c>
      <c r="K30" s="60">
        <f>J30</f>
        <v>1910</v>
      </c>
      <c r="L30" s="60">
        <f>K30</f>
        <v>1910</v>
      </c>
      <c r="M30" s="60">
        <f>L30</f>
        <v>1910</v>
      </c>
      <c r="N30" s="60">
        <f>M30</f>
        <v>1910</v>
      </c>
      <c r="O30" s="62">
        <f>N30*(1+2%)^6</f>
        <v>2150.97022079424</v>
      </c>
      <c r="P30" s="62">
        <f>O30</f>
        <v>2150.97022079424</v>
      </c>
      <c r="Q30" s="62">
        <f t="shared" ref="Q30:T30" si="6">P30</f>
        <v>2150.97022079424</v>
      </c>
      <c r="R30" s="62">
        <f t="shared" si="6"/>
        <v>2150.97022079424</v>
      </c>
      <c r="S30" s="62">
        <f t="shared" si="6"/>
        <v>2150.97022079424</v>
      </c>
      <c r="T30" s="62">
        <f t="shared" si="6"/>
        <v>2150.97022079424</v>
      </c>
      <c r="U30" s="59">
        <f>T30*(1+2%)^6</f>
        <v>2422.3418276144616</v>
      </c>
      <c r="V30" s="62"/>
      <c r="W30" s="59"/>
    </row>
    <row r="31" spans="1:32" ht="14" customHeight="1">
      <c r="A31" s="80">
        <v>2007</v>
      </c>
      <c r="B31" s="56"/>
      <c r="C31" s="57">
        <v>6</v>
      </c>
      <c r="D31" s="58">
        <v>22100</v>
      </c>
      <c r="E31" s="56"/>
      <c r="F31" s="56"/>
      <c r="G31" s="56"/>
      <c r="H31" s="56"/>
      <c r="I31" s="56"/>
      <c r="J31" s="56">
        <v>1</v>
      </c>
      <c r="K31" s="56">
        <v>2</v>
      </c>
      <c r="L31" s="56">
        <v>3</v>
      </c>
      <c r="M31" s="56">
        <v>4</v>
      </c>
      <c r="N31" s="56">
        <v>5</v>
      </c>
      <c r="O31" s="56">
        <v>6</v>
      </c>
      <c r="P31" s="56">
        <v>7</v>
      </c>
      <c r="Q31" s="56">
        <v>8</v>
      </c>
      <c r="R31" s="56">
        <v>9</v>
      </c>
      <c r="S31" s="56">
        <v>10</v>
      </c>
      <c r="T31" s="56">
        <v>11</v>
      </c>
      <c r="U31" s="56">
        <v>12</v>
      </c>
      <c r="V31" s="56"/>
      <c r="W31" s="56"/>
    </row>
    <row r="32" spans="1:32" ht="14" customHeight="1">
      <c r="A32" s="65"/>
      <c r="B32" s="51" t="s">
        <v>0</v>
      </c>
      <c r="C32" s="51"/>
      <c r="D32" s="55"/>
      <c r="E32" s="51"/>
      <c r="F32" s="51"/>
      <c r="G32" s="51"/>
      <c r="H32" s="51"/>
      <c r="I32" s="51"/>
      <c r="J32" s="60">
        <v>15435.4</v>
      </c>
      <c r="K32" s="60">
        <v>22001</v>
      </c>
      <c r="L32" s="60">
        <v>30465.9</v>
      </c>
      <c r="M32" s="60">
        <v>39628.199999999997</v>
      </c>
      <c r="N32" s="60">
        <v>43541</v>
      </c>
      <c r="O32" s="81">
        <f>N32*(1+'Exh 2 Econ Indicators'!M8)*(1+'Exh 8 Sales Forecasting'!$H$12)</f>
        <v>45542.078415178621</v>
      </c>
      <c r="P32" s="81">
        <f>O32*(1+'Exh 2 Econ Indicators'!N8)*(1+'Exh 8 Sales Forecasting'!$I$12)</f>
        <v>46967.389368173157</v>
      </c>
      <c r="Q32" s="81">
        <f>P32*(1+'Exh 2 Econ Indicators'!O8)*(1+'Exh 8 Sales Forecasting'!$I$12)</f>
        <v>48343.07166142037</v>
      </c>
      <c r="R32" s="81">
        <f>Q32*(1+'Exh 2 Econ Indicators'!P8)*(1+'Exh 8 Sales Forecasting'!$I$12)</f>
        <v>49662.051712750472</v>
      </c>
      <c r="S32" s="81">
        <f>R32*(1+'Exh 2 Econ Indicators'!Q8)*(1+'Exh 8 Sales Forecasting'!$I$12)</f>
        <v>50917.375865559414</v>
      </c>
      <c r="T32" s="81">
        <f>S32*(1+'Exh 2 Econ Indicators'!R8)*(1+'Exh 8 Sales Forecasting'!$I$12)</f>
        <v>52102.269949711779</v>
      </c>
      <c r="U32" s="81">
        <f>T32*(1+'Exh 2 Econ Indicators'!S8)*(1+'Exh 8 Sales Forecasting'!$I$12)</f>
        <v>53314.737607065683</v>
      </c>
      <c r="V32" s="55"/>
      <c r="W32" s="55"/>
      <c r="X32" s="51"/>
      <c r="Y32" s="91"/>
      <c r="Z32" s="91"/>
      <c r="AA32" s="91"/>
      <c r="AB32" s="91"/>
      <c r="AC32" s="91"/>
      <c r="AD32" s="91"/>
      <c r="AE32" s="91"/>
      <c r="AF32" s="91"/>
    </row>
    <row r="33" spans="1:32" ht="14" customHeight="1">
      <c r="A33" s="65"/>
      <c r="B33" s="51" t="s">
        <v>1</v>
      </c>
      <c r="C33" s="51"/>
      <c r="D33" s="55"/>
      <c r="E33" s="51"/>
      <c r="F33" s="51"/>
      <c r="G33" s="51"/>
      <c r="H33" s="51"/>
      <c r="I33" s="51"/>
      <c r="J33" s="60">
        <v>11204.6</v>
      </c>
      <c r="K33" s="60">
        <v>14800.5</v>
      </c>
      <c r="L33" s="60">
        <v>16421.7</v>
      </c>
      <c r="M33" s="60">
        <v>15231.6</v>
      </c>
      <c r="N33" s="60">
        <v>17855.8</v>
      </c>
      <c r="O33" s="81">
        <f>'Exh 8 Sales Forecasting'!$F$24*O32</f>
        <v>17890.886432373125</v>
      </c>
      <c r="P33" s="81">
        <f>'Exh 8 Sales Forecasting'!$F$24*P32</f>
        <v>18450.809854364859</v>
      </c>
      <c r="Q33" s="81">
        <f>'Exh 8 Sales Forecasting'!$F$24*Q32</f>
        <v>18991.237005078947</v>
      </c>
      <c r="R33" s="81">
        <f>'Exh 8 Sales Forecasting'!$F$24*R32</f>
        <v>19509.389077318312</v>
      </c>
      <c r="S33" s="81">
        <f>'Exh 8 Sales Forecasting'!$F$24*S32</f>
        <v>20002.534375804174</v>
      </c>
      <c r="T33" s="81">
        <f>'Exh 8 Sales Forecasting'!$F$24*T32</f>
        <v>20468.011715259447</v>
      </c>
      <c r="U33" s="81">
        <f>'Exh 8 Sales Forecasting'!$F$24*U32</f>
        <v>20944.321139763324</v>
      </c>
      <c r="V33" s="55"/>
      <c r="W33" s="55"/>
      <c r="Y33" s="51"/>
      <c r="Z33" s="91"/>
      <c r="AA33" s="91"/>
      <c r="AB33" s="91"/>
      <c r="AC33" s="91"/>
      <c r="AD33" s="91"/>
      <c r="AE33" s="91"/>
      <c r="AF33" s="91"/>
    </row>
    <row r="34" spans="1:32" ht="14" customHeight="1">
      <c r="A34" s="65"/>
      <c r="B34" s="51" t="s">
        <v>19</v>
      </c>
      <c r="C34" s="51"/>
      <c r="D34" s="55"/>
      <c r="E34" s="51"/>
      <c r="F34" s="51"/>
      <c r="G34" s="55"/>
      <c r="H34" s="55"/>
      <c r="I34" s="55"/>
      <c r="J34" s="60">
        <v>3050.4</v>
      </c>
      <c r="K34" s="60">
        <v>3877.8</v>
      </c>
      <c r="L34" s="60">
        <v>5471</v>
      </c>
      <c r="M34" s="60">
        <v>5165.7</v>
      </c>
      <c r="N34" s="60">
        <v>5916.9</v>
      </c>
      <c r="O34" s="81">
        <f>'Exh 8 Sales Forecasting'!$F$36*O32</f>
        <v>6193.3318077965268</v>
      </c>
      <c r="P34" s="81">
        <f>'Exh 8 Sales Forecasting'!$F$36*P32</f>
        <v>6387.1618649297943</v>
      </c>
      <c r="Q34" s="81">
        <f>'Exh 8 Sales Forecasting'!$F$36*Q32</f>
        <v>6574.2428502664407</v>
      </c>
      <c r="R34" s="81">
        <f>'Exh 8 Sales Forecasting'!$F$36*R32</f>
        <v>6753.6128173391171</v>
      </c>
      <c r="S34" s="81">
        <f>'Exh 8 Sales Forecasting'!$F$36*S32</f>
        <v>6924.3261285281742</v>
      </c>
      <c r="T34" s="81">
        <f>'Exh 8 Sales Forecasting'!$F$36*T32</f>
        <v>7085.4615548332895</v>
      </c>
      <c r="U34" s="81">
        <f>'Exh 8 Sales Forecasting'!$F$36*U32</f>
        <v>7250.346750448598</v>
      </c>
      <c r="V34" s="55"/>
      <c r="W34" s="55"/>
      <c r="X34" s="51"/>
      <c r="Y34" s="51"/>
      <c r="Z34" s="92"/>
      <c r="AA34" s="91"/>
      <c r="AB34" s="91"/>
      <c r="AC34" s="91"/>
      <c r="AD34" s="91"/>
      <c r="AE34" s="91"/>
      <c r="AF34" s="91"/>
    </row>
    <row r="35" spans="1:32" ht="14" customHeight="1">
      <c r="A35" s="65"/>
      <c r="B35" s="51" t="s">
        <v>16</v>
      </c>
      <c r="C35" s="51"/>
      <c r="D35" s="55"/>
      <c r="E35" s="51"/>
      <c r="F35" s="51"/>
      <c r="G35" s="55"/>
      <c r="H35" s="55"/>
      <c r="I35" s="55"/>
      <c r="J35" s="60">
        <v>1578.4</v>
      </c>
      <c r="K35" s="60">
        <v>1986.3</v>
      </c>
      <c r="L35" s="60">
        <v>2458.4</v>
      </c>
      <c r="M35" s="60">
        <v>2748</v>
      </c>
      <c r="N35" s="60">
        <v>3109.4</v>
      </c>
      <c r="O35" s="81">
        <f>'Exh 8 Sales Forecasting'!$F$48*O32</f>
        <v>3262.0739257044302</v>
      </c>
      <c r="P35" s="81">
        <f>'Exh 8 Sales Forecasting'!$F$48*P32</f>
        <v>3364.1656583960762</v>
      </c>
      <c r="Q35" s="81">
        <f>'Exh 8 Sales Forecasting'!$F$48*Q32</f>
        <v>3462.7026047766208</v>
      </c>
      <c r="R35" s="81">
        <f>'Exh 8 Sales Forecasting'!$F$48*R32</f>
        <v>3557.178100487291</v>
      </c>
      <c r="S35" s="81">
        <f>'Exh 8 Sales Forecasting'!$F$48*S32</f>
        <v>3647.0940711606945</v>
      </c>
      <c r="T35" s="81">
        <f>'Exh 8 Sales Forecasting'!$F$48*T32</f>
        <v>3731.9652986307751</v>
      </c>
      <c r="U35" s="81">
        <f>'Exh 8 Sales Forecasting'!$F$48*U32</f>
        <v>3818.8115574852213</v>
      </c>
      <c r="V35" s="55"/>
      <c r="W35" s="55"/>
      <c r="Y35" s="51"/>
      <c r="Z35" s="92"/>
      <c r="AA35" s="92"/>
      <c r="AB35" s="91"/>
      <c r="AC35" s="91"/>
      <c r="AD35" s="91"/>
      <c r="AE35" s="91"/>
      <c r="AF35" s="91"/>
    </row>
    <row r="36" spans="1:32" ht="14" customHeight="1">
      <c r="A36" s="65"/>
      <c r="B36" s="51" t="s">
        <v>17</v>
      </c>
      <c r="C36" s="51"/>
      <c r="D36" s="55"/>
      <c r="E36" s="51"/>
      <c r="F36" s="59"/>
      <c r="G36" s="59"/>
      <c r="H36" s="59"/>
      <c r="I36" s="59"/>
      <c r="J36" s="60">
        <f>SUM('Exh 6 Stores BS'!E32:I32)/5</f>
        <v>811.6</v>
      </c>
      <c r="K36" s="60">
        <f>SUM('Exh 6 Stores BS'!F32:J32)/5</f>
        <v>811.6</v>
      </c>
      <c r="L36" s="60">
        <f>SUM('Exh 6 Stores BS'!G32:K32)/5</f>
        <v>811.6</v>
      </c>
      <c r="M36" s="60">
        <f>SUM('Exh 6 Stores BS'!H32:L32)/5</f>
        <v>811.6</v>
      </c>
      <c r="N36" s="60">
        <f>SUM('Exh 6 Stores BS'!I32:M32)/5</f>
        <v>811.6</v>
      </c>
      <c r="O36" s="59">
        <v>0</v>
      </c>
      <c r="P36" s="59">
        <v>0</v>
      </c>
      <c r="Q36" s="59">
        <v>0</v>
      </c>
      <c r="R36" s="59">
        <f>'Exh 6 Stores BS'!Q32/5</f>
        <v>655.37628015053292</v>
      </c>
      <c r="S36" s="59">
        <f>R36</f>
        <v>655.37628015053292</v>
      </c>
      <c r="T36" s="59">
        <f t="shared" ref="T36:U36" si="7">S36</f>
        <v>655.37628015053292</v>
      </c>
      <c r="U36" s="59">
        <f t="shared" si="7"/>
        <v>655.37628015053292</v>
      </c>
      <c r="V36" s="59"/>
      <c r="W36" s="59"/>
      <c r="X36" s="51"/>
      <c r="Y36" s="51"/>
      <c r="Z36" s="92"/>
      <c r="AA36" s="92"/>
      <c r="AB36" s="92"/>
      <c r="AC36" s="91"/>
      <c r="AD36" s="91"/>
      <c r="AE36" s="91"/>
      <c r="AF36" s="91"/>
    </row>
    <row r="37" spans="1:32" ht="14" customHeight="1">
      <c r="A37" s="65"/>
      <c r="B37" s="51" t="s">
        <v>10</v>
      </c>
      <c r="C37" s="51"/>
      <c r="D37" s="55"/>
      <c r="E37" s="63"/>
      <c r="F37" s="59"/>
      <c r="G37" s="59"/>
      <c r="H37" s="59"/>
      <c r="I37" s="59"/>
      <c r="J37" s="60">
        <v>2530</v>
      </c>
      <c r="K37" s="60">
        <f>J37</f>
        <v>2530</v>
      </c>
      <c r="L37" s="60">
        <f>K37</f>
        <v>2530</v>
      </c>
      <c r="M37" s="60">
        <f>L37</f>
        <v>2530</v>
      </c>
      <c r="N37" s="60">
        <f>M37</f>
        <v>2530</v>
      </c>
      <c r="O37" s="62">
        <f>N37</f>
        <v>2530</v>
      </c>
      <c r="P37" s="59">
        <f>O37*(1+2%)^6</f>
        <v>2849.1909207379204</v>
      </c>
      <c r="Q37" s="62">
        <f>P37</f>
        <v>2849.1909207379204</v>
      </c>
      <c r="R37" s="62">
        <f t="shared" ref="R37:U37" si="8">Q37</f>
        <v>2849.1909207379204</v>
      </c>
      <c r="S37" s="62">
        <f t="shared" si="8"/>
        <v>2849.1909207379204</v>
      </c>
      <c r="T37" s="62">
        <f t="shared" si="8"/>
        <v>2849.1909207379204</v>
      </c>
      <c r="U37" s="62">
        <f t="shared" si="8"/>
        <v>2849.1909207379204</v>
      </c>
      <c r="V37" s="62"/>
      <c r="W37" s="62"/>
      <c r="Y37" s="51"/>
      <c r="Z37" s="92"/>
      <c r="AA37" s="92"/>
      <c r="AB37" s="92"/>
      <c r="AC37" s="92"/>
      <c r="AD37" s="91"/>
      <c r="AE37" s="91"/>
      <c r="AF37" s="91"/>
    </row>
    <row r="38" spans="1:32" ht="14" customHeight="1">
      <c r="A38" s="80">
        <v>2008</v>
      </c>
      <c r="B38" s="56"/>
      <c r="C38" s="57">
        <v>2</v>
      </c>
      <c r="D38" s="58">
        <v>15500</v>
      </c>
      <c r="E38" s="56"/>
      <c r="F38" s="56"/>
      <c r="G38" s="56"/>
      <c r="H38" s="56"/>
      <c r="I38" s="56"/>
      <c r="J38" s="56"/>
      <c r="K38" s="56">
        <v>1</v>
      </c>
      <c r="L38" s="56">
        <v>2</v>
      </c>
      <c r="M38" s="56">
        <v>3</v>
      </c>
      <c r="N38" s="56">
        <v>4</v>
      </c>
      <c r="O38" s="56">
        <v>5</v>
      </c>
      <c r="P38" s="56">
        <v>6</v>
      </c>
      <c r="Q38" s="56">
        <v>7</v>
      </c>
      <c r="R38" s="56">
        <v>8</v>
      </c>
      <c r="S38" s="56">
        <v>9</v>
      </c>
      <c r="T38" s="56">
        <v>10</v>
      </c>
      <c r="U38" s="56">
        <v>11</v>
      </c>
      <c r="V38" s="56"/>
      <c r="W38" s="56"/>
    </row>
    <row r="39" spans="1:32" ht="14" customHeight="1">
      <c r="A39" s="65"/>
      <c r="B39" s="51" t="s">
        <v>0</v>
      </c>
      <c r="C39" s="51"/>
      <c r="D39" s="55"/>
      <c r="E39" s="51"/>
      <c r="F39" s="51"/>
      <c r="G39" s="51"/>
      <c r="H39" s="51"/>
      <c r="I39" s="51"/>
      <c r="J39" s="51"/>
      <c r="K39" s="60">
        <v>3187.1</v>
      </c>
      <c r="L39" s="60">
        <v>5176</v>
      </c>
      <c r="M39" s="60">
        <v>7244.1</v>
      </c>
      <c r="N39" s="60">
        <v>9257.2000000000007</v>
      </c>
      <c r="O39" s="81">
        <f>N39*(1+'Exh 2 Econ Indicators'!M8)*(1+'Exh 8 Sales Forecasting'!G12)</f>
        <v>10461.125746729644</v>
      </c>
      <c r="P39" s="81">
        <f>O39*(1+'Exh 2 Econ Indicators'!N8)*(1+'Exh 8 Sales Forecasting'!H12)</f>
        <v>10920.656828136907</v>
      </c>
      <c r="Q39" s="81">
        <f>P39*(1+'Exh 2 Econ Indicators'!O8)*(1+'Exh 8 Sales Forecasting'!$I$12)</f>
        <v>11240.524600887284</v>
      </c>
      <c r="R39" s="81">
        <f>Q39*(1+'Exh 2 Econ Indicators'!P8)*(1+'Exh 8 Sales Forecasting'!$I$12)</f>
        <v>11547.20821046204</v>
      </c>
      <c r="S39" s="81">
        <f>R39*(1+'Exh 2 Econ Indicators'!Q8)*(1+'Exh 8 Sales Forecasting'!$I$12)</f>
        <v>11839.090822319276</v>
      </c>
      <c r="T39" s="81">
        <f>S39*(1+'Exh 2 Econ Indicators'!R8)*(1+'Exh 8 Sales Forecasting'!$I$12)</f>
        <v>12114.597335344377</v>
      </c>
      <c r="U39" s="81">
        <f>T39*(1+'Exh 2 Econ Indicators'!S8)*(1+'Exh 8 Sales Forecasting'!$I$12)</f>
        <v>12396.515137872904</v>
      </c>
      <c r="V39" s="55"/>
      <c r="W39" s="55"/>
    </row>
    <row r="40" spans="1:32" ht="14" customHeight="1">
      <c r="A40" s="65"/>
      <c r="B40" s="51" t="s">
        <v>1</v>
      </c>
      <c r="C40" s="51"/>
      <c r="D40" s="55"/>
      <c r="E40" s="51"/>
      <c r="F40" s="51"/>
      <c r="G40" s="51"/>
      <c r="H40" s="51"/>
      <c r="I40" s="51"/>
      <c r="J40" s="51"/>
      <c r="K40" s="60">
        <v>2053.3000000000002</v>
      </c>
      <c r="L40" s="60">
        <v>3466.7</v>
      </c>
      <c r="M40" s="60">
        <v>4420.5</v>
      </c>
      <c r="N40" s="60">
        <v>3764.1</v>
      </c>
      <c r="O40" s="81">
        <f>'Exh 8 Sales Forecasting'!$F$24*O39</f>
        <v>4109.5799577547778</v>
      </c>
      <c r="P40" s="81">
        <f>'Exh 8 Sales Forecasting'!$F$24*P39</f>
        <v>4290.1035235581094</v>
      </c>
      <c r="Q40" s="81">
        <f>'Exh 8 Sales Forecasting'!$F$24*Q39</f>
        <v>4415.761337052757</v>
      </c>
      <c r="R40" s="81">
        <f>'Exh 8 Sales Forecasting'!$F$24*R39</f>
        <v>4536.2398444136224</v>
      </c>
      <c r="S40" s="81">
        <f>'Exh 8 Sales Forecasting'!$F$24*S39</f>
        <v>4650.9038835186493</v>
      </c>
      <c r="T40" s="81">
        <f>'Exh 8 Sales Forecasting'!$F$24*T39</f>
        <v>4759.1346869303006</v>
      </c>
      <c r="U40" s="81">
        <f>'Exh 8 Sales Forecasting'!$F$24*U39</f>
        <v>4869.8841205051431</v>
      </c>
      <c r="V40" s="55"/>
      <c r="W40" s="55"/>
    </row>
    <row r="41" spans="1:32" ht="14" customHeight="1">
      <c r="A41" s="65"/>
      <c r="B41" s="51" t="s">
        <v>19</v>
      </c>
      <c r="C41" s="51"/>
      <c r="D41" s="55"/>
      <c r="E41" s="51"/>
      <c r="F41" s="51"/>
      <c r="G41" s="55"/>
      <c r="H41" s="55"/>
      <c r="I41" s="55"/>
      <c r="J41" s="55"/>
      <c r="K41" s="60">
        <v>521.9</v>
      </c>
      <c r="L41" s="60">
        <v>951.3</v>
      </c>
      <c r="M41" s="60">
        <v>1224.5999999999999</v>
      </c>
      <c r="N41" s="60">
        <v>1242.7</v>
      </c>
      <c r="O41" s="81">
        <f>'Exh 8 Sales Forecasting'!$F$36*O39</f>
        <v>1422.6233208317176</v>
      </c>
      <c r="P41" s="81">
        <f>'Exh 8 Sales Forecasting'!$F$36*P39</f>
        <v>1485.1156040605433</v>
      </c>
      <c r="Q41" s="81">
        <f>'Exh 8 Sales Forecasting'!$F$36*Q39</f>
        <v>1528.6148759471703</v>
      </c>
      <c r="R41" s="81">
        <f>'Exh 8 Sales Forecasting'!$F$36*R39</f>
        <v>1570.3212147926138</v>
      </c>
      <c r="S41" s="81">
        <f>'Exh 8 Sales Forecasting'!$F$36*S39</f>
        <v>1610.0147449753656</v>
      </c>
      <c r="T41" s="81">
        <f>'Exh 8 Sales Forecasting'!$F$36*T39</f>
        <v>1647.4812662618594</v>
      </c>
      <c r="U41" s="81">
        <f>'Exh 8 Sales Forecasting'!$F$36*U39</f>
        <v>1685.8196678970844</v>
      </c>
      <c r="V41" s="55"/>
      <c r="W41" s="55"/>
    </row>
    <row r="42" spans="1:32" ht="14" customHeight="1">
      <c r="A42" s="65"/>
      <c r="B42" s="51" t="s">
        <v>16</v>
      </c>
      <c r="C42" s="51"/>
      <c r="D42" s="55"/>
      <c r="E42" s="51"/>
      <c r="F42" s="51"/>
      <c r="G42" s="55"/>
      <c r="H42" s="55"/>
      <c r="I42" s="55"/>
      <c r="J42" s="55"/>
      <c r="K42" s="60">
        <v>326</v>
      </c>
      <c r="L42" s="60">
        <v>499</v>
      </c>
      <c r="M42" s="60">
        <v>598.4</v>
      </c>
      <c r="N42" s="60">
        <v>675.4</v>
      </c>
      <c r="O42" s="81">
        <f>'Exh 8 Sales Forecasting'!$F$48*O39</f>
        <v>749.30628375863978</v>
      </c>
      <c r="P42" s="81">
        <f>'Exh 8 Sales Forecasting'!$F$48*P39</f>
        <v>782.22143411791251</v>
      </c>
      <c r="Q42" s="81">
        <f>'Exh 8 Sales Forecasting'!$F$48*Q39</f>
        <v>805.13282414385367</v>
      </c>
      <c r="R42" s="81">
        <f>'Exh 8 Sales Forecasting'!$F$48*R39</f>
        <v>827.09986300217031</v>
      </c>
      <c r="S42" s="81">
        <f>'Exh 8 Sales Forecasting'!$F$48*S39</f>
        <v>848.00674056770231</v>
      </c>
      <c r="T42" s="81">
        <f>'Exh 8 Sales Forecasting'!$F$48*T39</f>
        <v>867.74063598432861</v>
      </c>
      <c r="U42" s="81">
        <f>'Exh 8 Sales Forecasting'!$F$48*U39</f>
        <v>887.93375726518991</v>
      </c>
      <c r="V42" s="55"/>
      <c r="W42" s="55"/>
    </row>
    <row r="43" spans="1:32" ht="14" customHeight="1">
      <c r="A43" s="65"/>
      <c r="B43" s="51" t="s">
        <v>17</v>
      </c>
      <c r="C43" s="51"/>
      <c r="D43" s="55"/>
      <c r="E43" s="51"/>
      <c r="F43" s="59"/>
      <c r="G43" s="59"/>
      <c r="H43" s="59"/>
      <c r="I43" s="59"/>
      <c r="J43" s="59"/>
      <c r="K43" s="60">
        <f>SUM('Exh 6 Stores BS'!F39:J39)/5</f>
        <v>184.8</v>
      </c>
      <c r="L43" s="60">
        <f>SUM('Exh 6 Stores BS'!G39:K39)/5</f>
        <v>184.8</v>
      </c>
      <c r="M43" s="60">
        <f>SUM('Exh 6 Stores BS'!H39:L39)/5</f>
        <v>184.8</v>
      </c>
      <c r="N43" s="60">
        <f>SUM('Exh 6 Stores BS'!I39:M39)/5</f>
        <v>184.8</v>
      </c>
      <c r="O43" s="82">
        <f>N43</f>
        <v>184.8</v>
      </c>
      <c r="P43" s="82">
        <v>0</v>
      </c>
      <c r="Q43" s="82">
        <v>0</v>
      </c>
      <c r="R43" s="82">
        <v>0</v>
      </c>
      <c r="S43" s="82">
        <f>'Exh 6 Stores BS'!R39/5</f>
        <v>152.23766139890952</v>
      </c>
      <c r="T43" s="82">
        <f>S43</f>
        <v>152.23766139890952</v>
      </c>
      <c r="U43" s="82">
        <f>T43</f>
        <v>152.23766139890952</v>
      </c>
      <c r="V43" s="59"/>
      <c r="W43" s="59"/>
    </row>
    <row r="44" spans="1:32" ht="14" customHeight="1">
      <c r="A44" s="65"/>
      <c r="B44" s="51" t="s">
        <v>10</v>
      </c>
      <c r="C44" s="51"/>
      <c r="D44" s="55"/>
      <c r="E44" s="63"/>
      <c r="F44" s="59"/>
      <c r="G44" s="59"/>
      <c r="H44" s="59"/>
      <c r="I44" s="59"/>
      <c r="J44" s="59"/>
      <c r="K44" s="60">
        <v>610</v>
      </c>
      <c r="L44" s="60">
        <f>K44</f>
        <v>610</v>
      </c>
      <c r="M44" s="60">
        <f>L44</f>
        <v>610</v>
      </c>
      <c r="N44" s="60">
        <f>M44</f>
        <v>610</v>
      </c>
      <c r="O44" s="82">
        <f>N44</f>
        <v>610</v>
      </c>
      <c r="P44" s="82">
        <f>O44</f>
        <v>610</v>
      </c>
      <c r="Q44" s="82">
        <f>P44*(1+2%)^6</f>
        <v>686.95907575104002</v>
      </c>
      <c r="R44" s="82">
        <f>Q44</f>
        <v>686.95907575104002</v>
      </c>
      <c r="S44" s="82">
        <f t="shared" ref="S44:U44" si="9">R44</f>
        <v>686.95907575104002</v>
      </c>
      <c r="T44" s="82">
        <f t="shared" si="9"/>
        <v>686.95907575104002</v>
      </c>
      <c r="U44" s="82">
        <f t="shared" si="9"/>
        <v>686.95907575104002</v>
      </c>
      <c r="V44" s="62"/>
      <c r="W44" s="62"/>
    </row>
    <row r="45" spans="1:32" ht="14" customHeight="1">
      <c r="A45" s="80">
        <v>2009</v>
      </c>
      <c r="B45" s="56"/>
      <c r="C45" s="57">
        <v>1</v>
      </c>
      <c r="D45" s="58">
        <v>14500</v>
      </c>
      <c r="E45" s="56"/>
      <c r="F45" s="56"/>
      <c r="G45" s="56"/>
      <c r="H45" s="56"/>
      <c r="I45" s="56"/>
      <c r="J45" s="56"/>
      <c r="K45" s="56"/>
      <c r="L45" s="56">
        <v>1</v>
      </c>
      <c r="M45" s="56">
        <v>2</v>
      </c>
      <c r="N45" s="56">
        <v>3</v>
      </c>
      <c r="O45" s="56">
        <v>4</v>
      </c>
      <c r="P45" s="56">
        <v>5</v>
      </c>
      <c r="Q45" s="56">
        <v>6</v>
      </c>
      <c r="R45" s="56">
        <v>7</v>
      </c>
      <c r="S45" s="56">
        <v>8</v>
      </c>
      <c r="T45" s="56">
        <v>9</v>
      </c>
      <c r="U45" s="56">
        <v>10</v>
      </c>
      <c r="V45" s="56"/>
      <c r="W45" s="56"/>
    </row>
    <row r="46" spans="1:32" ht="14" customHeight="1">
      <c r="A46" s="65"/>
      <c r="B46" s="51" t="s">
        <v>0</v>
      </c>
      <c r="C46" s="51"/>
      <c r="D46" s="55"/>
      <c r="E46" s="51"/>
      <c r="F46" s="51"/>
      <c r="G46" s="51"/>
      <c r="H46" s="51"/>
      <c r="I46" s="51"/>
      <c r="J46" s="51"/>
      <c r="K46" s="51"/>
      <c r="L46" s="60">
        <v>1437.4</v>
      </c>
      <c r="M46" s="60">
        <v>2507.1999999999998</v>
      </c>
      <c r="N46" s="60">
        <v>3540.1</v>
      </c>
      <c r="O46" s="81">
        <f>N46*(1+'Exh 2 Econ Indicators'!M8)*(1+'Exh 8 Sales Forecasting'!F12)</f>
        <v>4479.809105234619</v>
      </c>
      <c r="P46" s="81">
        <f>O46*(1+'Exh 2 Econ Indicators'!N8)*(1+'Exh 8 Sales Forecasting'!G12)</f>
        <v>5052.5913463314673</v>
      </c>
      <c r="Q46" s="81">
        <f>P46*(1+'Exh 2 Econ Indicators'!O8)*(1+'Exh 8 Sales Forecasting'!H12)</f>
        <v>5264.2772940076138</v>
      </c>
      <c r="R46" s="81">
        <f>Q46*(1+'Exh 2 Econ Indicators'!P8)*(1+'Exh 8 Sales Forecasting'!$I$12)</f>
        <v>5407.9064945701257</v>
      </c>
      <c r="S46" s="81">
        <f>R46*(1+'Exh 2 Econ Indicators'!Q8)*(1+'Exh 8 Sales Forecasting'!$I$12)</f>
        <v>5544.6039407012786</v>
      </c>
      <c r="T46" s="81">
        <f>S46*(1+'Exh 2 Econ Indicators'!R8)*(1+'Exh 8 Sales Forecasting'!$I$12)</f>
        <v>5673.631964958684</v>
      </c>
      <c r="U46" s="81">
        <f>T46*(1+'Exh 2 Econ Indicators'!S8)*(1+'Exh 8 Sales Forecasting'!$I$12)</f>
        <v>5805.6625898025004</v>
      </c>
      <c r="V46" s="55"/>
      <c r="W46" s="55"/>
    </row>
    <row r="47" spans="1:32" ht="14" customHeight="1">
      <c r="A47" s="65"/>
      <c r="B47" s="51" t="s">
        <v>1</v>
      </c>
      <c r="C47" s="51"/>
      <c r="D47" s="55"/>
      <c r="E47" s="51"/>
      <c r="F47" s="51"/>
      <c r="G47" s="51"/>
      <c r="H47" s="51"/>
      <c r="I47" s="51"/>
      <c r="J47" s="51"/>
      <c r="K47" s="51"/>
      <c r="L47" s="60">
        <v>1020.6</v>
      </c>
      <c r="M47" s="60">
        <v>1652</v>
      </c>
      <c r="N47" s="60">
        <v>1887</v>
      </c>
      <c r="O47" s="81">
        <f>'Exh 8 Sales Forecasting'!$F$24*O46</f>
        <v>1759.861620934528</v>
      </c>
      <c r="P47" s="81">
        <f>'Exh 8 Sales Forecasting'!$F$24*P46</f>
        <v>1984.875111371286</v>
      </c>
      <c r="Q47" s="81">
        <f>'Exh 8 Sales Forecasting'!$F$24*Q46</f>
        <v>2068.0344528198084</v>
      </c>
      <c r="R47" s="81">
        <f>'Exh 8 Sales Forecasting'!$F$24*R46</f>
        <v>2124.4581779781229</v>
      </c>
      <c r="S47" s="81">
        <f>'Exh 8 Sales Forecasting'!$F$24*S46</f>
        <v>2178.1588119727453</v>
      </c>
      <c r="T47" s="81">
        <f>'Exh 8 Sales Forecasting'!$F$24*T46</f>
        <v>2228.8465673171158</v>
      </c>
      <c r="U47" s="81">
        <f>'Exh 8 Sales Forecasting'!$F$24*U46</f>
        <v>2280.7138732652938</v>
      </c>
      <c r="V47" s="55"/>
      <c r="W47" s="55"/>
    </row>
    <row r="48" spans="1:32" ht="14" customHeight="1">
      <c r="A48" s="65"/>
      <c r="B48" s="51" t="s">
        <v>19</v>
      </c>
      <c r="C48" s="51"/>
      <c r="D48" s="55"/>
      <c r="E48" s="51"/>
      <c r="F48" s="51"/>
      <c r="G48" s="55"/>
      <c r="H48" s="55"/>
      <c r="I48" s="55"/>
      <c r="J48" s="55"/>
      <c r="K48" s="55"/>
      <c r="L48" s="60">
        <v>256.89999999999998</v>
      </c>
      <c r="M48" s="60">
        <v>480.3</v>
      </c>
      <c r="N48" s="60">
        <v>615</v>
      </c>
      <c r="O48" s="81">
        <f>'Exh 8 Sales Forecasting'!$F$36*O46</f>
        <v>609.21559115885691</v>
      </c>
      <c r="P48" s="81">
        <f>'Exh 8 Sales Forecasting'!$F$36*P46</f>
        <v>687.10906014782984</v>
      </c>
      <c r="Q48" s="81">
        <f>'Exh 8 Sales Forecasting'!$F$36*Q46</f>
        <v>715.8965322753487</v>
      </c>
      <c r="R48" s="81">
        <f>'Exh 8 Sales Forecasting'!$F$36*R46</f>
        <v>735.42887088016118</v>
      </c>
      <c r="S48" s="81">
        <f>'Exh 8 Sales Forecasting'!$F$36*S46</f>
        <v>754.01855037284008</v>
      </c>
      <c r="T48" s="81">
        <f>'Exh 8 Sales Forecasting'!$F$36*T46</f>
        <v>771.56525431211833</v>
      </c>
      <c r="U48" s="81">
        <f>'Exh 8 Sales Forecasting'!$F$36*U46</f>
        <v>789.52028616187079</v>
      </c>
      <c r="V48" s="55"/>
      <c r="W48" s="55"/>
    </row>
    <row r="49" spans="1:23" ht="14" customHeight="1">
      <c r="A49" s="65"/>
      <c r="B49" s="51" t="s">
        <v>16</v>
      </c>
      <c r="C49" s="51"/>
      <c r="D49" s="55"/>
      <c r="E49" s="51"/>
      <c r="F49" s="51"/>
      <c r="G49" s="55"/>
      <c r="H49" s="55"/>
      <c r="I49" s="55"/>
      <c r="J49" s="55"/>
      <c r="K49" s="55"/>
      <c r="L49" s="60">
        <v>158</v>
      </c>
      <c r="M49" s="60">
        <v>227.2</v>
      </c>
      <c r="N49" s="60">
        <v>303.10000000000002</v>
      </c>
      <c r="O49" s="81">
        <f>'Exh 8 Sales Forecasting'!$F$48*O46</f>
        <v>320.87838286819715</v>
      </c>
      <c r="P49" s="81">
        <f>'Exh 8 Sales Forecasting'!$F$48*P46</f>
        <v>361.90545231274501</v>
      </c>
      <c r="Q49" s="81">
        <f>'Exh 8 Sales Forecasting'!$F$48*Q46</f>
        <v>377.06802798742575</v>
      </c>
      <c r="R49" s="81">
        <f>'Exh 8 Sales Forecasting'!$F$48*R46</f>
        <v>387.35585600119043</v>
      </c>
      <c r="S49" s="81">
        <f>'Exh 8 Sales Forecasting'!$F$48*S46</f>
        <v>397.14717844962308</v>
      </c>
      <c r="T49" s="81">
        <f>'Exh 8 Sales Forecasting'!$F$48*T46</f>
        <v>406.38915791701078</v>
      </c>
      <c r="U49" s="81">
        <f>'Exh 8 Sales Forecasting'!$F$48*U46</f>
        <v>415.84620673175993</v>
      </c>
      <c r="V49" s="55"/>
      <c r="W49" s="55"/>
    </row>
    <row r="50" spans="1:23" ht="14" customHeight="1">
      <c r="A50" s="65"/>
      <c r="B50" s="51" t="s">
        <v>17</v>
      </c>
      <c r="C50" s="51"/>
      <c r="D50" s="55"/>
      <c r="E50" s="51"/>
      <c r="F50" s="59"/>
      <c r="G50" s="59"/>
      <c r="H50" s="59"/>
      <c r="I50" s="59"/>
      <c r="J50" s="59"/>
      <c r="K50" s="59"/>
      <c r="L50" s="60">
        <f>SUM('Exh 6 Stores BS'!G46:K46)/5</f>
        <v>78.8</v>
      </c>
      <c r="M50" s="60">
        <f>SUM('Exh 6 Stores BS'!H46:L46)/5</f>
        <v>78.8</v>
      </c>
      <c r="N50" s="60">
        <f>SUM('Exh 6 Stores BS'!I46:M46)/5</f>
        <v>78.8</v>
      </c>
      <c r="O50" s="82">
        <f>N50</f>
        <v>78.8</v>
      </c>
      <c r="P50" s="82">
        <f>O50</f>
        <v>78.8</v>
      </c>
      <c r="Q50" s="82">
        <v>0</v>
      </c>
      <c r="R50" s="82">
        <v>0</v>
      </c>
      <c r="S50" s="82">
        <v>0</v>
      </c>
      <c r="T50" s="82">
        <f>'Exh 6 Stores BS'!S46/5</f>
        <v>64.396149492596564</v>
      </c>
      <c r="U50" s="59">
        <f>T50</f>
        <v>64.396149492596564</v>
      </c>
      <c r="V50" s="59"/>
      <c r="W50" s="59"/>
    </row>
    <row r="51" spans="1:23" ht="14" customHeight="1">
      <c r="A51" s="65"/>
      <c r="B51" s="51" t="s">
        <v>10</v>
      </c>
      <c r="C51" s="51"/>
      <c r="D51" s="55"/>
      <c r="E51" s="63"/>
      <c r="F51" s="59"/>
      <c r="G51" s="59"/>
      <c r="H51" s="59"/>
      <c r="I51" s="59"/>
      <c r="J51" s="59"/>
      <c r="K51" s="59"/>
      <c r="L51" s="60">
        <v>280</v>
      </c>
      <c r="M51" s="60">
        <f>L51</f>
        <v>280</v>
      </c>
      <c r="N51" s="60">
        <f>M51</f>
        <v>280</v>
      </c>
      <c r="O51" s="82">
        <f>N51</f>
        <v>280</v>
      </c>
      <c r="P51" s="82">
        <f t="shared" ref="P51:Q51" si="10">O51</f>
        <v>280</v>
      </c>
      <c r="Q51" s="82">
        <f t="shared" si="10"/>
        <v>280</v>
      </c>
      <c r="R51" s="82">
        <f>Q51*(1+2%)^6</f>
        <v>315.32547739392004</v>
      </c>
      <c r="S51" s="82">
        <f>R51</f>
        <v>315.32547739392004</v>
      </c>
      <c r="T51" s="82">
        <f t="shared" ref="T51:U51" si="11">S51</f>
        <v>315.32547739392004</v>
      </c>
      <c r="U51" s="82">
        <f t="shared" si="11"/>
        <v>315.32547739392004</v>
      </c>
      <c r="V51" s="62"/>
      <c r="W51" s="62"/>
    </row>
    <row r="52" spans="1:23" ht="14" customHeight="1">
      <c r="A52" s="80">
        <v>2010</v>
      </c>
      <c r="B52" s="56"/>
      <c r="C52" s="57">
        <v>2</v>
      </c>
      <c r="D52" s="58">
        <v>14700</v>
      </c>
      <c r="E52" s="56"/>
      <c r="F52" s="56"/>
      <c r="G52" s="56"/>
      <c r="H52" s="56"/>
      <c r="I52" s="56"/>
      <c r="J52" s="56"/>
      <c r="K52" s="56"/>
      <c r="L52" s="56"/>
      <c r="M52" s="56">
        <v>1</v>
      </c>
      <c r="N52" s="56">
        <v>2</v>
      </c>
      <c r="O52" s="56">
        <v>3</v>
      </c>
      <c r="P52" s="56">
        <v>4</v>
      </c>
      <c r="Q52" s="56">
        <v>5</v>
      </c>
      <c r="R52" s="56">
        <v>6</v>
      </c>
      <c r="S52" s="56">
        <v>7</v>
      </c>
      <c r="T52" s="56">
        <v>8</v>
      </c>
      <c r="U52" s="56">
        <v>9</v>
      </c>
      <c r="V52" s="56"/>
      <c r="W52" s="56"/>
    </row>
    <row r="53" spans="1:23" ht="14" customHeight="1">
      <c r="A53" s="65"/>
      <c r="B53" s="51" t="s">
        <v>0</v>
      </c>
      <c r="C53" s="51"/>
      <c r="D53" s="55"/>
      <c r="E53" s="51"/>
      <c r="F53" s="51"/>
      <c r="G53" s="51"/>
      <c r="H53" s="51"/>
      <c r="I53" s="51"/>
      <c r="J53" s="51"/>
      <c r="K53" s="51"/>
      <c r="L53" s="51"/>
      <c r="M53" s="60">
        <v>3007.7</v>
      </c>
      <c r="N53" s="60">
        <v>5300</v>
      </c>
      <c r="O53" s="81">
        <f>N53*(1+'Exh 2 Econ Indicators'!M8)*(1+'Exh 8 Sales Forecasting'!E12)</f>
        <v>7286.0023791310932</v>
      </c>
      <c r="P53" s="81">
        <f>O53*(1+'Exh 2 Econ Indicators'!N8)*(1+'Exh 8 Sales Forecasting'!F12)</f>
        <v>9202.1472140847218</v>
      </c>
      <c r="Q53" s="81">
        <f>P53*(1+'Exh 2 Econ Indicators'!O8)*(1+'Exh 8 Sales Forecasting'!G12)</f>
        <v>10358.529057231972</v>
      </c>
      <c r="R53" s="81">
        <f>Q53*(1+'Exh 2 Econ Indicators'!P8)*(1+'Exh 8 Sales Forecasting'!H12)</f>
        <v>10771.47723978791</v>
      </c>
      <c r="S53" s="81">
        <f>R53*(1+'Exh 2 Econ Indicators'!Q8)*(1+'Exh 8 Sales Forecasting'!$I$12)</f>
        <v>11043.751442608771</v>
      </c>
      <c r="T53" s="81">
        <f>S53*(1+'Exh 2 Econ Indicators'!R8)*(1+'Exh 8 Sales Forecasting'!$I$12)</f>
        <v>11300.749678058832</v>
      </c>
      <c r="U53" s="81">
        <f>T53*(1+'Exh 2 Econ Indicators'!S8)*(1+'Exh 8 Sales Forecasting'!$I$12)</f>
        <v>11563.728498400509</v>
      </c>
      <c r="V53" s="55"/>
      <c r="W53" s="55"/>
    </row>
    <row r="54" spans="1:23" ht="14" customHeight="1">
      <c r="A54" s="65"/>
      <c r="B54" s="51" t="s">
        <v>1</v>
      </c>
      <c r="C54" s="51"/>
      <c r="D54" s="55"/>
      <c r="E54" s="51"/>
      <c r="F54" s="51"/>
      <c r="G54" s="51"/>
      <c r="H54" s="51"/>
      <c r="I54" s="51"/>
      <c r="J54" s="51"/>
      <c r="K54" s="51"/>
      <c r="L54" s="51"/>
      <c r="M54" s="60">
        <v>2226</v>
      </c>
      <c r="N54" s="60">
        <v>3525.6</v>
      </c>
      <c r="O54" s="81">
        <f>'Exh 8 Sales Forecasting'!$E$24*O53</f>
        <v>4095.5782356078389</v>
      </c>
      <c r="P54" s="81">
        <f>'Exh 8 Sales Forecasting'!$F$24*P53</f>
        <v>3614.9990617533563</v>
      </c>
      <c r="Q54" s="81">
        <f>'Exh 8 Sales Forecasting'!$F$24*Q53</f>
        <v>4069.2755670898027</v>
      </c>
      <c r="R54" s="81">
        <f>'Exh 8 Sales Forecasting'!$F$24*R53</f>
        <v>4231.4993674445277</v>
      </c>
      <c r="S54" s="81">
        <f>'Exh 8 Sales Forecasting'!$F$24*S53</f>
        <v>4338.4603804383805</v>
      </c>
      <c r="T54" s="81">
        <f>'Exh 8 Sales Forecasting'!$F$24*T53</f>
        <v>4439.4203366757947</v>
      </c>
      <c r="U54" s="81">
        <f>'Exh 8 Sales Forecasting'!$F$24*U53</f>
        <v>4542.7297237872162</v>
      </c>
      <c r="V54" s="55"/>
      <c r="W54" s="55"/>
    </row>
    <row r="55" spans="1:23" ht="14" customHeight="1">
      <c r="A55" s="65"/>
      <c r="B55" s="51" t="s">
        <v>19</v>
      </c>
      <c r="C55" s="51"/>
      <c r="D55" s="55"/>
      <c r="E55" s="51"/>
      <c r="F55" s="51"/>
      <c r="G55" s="55"/>
      <c r="H55" s="55"/>
      <c r="I55" s="55"/>
      <c r="J55" s="55"/>
      <c r="K55" s="55"/>
      <c r="L55" s="55"/>
      <c r="M55" s="60">
        <v>622.70000000000005</v>
      </c>
      <c r="N55" s="60">
        <v>1028</v>
      </c>
      <c r="O55" s="81">
        <f>'Exh 8 Sales Forecasting'!$E$36*O53</f>
        <v>1259.3545252100319</v>
      </c>
      <c r="P55" s="81">
        <f>'Exh 8 Sales Forecasting'!$F$36*P53</f>
        <v>1251.413045348022</v>
      </c>
      <c r="Q55" s="81">
        <f>'Exh 8 Sales Forecasting'!$F$36*Q53</f>
        <v>1408.6710515776033</v>
      </c>
      <c r="R55" s="81">
        <f>'Exh 8 Sales Forecasting'!$F$36*R53</f>
        <v>1464.8284603519701</v>
      </c>
      <c r="S55" s="81">
        <f>'Exh 8 Sales Forecasting'!$F$36*S53</f>
        <v>1501.8554151914063</v>
      </c>
      <c r="T55" s="81">
        <f>'Exh 8 Sales Forecasting'!$F$36*T53</f>
        <v>1536.8049695716466</v>
      </c>
      <c r="U55" s="81">
        <f>'Exh 8 Sales Forecasting'!$F$36*U53</f>
        <v>1572.567832169856</v>
      </c>
      <c r="V55" s="55"/>
      <c r="W55" s="55"/>
    </row>
    <row r="56" spans="1:23" ht="14" customHeight="1">
      <c r="A56" s="65"/>
      <c r="B56" s="51" t="s">
        <v>16</v>
      </c>
      <c r="C56" s="51"/>
      <c r="D56" s="55"/>
      <c r="E56" s="51"/>
      <c r="F56" s="51"/>
      <c r="G56" s="55"/>
      <c r="H56" s="55"/>
      <c r="I56" s="55"/>
      <c r="J56" s="55"/>
      <c r="K56" s="55"/>
      <c r="L56" s="55"/>
      <c r="M56" s="60">
        <v>352.9</v>
      </c>
      <c r="N56" s="60">
        <v>472.8</v>
      </c>
      <c r="O56" s="81">
        <f>'Exh 8 Sales Forecasting'!$E$48*O53</f>
        <v>595.69972530892971</v>
      </c>
      <c r="P56" s="81">
        <f>'Exh 8 Sales Forecasting'!$F$48*P53</f>
        <v>659.12855829510784</v>
      </c>
      <c r="Q56" s="81">
        <f>'Exh 8 Sales Forecasting'!$F$48*Q53</f>
        <v>741.9575197733227</v>
      </c>
      <c r="R56" s="81">
        <f>'Exh 8 Sales Forecasting'!$F$48*R53</f>
        <v>771.53604464217892</v>
      </c>
      <c r="S56" s="81">
        <f>'Exh 8 Sales Forecasting'!$F$48*S53</f>
        <v>791.03841714189059</v>
      </c>
      <c r="T56" s="81">
        <f>'Exh 8 Sales Forecasting'!$F$48*T53</f>
        <v>809.44660736920082</v>
      </c>
      <c r="U56" s="81">
        <f>'Exh 8 Sales Forecasting'!$F$48*U53</f>
        <v>828.28317308384737</v>
      </c>
      <c r="V56" s="55"/>
      <c r="W56" s="55"/>
    </row>
    <row r="57" spans="1:23" ht="14" customHeight="1">
      <c r="A57" s="65"/>
      <c r="B57" s="51" t="s">
        <v>17</v>
      </c>
      <c r="C57" s="51"/>
      <c r="D57" s="55"/>
      <c r="E57" s="51"/>
      <c r="F57" s="59"/>
      <c r="G57" s="59"/>
      <c r="H57" s="59"/>
      <c r="I57" s="59"/>
      <c r="J57" s="59"/>
      <c r="K57" s="59"/>
      <c r="L57" s="59"/>
      <c r="M57" s="60">
        <f>SUM('Exh 6 Stores BS'!H53:L53)/5</f>
        <v>150.4</v>
      </c>
      <c r="N57" s="60">
        <f>SUM('Exh 6 Stores BS'!I53:M53)/5</f>
        <v>150.4</v>
      </c>
      <c r="O57" s="81">
        <f>N57</f>
        <v>150.4</v>
      </c>
      <c r="P57" s="81">
        <f t="shared" ref="P57:Q57" si="12">O57</f>
        <v>150.4</v>
      </c>
      <c r="Q57" s="81">
        <f t="shared" si="12"/>
        <v>150.4</v>
      </c>
      <c r="R57" s="81">
        <v>0</v>
      </c>
      <c r="S57" s="81">
        <v>0</v>
      </c>
      <c r="T57" s="81">
        <v>0</v>
      </c>
      <c r="U57" s="81">
        <f>'Exh 6 Stores BS'!T53/5</f>
        <v>123.27685686029932</v>
      </c>
      <c r="V57" s="94"/>
      <c r="W57" s="94"/>
    </row>
    <row r="58" spans="1:23" ht="14" customHeight="1">
      <c r="A58" s="65"/>
      <c r="B58" s="51" t="s">
        <v>10</v>
      </c>
      <c r="C58" s="51"/>
      <c r="D58" s="55"/>
      <c r="E58" s="63"/>
      <c r="F58" s="59"/>
      <c r="G58" s="59"/>
      <c r="H58" s="59"/>
      <c r="I58" s="59"/>
      <c r="J58" s="59"/>
      <c r="K58" s="59"/>
      <c r="L58" s="59"/>
      <c r="M58" s="60">
        <v>565</v>
      </c>
      <c r="N58" s="60">
        <f>M58</f>
        <v>565</v>
      </c>
      <c r="O58" s="93">
        <f>N58</f>
        <v>565</v>
      </c>
      <c r="P58" s="93">
        <f t="shared" ref="P58:R58" si="13">O58</f>
        <v>565</v>
      </c>
      <c r="Q58" s="93">
        <f t="shared" si="13"/>
        <v>565</v>
      </c>
      <c r="R58" s="93">
        <f t="shared" si="13"/>
        <v>565</v>
      </c>
      <c r="S58" s="93">
        <f>R58*(1+2%)^6</f>
        <v>636.28176688415999</v>
      </c>
      <c r="T58" s="93">
        <f>S58</f>
        <v>636.28176688415999</v>
      </c>
      <c r="U58" s="93">
        <f>T58</f>
        <v>636.28176688415999</v>
      </c>
      <c r="V58" s="95"/>
      <c r="W58" s="95"/>
    </row>
    <row r="59" spans="1:23" ht="14" customHeight="1">
      <c r="A59" s="80">
        <v>2011</v>
      </c>
      <c r="B59" s="56"/>
      <c r="C59" s="57">
        <v>2</v>
      </c>
      <c r="D59" s="58">
        <v>15400</v>
      </c>
      <c r="E59" s="56"/>
      <c r="F59" s="56"/>
      <c r="G59" s="56"/>
      <c r="H59" s="56"/>
      <c r="I59" s="56"/>
      <c r="J59" s="56"/>
      <c r="K59" s="56"/>
      <c r="L59" s="56"/>
      <c r="M59" s="56"/>
      <c r="N59" s="56">
        <v>1</v>
      </c>
      <c r="O59" s="56">
        <v>2</v>
      </c>
      <c r="P59" s="56">
        <v>3</v>
      </c>
      <c r="Q59" s="56">
        <v>4</v>
      </c>
      <c r="R59" s="56">
        <v>5</v>
      </c>
      <c r="S59" s="56">
        <v>6</v>
      </c>
      <c r="T59" s="56">
        <v>7</v>
      </c>
      <c r="U59" s="56">
        <v>8</v>
      </c>
      <c r="V59" s="56"/>
      <c r="W59" s="56"/>
    </row>
    <row r="60" spans="1:23" ht="14" customHeight="1">
      <c r="A60" s="65"/>
      <c r="B60" s="51" t="s">
        <v>0</v>
      </c>
      <c r="C60" s="51"/>
      <c r="D60" s="55"/>
      <c r="E60" s="51"/>
      <c r="F60" s="51"/>
      <c r="G60" s="51"/>
      <c r="H60" s="51"/>
      <c r="I60" s="51"/>
      <c r="J60" s="51"/>
      <c r="K60" s="51"/>
      <c r="L60" s="51"/>
      <c r="M60" s="59"/>
      <c r="N60" s="60">
        <v>3353.7</v>
      </c>
      <c r="O60" s="81">
        <f>N60*(1+'Exh 2 Econ Indicators'!M8)*(1+'Exh 8 Sales Forecasting'!D12)</f>
        <v>5878.0411309812607</v>
      </c>
      <c r="P60" s="81">
        <f>O60*(1+'Exh 2 Econ Indicators'!N8)*(1+'Exh 8 Sales Forecasting'!E12)</f>
        <v>8064.9550231871708</v>
      </c>
      <c r="Q60" s="81">
        <f>P60*(1+'Exh 2 Econ Indicators'!O8)*(1+'Exh 8 Sales Forecasting'!F12)</f>
        <v>10166.139478475126</v>
      </c>
      <c r="R60" s="81">
        <f>Q60*(1+'Exh 2 Econ Indicators'!P8)*(1+'Exh 8 Sales Forecasting'!G12)</f>
        <v>11421.353451436353</v>
      </c>
      <c r="S60" s="81">
        <f>R60*(1+'Exh 2 Econ Indicators'!Q8)*(1+'Exh 8 Sales Forecasting'!H12)</f>
        <v>11853.47506036887</v>
      </c>
      <c r="T60" s="81">
        <f>S60*(1+'Exh 2 Econ Indicators'!R8)*(1+'Exh 8 Sales Forecasting'!$I$12)</f>
        <v>12129.316307819699</v>
      </c>
      <c r="U60" s="81">
        <f>T60*(1+'Exh 2 Econ Indicators'!S8)*(1+'Exh 8 Sales Forecasting'!$I$12)</f>
        <v>12411.576634351364</v>
      </c>
      <c r="V60" s="55"/>
      <c r="W60" s="55"/>
    </row>
    <row r="61" spans="1:23" ht="14" customHeight="1">
      <c r="A61" s="65"/>
      <c r="B61" s="51" t="s">
        <v>1</v>
      </c>
      <c r="C61" s="51"/>
      <c r="D61" s="55"/>
      <c r="E61" s="51"/>
      <c r="F61" s="51"/>
      <c r="G61" s="51"/>
      <c r="H61" s="51"/>
      <c r="I61" s="51"/>
      <c r="J61" s="51"/>
      <c r="K61" s="51"/>
      <c r="L61" s="51"/>
      <c r="M61" s="55"/>
      <c r="N61" s="60">
        <v>2357.1</v>
      </c>
      <c r="O61" s="81">
        <f>'Exh 8 Sales Forecasting'!D24*O60</f>
        <v>3741.5193211807791</v>
      </c>
      <c r="P61" s="81">
        <f>'Exh 8 Sales Forecasting'!E24*P60</f>
        <v>4533.4399503806681</v>
      </c>
      <c r="Q61" s="81">
        <f>'Exh 8 Sales Forecasting'!$F$24*Q60</f>
        <v>3993.6966689786523</v>
      </c>
      <c r="R61" s="81">
        <f>'Exh 8 Sales Forecasting'!$F$24*R60</f>
        <v>4486.7986840832718</v>
      </c>
      <c r="S61" s="81">
        <f>'Exh 8 Sales Forecasting'!$F$24*S60</f>
        <v>4656.5546306588094</v>
      </c>
      <c r="T61" s="81">
        <f>'Exh 8 Sales Forecasting'!$F$24*T60</f>
        <v>4764.9169321444206</v>
      </c>
      <c r="U61" s="81">
        <f>'Exh 8 Sales Forecasting'!$F$24*U60</f>
        <v>4875.8009238741324</v>
      </c>
      <c r="V61" s="55"/>
      <c r="W61" s="55"/>
    </row>
    <row r="62" spans="1:23" ht="14" customHeight="1">
      <c r="A62" s="65"/>
      <c r="B62" s="51" t="s">
        <v>19</v>
      </c>
      <c r="C62" s="51"/>
      <c r="D62" s="55"/>
      <c r="E62" s="51"/>
      <c r="F62" s="51"/>
      <c r="G62" s="55"/>
      <c r="H62" s="55"/>
      <c r="I62" s="55"/>
      <c r="J62" s="55"/>
      <c r="K62" s="55"/>
      <c r="L62" s="55"/>
      <c r="M62" s="55"/>
      <c r="N62" s="60">
        <v>700.9</v>
      </c>
      <c r="O62" s="81">
        <f>'Exh 8 Sales Forecasting'!D36*O60</f>
        <v>1076.5731833775187</v>
      </c>
      <c r="P62" s="81">
        <f>'Exh 8 Sales Forecasting'!E36*P60</f>
        <v>1393.9931769933612</v>
      </c>
      <c r="Q62" s="81">
        <f>'Exh 8 Sales Forecasting'!$F$36*Q60</f>
        <v>1382.5077200155063</v>
      </c>
      <c r="R62" s="81">
        <f>'Exh 8 Sales Forecasting'!$F$36*R60</f>
        <v>1553.206047690873</v>
      </c>
      <c r="S62" s="81">
        <f>'Exh 8 Sales Forecasting'!$F$36*S60</f>
        <v>1611.9708778999836</v>
      </c>
      <c r="T62" s="81">
        <f>'Exh 8 Sales Forecasting'!$F$36*T60</f>
        <v>1649.4829201955788</v>
      </c>
      <c r="U62" s="81">
        <f>'Exh 8 Sales Forecasting'!$F$36*U60</f>
        <v>1687.8679021555799</v>
      </c>
      <c r="V62" s="55"/>
      <c r="W62" s="55"/>
    </row>
    <row r="63" spans="1:23" ht="14" customHeight="1">
      <c r="A63" s="65"/>
      <c r="B63" s="51" t="s">
        <v>16</v>
      </c>
      <c r="C63" s="51"/>
      <c r="D63" s="55"/>
      <c r="E63" s="51"/>
      <c r="F63" s="51"/>
      <c r="G63" s="55"/>
      <c r="H63" s="55"/>
      <c r="I63" s="55"/>
      <c r="J63" s="55"/>
      <c r="K63" s="55"/>
      <c r="L63" s="55"/>
      <c r="M63" s="55"/>
      <c r="N63" s="60">
        <v>358.3</v>
      </c>
      <c r="O63" s="81">
        <f>'Exh 8 Sales Forecasting'!D48*O60</f>
        <v>522.22910000511411</v>
      </c>
      <c r="P63" s="81">
        <f>'Exh 8 Sales Forecasting'!E48*P60</f>
        <v>659.38648410301721</v>
      </c>
      <c r="Q63" s="81">
        <f>'Exh 8 Sales Forecasting'!$F$48*Q60</f>
        <v>728.17709845133936</v>
      </c>
      <c r="R63" s="81">
        <f>'Exh 8 Sales Forecasting'!$F$48*R60</f>
        <v>818.08517719664326</v>
      </c>
      <c r="S63" s="81">
        <f>'Exh 8 Sales Forecasting'!$F$48*S60</f>
        <v>849.0370503277212</v>
      </c>
      <c r="T63" s="81">
        <f>'Exh 8 Sales Forecasting'!$F$48*T60</f>
        <v>868.79492199840092</v>
      </c>
      <c r="U63" s="81">
        <f>'Exh 8 Sales Forecasting'!$F$48*U60</f>
        <v>889.01257748276032</v>
      </c>
      <c r="V63" s="55"/>
      <c r="W63" s="55"/>
    </row>
    <row r="64" spans="1:23" ht="14" customHeight="1">
      <c r="A64" s="65"/>
      <c r="B64" s="51" t="s">
        <v>17</v>
      </c>
      <c r="C64" s="51"/>
      <c r="D64" s="55"/>
      <c r="E64" s="51"/>
      <c r="F64" s="59"/>
      <c r="G64" s="59"/>
      <c r="H64" s="59"/>
      <c r="I64" s="59"/>
      <c r="J64" s="59"/>
      <c r="K64" s="59"/>
      <c r="L64" s="59"/>
      <c r="M64" s="59"/>
      <c r="N64" s="60">
        <f>SUM('Exh 6 Stores BS'!I60:M60)/5</f>
        <v>159.6</v>
      </c>
      <c r="O64" s="93">
        <f>N64</f>
        <v>159.6</v>
      </c>
      <c r="P64" s="93">
        <f t="shared" ref="P64:R64" si="14">O64</f>
        <v>159.6</v>
      </c>
      <c r="Q64" s="93">
        <f t="shared" si="14"/>
        <v>159.6</v>
      </c>
      <c r="R64" s="93">
        <f t="shared" si="14"/>
        <v>159.6</v>
      </c>
      <c r="S64" s="93">
        <v>0</v>
      </c>
      <c r="T64" s="93">
        <v>0</v>
      </c>
      <c r="U64" s="94">
        <v>0</v>
      </c>
      <c r="V64" s="94"/>
      <c r="W64" s="94"/>
    </row>
    <row r="65" spans="1:23" ht="14" customHeight="1">
      <c r="A65" s="65"/>
      <c r="B65" s="51" t="s">
        <v>10</v>
      </c>
      <c r="C65" s="51"/>
      <c r="D65" s="55"/>
      <c r="E65" s="63"/>
      <c r="F65" s="59"/>
      <c r="G65" s="59"/>
      <c r="H65" s="59"/>
      <c r="I65" s="59"/>
      <c r="J65" s="59"/>
      <c r="K65" s="59"/>
      <c r="L65" s="59"/>
      <c r="M65" s="59"/>
      <c r="N65" s="60">
        <v>610</v>
      </c>
      <c r="O65" s="93">
        <f>N65</f>
        <v>610</v>
      </c>
      <c r="P65" s="93">
        <f t="shared" ref="P65:S65" si="15">O65</f>
        <v>610</v>
      </c>
      <c r="Q65" s="93">
        <f t="shared" si="15"/>
        <v>610</v>
      </c>
      <c r="R65" s="93">
        <f t="shared" si="15"/>
        <v>610</v>
      </c>
      <c r="S65" s="93">
        <f t="shared" si="15"/>
        <v>610</v>
      </c>
      <c r="T65" s="93">
        <f>S65*(1+2%)^6</f>
        <v>686.95907575104002</v>
      </c>
      <c r="U65" s="95">
        <f>T65</f>
        <v>686.95907575104002</v>
      </c>
      <c r="V65" s="94"/>
      <c r="W65" s="95"/>
    </row>
    <row r="66" spans="1:23" ht="14" customHeight="1">
      <c r="A66" s="80">
        <v>2012</v>
      </c>
      <c r="B66" s="56"/>
      <c r="C66" s="57">
        <v>3</v>
      </c>
      <c r="D66" s="58">
        <v>16300</v>
      </c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>
        <v>1</v>
      </c>
      <c r="P66" s="56">
        <v>2</v>
      </c>
      <c r="Q66" s="56">
        <v>3</v>
      </c>
      <c r="R66" s="56">
        <v>4</v>
      </c>
      <c r="S66" s="56">
        <v>5</v>
      </c>
      <c r="T66" s="56">
        <v>6</v>
      </c>
      <c r="U66" s="56">
        <v>7</v>
      </c>
      <c r="V66" s="56"/>
      <c r="W66" s="56"/>
    </row>
    <row r="67" spans="1:23" ht="14" customHeight="1">
      <c r="A67" s="65"/>
      <c r="B67" s="51" t="s">
        <v>0</v>
      </c>
      <c r="C67" s="51"/>
      <c r="D67" s="55"/>
      <c r="E67" s="51"/>
      <c r="F67" s="51"/>
      <c r="G67" s="51"/>
      <c r="H67" s="51"/>
      <c r="I67" s="51"/>
      <c r="J67" s="51"/>
      <c r="K67" s="51"/>
      <c r="L67" s="51"/>
      <c r="M67" s="51"/>
      <c r="N67" s="59"/>
      <c r="O67" s="96">
        <f>110*C66*D66/1000</f>
        <v>5379</v>
      </c>
      <c r="P67" s="81">
        <f>O67*(1+'Exh 2 Econ Indicators'!N8)*(1+'Exh 8 Sales Forecasting'!D12)</f>
        <v>9409.4847784022786</v>
      </c>
      <c r="Q67" s="81">
        <f>P67*(1+'Exh 2 Econ Indicators'!O8)*(1+'Exh 8 Sales Forecasting'!E12)</f>
        <v>12885.1482363738</v>
      </c>
      <c r="R67" s="81">
        <f>Q67*(1+'Exh 2 Econ Indicators'!P8)*(1+'Exh 8 Sales Forecasting'!F12)</f>
        <v>16210.489500462158</v>
      </c>
      <c r="S67" s="81">
        <f>R67*(1+'Exh 2 Econ Indicators'!Q8)*(1+'Exh 8 Sales Forecasting'!G12)</f>
        <v>18176.429493468371</v>
      </c>
      <c r="T67" s="81">
        <f>S67*(1+'Exh 2 Econ Indicators'!R8)*(1+'Exh 8 Sales Forecasting'!H12)</f>
        <v>18827.210172077339</v>
      </c>
      <c r="U67" s="81">
        <f>T67*(1+'Exh 2 Econ Indicators'!S8)*(1+'Exh 8 Sales Forecasting'!I12)</f>
        <v>19265.336638234778</v>
      </c>
      <c r="V67" s="55"/>
      <c r="W67" s="55"/>
    </row>
    <row r="68" spans="1:23" ht="14" customHeight="1">
      <c r="A68" s="65"/>
      <c r="B68" s="51" t="s">
        <v>1</v>
      </c>
      <c r="C68" s="51"/>
      <c r="D68" s="55"/>
      <c r="E68" s="51"/>
      <c r="F68" s="51"/>
      <c r="G68" s="51"/>
      <c r="H68" s="51"/>
      <c r="I68" s="51"/>
      <c r="J68" s="51"/>
      <c r="K68" s="51"/>
      <c r="L68" s="51"/>
      <c r="M68" s="51"/>
      <c r="N68" s="55"/>
      <c r="O68" s="81">
        <f>'Exh 8 Sales Forecasting'!C24*O67</f>
        <v>3811.7627810760832</v>
      </c>
      <c r="P68" s="81">
        <f>'Exh 8 Sales Forecasting'!D24*P67</f>
        <v>5989.3710023889262</v>
      </c>
      <c r="Q68" s="81">
        <f>'Exh 8 Sales Forecasting'!E24*Q67</f>
        <v>7242.9474948602347</v>
      </c>
      <c r="R68" s="81">
        <f>'Exh 8 Sales Forecasting'!$F$24*R67</f>
        <v>6368.1772277060863</v>
      </c>
      <c r="S68" s="81">
        <f>'Exh 8 Sales Forecasting'!$F$24*S67</f>
        <v>7140.4829803572884</v>
      </c>
      <c r="T68" s="81">
        <f>'Exh 8 Sales Forecasting'!$F$24*T67</f>
        <v>7396.1376105046747</v>
      </c>
      <c r="U68" s="81">
        <f>'Exh 8 Sales Forecasting'!$F$24*U67</f>
        <v>7568.2525231703039</v>
      </c>
      <c r="V68" s="55"/>
      <c r="W68" s="55"/>
    </row>
    <row r="69" spans="1:23" ht="14" customHeight="1">
      <c r="A69" s="65"/>
      <c r="B69" s="51" t="s">
        <v>19</v>
      </c>
      <c r="C69" s="51"/>
      <c r="D69" s="55"/>
      <c r="E69" s="51"/>
      <c r="F69" s="51"/>
      <c r="G69" s="55"/>
      <c r="H69" s="55"/>
      <c r="I69" s="55"/>
      <c r="J69" s="55"/>
      <c r="K69" s="55"/>
      <c r="L69" s="55"/>
      <c r="M69" s="55"/>
      <c r="N69" s="55"/>
      <c r="O69" s="81">
        <f>'Exh 8 Sales Forecasting'!C36*O67</f>
        <v>1039.2739782039746</v>
      </c>
      <c r="P69" s="81">
        <f>'Exh 8 Sales Forecasting'!D36*P67</f>
        <v>1723.3630653645628</v>
      </c>
      <c r="Q69" s="81">
        <f>'Exh 8 Sales Forecasting'!E36*Q67</f>
        <v>2227.1430745009702</v>
      </c>
      <c r="R69" s="81">
        <f>'Exh 8 Sales Forecasting'!$F$36*R67</f>
        <v>2204.4874484626689</v>
      </c>
      <c r="S69" s="81">
        <f>'Exh 8 Sales Forecasting'!$F$36*S67</f>
        <v>2471.8384151863711</v>
      </c>
      <c r="T69" s="81">
        <f>'Exh 8 Sales Forecasting'!$F$36*T67</f>
        <v>2560.3390022694812</v>
      </c>
      <c r="U69" s="81">
        <f>'Exh 8 Sales Forecasting'!$F$36*U67</f>
        <v>2619.9204415255776</v>
      </c>
      <c r="V69" s="55"/>
      <c r="W69" s="55"/>
    </row>
    <row r="70" spans="1:23" ht="14" customHeight="1">
      <c r="A70" s="65"/>
      <c r="B70" s="51" t="s">
        <v>16</v>
      </c>
      <c r="C70" s="51"/>
      <c r="D70" s="55"/>
      <c r="E70" s="51"/>
      <c r="F70" s="51"/>
      <c r="G70" s="55"/>
      <c r="H70" s="55"/>
      <c r="I70" s="55"/>
      <c r="J70" s="55"/>
      <c r="K70" s="55"/>
      <c r="L70" s="55"/>
      <c r="M70" s="55"/>
      <c r="N70" s="55"/>
      <c r="O70" s="81">
        <f>'Exh 8 Sales Forecasting'!C48*O67</f>
        <v>569.08328349561407</v>
      </c>
      <c r="P70" s="81">
        <f>'Exh 8 Sales Forecasting'!D48*P67</f>
        <v>835.9769280002522</v>
      </c>
      <c r="Q70" s="81">
        <f>'Exh 8 Sales Forecasting'!E48*Q67</f>
        <v>1053.4829479273503</v>
      </c>
      <c r="R70" s="81">
        <f>'Exh 8 Sales Forecasting'!$F$48*R67</f>
        <v>1161.1199348499395</v>
      </c>
      <c r="S70" s="81">
        <f>'Exh 8 Sales Forecasting'!$F$48*S67</f>
        <v>1301.9356774302721</v>
      </c>
      <c r="T70" s="81">
        <f>'Exh 8 Sales Forecasting'!$F$48*T67</f>
        <v>1348.5495948648136</v>
      </c>
      <c r="U70" s="81">
        <f>'Exh 8 Sales Forecasting'!$F$48*U67</f>
        <v>1379.9315820544205</v>
      </c>
      <c r="V70" s="55"/>
      <c r="W70" s="55"/>
    </row>
    <row r="71" spans="1:23" ht="14" customHeight="1">
      <c r="A71" s="65"/>
      <c r="B71" s="51" t="s">
        <v>17</v>
      </c>
      <c r="C71" s="51"/>
      <c r="D71" s="55"/>
      <c r="E71" s="51"/>
      <c r="F71" s="59"/>
      <c r="G71" s="59"/>
      <c r="H71" s="59"/>
      <c r="I71" s="59"/>
      <c r="J71" s="59"/>
      <c r="K71" s="59"/>
      <c r="L71" s="59"/>
      <c r="M71" s="59"/>
      <c r="N71" s="59"/>
      <c r="O71" s="94">
        <f>'Exh 6 Stores BS'!N67/5</f>
        <v>258.60000000000002</v>
      </c>
      <c r="P71" s="93">
        <f>O71</f>
        <v>258.60000000000002</v>
      </c>
      <c r="Q71" s="93">
        <f t="shared" ref="Q71:S71" si="16">P71</f>
        <v>258.60000000000002</v>
      </c>
      <c r="R71" s="93">
        <f t="shared" si="16"/>
        <v>258.60000000000002</v>
      </c>
      <c r="S71" s="93">
        <f t="shared" si="16"/>
        <v>258.60000000000002</v>
      </c>
      <c r="T71" s="93">
        <v>0</v>
      </c>
      <c r="U71" s="94">
        <v>0</v>
      </c>
      <c r="V71" s="94"/>
      <c r="W71" s="94"/>
    </row>
    <row r="72" spans="1:23" ht="14" customHeight="1">
      <c r="A72" s="65"/>
      <c r="B72" s="51" t="s">
        <v>10</v>
      </c>
      <c r="C72" s="51"/>
      <c r="D72" s="55"/>
      <c r="E72" s="63"/>
      <c r="F72" s="59"/>
      <c r="G72" s="59"/>
      <c r="H72" s="59"/>
      <c r="I72" s="59"/>
      <c r="J72" s="59"/>
      <c r="K72" s="59"/>
      <c r="L72" s="59"/>
      <c r="M72" s="59"/>
      <c r="N72" s="59"/>
      <c r="O72" s="96">
        <v>1000</v>
      </c>
      <c r="P72" s="93">
        <f>O72</f>
        <v>1000</v>
      </c>
      <c r="Q72" s="93">
        <f t="shared" ref="Q72:T72" si="17">P72</f>
        <v>1000</v>
      </c>
      <c r="R72" s="93">
        <f t="shared" si="17"/>
        <v>1000</v>
      </c>
      <c r="S72" s="93">
        <f t="shared" si="17"/>
        <v>1000</v>
      </c>
      <c r="T72" s="93">
        <f t="shared" si="17"/>
        <v>1000</v>
      </c>
      <c r="U72" s="94">
        <f>T72*(1+2%)^6</f>
        <v>1126.1624192640002</v>
      </c>
      <c r="V72" s="95"/>
      <c r="W72" s="94"/>
    </row>
    <row r="73" spans="1:23" ht="14" customHeight="1">
      <c r="A73" s="80">
        <v>2013</v>
      </c>
      <c r="B73" s="56"/>
      <c r="C73" s="57">
        <v>2</v>
      </c>
      <c r="D73" s="58">
        <v>16000</v>
      </c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>
        <v>1</v>
      </c>
      <c r="Q73" s="56">
        <v>2</v>
      </c>
      <c r="R73" s="56">
        <v>3</v>
      </c>
      <c r="S73" s="56">
        <v>4</v>
      </c>
      <c r="T73" s="56">
        <v>5</v>
      </c>
      <c r="U73" s="56">
        <v>6</v>
      </c>
      <c r="V73" s="56"/>
      <c r="W73" s="56"/>
    </row>
    <row r="74" spans="1:23" ht="14" customHeight="1">
      <c r="A74" s="65"/>
      <c r="B74" s="51" t="s">
        <v>0</v>
      </c>
      <c r="C74" s="51"/>
      <c r="D74" s="55"/>
      <c r="E74" s="51"/>
      <c r="F74" s="51"/>
      <c r="G74" s="51"/>
      <c r="H74" s="51"/>
      <c r="I74" s="51"/>
      <c r="J74" s="51"/>
      <c r="K74" s="51"/>
      <c r="L74" s="51"/>
      <c r="M74" s="59"/>
      <c r="N74" s="55"/>
      <c r="O74" s="55"/>
      <c r="P74" s="96">
        <f>113.2*C73*D73/1000</f>
        <v>3622.4</v>
      </c>
      <c r="Q74" s="81">
        <f>P74*(1+'Exh 2 Econ Indicators'!O8)*(1+'Exh 8 Sales Forecasting'!D12)</f>
        <v>6324.3362319956286</v>
      </c>
      <c r="R74" s="81">
        <f>Q74*(1+'Exh 2 Econ Indicators'!P8)*(1+'Exh 8 Sales Forecasting'!E12)</f>
        <v>8643.5295703848697</v>
      </c>
      <c r="S74" s="81">
        <f>R74*(1+'Exh 2 Econ Indicators'!Q8)*(1+'Exh 8 Sales Forecasting'!F12)</f>
        <v>10852.97421666051</v>
      </c>
      <c r="T74" s="81">
        <f>S74*(1+'Exh 2 Econ Indicators'!R8)*(1+'Exh 8 Sales Forecasting'!G12)</f>
        <v>12145.362850247473</v>
      </c>
      <c r="U74" s="81">
        <f>T74*(1+'Exh 2 Econ Indicators'!S8)*(1+'Exh 8 Sales Forecasting'!H12)</f>
        <v>12580.209940567191</v>
      </c>
      <c r="V74" s="55"/>
      <c r="W74" s="55"/>
    </row>
    <row r="75" spans="1:23" ht="14" customHeight="1">
      <c r="A75" s="65"/>
      <c r="B75" s="51" t="s">
        <v>1</v>
      </c>
      <c r="C75" s="51"/>
      <c r="D75" s="55"/>
      <c r="E75" s="51"/>
      <c r="F75" s="51"/>
      <c r="G75" s="51"/>
      <c r="H75" s="51"/>
      <c r="I75" s="51"/>
      <c r="J75" s="51"/>
      <c r="K75" s="51"/>
      <c r="L75" s="51"/>
      <c r="M75" s="55"/>
      <c r="N75" s="55"/>
      <c r="O75" s="55"/>
      <c r="P75" s="81">
        <f>'Exh 8 Sales Forecasting'!C24*P74</f>
        <v>2566.9696036754053</v>
      </c>
      <c r="Q75" s="81">
        <f>'Exh 8 Sales Forecasting'!D24*Q74</f>
        <v>4025.5972488755165</v>
      </c>
      <c r="R75" s="81">
        <f>'Exh 8 Sales Forecasting'!E24*R74</f>
        <v>4858.665938498194</v>
      </c>
      <c r="S75" s="81">
        <f>'Exh 8 Sales Forecasting'!$F$24*S74</f>
        <v>4263.5148838317527</v>
      </c>
      <c r="T75" s="81">
        <f>'Exh 8 Sales Forecasting'!$F$24*T74</f>
        <v>4771.2207039132527</v>
      </c>
      <c r="U75" s="81">
        <f>'Exh 8 Sales Forecasting'!$F$24*U74</f>
        <v>4942.0473367567165</v>
      </c>
      <c r="V75" s="55"/>
      <c r="W75" s="55"/>
    </row>
    <row r="76" spans="1:23" ht="14" customHeight="1">
      <c r="A76" s="65"/>
      <c r="B76" s="51" t="s">
        <v>19</v>
      </c>
      <c r="C76" s="51"/>
      <c r="D76" s="55"/>
      <c r="E76" s="51"/>
      <c r="F76" s="51"/>
      <c r="G76" s="55"/>
      <c r="H76" s="55"/>
      <c r="I76" s="55"/>
      <c r="J76" s="55"/>
      <c r="K76" s="55"/>
      <c r="L76" s="55"/>
      <c r="M76" s="55"/>
      <c r="N76" s="55"/>
      <c r="O76" s="55"/>
      <c r="P76" s="81">
        <f>'Exh 8 Sales Forecasting'!C36*P74</f>
        <v>699.88214512847696</v>
      </c>
      <c r="Q76" s="81">
        <f>'Exh 8 Sales Forecasting'!D36*Q74</f>
        <v>1158.3128866083161</v>
      </c>
      <c r="R76" s="81">
        <f>'Exh 8 Sales Forecasting'!E36*R74</f>
        <v>1493.9973269057664</v>
      </c>
      <c r="S76" s="81">
        <f>'Exh 8 Sales Forecasting'!$F$36*S74</f>
        <v>1475.9113497735498</v>
      </c>
      <c r="T76" s="81">
        <f>'Exh 8 Sales Forecasting'!$F$36*T74</f>
        <v>1651.6651122492019</v>
      </c>
      <c r="U76" s="81">
        <f>'Exh 8 Sales Forecasting'!$F$36*U74</f>
        <v>1710.8005845360196</v>
      </c>
      <c r="V76" s="55"/>
      <c r="W76" s="55"/>
    </row>
    <row r="77" spans="1:23" ht="14" customHeight="1">
      <c r="A77" s="65"/>
      <c r="B77" s="51" t="s">
        <v>16</v>
      </c>
      <c r="C77" s="51"/>
      <c r="D77" s="55"/>
      <c r="E77" s="51"/>
      <c r="F77" s="51"/>
      <c r="G77" s="55"/>
      <c r="H77" s="55"/>
      <c r="I77" s="55"/>
      <c r="J77" s="55"/>
      <c r="K77" s="55"/>
      <c r="L77" s="55"/>
      <c r="M77" s="55"/>
      <c r="N77" s="55"/>
      <c r="O77" s="55"/>
      <c r="P77" s="81">
        <f>'Exh 8 Sales Forecasting'!C48*P74</f>
        <v>383.23987472290622</v>
      </c>
      <c r="Q77" s="81">
        <f>'Exh 8 Sales Forecasting'!D48*Q74</f>
        <v>561.87977337502252</v>
      </c>
      <c r="R77" s="81">
        <f>'Exh 8 Sales Forecasting'!E48*R74</f>
        <v>706.69043500805526</v>
      </c>
      <c r="S77" s="81">
        <f>'Exh 8 Sales Forecasting'!$F$48*S74</f>
        <v>777.37348492885769</v>
      </c>
      <c r="T77" s="81">
        <f>'Exh 8 Sales Forecasting'!$F$48*T74</f>
        <v>869.94429878296819</v>
      </c>
      <c r="U77" s="81">
        <f>'Exh 8 Sales Forecasting'!$F$48*U74</f>
        <v>901.09139185300296</v>
      </c>
      <c r="V77" s="55"/>
      <c r="W77" s="55"/>
    </row>
    <row r="78" spans="1:23" ht="14" customHeight="1">
      <c r="A78" s="65"/>
      <c r="B78" s="51" t="s">
        <v>17</v>
      </c>
      <c r="C78" s="51"/>
      <c r="D78" s="55"/>
      <c r="E78" s="51"/>
      <c r="F78" s="59"/>
      <c r="G78" s="59"/>
      <c r="H78" s="59"/>
      <c r="I78" s="59"/>
      <c r="J78" s="59"/>
      <c r="K78" s="59"/>
      <c r="L78" s="59"/>
      <c r="M78" s="59"/>
      <c r="N78" s="59"/>
      <c r="O78" s="94"/>
      <c r="P78" s="94">
        <f>'Exh 6 Stores BS'!O74/5</f>
        <v>172.07000736196318</v>
      </c>
      <c r="Q78" s="93">
        <f>P78</f>
        <v>172.07000736196318</v>
      </c>
      <c r="R78" s="93">
        <f t="shared" ref="R78:T78" si="18">Q78</f>
        <v>172.07000736196318</v>
      </c>
      <c r="S78" s="93">
        <f t="shared" si="18"/>
        <v>172.07000736196318</v>
      </c>
      <c r="T78" s="93">
        <f t="shared" si="18"/>
        <v>172.07000736196318</v>
      </c>
      <c r="U78" s="94">
        <v>0</v>
      </c>
      <c r="V78" s="94"/>
      <c r="W78" s="94"/>
    </row>
    <row r="79" spans="1:23" ht="14" customHeight="1">
      <c r="A79" s="65"/>
      <c r="B79" s="51" t="s">
        <v>10</v>
      </c>
      <c r="C79" s="51"/>
      <c r="D79" s="55"/>
      <c r="E79" s="63"/>
      <c r="F79" s="59"/>
      <c r="G79" s="59"/>
      <c r="H79" s="59"/>
      <c r="I79" s="59"/>
      <c r="J79" s="59"/>
      <c r="K79" s="59"/>
      <c r="L79" s="59"/>
      <c r="M79" s="59"/>
      <c r="N79" s="59"/>
      <c r="O79" s="94"/>
      <c r="P79" s="97">
        <f>$D$96*$C73*$D73/1000</f>
        <v>668.16</v>
      </c>
      <c r="Q79" s="93">
        <f>P79</f>
        <v>668.16</v>
      </c>
      <c r="R79" s="93">
        <f t="shared" ref="R79:U79" si="19">Q79</f>
        <v>668.16</v>
      </c>
      <c r="S79" s="93">
        <f t="shared" si="19"/>
        <v>668.16</v>
      </c>
      <c r="T79" s="93">
        <f t="shared" si="19"/>
        <v>668.16</v>
      </c>
      <c r="U79" s="93">
        <f t="shared" si="19"/>
        <v>668.16</v>
      </c>
      <c r="V79" s="95"/>
      <c r="W79" s="95"/>
    </row>
    <row r="80" spans="1:23" ht="14" customHeight="1">
      <c r="A80" s="80">
        <v>2014</v>
      </c>
      <c r="B80" s="56"/>
      <c r="C80" s="57">
        <v>2</v>
      </c>
      <c r="D80" s="58">
        <v>16000</v>
      </c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>
        <v>1</v>
      </c>
      <c r="R80" s="56">
        <v>2</v>
      </c>
      <c r="S80" s="56">
        <v>3</v>
      </c>
      <c r="T80" s="56">
        <v>4</v>
      </c>
      <c r="U80" s="56">
        <v>5</v>
      </c>
      <c r="V80" s="56"/>
      <c r="W80" s="56"/>
    </row>
    <row r="81" spans="1:23" ht="14" customHeight="1">
      <c r="A81" s="65"/>
      <c r="B81" s="51" t="s">
        <v>0</v>
      </c>
      <c r="C81" s="51"/>
      <c r="D81" s="55"/>
      <c r="E81" s="51"/>
      <c r="F81" s="51"/>
      <c r="G81" s="51"/>
      <c r="H81" s="51"/>
      <c r="I81" s="51"/>
      <c r="J81" s="51"/>
      <c r="K81" s="51"/>
      <c r="L81" s="51"/>
      <c r="M81" s="59"/>
      <c r="N81" s="55"/>
      <c r="O81" s="55"/>
      <c r="P81" s="55"/>
      <c r="Q81" s="96">
        <f>116.6*C80*D80/1000</f>
        <v>3731.2</v>
      </c>
      <c r="R81" s="81">
        <f>Q81*(1+'Exh 2 Econ Indicators'!P8)*(1+'Exh 8 Sales Forecasting'!D12)</f>
        <v>6501.5913730834582</v>
      </c>
      <c r="S81" s="81">
        <f>R81*(1+'Exh 2 Econ Indicators'!Q8)*(1+'Exh 8 Sales Forecasting'!E12)</f>
        <v>8868.4307816628698</v>
      </c>
      <c r="T81" s="81">
        <f>S81*(1+'Exh 2 Econ Indicators'!R8)*(1+'Exh 8 Sales Forecasting'!F12)</f>
        <v>11113.572981766194</v>
      </c>
      <c r="U81" s="81">
        <f>T81*(1+'Exh 2 Econ Indicators'!S8)*(1+'Exh 8 Sales Forecasting'!G12)</f>
        <v>12436.99411162799</v>
      </c>
      <c r="V81" s="55"/>
      <c r="W81" s="55"/>
    </row>
    <row r="82" spans="1:23" ht="14" customHeight="1">
      <c r="A82" s="65"/>
      <c r="B82" s="51" t="s">
        <v>1</v>
      </c>
      <c r="C82" s="51"/>
      <c r="D82" s="55"/>
      <c r="E82" s="51"/>
      <c r="F82" s="51"/>
      <c r="G82" s="51"/>
      <c r="H82" s="51"/>
      <c r="I82" s="51"/>
      <c r="J82" s="51"/>
      <c r="K82" s="51"/>
      <c r="L82" s="51"/>
      <c r="M82" s="55"/>
      <c r="N82" s="55"/>
      <c r="O82" s="55"/>
      <c r="P82" s="55"/>
      <c r="Q82" s="81">
        <f>'Exh 8 Sales Forecasting'!C24*Q81</f>
        <v>2644.0693974253732</v>
      </c>
      <c r="R82" s="81">
        <f>'Exh 8 Sales Forecasting'!D24*R81</f>
        <v>4138.4245531390416</v>
      </c>
      <c r="S82" s="81">
        <f>'Exh 8 Sales Forecasting'!E24*S81</f>
        <v>4985.0864992037841</v>
      </c>
      <c r="T82" s="81">
        <f>'Exh 8 Sales Forecasting'!F24*T81</f>
        <v>4365.8892829186543</v>
      </c>
      <c r="U82" s="81">
        <f>'Exh 8 Sales Forecasting'!F24*U81</f>
        <v>4885.7860017444909</v>
      </c>
      <c r="V82" s="55"/>
      <c r="W82" s="55"/>
    </row>
    <row r="83" spans="1:23" ht="14" customHeight="1">
      <c r="A83" s="65"/>
      <c r="B83" s="51" t="s">
        <v>19</v>
      </c>
      <c r="C83" s="51"/>
      <c r="D83" s="55"/>
      <c r="E83" s="51"/>
      <c r="F83" s="51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81">
        <f>'Exh 8 Sales Forecasting'!C36*Q81</f>
        <v>720.90334030018028</v>
      </c>
      <c r="R83" s="81">
        <f>'Exh 8 Sales Forecasting'!D36*R81</f>
        <v>1190.7774657527461</v>
      </c>
      <c r="S83" s="81">
        <f>'Exh 8 Sales Forecasting'!E36*S81</f>
        <v>1532.8705448118446</v>
      </c>
      <c r="T83" s="81">
        <f>'Exh 8 Sales Forecasting'!$F$36*T81</f>
        <v>1511.3505452860588</v>
      </c>
      <c r="U83" s="81">
        <f>'Exh 8 Sales Forecasting'!$F$36*U81</f>
        <v>1691.3244609242902</v>
      </c>
      <c r="V83" s="55"/>
      <c r="W83" s="55"/>
    </row>
    <row r="84" spans="1:23" ht="14" customHeight="1">
      <c r="A84" s="65"/>
      <c r="B84" s="51" t="s">
        <v>16</v>
      </c>
      <c r="C84" s="51"/>
      <c r="D84" s="55"/>
      <c r="E84" s="51"/>
      <c r="F84" s="51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81">
        <f>'Exh 8 Sales Forecasting'!C48*Q81</f>
        <v>394.7506130096366</v>
      </c>
      <c r="R84" s="81">
        <f>'Exh 8 Sales Forecasting'!D48*R81</f>
        <v>577.62784160708736</v>
      </c>
      <c r="S84" s="81">
        <f>'Exh 8 Sales Forecasting'!E48*S81</f>
        <v>725.07823984376103</v>
      </c>
      <c r="T84" s="81">
        <f>'Exh 8 Sales Forecasting'!$F$48*T81</f>
        <v>796.03957278221083</v>
      </c>
      <c r="U84" s="81">
        <f>'Exh 8 Sales Forecasting'!$F$48*U81</f>
        <v>890.83317269419081</v>
      </c>
      <c r="V84" s="55"/>
      <c r="W84" s="55"/>
    </row>
    <row r="85" spans="1:23" ht="14" customHeight="1">
      <c r="A85" s="65"/>
      <c r="B85" s="51" t="s">
        <v>17</v>
      </c>
      <c r="C85" s="51"/>
      <c r="D85" s="55"/>
      <c r="E85" s="51"/>
      <c r="F85" s="59"/>
      <c r="G85" s="59"/>
      <c r="H85" s="59"/>
      <c r="I85" s="59"/>
      <c r="J85" s="59"/>
      <c r="K85" s="59"/>
      <c r="L85" s="59"/>
      <c r="M85" s="59"/>
      <c r="N85" s="59"/>
      <c r="O85" s="94"/>
      <c r="P85" s="94"/>
      <c r="Q85" s="94">
        <f>'Exh 6 Stores BS'!P81/5</f>
        <v>175.18447449521472</v>
      </c>
      <c r="R85" s="94">
        <f>Q85</f>
        <v>175.18447449521472</v>
      </c>
      <c r="S85" s="94">
        <f t="shared" ref="S85:U85" si="20">R85</f>
        <v>175.18447449521472</v>
      </c>
      <c r="T85" s="94">
        <f t="shared" si="20"/>
        <v>175.18447449521472</v>
      </c>
      <c r="U85" s="94">
        <f t="shared" si="20"/>
        <v>175.18447449521472</v>
      </c>
      <c r="V85" s="94"/>
      <c r="W85" s="94"/>
    </row>
    <row r="86" spans="1:23" ht="14" customHeight="1">
      <c r="A86" s="65"/>
      <c r="B86" s="51" t="s">
        <v>10</v>
      </c>
      <c r="C86" s="51"/>
      <c r="D86" s="55"/>
      <c r="E86" s="63"/>
      <c r="F86" s="59"/>
      <c r="G86" s="59"/>
      <c r="H86" s="59"/>
      <c r="I86" s="59"/>
      <c r="J86" s="59"/>
      <c r="K86" s="59"/>
      <c r="L86" s="59"/>
      <c r="M86" s="59"/>
      <c r="N86" s="59"/>
      <c r="O86" s="94"/>
      <c r="P86" s="94"/>
      <c r="Q86" s="96">
        <f>$D$96*(1+$D$97)^($A80-$A$73)*$C80*$D80/1000</f>
        <v>681.52319999999997</v>
      </c>
      <c r="R86" s="95">
        <f>Q86</f>
        <v>681.52319999999997</v>
      </c>
      <c r="S86" s="95">
        <f t="shared" ref="S86:U86" si="21">R86</f>
        <v>681.52319999999997</v>
      </c>
      <c r="T86" s="95">
        <f t="shared" si="21"/>
        <v>681.52319999999997</v>
      </c>
      <c r="U86" s="95">
        <f t="shared" si="21"/>
        <v>681.52319999999997</v>
      </c>
      <c r="V86" s="95"/>
      <c r="W86" s="98"/>
    </row>
    <row r="87" spans="1:23" ht="14" customHeight="1">
      <c r="A87" s="80">
        <v>2015</v>
      </c>
      <c r="B87" s="56"/>
      <c r="C87" s="57">
        <v>2</v>
      </c>
      <c r="D87" s="58">
        <v>15000</v>
      </c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>
        <v>1</v>
      </c>
      <c r="S87" s="56">
        <v>2</v>
      </c>
      <c r="T87" s="56">
        <v>3</v>
      </c>
      <c r="U87" s="56">
        <v>4</v>
      </c>
      <c r="V87" s="56"/>
      <c r="W87" s="56"/>
    </row>
    <row r="88" spans="1:23" ht="14" customHeight="1">
      <c r="A88" s="65"/>
      <c r="B88" s="51" t="s">
        <v>0</v>
      </c>
      <c r="C88" s="51"/>
      <c r="D88" s="55"/>
      <c r="E88" s="51"/>
      <c r="F88" s="51"/>
      <c r="G88" s="51"/>
      <c r="H88" s="51"/>
      <c r="I88" s="51"/>
      <c r="J88" s="51"/>
      <c r="K88" s="51"/>
      <c r="L88" s="51"/>
      <c r="M88" s="59"/>
      <c r="N88" s="55"/>
      <c r="O88" s="55"/>
      <c r="P88" s="55"/>
      <c r="Q88" s="55"/>
      <c r="R88" s="96">
        <f>119.9*C87*D87/1000</f>
        <v>3597</v>
      </c>
      <c r="S88" s="81">
        <f>R88*(1+'Exh 2 Econ Indicators'!Q8)*(1+'Exh 8 Sales Forecasting'!D12)</f>
        <v>6255.5070620446932</v>
      </c>
      <c r="T88" s="81">
        <f>S88*(1+'Exh 2 Econ Indicators'!R8)*(1+'Exh 8 Sales Forecasting'!E12)</f>
        <v>8516.0637705557001</v>
      </c>
      <c r="U88" s="81">
        <f>T88*(1+'Exh 2 Econ Indicators'!S8)*(1+'Exh 8 Sales Forecasting'!F12)</f>
        <v>10672.000330333483</v>
      </c>
      <c r="V88" s="55"/>
      <c r="W88" s="55"/>
    </row>
    <row r="89" spans="1:23" ht="14" customHeight="1">
      <c r="A89" s="65"/>
      <c r="B89" s="51" t="s">
        <v>1</v>
      </c>
      <c r="C89" s="51"/>
      <c r="D89" s="55"/>
      <c r="E89" s="51"/>
      <c r="F89" s="51"/>
      <c r="G89" s="51"/>
      <c r="H89" s="51"/>
      <c r="I89" s="51"/>
      <c r="J89" s="51"/>
      <c r="K89" s="51"/>
      <c r="L89" s="51"/>
      <c r="M89" s="55"/>
      <c r="N89" s="55"/>
      <c r="O89" s="55"/>
      <c r="P89" s="55"/>
      <c r="Q89" s="55"/>
      <c r="R89" s="81">
        <f>'Exh 8 Sales Forecasting'!C24*R88</f>
        <v>2548.9702032962764</v>
      </c>
      <c r="S89" s="81">
        <f>'Exh 8 Sales Forecasting'!D24*S88</f>
        <v>3981.785770953913</v>
      </c>
      <c r="T89" s="81">
        <f>'Exh 8 Sales Forecasting'!E24*T88</f>
        <v>4787.0153778203712</v>
      </c>
      <c r="U89" s="81">
        <f>'Exh 8 Sales Forecasting'!F24*U88</f>
        <v>4192.4205605120042</v>
      </c>
      <c r="V89" s="55"/>
      <c r="W89" s="55"/>
    </row>
    <row r="90" spans="1:23" ht="14" customHeight="1">
      <c r="A90" s="65"/>
      <c r="B90" s="51" t="s">
        <v>19</v>
      </c>
      <c r="C90" s="51"/>
      <c r="D90" s="55"/>
      <c r="E90" s="51"/>
      <c r="F90" s="51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81">
        <f>'Exh 8 Sales Forecasting'!C36*R88</f>
        <v>694.97462346155351</v>
      </c>
      <c r="S90" s="81">
        <f>'Exh 8 Sales Forecasting'!D36*S88</f>
        <v>1145.7067076190683</v>
      </c>
      <c r="T90" s="81">
        <f>'Exh 8 Sales Forecasting'!E36*T88</f>
        <v>1471.9654054938048</v>
      </c>
      <c r="U90" s="81">
        <f>'Exh 8 Sales Forecasting'!F36*U88</f>
        <v>1451.3004544087883</v>
      </c>
      <c r="V90" s="55"/>
      <c r="W90" s="55"/>
    </row>
    <row r="91" spans="1:23" ht="14" customHeight="1">
      <c r="A91" s="65"/>
      <c r="B91" s="51" t="s">
        <v>16</v>
      </c>
      <c r="C91" s="51"/>
      <c r="D91" s="55"/>
      <c r="E91" s="51"/>
      <c r="F91" s="51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81">
        <f>'Exh 8 Sales Forecasting'!C48*R88</f>
        <v>380.55262515964381</v>
      </c>
      <c r="S91" s="81">
        <f>'Exh 8 Sales Forecasting'!D48*S88</f>
        <v>555.76470975491213</v>
      </c>
      <c r="T91" s="81">
        <f>'Exh 8 Sales Forecasting'!E48*T88</f>
        <v>696.26889820455301</v>
      </c>
      <c r="U91" s="81">
        <f>'Exh 8 Sales Forecasting'!F48*U88</f>
        <v>764.41074329816308</v>
      </c>
      <c r="V91" s="55"/>
      <c r="W91" s="55"/>
    </row>
    <row r="92" spans="1:23" ht="14" customHeight="1">
      <c r="A92" s="65"/>
      <c r="B92" s="51" t="s">
        <v>17</v>
      </c>
      <c r="C92" s="51"/>
      <c r="D92" s="55"/>
      <c r="E92" s="51"/>
      <c r="F92" s="59"/>
      <c r="G92" s="59"/>
      <c r="H92" s="59"/>
      <c r="I92" s="59"/>
      <c r="J92" s="59"/>
      <c r="K92" s="59"/>
      <c r="L92" s="59"/>
      <c r="M92" s="59"/>
      <c r="N92" s="59"/>
      <c r="O92" s="94"/>
      <c r="P92" s="94"/>
      <c r="Q92" s="94"/>
      <c r="R92" s="94">
        <f>'Exh 6 Stores BS'!Q88/5</f>
        <v>167.42161246914551</v>
      </c>
      <c r="S92" s="94">
        <f>R92</f>
        <v>167.42161246914551</v>
      </c>
      <c r="T92" s="94">
        <f t="shared" ref="T92:U92" si="22">S92</f>
        <v>167.42161246914551</v>
      </c>
      <c r="U92" s="94">
        <f t="shared" si="22"/>
        <v>167.42161246914551</v>
      </c>
      <c r="V92" s="94"/>
      <c r="W92" s="94"/>
    </row>
    <row r="93" spans="1:23" ht="14" customHeight="1">
      <c r="A93" s="65"/>
      <c r="B93" s="51" t="s">
        <v>10</v>
      </c>
      <c r="C93" s="51"/>
      <c r="D93" s="55"/>
      <c r="E93" s="63"/>
      <c r="F93" s="59"/>
      <c r="G93" s="59"/>
      <c r="H93" s="59"/>
      <c r="I93" s="59"/>
      <c r="J93" s="59"/>
      <c r="K93" s="59"/>
      <c r="L93" s="59"/>
      <c r="M93" s="59"/>
      <c r="N93" s="59"/>
      <c r="O93" s="94"/>
      <c r="P93" s="94"/>
      <c r="Q93" s="94"/>
      <c r="R93" s="96">
        <f>$D$96*(1+$D$97)^($A87-$A$73)*$C87*$D87/1000</f>
        <v>651.70655999999997</v>
      </c>
      <c r="S93" s="95">
        <f>R93</f>
        <v>651.70655999999997</v>
      </c>
      <c r="T93" s="95">
        <f t="shared" ref="T93:U93" si="23">S93</f>
        <v>651.70655999999997</v>
      </c>
      <c r="U93" s="95">
        <f t="shared" si="23"/>
        <v>651.70655999999997</v>
      </c>
      <c r="V93" s="95"/>
      <c r="W93" s="98"/>
    </row>
    <row r="94" spans="1:23" ht="14" customHeight="1"/>
    <row r="95" spans="1:23" ht="14" customHeight="1">
      <c r="A95" s="20" t="s">
        <v>6</v>
      </c>
    </row>
    <row r="96" spans="1:23" ht="14" customHeight="1">
      <c r="B96" t="s">
        <v>87</v>
      </c>
      <c r="D96" s="34">
        <v>20.88</v>
      </c>
    </row>
    <row r="97" spans="2:21" ht="14" customHeight="1">
      <c r="B97" t="s">
        <v>57</v>
      </c>
      <c r="D97" s="44">
        <v>0.02</v>
      </c>
    </row>
    <row r="98" spans="2:21" ht="14" customHeight="1">
      <c r="D98" s="7"/>
    </row>
    <row r="99" spans="2:21" s="20" customFormat="1"/>
    <row r="101" spans="2:21">
      <c r="N101" s="51" t="s">
        <v>0</v>
      </c>
      <c r="O101" s="109">
        <f>O67+O60+O46+O53+O39+O32+O25+O11+O18+O4+O74+O81+O88</f>
        <v>165023.62775436489</v>
      </c>
      <c r="P101" s="109">
        <f t="shared" ref="P101:U101" si="24">P67+P60+P46+P53+P39+P32+P25+P11+P18+P4+P74+P81+P88</f>
        <v>181928.62473914278</v>
      </c>
      <c r="Q101" s="109">
        <f t="shared" si="24"/>
        <v>199599.9416407666</v>
      </c>
      <c r="R101" s="109">
        <f t="shared" si="24"/>
        <v>217539.9661113632</v>
      </c>
      <c r="S101" s="109">
        <f t="shared" si="24"/>
        <v>231499.43863971558</v>
      </c>
      <c r="T101" s="109">
        <f t="shared" si="24"/>
        <v>242308.02254407192</v>
      </c>
      <c r="U101" s="109">
        <f t="shared" si="24"/>
        <v>251121.52406039025</v>
      </c>
    </row>
    <row r="102" spans="2:21">
      <c r="N102" s="51" t="s">
        <v>1</v>
      </c>
      <c r="O102" s="7">
        <f t="shared" ref="O102:U102" si="25">O68+O61+O47+O54+O40+O33+O26+O12+O19+O5+O75+O82+O89</f>
        <v>69192.731598429513</v>
      </c>
      <c r="P102" s="7">
        <f t="shared" si="25"/>
        <v>76271.420463213391</v>
      </c>
      <c r="Q102" s="7">
        <f t="shared" si="25"/>
        <v>83311.965626300385</v>
      </c>
      <c r="R102" s="7">
        <f t="shared" si="25"/>
        <v>89642.401368614956</v>
      </c>
      <c r="S102" s="7">
        <f t="shared" si="25"/>
        <v>93968.471806270041</v>
      </c>
      <c r="T102" s="7">
        <f t="shared" si="25"/>
        <v>96630.548408692761</v>
      </c>
      <c r="U102" s="7">
        <f t="shared" si="25"/>
        <v>98651.331340896941</v>
      </c>
    </row>
    <row r="103" spans="2:21">
      <c r="N103" s="51" t="s">
        <v>19</v>
      </c>
      <c r="O103" s="7">
        <f t="shared" ref="O103:U103" si="26">O69+O62+O48+O55+O41+O34+O27+O13+O20+O6+O76+O83+O90</f>
        <v>23295.304000834974</v>
      </c>
      <c r="P103" s="7">
        <f t="shared" si="26"/>
        <v>25688.980829229167</v>
      </c>
      <c r="Q103" s="7">
        <f t="shared" si="26"/>
        <v>28130.502130667359</v>
      </c>
      <c r="R103" s="7">
        <f t="shared" si="26"/>
        <v>30414.550212330134</v>
      </c>
      <c r="S103" s="7">
        <f t="shared" si="26"/>
        <v>32103.788357007659</v>
      </c>
      <c r="T103" s="7">
        <f t="shared" si="26"/>
        <v>33265.665321404711</v>
      </c>
      <c r="U103" s="7">
        <f t="shared" si="26"/>
        <v>34150.372067059638</v>
      </c>
    </row>
    <row r="104" spans="2:21">
      <c r="N104" s="51" t="s">
        <v>16</v>
      </c>
      <c r="O104" s="7">
        <f t="shared" ref="O104:U104" si="27">O70+O63+O49+O56+O42+O35+O28+O14+O21+O7+O77+O84+O91</f>
        <v>12179.078152195863</v>
      </c>
      <c r="P104" s="7">
        <f t="shared" si="27"/>
        <v>13398.612700679305</v>
      </c>
      <c r="Q104" s="7">
        <f t="shared" si="27"/>
        <v>14663.808040619584</v>
      </c>
      <c r="R104" s="7">
        <f t="shared" si="27"/>
        <v>15904.301550866139</v>
      </c>
      <c r="S104" s="7">
        <f t="shared" si="27"/>
        <v>16779.320486641653</v>
      </c>
      <c r="T104" s="7">
        <f t="shared" si="27"/>
        <v>17442.247107672298</v>
      </c>
      <c r="U104" s="7">
        <f t="shared" si="27"/>
        <v>17987.254959087131</v>
      </c>
    </row>
    <row r="105" spans="2:21">
      <c r="N105" s="51" t="s">
        <v>17</v>
      </c>
      <c r="O105" s="7">
        <f t="shared" ref="O105:U105" si="28">O71+O64+O50+O57+O43+O36+O29+O15+O22+O8+O78+O85+O92</f>
        <v>1084.2</v>
      </c>
      <c r="P105" s="7">
        <f t="shared" si="28"/>
        <v>1372.7356021552964</v>
      </c>
      <c r="Q105" s="7">
        <f t="shared" si="28"/>
        <v>1959.0221481414276</v>
      </c>
      <c r="R105" s="7">
        <f t="shared" si="28"/>
        <v>2631.4200407611061</v>
      </c>
      <c r="S105" s="7">
        <f t="shared" si="28"/>
        <v>2559.1777021600155</v>
      </c>
      <c r="T105" s="7">
        <f t="shared" si="28"/>
        <v>2177.8538516526123</v>
      </c>
      <c r="U105" s="7">
        <f t="shared" si="28"/>
        <v>1827.7951063576149</v>
      </c>
    </row>
    <row r="106" spans="2:21">
      <c r="N106" s="51" t="s">
        <v>10</v>
      </c>
      <c r="O106" s="7">
        <f t="shared" ref="O106:U106" si="29">O72+O65+O51+O58+O44+O37+O30+O16+O23+O9+O79+O86+O93</f>
        <v>10560.970220794239</v>
      </c>
      <c r="P106" s="7">
        <f t="shared" si="29"/>
        <v>11548.32114153216</v>
      </c>
      <c r="Q106" s="7">
        <f t="shared" si="29"/>
        <v>12306.803417283201</v>
      </c>
      <c r="R106" s="7">
        <f t="shared" si="29"/>
        <v>13031.936505294849</v>
      </c>
      <c r="S106" s="7">
        <f t="shared" si="29"/>
        <v>13229.7591787008</v>
      </c>
      <c r="T106" s="7">
        <f t="shared" si="29"/>
        <v>13497.223507540482</v>
      </c>
      <c r="U106" s="7">
        <f t="shared" si="29"/>
        <v>13894.757533624703</v>
      </c>
    </row>
    <row r="107" spans="2:21">
      <c r="N107" s="110" t="s">
        <v>111</v>
      </c>
      <c r="O107" s="109">
        <f>SUM(O102:O106)</f>
        <v>116312.28397225461</v>
      </c>
      <c r="P107" s="109">
        <f t="shared" ref="P107:U107" si="30">SUM(P102:P106)</f>
        <v>128280.07073680933</v>
      </c>
      <c r="Q107" s="109">
        <f t="shared" si="30"/>
        <v>140372.10136301196</v>
      </c>
      <c r="R107" s="109">
        <f t="shared" si="30"/>
        <v>151624.60967786718</v>
      </c>
      <c r="S107" s="109">
        <f t="shared" si="30"/>
        <v>158640.5175307802</v>
      </c>
      <c r="T107" s="109">
        <f t="shared" si="30"/>
        <v>163013.53819696285</v>
      </c>
      <c r="U107" s="109">
        <f t="shared" si="30"/>
        <v>166511.51100702601</v>
      </c>
    </row>
  </sheetData>
  <pageMargins left="0.7" right="0.7" top="0.75" bottom="0.75" header="0.3" footer="0.3"/>
  <pageSetup scale="25" orientation="landscape"/>
  <ignoredErrors>
    <ignoredError sqref="K8 M8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  <pageSetUpPr fitToPage="1"/>
  </sheetPr>
  <dimension ref="A1:L33"/>
  <sheetViews>
    <sheetView workbookViewId="0">
      <selection activeCell="C4" sqref="C4:C9"/>
    </sheetView>
  </sheetViews>
  <sheetFormatPr defaultColWidth="8.81640625" defaultRowHeight="14.5"/>
  <cols>
    <col min="1" max="1" width="5.6328125" customWidth="1"/>
    <col min="2" max="2" width="25.6328125" customWidth="1"/>
    <col min="3" max="10" width="9.1796875" customWidth="1"/>
  </cols>
  <sheetData>
    <row r="1" spans="1:12" ht="18.5">
      <c r="A1" s="10" t="s">
        <v>95</v>
      </c>
    </row>
    <row r="2" spans="1:12" ht="15" customHeight="1">
      <c r="C2" s="4">
        <v>2012</v>
      </c>
      <c r="D2" s="9">
        <v>2013</v>
      </c>
      <c r="E2" s="9">
        <v>2014</v>
      </c>
      <c r="F2" s="9">
        <v>2015</v>
      </c>
      <c r="G2" s="9">
        <v>2016</v>
      </c>
      <c r="H2" s="9">
        <v>2017</v>
      </c>
      <c r="I2" s="9">
        <v>2018</v>
      </c>
      <c r="J2" s="9">
        <v>2019</v>
      </c>
    </row>
    <row r="3" spans="1:12" ht="15" customHeight="1">
      <c r="B3" t="s">
        <v>0</v>
      </c>
      <c r="C3" s="36">
        <v>148217.90000000002</v>
      </c>
      <c r="D3" s="41">
        <f>'Exh 5 Stores IS (Hist Teuer)'!O101</f>
        <v>165023.62775436489</v>
      </c>
      <c r="E3" s="41">
        <f>'Exh 5 Stores IS (Hist Teuer)'!P101</f>
        <v>181928.62473914278</v>
      </c>
      <c r="F3" s="41">
        <f>'Exh 5 Stores IS (Hist Teuer)'!Q101</f>
        <v>199599.9416407666</v>
      </c>
      <c r="G3" s="41">
        <f>'Exh 5 Stores IS (Hist Teuer)'!R101</f>
        <v>217539.9661113632</v>
      </c>
      <c r="H3" s="41">
        <f>'Exh 5 Stores IS (Hist Teuer)'!S101</f>
        <v>231499.43863971558</v>
      </c>
      <c r="I3" s="41">
        <f>'Exh 5 Stores IS (Hist Teuer)'!T101</f>
        <v>242308.02254407192</v>
      </c>
      <c r="J3" s="41">
        <f>'Exh 5 Stores IS (Hist Teuer)'!U101</f>
        <v>251121.52406039025</v>
      </c>
      <c r="L3">
        <f>D3/C3-1</f>
        <v>0.11338527771858109</v>
      </c>
    </row>
    <row r="4" spans="1:12" ht="15" customHeight="1">
      <c r="B4" t="s">
        <v>1</v>
      </c>
      <c r="C4" s="36">
        <v>-61955.099999999991</v>
      </c>
      <c r="D4" s="41">
        <f>'Exh 5 Stores IS (Hist Teuer)'!O102</f>
        <v>69192.731598429513</v>
      </c>
      <c r="E4" s="41">
        <f>'Exh 5 Stores IS (Hist Teuer)'!P102</f>
        <v>76271.420463213391</v>
      </c>
      <c r="F4" s="41">
        <f>'Exh 5 Stores IS (Hist Teuer)'!Q102</f>
        <v>83311.965626300385</v>
      </c>
      <c r="G4" s="41">
        <f>'Exh 5 Stores IS (Hist Teuer)'!R102</f>
        <v>89642.401368614956</v>
      </c>
      <c r="H4" s="41">
        <f>'Exh 5 Stores IS (Hist Teuer)'!S102</f>
        <v>93968.471806270041</v>
      </c>
      <c r="I4" s="41">
        <f>'Exh 5 Stores IS (Hist Teuer)'!T102</f>
        <v>96630.548408692761</v>
      </c>
      <c r="J4" s="41">
        <f>'Exh 5 Stores IS (Hist Teuer)'!U102</f>
        <v>98651.331340896941</v>
      </c>
    </row>
    <row r="5" spans="1:12" ht="15" customHeight="1">
      <c r="B5" t="s">
        <v>18</v>
      </c>
      <c r="C5" s="36">
        <v>-21252.500000000004</v>
      </c>
      <c r="D5" s="41">
        <f>'Exh 5 Stores IS (Hist Teuer)'!O103</f>
        <v>23295.304000834974</v>
      </c>
      <c r="E5" s="41">
        <f>'Exh 5 Stores IS (Hist Teuer)'!P103</f>
        <v>25688.980829229167</v>
      </c>
      <c r="F5" s="41">
        <f>'Exh 5 Stores IS (Hist Teuer)'!Q103</f>
        <v>28130.502130667359</v>
      </c>
      <c r="G5" s="41">
        <f>'Exh 5 Stores IS (Hist Teuer)'!R103</f>
        <v>30414.550212330134</v>
      </c>
      <c r="H5" s="41">
        <f>'Exh 5 Stores IS (Hist Teuer)'!S103</f>
        <v>32103.788357007659</v>
      </c>
      <c r="I5" s="41">
        <f>'Exh 5 Stores IS (Hist Teuer)'!T103</f>
        <v>33265.665321404711</v>
      </c>
      <c r="J5" s="41">
        <f>'Exh 5 Stores IS (Hist Teuer)'!U103</f>
        <v>34150.372067059638</v>
      </c>
    </row>
    <row r="6" spans="1:12" ht="15" customHeight="1">
      <c r="B6" t="s">
        <v>4</v>
      </c>
      <c r="C6" s="36">
        <v>-10743.699999999999</v>
      </c>
      <c r="D6" s="41">
        <f>'Exh 5 Stores IS (Hist Teuer)'!O104</f>
        <v>12179.078152195863</v>
      </c>
      <c r="E6" s="41">
        <f>'Exh 5 Stores IS (Hist Teuer)'!P104</f>
        <v>13398.612700679305</v>
      </c>
      <c r="F6" s="41">
        <f>'Exh 5 Stores IS (Hist Teuer)'!Q104</f>
        <v>14663.808040619584</v>
      </c>
      <c r="G6" s="41">
        <f>'Exh 5 Stores IS (Hist Teuer)'!R104</f>
        <v>15904.301550866139</v>
      </c>
      <c r="H6" s="41">
        <f>'Exh 5 Stores IS (Hist Teuer)'!S104</f>
        <v>16779.320486641653</v>
      </c>
      <c r="I6" s="41">
        <f>'Exh 5 Stores IS (Hist Teuer)'!T104</f>
        <v>17442.247107672298</v>
      </c>
      <c r="J6" s="41">
        <f>'Exh 5 Stores IS (Hist Teuer)'!U104</f>
        <v>17987.254959087131</v>
      </c>
    </row>
    <row r="7" spans="1:12" ht="15" customHeight="1">
      <c r="B7" t="s">
        <v>8</v>
      </c>
      <c r="C7" s="36">
        <v>-1450.08</v>
      </c>
      <c r="D7" s="41">
        <f>'Exh 5 Stores IS (Hist Teuer)'!O105</f>
        <v>1084.2</v>
      </c>
      <c r="E7" s="41">
        <f>'Exh 5 Stores IS (Hist Teuer)'!P105</f>
        <v>1372.7356021552964</v>
      </c>
      <c r="F7" s="41">
        <f>'Exh 5 Stores IS (Hist Teuer)'!Q105</f>
        <v>1959.0221481414276</v>
      </c>
      <c r="G7" s="41">
        <f>'Exh 5 Stores IS (Hist Teuer)'!R105</f>
        <v>2631.4200407611061</v>
      </c>
      <c r="H7" s="41">
        <f>'Exh 5 Stores IS (Hist Teuer)'!S105</f>
        <v>2559.1777021600155</v>
      </c>
      <c r="I7" s="41">
        <f>'Exh 5 Stores IS (Hist Teuer)'!T105</f>
        <v>2177.8538516526123</v>
      </c>
      <c r="J7" s="41">
        <f>'Exh 5 Stores IS (Hist Teuer)'!U105</f>
        <v>1827.7951063576149</v>
      </c>
    </row>
    <row r="8" spans="1:12" ht="15" customHeight="1">
      <c r="B8" t="s">
        <v>9</v>
      </c>
      <c r="C8" s="36">
        <v>-9320</v>
      </c>
      <c r="D8" s="41">
        <f>'Exh 5 Stores IS (Hist Teuer)'!O106</f>
        <v>10560.970220794239</v>
      </c>
      <c r="E8" s="41">
        <f>'Exh 5 Stores IS (Hist Teuer)'!P106</f>
        <v>11548.32114153216</v>
      </c>
      <c r="F8" s="41">
        <f>'Exh 5 Stores IS (Hist Teuer)'!Q106</f>
        <v>12306.803417283201</v>
      </c>
      <c r="G8" s="41">
        <f>'Exh 5 Stores IS (Hist Teuer)'!R106</f>
        <v>13031.936505294849</v>
      </c>
      <c r="H8" s="41">
        <f>'Exh 5 Stores IS (Hist Teuer)'!S106</f>
        <v>13229.7591787008</v>
      </c>
      <c r="I8" s="41">
        <f>'Exh 5 Stores IS (Hist Teuer)'!T106</f>
        <v>13497.223507540482</v>
      </c>
      <c r="J8" s="41">
        <f>'Exh 5 Stores IS (Hist Teuer)'!U106</f>
        <v>13894.757533624703</v>
      </c>
    </row>
    <row r="9" spans="1:12" ht="15" customHeight="1">
      <c r="B9" t="s">
        <v>23</v>
      </c>
      <c r="C9" s="36">
        <v>-7410.8943379691937</v>
      </c>
      <c r="D9" s="41">
        <f>-D3*$C$17</f>
        <v>-8251.1813877182449</v>
      </c>
      <c r="E9" s="41">
        <f t="shared" ref="E9:J9" si="0">-E3*$C$17</f>
        <v>-9096.4312369571398</v>
      </c>
      <c r="F9" s="41">
        <f t="shared" si="0"/>
        <v>-9979.9970820383314</v>
      </c>
      <c r="G9" s="41">
        <f t="shared" si="0"/>
        <v>-10876.998305568161</v>
      </c>
      <c r="H9" s="41">
        <f t="shared" si="0"/>
        <v>-11574.97193198578</v>
      </c>
      <c r="I9" s="41">
        <f t="shared" si="0"/>
        <v>-12115.401127203597</v>
      </c>
      <c r="J9" s="41">
        <f t="shared" si="0"/>
        <v>-12556.076203019513</v>
      </c>
    </row>
    <row r="10" spans="1:12" s="14" customFormat="1" ht="15" customHeight="1">
      <c r="B10" s="14" t="s">
        <v>20</v>
      </c>
      <c r="C10" s="7">
        <v>-14434.250264812337</v>
      </c>
      <c r="D10" s="41">
        <f>-(D3-SUM(D4:D8)+D9)*$C$16</f>
        <v>-16184.064957756818</v>
      </c>
      <c r="E10" s="41">
        <f t="shared" ref="E10:J10" si="1">-(E3-SUM(E4:E8)+E9)*$C$16</f>
        <v>-17820.849106150523</v>
      </c>
      <c r="F10" s="41">
        <f t="shared" si="1"/>
        <v>-19699.137278286526</v>
      </c>
      <c r="G10" s="41">
        <f t="shared" si="1"/>
        <v>-22015.343251171147</v>
      </c>
      <c r="H10" s="41">
        <f t="shared" si="1"/>
        <v>-24513.57967077984</v>
      </c>
      <c r="I10" s="41">
        <f t="shared" si="1"/>
        <v>-26871.633287962191</v>
      </c>
      <c r="J10" s="41">
        <f t="shared" si="1"/>
        <v>-28821.57474013789</v>
      </c>
    </row>
    <row r="11" spans="1:12" s="14" customFormat="1" ht="15" customHeight="1">
      <c r="B11" s="14" t="s">
        <v>21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2" ht="15" customHeight="1">
      <c r="B12" s="4" t="s">
        <v>5</v>
      </c>
      <c r="C12" s="11">
        <v>-14434.250264812337</v>
      </c>
      <c r="D12" s="35">
        <f>D10</f>
        <v>-16184.064957756818</v>
      </c>
      <c r="E12" s="35">
        <f t="shared" ref="E12:J12" si="2">E10</f>
        <v>-17820.849106150523</v>
      </c>
      <c r="F12" s="35">
        <f t="shared" si="2"/>
        <v>-19699.137278286526</v>
      </c>
      <c r="G12" s="35">
        <f t="shared" si="2"/>
        <v>-22015.343251171147</v>
      </c>
      <c r="H12" s="35">
        <f t="shared" si="2"/>
        <v>-24513.57967077984</v>
      </c>
      <c r="I12" s="35">
        <f t="shared" si="2"/>
        <v>-26871.633287962191</v>
      </c>
      <c r="J12" s="35">
        <f t="shared" si="2"/>
        <v>-28821.57474013789</v>
      </c>
    </row>
    <row r="13" spans="1:12" ht="15" customHeight="1">
      <c r="B13" t="s">
        <v>22</v>
      </c>
      <c r="C13" s="7">
        <f>SUM(C3:C9)+C12</f>
        <v>21651.375397218504</v>
      </c>
      <c r="D13" s="7">
        <f>D3-SUM(D4:D8)+D9+D10</f>
        <v>24276.097436635224</v>
      </c>
      <c r="E13" s="7">
        <f t="shared" ref="E13:J13" si="3">E3-SUM(E4:E8)+E9+E10</f>
        <v>26731.273659225782</v>
      </c>
      <c r="F13" s="7">
        <f t="shared" si="3"/>
        <v>29548.705917429786</v>
      </c>
      <c r="G13" s="7">
        <f t="shared" si="3"/>
        <v>33023.014876756715</v>
      </c>
      <c r="H13" s="7">
        <f t="shared" si="3"/>
        <v>36770.369506169751</v>
      </c>
      <c r="I13" s="7">
        <f t="shared" si="3"/>
        <v>40307.44993194328</v>
      </c>
      <c r="J13" s="7">
        <f t="shared" si="3"/>
        <v>43232.362110206828</v>
      </c>
    </row>
    <row r="14" spans="1:12" ht="15" customHeight="1"/>
    <row r="15" spans="1:12" ht="15" customHeight="1">
      <c r="A15" s="20" t="s">
        <v>6</v>
      </c>
      <c r="C15" s="40"/>
      <c r="D15" s="40"/>
      <c r="E15" s="40"/>
      <c r="F15" s="40"/>
      <c r="G15" s="40"/>
      <c r="H15" s="40"/>
      <c r="I15" s="40"/>
      <c r="J15" s="40"/>
    </row>
    <row r="16" spans="1:12" ht="15" customHeight="1">
      <c r="B16" t="s">
        <v>69</v>
      </c>
      <c r="C16" s="42">
        <f>'Exh 10 Forecast Parameters'!B13</f>
        <v>0.4</v>
      </c>
      <c r="D16" s="6"/>
    </row>
    <row r="17" spans="2:10" ht="15" customHeight="1">
      <c r="B17" t="s">
        <v>68</v>
      </c>
      <c r="C17" s="42">
        <f>'Exh 10 Forecast Parameters'!B14</f>
        <v>0.05</v>
      </c>
      <c r="D17" s="6"/>
    </row>
    <row r="18" spans="2:10">
      <c r="C18" s="32"/>
      <c r="D18" s="32"/>
      <c r="E18" s="32"/>
      <c r="F18" s="32"/>
      <c r="G18" s="32"/>
      <c r="H18" s="32"/>
      <c r="I18" s="32"/>
      <c r="J18" s="45"/>
    </row>
    <row r="19" spans="2:10">
      <c r="C19" s="75"/>
      <c r="D19" s="6"/>
      <c r="E19" s="6"/>
      <c r="F19" s="6"/>
      <c r="G19" s="6"/>
      <c r="H19" s="6"/>
      <c r="I19" s="6"/>
      <c r="J19" s="6"/>
    </row>
    <row r="20" spans="2:10">
      <c r="C20" s="75"/>
      <c r="D20" s="6"/>
      <c r="E20" s="6"/>
      <c r="F20" s="6"/>
      <c r="G20" s="6"/>
      <c r="H20" s="6"/>
      <c r="I20" s="6"/>
      <c r="J20" s="6"/>
    </row>
    <row r="21" spans="2:10">
      <c r="C21" s="75"/>
      <c r="D21" s="6"/>
      <c r="E21" s="6"/>
      <c r="F21" s="6"/>
      <c r="G21" s="6"/>
      <c r="H21" s="6"/>
      <c r="I21" s="6"/>
      <c r="J21" s="6"/>
    </row>
    <row r="22" spans="2:10">
      <c r="C22" s="75"/>
      <c r="D22" s="6"/>
      <c r="E22" s="6"/>
      <c r="F22" s="6"/>
      <c r="G22" s="6"/>
      <c r="H22" s="6"/>
      <c r="I22" s="6"/>
      <c r="J22" s="6"/>
    </row>
    <row r="23" spans="2:10">
      <c r="C23" s="75"/>
      <c r="D23" s="6"/>
      <c r="E23" s="6"/>
      <c r="F23" s="6"/>
      <c r="G23" s="6"/>
      <c r="H23" s="6"/>
      <c r="I23" s="6"/>
      <c r="J23" s="6"/>
    </row>
    <row r="24" spans="2:10">
      <c r="C24" s="75"/>
      <c r="D24" s="6"/>
      <c r="E24" s="6"/>
      <c r="F24" s="6"/>
      <c r="G24" s="6"/>
      <c r="H24" s="6"/>
      <c r="I24" s="6"/>
      <c r="J24" s="6"/>
    </row>
    <row r="25" spans="2:10">
      <c r="C25" s="75"/>
      <c r="D25" s="6"/>
      <c r="E25" s="6"/>
      <c r="F25" s="6"/>
      <c r="G25" s="6"/>
      <c r="H25" s="6"/>
      <c r="I25" s="6"/>
      <c r="J25" s="6"/>
    </row>
    <row r="26" spans="2:10">
      <c r="C26" s="75"/>
      <c r="D26" s="6"/>
      <c r="E26" s="6"/>
      <c r="F26" s="6"/>
      <c r="G26" s="6"/>
      <c r="H26" s="6"/>
      <c r="I26" s="6"/>
      <c r="J26" s="6"/>
    </row>
    <row r="27" spans="2:10">
      <c r="C27" s="75"/>
      <c r="D27" s="6"/>
      <c r="E27" s="6"/>
      <c r="F27" s="6"/>
      <c r="G27" s="6"/>
      <c r="H27" s="6"/>
      <c r="I27" s="6"/>
      <c r="J27" s="6"/>
    </row>
    <row r="28" spans="2:10">
      <c r="C28" s="3"/>
      <c r="D28" s="3"/>
      <c r="E28" s="6"/>
      <c r="F28" s="3"/>
      <c r="G28" s="3"/>
      <c r="H28" s="3"/>
      <c r="I28" s="3"/>
      <c r="J28" s="3"/>
    </row>
    <row r="29" spans="2:10">
      <c r="C29" s="6"/>
      <c r="D29" s="6"/>
      <c r="E29" s="6"/>
      <c r="F29" s="6"/>
      <c r="G29" s="6"/>
      <c r="H29" s="6"/>
      <c r="I29" s="6"/>
      <c r="J29" s="6"/>
    </row>
    <row r="30" spans="2:10">
      <c r="C30" s="75"/>
      <c r="D30" s="6"/>
      <c r="E30" s="6"/>
      <c r="F30" s="6"/>
      <c r="G30" s="6"/>
      <c r="H30" s="6"/>
      <c r="I30" s="6"/>
      <c r="J30" s="6"/>
    </row>
    <row r="31" spans="2:10">
      <c r="C31" s="75"/>
      <c r="D31" s="6"/>
      <c r="E31" s="6"/>
      <c r="F31" s="6"/>
      <c r="G31" s="6"/>
      <c r="H31" s="6"/>
      <c r="I31" s="6"/>
      <c r="J31" s="6"/>
    </row>
    <row r="32" spans="2:10">
      <c r="C32" s="75"/>
    </row>
    <row r="33" spans="3:3">
      <c r="C33" s="75"/>
    </row>
  </sheetData>
  <pageMargins left="0.7" right="0.7" top="0.75" bottom="0.75" header="0.3" footer="0.3"/>
  <pageSetup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  <pageSetUpPr fitToPage="1"/>
  </sheetPr>
  <dimension ref="A1:M33"/>
  <sheetViews>
    <sheetView zoomScale="140" zoomScaleNormal="140" workbookViewId="0">
      <selection activeCell="D15" sqref="D15"/>
    </sheetView>
  </sheetViews>
  <sheetFormatPr defaultColWidth="8.81640625" defaultRowHeight="14.5"/>
  <cols>
    <col min="1" max="1" width="5.6328125" customWidth="1"/>
    <col min="2" max="2" width="25.6328125" customWidth="1"/>
    <col min="3" max="9" width="9.1796875" customWidth="1"/>
    <col min="13" max="13" width="10.1796875" bestFit="1" customWidth="1"/>
  </cols>
  <sheetData>
    <row r="1" spans="1:13" ht="18.5">
      <c r="A1" s="10" t="s">
        <v>96</v>
      </c>
    </row>
    <row r="2" spans="1:13" ht="15" customHeight="1">
      <c r="C2" s="4">
        <v>2012</v>
      </c>
      <c r="D2" s="9">
        <v>2013</v>
      </c>
      <c r="E2" s="9">
        <v>2014</v>
      </c>
      <c r="F2" s="9">
        <v>2015</v>
      </c>
      <c r="G2" s="9">
        <v>2016</v>
      </c>
      <c r="H2" s="9">
        <v>2017</v>
      </c>
      <c r="I2" s="9">
        <v>2018</v>
      </c>
    </row>
    <row r="3" spans="1:13" ht="15" customHeight="1">
      <c r="A3" s="28" t="s">
        <v>28</v>
      </c>
      <c r="D3" s="27"/>
      <c r="E3" s="27"/>
      <c r="F3" s="27"/>
      <c r="G3" s="27"/>
      <c r="H3" s="27"/>
      <c r="I3" s="27"/>
      <c r="M3" s="20"/>
    </row>
    <row r="4" spans="1:13" ht="15" customHeight="1">
      <c r="B4" t="s">
        <v>11</v>
      </c>
      <c r="C4" s="36">
        <v>48199.959146758287</v>
      </c>
      <c r="D4" s="99">
        <f>'Exh 5 Stores IS (Hist Teuer)'!O101*'Exh 9 Capital Forecasting'!$C$12</f>
        <v>53528.937348588224</v>
      </c>
      <c r="E4" s="99">
        <f>'Exh 5 Stores IS (Hist Teuer)'!P101*'Exh 9 Capital Forecasting'!$C$12</f>
        <v>59012.434086541332</v>
      </c>
      <c r="F4" s="99">
        <f>'Exh 5 Stores IS (Hist Teuer)'!Q101*'Exh 9 Capital Forecasting'!$C$12</f>
        <v>64744.503052459761</v>
      </c>
      <c r="G4" s="99">
        <f>'Exh 5 Stores IS (Hist Teuer)'!R101*'Exh 9 Capital Forecasting'!$C$12</f>
        <v>70563.733055984543</v>
      </c>
      <c r="H4" s="99">
        <f>'Exh 5 Stores IS (Hist Teuer)'!S101*'Exh 9 Capital Forecasting'!$C$12</f>
        <v>75091.786041837942</v>
      </c>
      <c r="I4" s="99">
        <f>'Exh 5 Stores IS (Hist Teuer)'!T101*'Exh 9 Capital Forecasting'!$C$12</f>
        <v>78597.781022777563</v>
      </c>
      <c r="M4" s="1"/>
    </row>
    <row r="5" spans="1:13" ht="15" customHeight="1">
      <c r="B5" t="s">
        <v>12</v>
      </c>
      <c r="C5" s="37">
        <v>33342.956637222087</v>
      </c>
      <c r="D5" s="90">
        <f>'Exh 5 Stores IS (Hist Teuer)'!O102*'Exh 9 Capital Forecasting'!$C$24</f>
        <v>32909.253100602087</v>
      </c>
      <c r="E5" s="90">
        <f>'Exh 5 Stores IS (Hist Teuer)'!P102*'Exh 9 Capital Forecasting'!$C$24</f>
        <v>36275.999261507714</v>
      </c>
      <c r="F5" s="90">
        <f>'Exh 5 Stores IS (Hist Teuer)'!Q102*'Exh 9 Capital Forecasting'!$C$24</f>
        <v>39624.603621904273</v>
      </c>
      <c r="G5" s="90">
        <f>'Exh 5 Stores IS (Hist Teuer)'!R102*'Exh 9 Capital Forecasting'!$C$24</f>
        <v>42635.467729568096</v>
      </c>
      <c r="H5" s="90">
        <f>'Exh 5 Stores IS (Hist Teuer)'!S102*'Exh 9 Capital Forecasting'!$C$24</f>
        <v>44693.021227962643</v>
      </c>
      <c r="I5" s="90">
        <f>'Exh 5 Stores IS (Hist Teuer)'!T102*'Exh 9 Capital Forecasting'!$C$24</f>
        <v>45959.150641536893</v>
      </c>
    </row>
    <row r="6" spans="1:13" ht="15" customHeight="1">
      <c r="A6" t="s">
        <v>30</v>
      </c>
      <c r="C6" s="36">
        <v>81542.915783980367</v>
      </c>
      <c r="D6" s="99">
        <f>SUM(D4:D5)</f>
        <v>86438.190449190311</v>
      </c>
      <c r="E6" s="99">
        <f t="shared" ref="E6:I6" si="0">SUM(E4:E5)</f>
        <v>95288.433348049046</v>
      </c>
      <c r="F6" s="99">
        <f t="shared" si="0"/>
        <v>104369.10667436404</v>
      </c>
      <c r="G6" s="99">
        <f t="shared" si="0"/>
        <v>113199.20078555265</v>
      </c>
      <c r="H6" s="99">
        <f t="shared" si="0"/>
        <v>119784.80726980059</v>
      </c>
      <c r="I6" s="99">
        <f t="shared" si="0"/>
        <v>124556.93166431446</v>
      </c>
    </row>
    <row r="7" spans="1:13" ht="15" customHeight="1">
      <c r="B7" t="s">
        <v>110</v>
      </c>
      <c r="C7" s="37">
        <v>3920.119999999999</v>
      </c>
      <c r="D7" s="90">
        <f>C7+'Exh 6 Stores BS'!O95-'Ex 11 Teuer IS Pro Forma (HT)'!D7</f>
        <v>5202.5980107764817</v>
      </c>
      <c r="E7" s="90">
        <f>D7+'Exh 6 Stores BS'!P95-'Ex 11 Teuer IS Pro Forma (HT)'!E7</f>
        <v>7155.2951385518409</v>
      </c>
      <c r="F7" s="90">
        <f>E7+'Exh 6 Stores BS'!Q95-'Ex 11 Teuer IS Pro Forma (HT)'!F7</f>
        <v>9310.2624535088053</v>
      </c>
      <c r="G7" s="90">
        <f>F7+'Exh 6 Stores BS'!R95-'Ex 11 Teuer IS Pro Forma (HT)'!G7</f>
        <v>7440.0307197422462</v>
      </c>
      <c r="H7" s="90">
        <f>G7+'Exh 6 Stores BS'!S95-'Ex 11 Teuer IS Pro Forma (HT)'!H7</f>
        <v>5202.8337650452131</v>
      </c>
      <c r="I7" s="90">
        <f>H7+'Exh 6 Stores BS'!T95-'Ex 11 Teuer IS Pro Forma (HT)'!I7</f>
        <v>3641.3641976940971</v>
      </c>
    </row>
    <row r="8" spans="1:13" ht="15" customHeight="1">
      <c r="A8" t="s">
        <v>31</v>
      </c>
      <c r="C8" s="38">
        <v>85463.035783980362</v>
      </c>
      <c r="D8" s="38">
        <f>D6+D7</f>
        <v>91640.788459966789</v>
      </c>
      <c r="E8" s="38">
        <f t="shared" ref="E8:I8" si="1">E6+E7</f>
        <v>102443.72848660088</v>
      </c>
      <c r="F8" s="38">
        <f t="shared" si="1"/>
        <v>113679.36912787285</v>
      </c>
      <c r="G8" s="38">
        <f t="shared" si="1"/>
        <v>120639.2315052949</v>
      </c>
      <c r="H8" s="38">
        <f t="shared" si="1"/>
        <v>124987.6410348458</v>
      </c>
      <c r="I8" s="38">
        <f t="shared" si="1"/>
        <v>128198.29586200856</v>
      </c>
    </row>
    <row r="9" spans="1:13" ht="15" customHeight="1">
      <c r="C9" s="38"/>
      <c r="D9" s="7"/>
      <c r="E9" s="38"/>
      <c r="F9" s="38"/>
      <c r="G9" s="38"/>
      <c r="H9" s="38"/>
      <c r="I9" s="38"/>
    </row>
    <row r="10" spans="1:13" ht="15" customHeight="1">
      <c r="A10" s="20" t="s">
        <v>29</v>
      </c>
      <c r="C10" s="39"/>
      <c r="D10" s="39"/>
      <c r="E10" s="39"/>
      <c r="F10" s="39"/>
      <c r="G10" s="39"/>
      <c r="H10" s="39"/>
      <c r="I10" s="39"/>
    </row>
    <row r="11" spans="1:13" ht="15" customHeight="1">
      <c r="B11" t="s">
        <v>13</v>
      </c>
      <c r="C11" s="36">
        <v>11363.545963450968</v>
      </c>
      <c r="D11" s="99">
        <f>'Ex 11 Teuer IS Pro Forma (HT)'!D4*'Exh 9 Capital Forecasting'!$C$36</f>
        <v>11300.685460111255</v>
      </c>
      <c r="E11" s="99">
        <f>'Ex 11 Teuer IS Pro Forma (HT)'!E4*'Exh 9 Capital Forecasting'!$C$36</f>
        <v>12456.790075190946</v>
      </c>
      <c r="F11" s="99">
        <f>'Ex 11 Teuer IS Pro Forma (HT)'!F4*'Exh 9 Capital Forecasting'!$C$36</f>
        <v>13606.664990052084</v>
      </c>
      <c r="G11" s="99">
        <f>'Ex 11 Teuer IS Pro Forma (HT)'!G4*'Exh 9 Capital Forecasting'!$C$36</f>
        <v>14640.563515182239</v>
      </c>
      <c r="H11" s="99">
        <f>'Ex 11 Teuer IS Pro Forma (HT)'!H4*'Exh 9 Capital Forecasting'!$C$36</f>
        <v>15347.105375358426</v>
      </c>
      <c r="I11" s="99">
        <f>'Ex 11 Teuer IS Pro Forma (HT)'!I4*'Exh 9 Capital Forecasting'!$C$36</f>
        <v>15781.880671256464</v>
      </c>
    </row>
    <row r="12" spans="1:13" ht="15" customHeight="1">
      <c r="B12" t="s">
        <v>14</v>
      </c>
      <c r="C12" s="111">
        <v>1682.2551123017518</v>
      </c>
      <c r="D12" s="99">
        <f>SUM('Ex 11 Teuer IS Pro Forma (HT)'!D5:D6)*'Exh 9 Capital Forecasting'!$C$48</f>
        <v>1704.8869230148446</v>
      </c>
      <c r="E12" s="99">
        <f>SUM('Ex 11 Teuer IS Pro Forma (HT)'!E5:E6)*'Exh 9 Capital Forecasting'!$C$48</f>
        <v>1878.5366514288135</v>
      </c>
      <c r="F12" s="99">
        <f>SUM('Ex 11 Teuer IS Pro Forma (HT)'!F5:F6)*'Exh 9 Capital Forecasting'!$C$48</f>
        <v>2056.6802115321634</v>
      </c>
      <c r="G12" s="99">
        <f>SUM('Ex 11 Teuer IS Pro Forma (HT)'!G5:G6)*'Exh 9 Capital Forecasting'!$C$48</f>
        <v>2226.0684997832882</v>
      </c>
      <c r="H12" s="99">
        <f>SUM('Ex 11 Teuer IS Pro Forma (HT)'!H5:H6)*'Exh 9 Capital Forecasting'!$C$48</f>
        <v>2349.3058360913178</v>
      </c>
      <c r="I12" s="99">
        <f>SUM('Ex 11 Teuer IS Pro Forma (HT)'!I5:I6)*'Exh 9 Capital Forecasting'!$C$48</f>
        <v>2437.0052851316295</v>
      </c>
    </row>
    <row r="13" spans="1:13" ht="15" customHeight="1">
      <c r="A13" t="s">
        <v>32</v>
      </c>
      <c r="C13" s="112">
        <v>13045.801075752719</v>
      </c>
      <c r="D13" s="113">
        <f>SUM(D11:D12)</f>
        <v>13005.5723831261</v>
      </c>
      <c r="E13" s="113">
        <f t="shared" ref="E13:I13" si="2">SUM(E11:E12)</f>
        <v>14335.326726619758</v>
      </c>
      <c r="F13" s="113">
        <f t="shared" si="2"/>
        <v>15663.345201584249</v>
      </c>
      <c r="G13" s="113">
        <f t="shared" si="2"/>
        <v>16866.632014965526</v>
      </c>
      <c r="H13" s="113">
        <f t="shared" si="2"/>
        <v>17696.411211449744</v>
      </c>
      <c r="I13" s="113">
        <f t="shared" si="2"/>
        <v>18218.885956388094</v>
      </c>
    </row>
    <row r="14" spans="1:13" ht="15" customHeight="1">
      <c r="B14" t="s">
        <v>33</v>
      </c>
      <c r="C14" s="36">
        <v>0</v>
      </c>
      <c r="D14" s="99"/>
      <c r="E14" s="99"/>
      <c r="F14" s="99"/>
      <c r="G14" s="99"/>
      <c r="H14" s="99"/>
      <c r="I14" s="99"/>
    </row>
    <row r="15" spans="1:13" ht="15" customHeight="1">
      <c r="B15" t="s">
        <v>34</v>
      </c>
      <c r="C15" s="37">
        <v>72417.234708227654</v>
      </c>
      <c r="D15" s="100">
        <f>D8-D13-D14</f>
        <v>78635.21607684069</v>
      </c>
      <c r="E15" s="100">
        <f t="shared" ref="E15:I15" si="3">E8-E13-E14</f>
        <v>88108.40175998112</v>
      </c>
      <c r="F15" s="100">
        <f t="shared" si="3"/>
        <v>98016.023926288603</v>
      </c>
      <c r="G15" s="100">
        <f t="shared" si="3"/>
        <v>103772.59949032938</v>
      </c>
      <c r="H15" s="100">
        <f t="shared" si="3"/>
        <v>107291.22982339606</v>
      </c>
      <c r="I15" s="100">
        <f t="shared" si="3"/>
        <v>109979.40990562046</v>
      </c>
    </row>
    <row r="16" spans="1:13" ht="15" customHeight="1">
      <c r="A16" t="s">
        <v>35</v>
      </c>
      <c r="C16" s="38">
        <v>85463.035783980376</v>
      </c>
      <c r="D16" s="7">
        <f>D13+D15</f>
        <v>91640.788459966789</v>
      </c>
      <c r="E16" s="7">
        <f t="shared" ref="E16:I16" si="4">E13+E15</f>
        <v>102443.72848660088</v>
      </c>
      <c r="F16" s="7">
        <f t="shared" si="4"/>
        <v>113679.36912787285</v>
      </c>
      <c r="G16" s="7">
        <f t="shared" si="4"/>
        <v>120639.2315052949</v>
      </c>
      <c r="H16" s="7">
        <f t="shared" si="4"/>
        <v>124987.6410348458</v>
      </c>
      <c r="I16" s="7">
        <f t="shared" si="4"/>
        <v>128198.29586200856</v>
      </c>
    </row>
    <row r="17" spans="1:9" ht="15" customHeight="1">
      <c r="C17" s="7"/>
      <c r="D17" s="7"/>
      <c r="E17" s="7"/>
      <c r="F17" s="7"/>
      <c r="G17" s="7"/>
      <c r="H17" s="7"/>
      <c r="I17" s="7"/>
    </row>
    <row r="18" spans="1:9" ht="15" customHeight="1">
      <c r="B18" s="27" t="s">
        <v>41</v>
      </c>
      <c r="C18" s="7">
        <f>C16-C8</f>
        <v>0</v>
      </c>
      <c r="D18" s="7">
        <f t="shared" ref="D18:I18" si="5">D16-D8</f>
        <v>0</v>
      </c>
      <c r="E18" s="7">
        <f t="shared" si="5"/>
        <v>0</v>
      </c>
      <c r="F18" s="7">
        <f t="shared" si="5"/>
        <v>0</v>
      </c>
      <c r="G18" s="7">
        <f t="shared" si="5"/>
        <v>0</v>
      </c>
      <c r="H18" s="7">
        <f t="shared" si="5"/>
        <v>0</v>
      </c>
      <c r="I18" s="7">
        <f t="shared" si="5"/>
        <v>0</v>
      </c>
    </row>
    <row r="19" spans="1:9" ht="15" customHeight="1">
      <c r="C19" s="6"/>
      <c r="D19" s="6"/>
      <c r="E19" s="6"/>
      <c r="F19" s="6"/>
      <c r="G19" s="6"/>
      <c r="H19" s="6"/>
      <c r="I19" s="6"/>
    </row>
    <row r="20" spans="1:9" ht="15" customHeight="1">
      <c r="A20" s="20"/>
      <c r="C20" s="8"/>
      <c r="D20" s="8"/>
      <c r="E20" s="8"/>
      <c r="F20" s="8"/>
      <c r="G20" s="8"/>
      <c r="H20" s="8"/>
      <c r="I20" s="8"/>
    </row>
    <row r="21" spans="1:9" ht="15" customHeight="1">
      <c r="C21" s="6"/>
      <c r="D21" s="40"/>
      <c r="E21" s="6"/>
      <c r="F21" s="6"/>
      <c r="G21" s="6"/>
      <c r="H21" s="6"/>
      <c r="I21" s="6"/>
    </row>
    <row r="22" spans="1:9" ht="15" customHeight="1">
      <c r="B22" s="20"/>
      <c r="C22" s="6"/>
      <c r="D22" s="6"/>
      <c r="E22" s="6"/>
      <c r="F22" s="6"/>
      <c r="G22" s="6"/>
      <c r="H22" s="6"/>
      <c r="I22" s="6"/>
    </row>
    <row r="23" spans="1:9" ht="15" customHeight="1">
      <c r="C23" s="6"/>
    </row>
    <row r="24" spans="1:9" ht="15" customHeight="1">
      <c r="C24" s="6"/>
    </row>
    <row r="25" spans="1:9" ht="15" customHeight="1">
      <c r="C25" s="6"/>
    </row>
    <row r="26" spans="1:9" ht="15" customHeight="1">
      <c r="C26" s="6"/>
    </row>
    <row r="27" spans="1:9" ht="15" customHeight="1">
      <c r="C27" s="6"/>
    </row>
    <row r="28" spans="1:9" ht="15" customHeight="1">
      <c r="C28" s="6"/>
    </row>
    <row r="29" spans="1:9">
      <c r="C29" s="6"/>
    </row>
    <row r="30" spans="1:9">
      <c r="C30" s="6"/>
    </row>
    <row r="31" spans="1:9">
      <c r="C31" s="6"/>
    </row>
    <row r="32" spans="1:9">
      <c r="C32" s="6"/>
    </row>
    <row r="33" spans="3:3">
      <c r="C33" s="6"/>
    </row>
  </sheetData>
  <phoneticPr fontId="17" type="noConversion"/>
  <pageMargins left="0.7" right="0.7" top="0.75" bottom="0.75" header="0.3" footer="0.3"/>
  <pageSetup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O39"/>
  <sheetViews>
    <sheetView tabSelected="1" zoomScale="102" zoomScaleNormal="120" workbookViewId="0">
      <selection activeCell="J15" sqref="J15"/>
    </sheetView>
  </sheetViews>
  <sheetFormatPr defaultColWidth="8.81640625" defaultRowHeight="14.5"/>
  <cols>
    <col min="1" max="1" width="5.6328125" customWidth="1"/>
    <col min="2" max="2" width="25.6328125" customWidth="1"/>
    <col min="3" max="7" width="9.6328125" customWidth="1"/>
    <col min="8" max="8" width="12" bestFit="1" customWidth="1"/>
    <col min="9" max="9" width="9.6328125" customWidth="1"/>
    <col min="13" max="13" width="11.453125" bestFit="1" customWidth="1"/>
  </cols>
  <sheetData>
    <row r="1" spans="1:15" ht="18.5">
      <c r="A1" s="10" t="s">
        <v>97</v>
      </c>
      <c r="D1" s="7">
        <f>D3+D4+D5</f>
        <v>40778.46021207171</v>
      </c>
    </row>
    <row r="2" spans="1:15">
      <c r="C2" s="4">
        <v>2012</v>
      </c>
      <c r="D2" s="4">
        <v>2013</v>
      </c>
      <c r="E2" s="4">
        <f>1+D2</f>
        <v>2014</v>
      </c>
      <c r="F2" s="4">
        <f t="shared" ref="F2:I2" si="0">1+E2</f>
        <v>2015</v>
      </c>
      <c r="G2" s="4">
        <f t="shared" si="0"/>
        <v>2016</v>
      </c>
      <c r="H2" s="4">
        <f t="shared" si="0"/>
        <v>2017</v>
      </c>
      <c r="I2" s="4">
        <f t="shared" si="0"/>
        <v>2018</v>
      </c>
    </row>
    <row r="3" spans="1:15" ht="15" customHeight="1">
      <c r="B3" t="s">
        <v>0</v>
      </c>
      <c r="C3" s="7">
        <v>148217.90000000002</v>
      </c>
      <c r="D3" s="120">
        <f>'Ex 11 Teuer IS Pro Forma (HT)'!D3</f>
        <v>165023.62775436489</v>
      </c>
      <c r="E3" s="120">
        <f>'Ex 11 Teuer IS Pro Forma (HT)'!E3</f>
        <v>181928.62473914278</v>
      </c>
      <c r="F3" s="120">
        <f>'Ex 11 Teuer IS Pro Forma (HT)'!F3</f>
        <v>199599.9416407666</v>
      </c>
      <c r="G3" s="120">
        <f>'Ex 11 Teuer IS Pro Forma (HT)'!G3</f>
        <v>217539.9661113632</v>
      </c>
      <c r="H3" s="120">
        <f>'Ex 11 Teuer IS Pro Forma (HT)'!H3</f>
        <v>231499.43863971558</v>
      </c>
      <c r="I3" s="120">
        <f>'Ex 11 Teuer IS Pro Forma (HT)'!I3</f>
        <v>242308.02254407192</v>
      </c>
    </row>
    <row r="4" spans="1:15">
      <c r="B4" s="13" t="s">
        <v>46</v>
      </c>
      <c r="C4" s="7">
        <v>-112132.3</v>
      </c>
      <c r="D4" s="121">
        <f>-SUM('Ex 11 Teuer IS Pro Forma (HT)'!D4:D9)</f>
        <v>-108061.10258453636</v>
      </c>
      <c r="E4" s="121">
        <f>-SUM('Ex 11 Teuer IS Pro Forma (HT)'!E4:E9)</f>
        <v>-119183.63949985219</v>
      </c>
      <c r="F4" s="121">
        <f>-SUM('Ex 11 Teuer IS Pro Forma (HT)'!F4:F9)</f>
        <v>-130392.10428097362</v>
      </c>
      <c r="G4" s="121">
        <f>-SUM('Ex 11 Teuer IS Pro Forma (HT)'!G4:G9)</f>
        <v>-140747.61137229903</v>
      </c>
      <c r="H4" s="121">
        <f>-SUM('Ex 11 Teuer IS Pro Forma (HT)'!H4:H9)</f>
        <v>-147065.54559879442</v>
      </c>
      <c r="I4" s="121">
        <f>-SUM('Ex 11 Teuer IS Pro Forma (HT)'!I4:I9)</f>
        <v>-150898.13706975925</v>
      </c>
    </row>
    <row r="5" spans="1:15">
      <c r="B5" s="13" t="s">
        <v>47</v>
      </c>
      <c r="C5" s="11">
        <v>-14434.3</v>
      </c>
      <c r="D5" s="122">
        <f>'Ex 11 Teuer IS Pro Forma (HT)'!D10</f>
        <v>-16184.064957756818</v>
      </c>
      <c r="E5" s="122">
        <f>'Ex 11 Teuer IS Pro Forma (HT)'!E10</f>
        <v>-17820.849106150523</v>
      </c>
      <c r="F5" s="122">
        <f>'Ex 11 Teuer IS Pro Forma (HT)'!F10</f>
        <v>-19699.137278286526</v>
      </c>
      <c r="G5" s="122">
        <f>'Ex 11 Teuer IS Pro Forma (HT)'!G10</f>
        <v>-22015.343251171147</v>
      </c>
      <c r="H5" s="122">
        <f>'Ex 11 Teuer IS Pro Forma (HT)'!H10</f>
        <v>-24513.57967077984</v>
      </c>
      <c r="I5" s="122">
        <f>'Ex 11 Teuer IS Pro Forma (HT)'!I10</f>
        <v>-26871.633287962191</v>
      </c>
    </row>
    <row r="6" spans="1:15">
      <c r="B6" t="s">
        <v>22</v>
      </c>
      <c r="C6" s="7">
        <v>21651.4</v>
      </c>
      <c r="D6" s="7">
        <f>'Ex 11 Teuer IS Pro Forma (HT)'!D13</f>
        <v>24276.097436635224</v>
      </c>
      <c r="E6" s="7">
        <f>'Ex 11 Teuer IS Pro Forma (HT)'!E13</f>
        <v>26731.273659225782</v>
      </c>
      <c r="F6" s="7">
        <f>'Ex 11 Teuer IS Pro Forma (HT)'!F13</f>
        <v>29548.705917429786</v>
      </c>
      <c r="G6" s="7">
        <f>'Ex 11 Teuer IS Pro Forma (HT)'!G13</f>
        <v>33023.014876756715</v>
      </c>
      <c r="H6" s="7">
        <f>'Ex 11 Teuer IS Pro Forma (HT)'!H13</f>
        <v>36770.369506169751</v>
      </c>
      <c r="I6" s="7">
        <f>'Ex 11 Teuer IS Pro Forma (HT)'!I13</f>
        <v>40307.44993194328</v>
      </c>
      <c r="M6" t="s">
        <v>118</v>
      </c>
      <c r="N6" t="s">
        <v>120</v>
      </c>
      <c r="O6" t="s">
        <v>119</v>
      </c>
    </row>
    <row r="7" spans="1:15">
      <c r="B7" s="13" t="s">
        <v>78</v>
      </c>
      <c r="C7" s="7">
        <v>-2228.6</v>
      </c>
      <c r="D7" s="7">
        <f>-'Exh 6 Stores BS'!O95</f>
        <v>-2366.6780107764826</v>
      </c>
      <c r="E7" s="7">
        <f>-'Exh 6 Stores BS'!P95</f>
        <v>-3325.4327299306556</v>
      </c>
      <c r="F7" s="7">
        <f>-'Exh 6 Stores BS'!Q95</f>
        <v>-4113.9894630983918</v>
      </c>
      <c r="G7" s="7">
        <f>-'Exh 6 Stores BS'!R95</f>
        <v>-761.18830699454759</v>
      </c>
      <c r="H7" s="7">
        <f>-'Exh 6 Stores BS'!S95</f>
        <v>-321.98074746298283</v>
      </c>
      <c r="I7" s="7">
        <f>-'Exh 6 Stores BS'!T95</f>
        <v>-616.38428430149656</v>
      </c>
      <c r="L7">
        <v>2012</v>
      </c>
      <c r="M7" s="117">
        <f>-(C7+C9+C8)/C6</f>
        <v>0.42229601780947185</v>
      </c>
      <c r="N7" s="117">
        <f>C6/'Ex 12 Teuer BS Pro Forma (HT)'!C15</f>
        <v>0.29898131414758489</v>
      </c>
      <c r="O7" s="118">
        <f t="shared" ref="O7:O13" si="1">M7*N7</f>
        <v>0.12625861836396782</v>
      </c>
    </row>
    <row r="8" spans="1:15">
      <c r="B8" s="13" t="s">
        <v>48</v>
      </c>
      <c r="C8" s="7">
        <v>1450.1</v>
      </c>
      <c r="D8" s="7">
        <f>'Ex 11 Teuer IS Pro Forma (HT)'!D7</f>
        <v>1084.2</v>
      </c>
      <c r="E8" s="7">
        <f>'Ex 11 Teuer IS Pro Forma (HT)'!E7</f>
        <v>1372.7356021552964</v>
      </c>
      <c r="F8" s="7">
        <f>'Ex 11 Teuer IS Pro Forma (HT)'!F7</f>
        <v>1959.0221481414276</v>
      </c>
      <c r="G8" s="7">
        <f>'Ex 11 Teuer IS Pro Forma (HT)'!G7</f>
        <v>2631.4200407611061</v>
      </c>
      <c r="H8" s="7">
        <f>'Ex 11 Teuer IS Pro Forma (HT)'!H7</f>
        <v>2559.1777021600155</v>
      </c>
      <c r="I8" s="7">
        <f>'Ex 11 Teuer IS Pro Forma (HT)'!I7</f>
        <v>2177.8538516526123</v>
      </c>
      <c r="L8">
        <v>2013</v>
      </c>
      <c r="M8" s="117">
        <f>-(D7+D9+D8)/D6</f>
        <v>0.25613595368213682</v>
      </c>
      <c r="N8" s="117">
        <f>D6/'Ex 12 Teuer BS Pro Forma (HT)'!D15</f>
        <v>0.30871788300184905</v>
      </c>
      <c r="O8" s="118">
        <f t="shared" si="1"/>
        <v>7.9073749381408945E-2</v>
      </c>
    </row>
    <row r="9" spans="1:15">
      <c r="B9" s="13" t="s">
        <v>49</v>
      </c>
      <c r="C9" s="11">
        <v>-8364.7999999999993</v>
      </c>
      <c r="D9" s="11">
        <f>-(D10+D11-D12-D13)</f>
        <v>-4935.5033578365574</v>
      </c>
      <c r="E9" s="11">
        <f t="shared" ref="E9:I9" si="2">-(E10+E11-E12-E13)</f>
        <v>-7520.4885553650756</v>
      </c>
      <c r="F9" s="11">
        <f t="shared" si="2"/>
        <v>-7752.6548513504986</v>
      </c>
      <c r="G9" s="11">
        <f t="shared" si="2"/>
        <v>-7626.8072978073269</v>
      </c>
      <c r="H9" s="11">
        <f t="shared" si="2"/>
        <v>-5755.8272877637301</v>
      </c>
      <c r="I9" s="11">
        <f t="shared" si="2"/>
        <v>-4249.64964957552</v>
      </c>
      <c r="L9">
        <v>2014</v>
      </c>
      <c r="M9" s="117">
        <f>-(E7+E9+E8)/E6</f>
        <v>0.35438587041927005</v>
      </c>
      <c r="N9" s="117">
        <f>E6/'Ex 12 Teuer BS Pro Forma (HT)'!E15</f>
        <v>0.30339074509653791</v>
      </c>
      <c r="O9" s="118">
        <f t="shared" si="1"/>
        <v>0.10751739327818748</v>
      </c>
    </row>
    <row r="10" spans="1:15">
      <c r="B10" s="83" t="s">
        <v>102</v>
      </c>
      <c r="C10" s="7"/>
      <c r="D10" s="7">
        <f>'Ex 12 Teuer BS Pro Forma (HT)'!D4-'Ex 12 Teuer BS Pro Forma (HT)'!C4</f>
        <v>5328.9782018299375</v>
      </c>
      <c r="E10" s="7">
        <f>'Ex 12 Teuer BS Pro Forma (HT)'!E4-'Ex 12 Teuer BS Pro Forma (HT)'!D4</f>
        <v>5483.4967379531081</v>
      </c>
      <c r="F10" s="7">
        <f>'Ex 12 Teuer BS Pro Forma (HT)'!F4-'Ex 12 Teuer BS Pro Forma (HT)'!E4</f>
        <v>5732.0689659184281</v>
      </c>
      <c r="G10" s="7">
        <f>'Ex 12 Teuer BS Pro Forma (HT)'!G4-'Ex 12 Teuer BS Pro Forma (HT)'!F4</f>
        <v>5819.2300035247827</v>
      </c>
      <c r="H10" s="7">
        <f>'Ex 12 Teuer BS Pro Forma (HT)'!H4-'Ex 12 Teuer BS Pro Forma (HT)'!G4</f>
        <v>4528.0529858533992</v>
      </c>
      <c r="I10" s="7">
        <f>'Ex 12 Teuer BS Pro Forma (HT)'!I4-'Ex 12 Teuer BS Pro Forma (HT)'!H4</f>
        <v>3505.9949809396203</v>
      </c>
      <c r="L10">
        <v>2015</v>
      </c>
      <c r="M10" s="117">
        <f>-(F7+F9+F8)/F6</f>
        <v>0.33529800573984836</v>
      </c>
      <c r="N10" s="117">
        <f>F6/'Ex 12 Teuer BS Pro Forma (HT)'!F15</f>
        <v>0.30146811443454818</v>
      </c>
      <c r="O10" s="118">
        <f t="shared" si="1"/>
        <v>0.1010816575640564</v>
      </c>
    </row>
    <row r="11" spans="1:15">
      <c r="B11" s="83" t="s">
        <v>103</v>
      </c>
      <c r="C11" s="7"/>
      <c r="D11" s="7">
        <f>'Ex 12 Teuer BS Pro Forma (HT)'!D5-'Ex 12 Teuer BS Pro Forma (HT)'!C5</f>
        <v>-433.7035366199998</v>
      </c>
      <c r="E11" s="7">
        <f>'Ex 12 Teuer BS Pro Forma (HT)'!E5-'Ex 12 Teuer BS Pro Forma (HT)'!D5</f>
        <v>3366.7461609056263</v>
      </c>
      <c r="F11" s="7">
        <f>'Ex 12 Teuer BS Pro Forma (HT)'!F5-'Ex 12 Teuer BS Pro Forma (HT)'!E5</f>
        <v>3348.6043603965591</v>
      </c>
      <c r="G11" s="7">
        <f>'Ex 12 Teuer BS Pro Forma (HT)'!G5-'Ex 12 Teuer BS Pro Forma (HT)'!F5</f>
        <v>3010.8641076638232</v>
      </c>
      <c r="H11" s="7">
        <f>'Ex 12 Teuer BS Pro Forma (HT)'!H5-'Ex 12 Teuer BS Pro Forma (HT)'!G5</f>
        <v>2057.5534983945472</v>
      </c>
      <c r="I11" s="7">
        <f>'Ex 12 Teuer BS Pro Forma (HT)'!I5-'Ex 12 Teuer BS Pro Forma (HT)'!H5</f>
        <v>1266.1294135742501</v>
      </c>
      <c r="L11">
        <v>2016</v>
      </c>
      <c r="M11" s="117">
        <f>-(G7+G9+G8)/G6</f>
        <v>0.17432010933963937</v>
      </c>
      <c r="N11" s="117">
        <f>G6/'Ex 12 Teuer BS Pro Forma (HT)'!G15</f>
        <v>0.31822480152705579</v>
      </c>
      <c r="O11" s="118">
        <f t="shared" si="1"/>
        <v>5.5472982196781401E-2</v>
      </c>
    </row>
    <row r="12" spans="1:15">
      <c r="B12" s="83" t="s">
        <v>104</v>
      </c>
      <c r="C12" s="7"/>
      <c r="D12" s="7">
        <f>'Ex 12 Teuer BS Pro Forma (HT)'!D11-'Ex 12 Teuer BS Pro Forma (HT)'!C11</f>
        <v>-62.860503339712523</v>
      </c>
      <c r="E12" s="7">
        <f>'Ex 12 Teuer BS Pro Forma (HT)'!E11-'Ex 12 Teuer BS Pro Forma (HT)'!D11</f>
        <v>1156.1046150796901</v>
      </c>
      <c r="F12" s="7">
        <f>'Ex 12 Teuer BS Pro Forma (HT)'!F11-'Ex 12 Teuer BS Pro Forma (HT)'!E11</f>
        <v>1149.8749148611387</v>
      </c>
      <c r="G12" s="7">
        <f>'Ex 12 Teuer BS Pro Forma (HT)'!G11-'Ex 12 Teuer BS Pro Forma (HT)'!F11</f>
        <v>1033.8985251301547</v>
      </c>
      <c r="H12" s="7">
        <f>'Ex 12 Teuer BS Pro Forma (HT)'!H11-'Ex 12 Teuer BS Pro Forma (HT)'!G11</f>
        <v>706.54186017618667</v>
      </c>
      <c r="I12" s="7">
        <f>'Ex 12 Teuer BS Pro Forma (HT)'!I11-'Ex 12 Teuer BS Pro Forma (HT)'!H11</f>
        <v>434.77529589803817</v>
      </c>
      <c r="L12">
        <v>2017</v>
      </c>
      <c r="M12" s="117">
        <f>-(H7+H9+H8)/H6</f>
        <v>9.5692003651916005E-2</v>
      </c>
      <c r="N12" s="117">
        <f>H6/'Ex 12 Teuer BS Pro Forma (HT)'!H15</f>
        <v>0.3427155189356545</v>
      </c>
      <c r="O12" s="118">
        <f t="shared" si="1"/>
        <v>3.2795134689558941E-2</v>
      </c>
    </row>
    <row r="13" spans="1:15">
      <c r="B13" s="83" t="s">
        <v>105</v>
      </c>
      <c r="C13" s="7"/>
      <c r="D13" s="7">
        <f>'Ex 12 Teuer BS Pro Forma (HT)'!D12-'Ex 12 Teuer BS Pro Forma (HT)'!C12</f>
        <v>22.631810713092818</v>
      </c>
      <c r="E13" s="7">
        <f>'Ex 12 Teuer BS Pro Forma (HT)'!E12-'Ex 12 Teuer BS Pro Forma (HT)'!D12</f>
        <v>173.64972841396889</v>
      </c>
      <c r="F13" s="7">
        <f>'Ex 12 Teuer BS Pro Forma (HT)'!F12-'Ex 12 Teuer BS Pro Forma (HT)'!E12</f>
        <v>178.14356010334996</v>
      </c>
      <c r="G13" s="7">
        <f>'Ex 12 Teuer BS Pro Forma (HT)'!G12-'Ex 12 Teuer BS Pro Forma (HT)'!F12</f>
        <v>169.38828825112478</v>
      </c>
      <c r="H13" s="7">
        <f>'Ex 12 Teuer BS Pro Forma (HT)'!H12-'Ex 12 Teuer BS Pro Forma (HT)'!G12</f>
        <v>123.23733630802963</v>
      </c>
      <c r="I13" s="7">
        <f>'Ex 12 Teuer BS Pro Forma (HT)'!I12-'Ex 12 Teuer BS Pro Forma (HT)'!H12</f>
        <v>87.69944904031172</v>
      </c>
      <c r="L13">
        <v>2018</v>
      </c>
      <c r="M13" s="117">
        <f>-(I7+I9+I8)/I6</f>
        <v>6.6691891617138649E-2</v>
      </c>
      <c r="N13" s="117">
        <f>I6/'Ex 12 Teuer BS Pro Forma (HT)'!I15</f>
        <v>0.36649996546202041</v>
      </c>
      <c r="O13" s="118">
        <f t="shared" si="1"/>
        <v>2.4442575974278125E-2</v>
      </c>
    </row>
    <row r="14" spans="1:15">
      <c r="B14" t="s">
        <v>98</v>
      </c>
      <c r="C14" s="7">
        <v>12508.1</v>
      </c>
      <c r="D14" s="7">
        <f>D6+D7+D8+D9</f>
        <v>18058.116068022184</v>
      </c>
      <c r="E14" s="7">
        <f t="shared" ref="E14:I14" si="3">E6+E7+E8+E9</f>
        <v>17258.087976085346</v>
      </c>
      <c r="F14" s="7">
        <f t="shared" si="3"/>
        <v>19641.083751122322</v>
      </c>
      <c r="G14" s="7">
        <f t="shared" si="3"/>
        <v>27266.439312715949</v>
      </c>
      <c r="H14" s="7">
        <f t="shared" si="3"/>
        <v>33251.739173103051</v>
      </c>
      <c r="I14" s="7">
        <f t="shared" si="3"/>
        <v>37619.269849718876</v>
      </c>
    </row>
    <row r="15" spans="1:15">
      <c r="B15" t="s">
        <v>99</v>
      </c>
      <c r="D15" s="76"/>
      <c r="E15" s="76"/>
      <c r="F15" s="76"/>
      <c r="G15" s="76"/>
      <c r="H15" s="114" t="s">
        <v>112</v>
      </c>
      <c r="I15" s="7">
        <f>I14*(1+C24)/(C23-C24)</f>
        <v>452743.53830766317</v>
      </c>
      <c r="J15" s="114" t="s">
        <v>113</v>
      </c>
    </row>
    <row r="16" spans="1:15">
      <c r="D16" s="115">
        <f>D14</f>
        <v>18058.116068022184</v>
      </c>
      <c r="E16" s="115">
        <f t="shared" ref="E16:H16" si="4">E14</f>
        <v>17258.087976085346</v>
      </c>
      <c r="F16" s="115">
        <f t="shared" si="4"/>
        <v>19641.083751122322</v>
      </c>
      <c r="G16" s="115">
        <f t="shared" si="4"/>
        <v>27266.439312715949</v>
      </c>
      <c r="H16" s="115">
        <f t="shared" si="4"/>
        <v>33251.739173103051</v>
      </c>
      <c r="I16" s="116">
        <f>I14+I15</f>
        <v>490362.80815738207</v>
      </c>
    </row>
    <row r="17" spans="1:12">
      <c r="B17" t="s">
        <v>106</v>
      </c>
      <c r="C17" s="84"/>
      <c r="D17" s="84"/>
      <c r="E17" s="84"/>
      <c r="F17" s="84"/>
      <c r="G17" s="84"/>
      <c r="H17" s="84"/>
      <c r="I17" s="84"/>
    </row>
    <row r="18" spans="1:12">
      <c r="B18" t="s">
        <v>107</v>
      </c>
      <c r="C18" s="1">
        <f>NPV(C23,D16:I16)</f>
        <v>326942.00372737466</v>
      </c>
      <c r="E18" s="7"/>
      <c r="F18" s="7"/>
      <c r="G18" s="7"/>
      <c r="H18" s="7"/>
    </row>
    <row r="19" spans="1:12">
      <c r="B19" t="s">
        <v>100</v>
      </c>
      <c r="C19" s="101"/>
      <c r="E19" s="7"/>
      <c r="F19" s="7"/>
      <c r="G19" s="7"/>
      <c r="H19" s="7"/>
      <c r="I19" s="7"/>
    </row>
    <row r="20" spans="1:12">
      <c r="B20" t="s">
        <v>43</v>
      </c>
      <c r="C20" s="29">
        <f>C18/C26</f>
        <v>32.875012943929079</v>
      </c>
      <c r="D20" s="29"/>
      <c r="E20" s="29"/>
      <c r="F20" s="29"/>
      <c r="G20" s="29"/>
      <c r="H20" s="29"/>
      <c r="I20" s="29"/>
    </row>
    <row r="21" spans="1:12">
      <c r="C21" s="8"/>
      <c r="D21" s="7"/>
      <c r="E21" s="8"/>
      <c r="F21" s="8"/>
      <c r="G21" s="8"/>
      <c r="H21" s="8"/>
      <c r="I21" s="8"/>
    </row>
    <row r="22" spans="1:12">
      <c r="A22" s="20" t="s">
        <v>6</v>
      </c>
      <c r="D22" s="76"/>
    </row>
    <row r="23" spans="1:12">
      <c r="A23" s="20"/>
      <c r="B23" t="s">
        <v>42</v>
      </c>
      <c r="C23" s="49">
        <f>'Exh 10 Forecast Parameters'!B15</f>
        <v>0.12100000000000001</v>
      </c>
      <c r="D23" s="6"/>
    </row>
    <row r="24" spans="1:12">
      <c r="A24" s="20"/>
      <c r="B24" t="s">
        <v>94</v>
      </c>
      <c r="C24" s="49">
        <f>'Exh 10 Forecast Parameters'!B16</f>
        <v>3.5000000000000003E-2</v>
      </c>
      <c r="D24" s="26"/>
      <c r="E24" s="26"/>
      <c r="F24" s="26"/>
      <c r="G24" s="26"/>
      <c r="H24" s="26"/>
      <c r="I24" s="26"/>
    </row>
    <row r="25" spans="1:12">
      <c r="A25" s="20"/>
      <c r="B25" t="s">
        <v>44</v>
      </c>
      <c r="C25" s="78">
        <v>187</v>
      </c>
    </row>
    <row r="26" spans="1:12">
      <c r="A26" s="20"/>
      <c r="B26" t="s">
        <v>45</v>
      </c>
      <c r="C26" s="78">
        <f>'Exh 10 Forecast Parameters'!B17</f>
        <v>9945</v>
      </c>
    </row>
    <row r="27" spans="1:12">
      <c r="C27" s="7"/>
    </row>
    <row r="28" spans="1:12">
      <c r="C28" s="7"/>
    </row>
    <row r="30" spans="1:12" ht="18.5">
      <c r="A30" s="85" t="s">
        <v>74</v>
      </c>
      <c r="B30" s="85"/>
      <c r="C30" s="85"/>
      <c r="D30" s="85"/>
      <c r="E30" s="24"/>
      <c r="F30" s="24"/>
      <c r="G30" s="24"/>
      <c r="H30" s="24"/>
      <c r="I30" s="24"/>
      <c r="J30" s="24"/>
      <c r="K30" s="24"/>
      <c r="L30" s="24"/>
    </row>
    <row r="31" spans="1:12">
      <c r="A31" s="24"/>
      <c r="B31" s="24"/>
      <c r="C31" s="86">
        <v>2003</v>
      </c>
      <c r="D31" s="86">
        <v>2004</v>
      </c>
      <c r="E31" s="86">
        <v>2005</v>
      </c>
      <c r="F31" s="86">
        <v>2006</v>
      </c>
      <c r="G31" s="86">
        <v>2007</v>
      </c>
      <c r="H31" s="86">
        <v>2008</v>
      </c>
      <c r="I31" s="86">
        <v>2009</v>
      </c>
      <c r="J31" s="86">
        <v>2010</v>
      </c>
      <c r="K31" s="86">
        <v>2011</v>
      </c>
      <c r="L31" s="86">
        <v>2012</v>
      </c>
    </row>
    <row r="32" spans="1:12">
      <c r="A32" s="24"/>
      <c r="B32" s="24" t="s">
        <v>0</v>
      </c>
      <c r="C32" s="87"/>
      <c r="D32" s="41">
        <v>2057</v>
      </c>
      <c r="E32" s="41">
        <v>10415</v>
      </c>
      <c r="F32" s="41">
        <v>26701</v>
      </c>
      <c r="G32" s="41">
        <v>51540</v>
      </c>
      <c r="H32" s="41">
        <v>79191</v>
      </c>
      <c r="I32" s="41">
        <v>90680</v>
      </c>
      <c r="J32" s="41">
        <v>111451</v>
      </c>
      <c r="K32" s="41">
        <v>134093</v>
      </c>
      <c r="L32" s="41">
        <v>148218</v>
      </c>
    </row>
    <row r="33" spans="1:12">
      <c r="A33" s="24"/>
      <c r="B33" s="24" t="s">
        <v>46</v>
      </c>
      <c r="C33" s="87"/>
      <c r="D33" s="41">
        <v>-2583</v>
      </c>
      <c r="E33" s="41">
        <v>-12003</v>
      </c>
      <c r="F33" s="41">
        <v>-29394</v>
      </c>
      <c r="G33" s="41">
        <v>-53144</v>
      </c>
      <c r="H33" s="41">
        <v>-77592</v>
      </c>
      <c r="I33" s="41">
        <v>-84510</v>
      </c>
      <c r="J33" s="41">
        <v>-89222</v>
      </c>
      <c r="K33" s="41">
        <v>-100704</v>
      </c>
      <c r="L33" s="41">
        <v>-112132</v>
      </c>
    </row>
    <row r="34" spans="1:12">
      <c r="A34" s="24"/>
      <c r="B34" s="24" t="s">
        <v>47</v>
      </c>
      <c r="C34" s="88"/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-543</v>
      </c>
      <c r="J34" s="35">
        <v>-8892</v>
      </c>
      <c r="K34" s="35">
        <v>-13356</v>
      </c>
      <c r="L34" s="35">
        <v>-14434</v>
      </c>
    </row>
    <row r="35" spans="1:12">
      <c r="A35" s="24"/>
      <c r="B35" s="24" t="s">
        <v>22</v>
      </c>
      <c r="C35" s="87">
        <v>0</v>
      </c>
      <c r="D35" s="87">
        <v>-526</v>
      </c>
      <c r="E35" s="87">
        <v>-1588</v>
      </c>
      <c r="F35" s="87">
        <v>-2693</v>
      </c>
      <c r="G35" s="87">
        <v>-1604</v>
      </c>
      <c r="H35" s="87">
        <v>1600</v>
      </c>
      <c r="I35" s="87">
        <v>5626</v>
      </c>
      <c r="J35" s="87">
        <v>13337</v>
      </c>
      <c r="K35" s="87">
        <v>20033</v>
      </c>
      <c r="L35" s="87">
        <v>21651</v>
      </c>
    </row>
    <row r="36" spans="1:12">
      <c r="A36" s="24"/>
      <c r="B36" s="24" t="s">
        <v>78</v>
      </c>
      <c r="C36" s="41">
        <v>-358</v>
      </c>
      <c r="D36" s="41">
        <v>-1175</v>
      </c>
      <c r="E36" s="41">
        <v>-1814</v>
      </c>
      <c r="F36" s="41">
        <v>-2971</v>
      </c>
      <c r="G36" s="41">
        <v>-4058</v>
      </c>
      <c r="H36" s="41">
        <v>-924</v>
      </c>
      <c r="I36" s="41">
        <v>-394</v>
      </c>
      <c r="J36" s="41">
        <v>-752</v>
      </c>
      <c r="K36" s="41">
        <v>-1122</v>
      </c>
      <c r="L36" s="41">
        <v>-2229</v>
      </c>
    </row>
    <row r="37" spans="1:12">
      <c r="A37" s="24"/>
      <c r="B37" s="24" t="s">
        <v>48</v>
      </c>
      <c r="C37" s="41">
        <v>0</v>
      </c>
      <c r="D37" s="41">
        <v>72</v>
      </c>
      <c r="E37" s="41">
        <v>307</v>
      </c>
      <c r="F37" s="41">
        <v>669</v>
      </c>
      <c r="G37" s="41">
        <v>1264</v>
      </c>
      <c r="H37" s="41">
        <v>2075</v>
      </c>
      <c r="I37" s="41">
        <v>2188</v>
      </c>
      <c r="J37" s="41">
        <v>2032</v>
      </c>
      <c r="K37" s="41">
        <v>1820</v>
      </c>
      <c r="L37" s="41">
        <v>1450</v>
      </c>
    </row>
    <row r="38" spans="1:12">
      <c r="A38" s="24"/>
      <c r="B38" s="24" t="s">
        <v>49</v>
      </c>
      <c r="C38" s="35">
        <v>-406</v>
      </c>
      <c r="D38" s="35">
        <v>-2193</v>
      </c>
      <c r="E38" s="35">
        <v>-5957</v>
      </c>
      <c r="F38" s="35">
        <v>-9467</v>
      </c>
      <c r="G38" s="35">
        <v>-11645</v>
      </c>
      <c r="H38" s="35">
        <v>-8498</v>
      </c>
      <c r="I38" s="35">
        <v>-6281</v>
      </c>
      <c r="J38" s="35">
        <v>-8494</v>
      </c>
      <c r="K38" s="35">
        <v>-7192</v>
      </c>
      <c r="L38" s="35">
        <v>-8365</v>
      </c>
    </row>
    <row r="39" spans="1:12">
      <c r="A39" s="24"/>
      <c r="B39" s="24" t="s">
        <v>91</v>
      </c>
      <c r="C39" s="87">
        <v>-764</v>
      </c>
      <c r="D39" s="87">
        <v>-3823</v>
      </c>
      <c r="E39" s="87">
        <v>-9052</v>
      </c>
      <c r="F39" s="87">
        <v>-14461</v>
      </c>
      <c r="G39" s="87">
        <v>-16043</v>
      </c>
      <c r="H39" s="87">
        <v>-5747</v>
      </c>
      <c r="I39" s="87">
        <v>1139</v>
      </c>
      <c r="J39" s="87">
        <v>6124</v>
      </c>
      <c r="K39" s="87">
        <v>13539</v>
      </c>
      <c r="L39" s="87">
        <v>12508</v>
      </c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L69"/>
  <sheetViews>
    <sheetView zoomScale="118" workbookViewId="0">
      <pane xSplit="2" ySplit="2" topLeftCell="C3" activePane="bottomRight" state="frozen"/>
      <selection pane="topRight"/>
      <selection pane="bottomLeft"/>
      <selection pane="bottomRight" activeCell="C12" sqref="C12"/>
    </sheetView>
  </sheetViews>
  <sheetFormatPr defaultColWidth="8.81640625" defaultRowHeight="14.5"/>
  <cols>
    <col min="1" max="1" width="38.36328125" customWidth="1"/>
    <col min="2" max="2" width="7.6328125" customWidth="1"/>
    <col min="3" max="11" width="8.6328125" customWidth="1"/>
  </cols>
  <sheetData>
    <row r="1" spans="1:12" s="10" customFormat="1" ht="18.5">
      <c r="A1" s="10" t="s">
        <v>63</v>
      </c>
    </row>
    <row r="2" spans="1:12">
      <c r="B2" s="50" t="s">
        <v>25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2">
      <c r="A3" t="s">
        <v>11</v>
      </c>
      <c r="B3" s="67">
        <v>2003</v>
      </c>
      <c r="C3" s="6">
        <f>'Exh 6 Stores BS'!F5/'Exh 5 Stores IS (Hist Teuer)'!F4</f>
        <v>0.3651835643082908</v>
      </c>
      <c r="D3" s="6">
        <f>'Exh 6 Stores BS'!G5/'Exh 5 Stores IS (Hist Teuer)'!G4</f>
        <v>0.31622396344654552</v>
      </c>
      <c r="E3" s="6">
        <f>'Exh 6 Stores BS'!H5/'Exh 5 Stores IS (Hist Teuer)'!H4</f>
        <v>0.318750562120861</v>
      </c>
      <c r="F3" s="6">
        <f>'Exh 6 Stores BS'!I5/'Exh 5 Stores IS (Hist Teuer)'!I4</f>
        <v>0.32127100828301064</v>
      </c>
      <c r="G3" s="6">
        <f>'Exh 6 Stores BS'!J5/'Exh 5 Stores IS (Hist Teuer)'!J4</f>
        <v>0.32168264635418164</v>
      </c>
      <c r="H3" s="6">
        <f>'Exh 6 Stores BS'!K5/'Exh 5 Stores IS (Hist Teuer)'!K4</f>
        <v>0.30900060844390709</v>
      </c>
      <c r="I3" s="6">
        <f>'Exh 6 Stores BS'!L5/'Exh 5 Stores IS (Hist Teuer)'!L4</f>
        <v>0.30971890047946438</v>
      </c>
      <c r="J3" s="6">
        <f>'Exh 6 Stores BS'!M5/'Exh 5 Stores IS (Hist Teuer)'!M4</f>
        <v>0.29671265542497022</v>
      </c>
      <c r="K3" s="6">
        <f>'Exh 6 Stores BS'!N5/'Exh 5 Stores IS (Hist Teuer)'!N4</f>
        <v>0.31525322226877978</v>
      </c>
    </row>
    <row r="4" spans="1:12">
      <c r="B4" s="67">
        <v>2004</v>
      </c>
      <c r="C4" s="6">
        <f>'Exh 6 Stores BS'!G12/'Exh 5 Stores IS (Hist Teuer)'!G11</f>
        <v>0.3440297102424042</v>
      </c>
      <c r="D4" s="6">
        <f>'Exh 6 Stores BS'!H12/'Exh 5 Stores IS (Hist Teuer)'!H11</f>
        <v>0.32498128419653227</v>
      </c>
      <c r="E4" s="6">
        <f>'Exh 6 Stores BS'!I12/'Exh 5 Stores IS (Hist Teuer)'!I11</f>
        <v>0.3317771662315368</v>
      </c>
      <c r="F4" s="6">
        <f>'Exh 6 Stores BS'!J12/'Exh 5 Stores IS (Hist Teuer)'!J11</f>
        <v>0.33514968127762029</v>
      </c>
      <c r="G4" s="6">
        <f>'Exh 6 Stores BS'!K12/'Exh 5 Stores IS (Hist Teuer)'!K11</f>
        <v>0.34161521862128763</v>
      </c>
      <c r="H4" s="6">
        <f>'Exh 6 Stores BS'!L12/'Exh 5 Stores IS (Hist Teuer)'!L11</f>
        <v>0.34588477001520562</v>
      </c>
      <c r="I4" s="6">
        <f>'Exh 6 Stores BS'!M12/'Exh 5 Stores IS (Hist Teuer)'!M11</f>
        <v>0.32476193824008226</v>
      </c>
      <c r="J4" s="6">
        <f>'Exh 6 Stores BS'!N12/'Exh 5 Stores IS (Hist Teuer)'!N11</f>
        <v>0.31851398403747139</v>
      </c>
      <c r="K4" s="6"/>
    </row>
    <row r="5" spans="1:12">
      <c r="B5" s="67">
        <v>2005</v>
      </c>
      <c r="C5" s="6">
        <f>'Exh 6 Stores BS'!H19/'Exh 5 Stores IS (Hist Teuer)'!H18</f>
        <v>0.32814584734496088</v>
      </c>
      <c r="D5" s="6">
        <f>'Exh 6 Stores BS'!I19/'Exh 5 Stores IS (Hist Teuer)'!I18</f>
        <v>0.33081113503236947</v>
      </c>
      <c r="E5" s="6">
        <f>'Exh 6 Stores BS'!J19/'Exh 5 Stores IS (Hist Teuer)'!J18</f>
        <v>0.31823802958119896</v>
      </c>
      <c r="F5" s="6">
        <f>'Exh 6 Stores BS'!K19/'Exh 5 Stores IS (Hist Teuer)'!K18</f>
        <v>0.29740267676158183</v>
      </c>
      <c r="G5" s="6">
        <f>'Exh 6 Stores BS'!L19/'Exh 5 Stores IS (Hist Teuer)'!L18</f>
        <v>0.31291985158100993</v>
      </c>
      <c r="H5" s="6">
        <f>'Exh 6 Stores BS'!M19/'Exh 5 Stores IS (Hist Teuer)'!M18</f>
        <v>0.31699459770815663</v>
      </c>
      <c r="I5" s="6">
        <f>'Exh 6 Stores BS'!N19/'Exh 5 Stores IS (Hist Teuer)'!N18</f>
        <v>0.32448274459199777</v>
      </c>
    </row>
    <row r="6" spans="1:12">
      <c r="B6" s="67">
        <v>2006</v>
      </c>
      <c r="C6" s="6">
        <f>'Exh 6 Stores BS'!I26/'Exh 5 Stores IS (Hist Teuer)'!I25</f>
        <v>0.32638108418297046</v>
      </c>
      <c r="D6" s="6">
        <f>'Exh 6 Stores BS'!J26/'Exh 5 Stores IS (Hist Teuer)'!J25</f>
        <v>0.31182600094506446</v>
      </c>
      <c r="E6" s="6">
        <f>'Exh 6 Stores BS'!K26/'Exh 5 Stores IS (Hist Teuer)'!K25</f>
        <v>0.33799563424133588</v>
      </c>
      <c r="F6" s="6">
        <f>'Exh 6 Stores BS'!L26/'Exh 5 Stores IS (Hist Teuer)'!L25</f>
        <v>0.33802009717263454</v>
      </c>
      <c r="G6" s="6">
        <f>'Exh 6 Stores BS'!M26/'Exh 5 Stores IS (Hist Teuer)'!M25</f>
        <v>0.31983093321544714</v>
      </c>
      <c r="H6" s="6">
        <f>'Exh 6 Stores BS'!N26/'Exh 5 Stores IS (Hist Teuer)'!N25</f>
        <v>0.33773959081154814</v>
      </c>
      <c r="I6" s="6"/>
    </row>
    <row r="7" spans="1:12">
      <c r="B7" s="67">
        <v>2007</v>
      </c>
      <c r="C7" s="6">
        <f>'Exh 6 Stores BS'!J33/'Exh 5 Stores IS (Hist Teuer)'!J32</f>
        <v>0.31209959446652019</v>
      </c>
      <c r="D7" s="6">
        <f>'Exh 6 Stores BS'!K33/'Exh 5 Stores IS (Hist Teuer)'!K32</f>
        <v>0.31040059441870255</v>
      </c>
      <c r="E7" s="6">
        <f>'Exh 6 Stores BS'!L33/'Exh 5 Stores IS (Hist Teuer)'!L32</f>
        <v>0.32329537096335548</v>
      </c>
      <c r="F7" s="6">
        <f>'Exh 6 Stores BS'!M33/'Exh 5 Stores IS (Hist Teuer)'!M32</f>
        <v>0.31292005264251616</v>
      </c>
      <c r="G7" s="6">
        <f>'Exh 6 Stores BS'!N33/'Exh 5 Stores IS (Hist Teuer)'!N32</f>
        <v>0.31968855034096244</v>
      </c>
      <c r="H7" s="6"/>
      <c r="I7" s="6"/>
    </row>
    <row r="8" spans="1:12">
      <c r="B8" s="67">
        <v>2008</v>
      </c>
      <c r="C8" s="6">
        <f>'Exh 6 Stores BS'!K40/'Exh 5 Stores IS (Hist Teuer)'!K39</f>
        <v>0.32890227222475388</v>
      </c>
      <c r="D8" s="6">
        <f>'Exh 6 Stores BS'!L40/'Exh 5 Stores IS (Hist Teuer)'!L39</f>
        <v>0.33965544932705144</v>
      </c>
      <c r="E8" s="6">
        <f>'Exh 6 Stores BS'!M40/'Exh 5 Stores IS (Hist Teuer)'!M39</f>
        <v>0.30539197548831831</v>
      </c>
      <c r="F8" s="6">
        <f>'Exh 6 Stores BS'!N40/'Exh 5 Stores IS (Hist Teuer)'!N39</f>
        <v>0.31384710959740336</v>
      </c>
      <c r="G8" s="6"/>
      <c r="H8" s="6"/>
      <c r="I8" s="6"/>
    </row>
    <row r="9" spans="1:12">
      <c r="B9" s="67">
        <v>2009</v>
      </c>
      <c r="C9" s="6">
        <f>'Exh 6 Stores BS'!L47/'Exh 5 Stores IS (Hist Teuer)'!L46</f>
        <v>0.3368426036800819</v>
      </c>
      <c r="D9" s="6">
        <f>'Exh 6 Stores BS'!M47/'Exh 5 Stores IS (Hist Teuer)'!M46</f>
        <v>0.33512769710927826</v>
      </c>
      <c r="E9" s="6">
        <f>'Exh 6 Stores BS'!N47/'Exh 5 Stores IS (Hist Teuer)'!N46</f>
        <v>0.33631356429283321</v>
      </c>
      <c r="F9" s="6"/>
      <c r="G9" s="6"/>
      <c r="H9" s="6"/>
      <c r="I9" s="6"/>
    </row>
    <row r="10" spans="1:12">
      <c r="B10" s="67">
        <v>2010</v>
      </c>
      <c r="C10" s="6">
        <f>'Exh 6 Stores BS'!M54/'Exh 5 Stores IS (Hist Teuer)'!M53</f>
        <v>0.31791241900431161</v>
      </c>
      <c r="D10" s="6">
        <f>'Exh 6 Stores BS'!N54/'Exh 5 Stores IS (Hist Teuer)'!N53</f>
        <v>0.33717206073680384</v>
      </c>
      <c r="E10" s="6"/>
      <c r="F10" s="6"/>
      <c r="G10" s="6"/>
      <c r="H10" s="6"/>
      <c r="I10" s="6"/>
    </row>
    <row r="11" spans="1:12">
      <c r="B11" s="69">
        <v>2011</v>
      </c>
      <c r="C11" s="68">
        <f>'Exh 6 Stores BS'!N61/'Exh 5 Stores IS (Hist Teuer)'!N60</f>
        <v>0.3258424463480124</v>
      </c>
      <c r="D11" s="6"/>
      <c r="E11" s="6"/>
      <c r="F11" s="6"/>
      <c r="G11" s="6"/>
      <c r="H11" s="6"/>
      <c r="I11" s="6"/>
    </row>
    <row r="12" spans="1:12">
      <c r="B12" s="50" t="s">
        <v>3</v>
      </c>
      <c r="C12" s="26">
        <f>AVERAGE(C3:K11)</f>
        <v>0.32437135261785188</v>
      </c>
    </row>
    <row r="13" spans="1:12">
      <c r="B13" s="50"/>
      <c r="C13" s="6"/>
      <c r="D13" s="6"/>
      <c r="E13" s="6"/>
      <c r="F13" s="6"/>
      <c r="G13" s="6"/>
      <c r="H13" s="6"/>
      <c r="I13" s="6"/>
    </row>
    <row r="14" spans="1:12">
      <c r="B14" s="66" t="s">
        <v>25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</row>
    <row r="15" spans="1:12">
      <c r="A15" t="s">
        <v>12</v>
      </c>
      <c r="B15" s="67">
        <v>2003</v>
      </c>
      <c r="C15" s="6">
        <f>'Exh 6 Stores BS'!E$6/'Exh 5 Stores IS (Hist Teuer)'!F$5</f>
        <v>0.45856973181927541</v>
      </c>
      <c r="D15" s="6">
        <f>'Exh 6 Stores BS'!F$6/'Exh 5 Stores IS (Hist Teuer)'!G$5</f>
        <v>0.47217192098978067</v>
      </c>
      <c r="E15" s="6">
        <f>'Exh 6 Stores BS'!G$6/'Exh 5 Stores IS (Hist Teuer)'!H$5</f>
        <v>0.44048990760564827</v>
      </c>
      <c r="F15" s="6">
        <f>'Exh 6 Stores BS'!H$6/'Exh 5 Stores IS (Hist Teuer)'!I$5</f>
        <v>0.50387903515832722</v>
      </c>
      <c r="G15" s="6">
        <f>'Exh 6 Stores BS'!I$6/'Exh 5 Stores IS (Hist Teuer)'!J$5</f>
        <v>0.42369161966767294</v>
      </c>
      <c r="H15" s="6">
        <f>'Exh 6 Stores BS'!J$6/'Exh 5 Stores IS (Hist Teuer)'!K$5</f>
        <v>0.42390797706838623</v>
      </c>
      <c r="I15" s="6">
        <f>'Exh 6 Stores BS'!K$6/'Exh 5 Stores IS (Hist Teuer)'!L$5</f>
        <v>0.44317664370028687</v>
      </c>
      <c r="J15" s="6">
        <f>'Exh 6 Stores BS'!L$6/'Exh 5 Stores IS (Hist Teuer)'!M$5</f>
        <v>0.50332864135756417</v>
      </c>
      <c r="K15" s="6">
        <f>'Exh 6 Stores BS'!M$6/'Exh 5 Stores IS (Hist Teuer)'!N$5</f>
        <v>0.42513417174245932</v>
      </c>
      <c r="L15" s="20"/>
    </row>
    <row r="16" spans="1:12">
      <c r="B16" s="67">
        <v>2004</v>
      </c>
      <c r="C16" s="6">
        <f>'Exh 6 Stores BS'!F$13/'Exh 5 Stores IS (Hist Teuer)'!G$12</f>
        <v>0.43411251656312089</v>
      </c>
      <c r="D16" s="6">
        <f>'Exh 6 Stores BS'!G$13/'Exh 5 Stores IS (Hist Teuer)'!H$12</f>
        <v>0.48335639688352883</v>
      </c>
      <c r="E16" s="6">
        <f>'Exh 6 Stores BS'!H$13/'Exh 5 Stores IS (Hist Teuer)'!I$12</f>
        <v>0.54520193820899177</v>
      </c>
      <c r="F16" s="6">
        <f>'Exh 6 Stores BS'!I$13/'Exh 5 Stores IS (Hist Teuer)'!J$12</f>
        <v>0.46445483619782496</v>
      </c>
      <c r="G16" s="6">
        <f>'Exh 6 Stores BS'!J$13/'Exh 5 Stores IS (Hist Teuer)'!K$12</f>
        <v>0.47269908881929773</v>
      </c>
      <c r="H16" s="6">
        <f>'Exh 6 Stores BS'!K$13/'Exh 5 Stores IS (Hist Teuer)'!L$12</f>
        <v>0.45572166888468729</v>
      </c>
      <c r="I16" s="6">
        <f>'Exh 6 Stores BS'!L$13/'Exh 5 Stores IS (Hist Teuer)'!M$12</f>
        <v>0.48534937924325139</v>
      </c>
      <c r="J16" s="6">
        <f>'Exh 6 Stores BS'!M$13/'Exh 5 Stores IS (Hist Teuer)'!N$12</f>
        <v>0.47341928072756723</v>
      </c>
      <c r="K16" s="6"/>
    </row>
    <row r="17" spans="1:12">
      <c r="B17" s="67">
        <v>2005</v>
      </c>
      <c r="C17" s="6">
        <f>'Exh 6 Stores BS'!G$20/'Exh 5 Stores IS (Hist Teuer)'!H$19</f>
        <v>0.47238195347952749</v>
      </c>
      <c r="D17" s="6">
        <f>'Exh 6 Stores BS'!H$20/'Exh 5 Stores IS (Hist Teuer)'!I$19</f>
        <v>0.4828350453767567</v>
      </c>
      <c r="E17" s="6">
        <f>'Exh 6 Stores BS'!I$20/'Exh 5 Stores IS (Hist Teuer)'!J$19</f>
        <v>0.40591832400788336</v>
      </c>
      <c r="F17" s="6">
        <f>'Exh 6 Stores BS'!J$20/'Exh 5 Stores IS (Hist Teuer)'!K$19</f>
        <v>0.4676816044098388</v>
      </c>
      <c r="G17" s="6">
        <f>'Exh 6 Stores BS'!K$20/'Exh 5 Stores IS (Hist Teuer)'!L$19</f>
        <v>0.43407834138676216</v>
      </c>
      <c r="H17" s="6">
        <f>'Exh 6 Stores BS'!L$20/'Exh 5 Stores IS (Hist Teuer)'!M$19</f>
        <v>0.44915719148169314</v>
      </c>
      <c r="I17" s="6">
        <f>'Exh 6 Stores BS'!M$20/'Exh 5 Stores IS (Hist Teuer)'!N$19</f>
        <v>0.4815124628686171</v>
      </c>
    </row>
    <row r="18" spans="1:12">
      <c r="B18" s="67">
        <v>2006</v>
      </c>
      <c r="C18" s="6">
        <f>'Exh 6 Stores BS'!H$27/'Exh 5 Stores IS (Hist Teuer)'!I$26</f>
        <v>0.45601252568244099</v>
      </c>
      <c r="D18" s="6">
        <f>'Exh 6 Stores BS'!I$27/'Exh 5 Stores IS (Hist Teuer)'!J$26</f>
        <v>0.58042184831929255</v>
      </c>
      <c r="E18" s="6">
        <f>'Exh 6 Stores BS'!J$27/'Exh 5 Stores IS (Hist Teuer)'!K$26</f>
        <v>0.4880414514207092</v>
      </c>
      <c r="F18" s="6">
        <f>'Exh 6 Stores BS'!K$27/'Exh 5 Stores IS (Hist Teuer)'!L$26</f>
        <v>0.59278690052054483</v>
      </c>
      <c r="G18" s="6">
        <f>'Exh 6 Stores BS'!L$27/'Exh 5 Stores IS (Hist Teuer)'!M$26</f>
        <v>0.50448308104635142</v>
      </c>
      <c r="H18" s="6">
        <f>'Exh 6 Stores BS'!M$27/'Exh 5 Stores IS (Hist Teuer)'!N$26</f>
        <v>0.49197524790846786</v>
      </c>
      <c r="I18" s="6"/>
      <c r="L18" s="20"/>
    </row>
    <row r="19" spans="1:12">
      <c r="B19" s="67">
        <v>2007</v>
      </c>
      <c r="C19" s="6">
        <f>'Exh 6 Stores BS'!I$34/'Exh 5 Stores IS (Hist Teuer)'!J$33</f>
        <v>0.46695542448682892</v>
      </c>
      <c r="D19" s="6">
        <f>'Exh 6 Stores BS'!J$34/'Exh 5 Stores IS (Hist Teuer)'!K$33</f>
        <v>0.42201175979597905</v>
      </c>
      <c r="E19" s="6">
        <f>'Exh 6 Stores BS'!K$34/'Exh 5 Stores IS (Hist Teuer)'!L$33</f>
        <v>0.53037244748907653</v>
      </c>
      <c r="F19" s="6">
        <f>'Exh 6 Stores BS'!L$34/'Exh 5 Stores IS (Hist Teuer)'!M$33</f>
        <v>0.48059602261413914</v>
      </c>
      <c r="G19" s="6">
        <f>'Exh 6 Stores BS'!M$34/'Exh 5 Stores IS (Hist Teuer)'!N$33</f>
        <v>0.45482168404907258</v>
      </c>
      <c r="H19" s="6"/>
      <c r="I19" s="6"/>
    </row>
    <row r="20" spans="1:12">
      <c r="B20" s="67">
        <v>2008</v>
      </c>
      <c r="C20" s="6">
        <f>'Exh 6 Stores BS'!J$41/'Exh 5 Stores IS (Hist Teuer)'!K$40</f>
        <v>0.50087652808462813</v>
      </c>
      <c r="D20" s="6">
        <f>'Exh 6 Stores BS'!K$41/'Exh 5 Stores IS (Hist Teuer)'!L$40</f>
        <v>0.49362758586890754</v>
      </c>
      <c r="E20" s="6">
        <f>'Exh 6 Stores BS'!L$41/'Exh 5 Stores IS (Hist Teuer)'!M$40</f>
        <v>0.48565291405103483</v>
      </c>
      <c r="F20" s="6">
        <f>'Exh 6 Stores BS'!M$41/'Exh 5 Stores IS (Hist Teuer)'!N$40</f>
        <v>0.45887542402558801</v>
      </c>
      <c r="G20" s="6"/>
      <c r="H20" s="6"/>
      <c r="I20" s="6"/>
    </row>
    <row r="21" spans="1:12">
      <c r="B21" s="67">
        <v>2009</v>
      </c>
      <c r="C21" s="6">
        <f>'Exh 6 Stores BS'!K$48/'Exh 5 Stores IS (Hist Teuer)'!L$47</f>
        <v>0.47772128995428725</v>
      </c>
      <c r="D21" s="6">
        <f>'Exh 6 Stores BS'!L$48/'Exh 5 Stores IS (Hist Teuer)'!M$47</f>
        <v>0.53389949276066928</v>
      </c>
      <c r="E21" s="6">
        <f>'Exh 6 Stores BS'!M$48/'Exh 5 Stores IS (Hist Teuer)'!N$47</f>
        <v>0.4667079189561546</v>
      </c>
      <c r="F21" s="6"/>
      <c r="G21" s="6"/>
      <c r="H21" s="6"/>
      <c r="I21" s="6"/>
    </row>
    <row r="22" spans="1:12">
      <c r="B22" s="67">
        <v>2010</v>
      </c>
      <c r="C22" s="6">
        <f>'Exh 6 Stores BS'!L$55/'Exh 5 Stores IS (Hist Teuer)'!M$54</f>
        <v>0.45508624389412278</v>
      </c>
      <c r="D22" s="6">
        <f>'Exh 6 Stores BS'!M$55/'Exh 5 Stores IS (Hist Teuer)'!N$54</f>
        <v>0.50699498748603999</v>
      </c>
      <c r="E22" s="6"/>
      <c r="F22" s="6"/>
      <c r="G22" s="6"/>
      <c r="H22" s="6"/>
      <c r="I22" s="6"/>
    </row>
    <row r="23" spans="1:12">
      <c r="B23" s="69">
        <v>2011</v>
      </c>
      <c r="C23" s="68">
        <f>'Exh 6 Stores BS'!M$62/'Exh 5 Stores IS (Hist Teuer)'!N$61</f>
        <v>0.45262343819240575</v>
      </c>
      <c r="D23" s="6"/>
      <c r="E23" s="6"/>
      <c r="F23" s="6"/>
      <c r="G23" s="6"/>
      <c r="H23" s="6"/>
      <c r="I23" s="6"/>
    </row>
    <row r="24" spans="1:12">
      <c r="B24" s="50" t="s">
        <v>3</v>
      </c>
      <c r="C24" s="26">
        <f>AVERAGE(C15:K23)</f>
        <v>0.47561719765012189</v>
      </c>
      <c r="D24" s="26"/>
      <c r="E24" s="1"/>
      <c r="F24" s="19"/>
      <c r="G24" s="26"/>
      <c r="H24" s="26"/>
      <c r="I24" s="26"/>
    </row>
    <row r="25" spans="1:12">
      <c r="B25" s="50"/>
      <c r="C25" s="26"/>
      <c r="D25" s="23"/>
      <c r="E25" s="23"/>
      <c r="F25" s="23"/>
      <c r="G25" s="23"/>
      <c r="H25" s="23"/>
      <c r="I25" s="23"/>
    </row>
    <row r="26" spans="1:12">
      <c r="B26" s="66" t="s">
        <v>25</v>
      </c>
      <c r="C26" s="4">
        <v>1</v>
      </c>
      <c r="D26" s="4">
        <v>2</v>
      </c>
      <c r="E26" s="4">
        <v>3</v>
      </c>
      <c r="F26" s="4">
        <v>4</v>
      </c>
      <c r="G26" s="4">
        <v>5</v>
      </c>
      <c r="H26" s="4">
        <v>6</v>
      </c>
      <c r="I26" s="4">
        <v>7</v>
      </c>
      <c r="J26" s="4">
        <v>8</v>
      </c>
      <c r="K26" s="4">
        <v>9</v>
      </c>
    </row>
    <row r="27" spans="1:12">
      <c r="A27" t="s">
        <v>13</v>
      </c>
      <c r="B27" s="67">
        <v>2003</v>
      </c>
      <c r="C27" s="6">
        <f>'Exh 6 Stores BS'!E$7/'Exh 5 Stores IS (Hist Teuer)'!F$5</f>
        <v>0.16129291363929177</v>
      </c>
      <c r="D27" s="6">
        <f>'Exh 6 Stores BS'!F$7/'Exh 5 Stores IS (Hist Teuer)'!G$5</f>
        <v>0.17160640183789694</v>
      </c>
      <c r="E27" s="6">
        <f>'Exh 6 Stores BS'!G$7/'Exh 5 Stores IS (Hist Teuer)'!H$5</f>
        <v>0.1484259582165923</v>
      </c>
      <c r="F27" s="6">
        <f>'Exh 6 Stores BS'!H$7/'Exh 5 Stores IS (Hist Teuer)'!I$5</f>
        <v>0.16921273670869547</v>
      </c>
      <c r="G27" s="6">
        <f>'Exh 6 Stores BS'!I$7/'Exh 5 Stores IS (Hist Teuer)'!J$5</f>
        <v>0.14647274836483315</v>
      </c>
      <c r="H27" s="6">
        <f>'Exh 6 Stores BS'!J$7/'Exh 5 Stores IS (Hist Teuer)'!K$5</f>
        <v>0.15163288934853617</v>
      </c>
      <c r="I27" s="6">
        <f>'Exh 6 Stores BS'!K$7/'Exh 5 Stores IS (Hist Teuer)'!L$5</f>
        <v>0.157329698105831</v>
      </c>
      <c r="J27" s="6">
        <f>'Exh 6 Stores BS'!L$7/'Exh 5 Stores IS (Hist Teuer)'!M$5</f>
        <v>0.17224119420592865</v>
      </c>
      <c r="K27" s="6">
        <f>'Exh 6 Stores BS'!M$7/'Exh 5 Stores IS (Hist Teuer)'!N$5</f>
        <v>0.1528711731208518</v>
      </c>
      <c r="L27" s="20"/>
    </row>
    <row r="28" spans="1:12">
      <c r="B28" s="67">
        <v>2004</v>
      </c>
      <c r="C28" s="6">
        <f>'Exh 6 Stores BS'!F$14/'Exh 5 Stores IS (Hist Teuer)'!G$12</f>
        <v>0.16050772713468794</v>
      </c>
      <c r="D28" s="6">
        <f>'Exh 6 Stores BS'!G$14/'Exh 5 Stores IS (Hist Teuer)'!H$12</f>
        <v>0.16899647325388328</v>
      </c>
      <c r="E28" s="6">
        <f>'Exh 6 Stores BS'!H$14/'Exh 5 Stores IS (Hist Teuer)'!I$12</f>
        <v>0.17995561443628641</v>
      </c>
      <c r="F28" s="6">
        <f>'Exh 6 Stores BS'!I$14/'Exh 5 Stores IS (Hist Teuer)'!J$12</f>
        <v>0.15578195344222973</v>
      </c>
      <c r="G28" s="6">
        <f>'Exh 6 Stores BS'!J$14/'Exh 5 Stores IS (Hist Teuer)'!K$12</f>
        <v>0.16995428129108556</v>
      </c>
      <c r="H28" s="6">
        <f>'Exh 6 Stores BS'!K$14/'Exh 5 Stores IS (Hist Teuer)'!L$12</f>
        <v>0.16322490535573278</v>
      </c>
      <c r="I28" s="6">
        <f>'Exh 6 Stores BS'!L$14/'Exh 5 Stores IS (Hist Teuer)'!M$12</f>
        <v>0.16794529282354848</v>
      </c>
      <c r="J28" s="6">
        <f>'Exh 6 Stores BS'!M$14/'Exh 5 Stores IS (Hist Teuer)'!N$12</f>
        <v>0.15867427744930801</v>
      </c>
      <c r="K28" s="6"/>
    </row>
    <row r="29" spans="1:12">
      <c r="B29" s="67">
        <v>2005</v>
      </c>
      <c r="C29" s="6">
        <f>'Exh 6 Stores BS'!G$21/'Exh 5 Stores IS (Hist Teuer)'!H$19</f>
        <v>0.15445849470754452</v>
      </c>
      <c r="D29" s="6">
        <f>'Exh 6 Stores BS'!H$21/'Exh 5 Stores IS (Hist Teuer)'!I$19</f>
        <v>0.16123875012168989</v>
      </c>
      <c r="E29" s="6">
        <f>'Exh 6 Stores BS'!I$21/'Exh 5 Stores IS (Hist Teuer)'!J$19</f>
        <v>0.15241820964095423</v>
      </c>
      <c r="F29" s="6">
        <f>'Exh 6 Stores BS'!J$21/'Exh 5 Stores IS (Hist Teuer)'!K$19</f>
        <v>0.16245825231328523</v>
      </c>
      <c r="G29" s="6">
        <f>'Exh 6 Stores BS'!K$21/'Exh 5 Stores IS (Hist Teuer)'!L$19</f>
        <v>0.16222334361923776</v>
      </c>
      <c r="H29" s="6">
        <f>'Exh 6 Stores BS'!L$21/'Exh 5 Stores IS (Hist Teuer)'!M$19</f>
        <v>0.1594514391304214</v>
      </c>
      <c r="I29" s="6">
        <f>'Exh 6 Stores BS'!M$21/'Exh 5 Stores IS (Hist Teuer)'!N$19</f>
        <v>0.17304810862870296</v>
      </c>
    </row>
    <row r="30" spans="1:12">
      <c r="B30" s="67">
        <v>2006</v>
      </c>
      <c r="C30" s="6">
        <f>'Exh 6 Stores BS'!H$28/'Exh 5 Stores IS (Hist Teuer)'!I$26</f>
        <v>0.16097676169292535</v>
      </c>
      <c r="D30" s="6">
        <f>'Exh 6 Stores BS'!I$28/'Exh 5 Stores IS (Hist Teuer)'!J$26</f>
        <v>0.19829893431585682</v>
      </c>
      <c r="E30" s="6">
        <f>'Exh 6 Stores BS'!J$28/'Exh 5 Stores IS (Hist Teuer)'!K$26</f>
        <v>0.16044788393581816</v>
      </c>
      <c r="F30" s="6">
        <f>'Exh 6 Stores BS'!K$28/'Exh 5 Stores IS (Hist Teuer)'!L$26</f>
        <v>0.19081128666699224</v>
      </c>
      <c r="G30" s="6">
        <f>'Exh 6 Stores BS'!L$28/'Exh 5 Stores IS (Hist Teuer)'!M$26</f>
        <v>0.16330373362722705</v>
      </c>
      <c r="H30" s="6">
        <f>'Exh 6 Stores BS'!M$28/'Exh 5 Stores IS (Hist Teuer)'!N$26</f>
        <v>0.1668864041767342</v>
      </c>
      <c r="I30" s="6"/>
    </row>
    <row r="31" spans="1:12">
      <c r="B31" s="67">
        <v>2007</v>
      </c>
      <c r="C31" s="6">
        <f>'Exh 6 Stores BS'!I$35/'Exh 5 Stores IS (Hist Teuer)'!J$33</f>
        <v>0.15454737498969512</v>
      </c>
      <c r="D31" s="6">
        <f>'Exh 6 Stores BS'!J$35/'Exh 5 Stores IS (Hist Teuer)'!K$33</f>
        <v>0.16758674685727259</v>
      </c>
      <c r="E31" s="6">
        <f>'Exh 6 Stores BS'!K$35/'Exh 5 Stores IS (Hist Teuer)'!L$33</f>
        <v>0.1651407812695814</v>
      </c>
      <c r="F31" s="6">
        <f>'Exh 6 Stores BS'!L$35/'Exh 5 Stores IS (Hist Teuer)'!M$33</f>
        <v>0.17273837882034096</v>
      </c>
      <c r="G31" s="6">
        <f>'Exh 6 Stores BS'!M$35/'Exh 5 Stores IS (Hist Teuer)'!N$33</f>
        <v>0.15188285506953547</v>
      </c>
      <c r="H31" s="6"/>
      <c r="I31" s="6"/>
    </row>
    <row r="32" spans="1:12">
      <c r="B32" s="67">
        <v>2008</v>
      </c>
      <c r="C32" s="6">
        <f>'Exh 6 Stores BS'!J$42/'Exh 5 Stores IS (Hist Teuer)'!K$40</f>
        <v>0.16997674484104422</v>
      </c>
      <c r="D32" s="6">
        <f>'Exh 6 Stores BS'!K$42/'Exh 5 Stores IS (Hist Teuer)'!L$40</f>
        <v>0.15775583604581217</v>
      </c>
      <c r="E32" s="6">
        <f>'Exh 6 Stores BS'!L$42/'Exh 5 Stores IS (Hist Teuer)'!M$40</f>
        <v>0.14973543255473939</v>
      </c>
      <c r="F32" s="6">
        <f>'Exh 6 Stores BS'!M$42/'Exh 5 Stores IS (Hist Teuer)'!N$40</f>
        <v>0.1557816276649894</v>
      </c>
      <c r="G32" s="6"/>
      <c r="H32" s="6"/>
      <c r="I32" s="6"/>
    </row>
    <row r="33" spans="1:11">
      <c r="B33" s="67">
        <v>2009</v>
      </c>
      <c r="C33" s="6">
        <f>'Exh 6 Stores BS'!K$49/'Exh 5 Stores IS (Hist Teuer)'!L$47</f>
        <v>0.16775779884185194</v>
      </c>
      <c r="D33" s="6">
        <f>'Exh 6 Stores BS'!L$49/'Exh 5 Stores IS (Hist Teuer)'!M$47</f>
        <v>0.15811753889764102</v>
      </c>
      <c r="E33" s="6">
        <f>'Exh 6 Stores BS'!M$49/'Exh 5 Stores IS (Hist Teuer)'!N$47</f>
        <v>0.17303420118388177</v>
      </c>
      <c r="F33" s="6"/>
      <c r="G33" s="6"/>
      <c r="H33" s="6"/>
      <c r="I33" s="6"/>
    </row>
    <row r="34" spans="1:11">
      <c r="B34" s="67">
        <v>2010</v>
      </c>
      <c r="C34" s="6">
        <f>'Exh 6 Stores BS'!L$56/'Exh 5 Stores IS (Hist Teuer)'!M$54</f>
        <v>0.15642274837373837</v>
      </c>
      <c r="D34" s="6">
        <f>'Exh 6 Stores BS'!M$56/'Exh 5 Stores IS (Hist Teuer)'!N$54</f>
        <v>0.16353582960884472</v>
      </c>
      <c r="E34" s="6"/>
      <c r="F34" s="6"/>
      <c r="G34" s="6"/>
      <c r="H34" s="6"/>
      <c r="I34" s="6"/>
    </row>
    <row r="35" spans="1:11">
      <c r="B35" s="69">
        <v>2011</v>
      </c>
      <c r="C35" s="68">
        <f>'Exh 6 Stores BS'!M$63/'Exh 5 Stores IS (Hist Teuer)'!N$61</f>
        <v>0.16407014918116827</v>
      </c>
      <c r="D35" s="6"/>
      <c r="E35" s="6"/>
      <c r="F35" s="6"/>
      <c r="G35" s="6"/>
      <c r="H35" s="6"/>
      <c r="I35" s="6"/>
    </row>
    <row r="36" spans="1:11">
      <c r="B36" s="50" t="s">
        <v>3</v>
      </c>
      <c r="C36" s="26">
        <f>AVERAGE(C27:K34)</f>
        <v>0.16332185764389956</v>
      </c>
      <c r="D36" s="26"/>
      <c r="E36" s="1"/>
      <c r="F36" s="19"/>
      <c r="G36" s="26"/>
      <c r="H36" s="26"/>
      <c r="I36" s="26"/>
    </row>
    <row r="37" spans="1:11">
      <c r="B37" s="50"/>
      <c r="C37" s="6"/>
      <c r="D37" s="23"/>
      <c r="E37" s="23"/>
      <c r="F37" s="23"/>
      <c r="G37" s="23"/>
      <c r="H37" s="23"/>
      <c r="I37" s="23"/>
    </row>
    <row r="38" spans="1:11">
      <c r="B38" s="66" t="s">
        <v>25</v>
      </c>
      <c r="C38" s="4">
        <v>1</v>
      </c>
      <c r="D38" s="4">
        <v>2</v>
      </c>
      <c r="E38" s="4">
        <v>3</v>
      </c>
      <c r="F38" s="4">
        <v>4</v>
      </c>
      <c r="G38" s="4">
        <v>5</v>
      </c>
      <c r="H38" s="4">
        <v>6</v>
      </c>
      <c r="I38" s="4">
        <v>7</v>
      </c>
      <c r="J38" s="4">
        <v>8</v>
      </c>
      <c r="K38" s="4">
        <v>9</v>
      </c>
    </row>
    <row r="39" spans="1:11">
      <c r="A39" t="s">
        <v>14</v>
      </c>
      <c r="B39" s="67">
        <v>2003</v>
      </c>
      <c r="C39" s="26">
        <f>'Exh 6 Stores BS'!E$8/('Exh 5 Stores IS (Hist Teuer)'!F$6+'Exh 5 Stores IS (Hist Teuer)'!F$7)</f>
        <v>4.7255676166658114E-2</v>
      </c>
      <c r="D39" s="26">
        <f>'Exh 6 Stores BS'!F$8/('Exh 5 Stores IS (Hist Teuer)'!G$6+'Exh 5 Stores IS (Hist Teuer)'!G$7)</f>
        <v>5.0631532690768491E-2</v>
      </c>
      <c r="E39" s="26">
        <f>'Exh 6 Stores BS'!G$8/('Exh 5 Stores IS (Hist Teuer)'!H$6+'Exh 5 Stores IS (Hist Teuer)'!H$7)</f>
        <v>4.8969654466579374E-2</v>
      </c>
      <c r="F39" s="26">
        <f>'Exh 6 Stores BS'!H$8/('Exh 5 Stores IS (Hist Teuer)'!I$6+'Exh 5 Stores IS (Hist Teuer)'!I$7)</f>
        <v>4.6990858134820804E-2</v>
      </c>
      <c r="G39" s="26">
        <f>'Exh 6 Stores BS'!I$8/('Exh 5 Stores IS (Hist Teuer)'!J$6+'Exh 5 Stores IS (Hist Teuer)'!J$7)</f>
        <v>4.9179924786665122E-2</v>
      </c>
      <c r="H39" s="26">
        <f>'Exh 6 Stores BS'!J$8/('Exh 5 Stores IS (Hist Teuer)'!K$6+'Exh 5 Stores IS (Hist Teuer)'!K$7)</f>
        <v>4.4500497651647646E-2</v>
      </c>
      <c r="I39" s="26">
        <f>'Exh 6 Stores BS'!K$8/('Exh 5 Stores IS (Hist Teuer)'!L$6+'Exh 5 Stores IS (Hist Teuer)'!L$7)</f>
        <v>4.6333959114025387E-2</v>
      </c>
      <c r="J39" s="26">
        <f>'Exh 6 Stores BS'!L$8/('Exh 5 Stores IS (Hist Teuer)'!M$6+'Exh 5 Stores IS (Hist Teuer)'!M$7)</f>
        <v>5.2009918902167752E-2</v>
      </c>
      <c r="K39" s="26">
        <f>'Exh 6 Stores BS'!M$8/('Exh 5 Stores IS (Hist Teuer)'!N$6+'Exh 5 Stores IS (Hist Teuer)'!N$7)</f>
        <v>4.6771332162833877E-2</v>
      </c>
    </row>
    <row r="40" spans="1:11">
      <c r="B40" s="67">
        <v>2004</v>
      </c>
      <c r="C40" s="26">
        <f>'Exh 6 Stores BS'!F$15/('Exh 5 Stores IS (Hist Teuer)'!G$13+'Exh 5 Stores IS (Hist Teuer)'!G$14)</f>
        <v>5.1403491721857895E-2</v>
      </c>
      <c r="D40" s="26">
        <f>'Exh 6 Stores BS'!G$15/('Exh 5 Stores IS (Hist Teuer)'!H$13+'Exh 5 Stores IS (Hist Teuer)'!H$14)</f>
        <v>5.0659920969553567E-2</v>
      </c>
      <c r="E40" s="26">
        <f>'Exh 6 Stores BS'!H$15/('Exh 5 Stores IS (Hist Teuer)'!I$13+'Exh 5 Stores IS (Hist Teuer)'!I$14)</f>
        <v>4.941966069535917E-2</v>
      </c>
      <c r="F40" s="26">
        <f>'Exh 6 Stores BS'!I$15/('Exh 5 Stores IS (Hist Teuer)'!J$13+'Exh 5 Stores IS (Hist Teuer)'!J$14)</f>
        <v>4.8895403003539485E-2</v>
      </c>
      <c r="G40" s="26">
        <f>'Exh 6 Stores BS'!J$15/('Exh 5 Stores IS (Hist Teuer)'!K$13+'Exh 5 Stores IS (Hist Teuer)'!K$14)</f>
        <v>4.6667973605453258E-2</v>
      </c>
      <c r="H40" s="26">
        <f>'Exh 6 Stores BS'!K$15/('Exh 5 Stores IS (Hist Teuer)'!L$13+'Exh 5 Stores IS (Hist Teuer)'!L$14)</f>
        <v>4.6790294780028927E-2</v>
      </c>
      <c r="I40" s="26">
        <f>'Exh 6 Stores BS'!L$15/('Exh 5 Stores IS (Hist Teuer)'!M$13+'Exh 5 Stores IS (Hist Teuer)'!M$14)</f>
        <v>4.79869915018553E-2</v>
      </c>
      <c r="J40" s="26">
        <f>'Exh 6 Stores BS'!M$15/('Exh 5 Stores IS (Hist Teuer)'!N$13+'Exh 5 Stores IS (Hist Teuer)'!N$14)</f>
        <v>4.8971321203650504E-2</v>
      </c>
      <c r="K40" s="26"/>
    </row>
    <row r="41" spans="1:11">
      <c r="B41" s="67">
        <v>2005</v>
      </c>
      <c r="C41" s="26">
        <f>'Exh 6 Stores BS'!G$22/('Exh 5 Stores IS (Hist Teuer)'!H$20+'Exh 5 Stores IS (Hist Teuer)'!H$21)</f>
        <v>4.6120997198416544E-2</v>
      </c>
      <c r="D41" s="26">
        <f>'Exh 6 Stores BS'!H$22/('Exh 5 Stores IS (Hist Teuer)'!I$20+'Exh 5 Stores IS (Hist Teuer)'!I$21)</f>
        <v>4.7460672966899403E-2</v>
      </c>
      <c r="E41" s="26">
        <f>'Exh 6 Stores BS'!I$22/('Exh 5 Stores IS (Hist Teuer)'!J$20+'Exh 5 Stores IS (Hist Teuer)'!J$21)</f>
        <v>4.8375399531955257E-2</v>
      </c>
      <c r="F41" s="26">
        <f>'Exh 6 Stores BS'!J$22/('Exh 5 Stores IS (Hist Teuer)'!K$20+'Exh 5 Stores IS (Hist Teuer)'!K$21)</f>
        <v>4.3859776191214818E-2</v>
      </c>
      <c r="G41" s="26">
        <f>'Exh 6 Stores BS'!K$22/('Exh 5 Stores IS (Hist Teuer)'!L$20+'Exh 5 Stores IS (Hist Teuer)'!L$21)</f>
        <v>5.1960276619475269E-2</v>
      </c>
      <c r="H41" s="26">
        <f>'Exh 6 Stores BS'!L$22/('Exh 5 Stores IS (Hist Teuer)'!M$20+'Exh 5 Stores IS (Hist Teuer)'!M$21)</f>
        <v>5.003720044169347E-2</v>
      </c>
      <c r="I41" s="26">
        <f>'Exh 6 Stores BS'!M$22/('Exh 5 Stores IS (Hist Teuer)'!N$20+'Exh 5 Stores IS (Hist Teuer)'!N$21)</f>
        <v>4.5718905882297385E-2</v>
      </c>
    </row>
    <row r="42" spans="1:11">
      <c r="B42" s="67">
        <v>2006</v>
      </c>
      <c r="C42" s="26">
        <f>'Exh 6 Stores BS'!H$29/('Exh 5 Stores IS (Hist Teuer)'!I$27+'Exh 5 Stores IS (Hist Teuer)'!I$28)</f>
        <v>4.6284887098776886E-2</v>
      </c>
      <c r="D42" s="26">
        <f>'Exh 6 Stores BS'!I$29/('Exh 5 Stores IS (Hist Teuer)'!J$27+'Exh 5 Stores IS (Hist Teuer)'!J$28)</f>
        <v>4.681876123985651E-2</v>
      </c>
      <c r="E42" s="26">
        <f>'Exh 6 Stores BS'!J$29/('Exh 5 Stores IS (Hist Teuer)'!K$27+'Exh 5 Stores IS (Hist Teuer)'!K$28)</f>
        <v>4.8368749400758256E-2</v>
      </c>
      <c r="F42" s="26">
        <f>'Exh 6 Stores BS'!K$29/('Exh 5 Stores IS (Hist Teuer)'!L$27+'Exh 5 Stores IS (Hist Teuer)'!L$28)</f>
        <v>5.0308456020525791E-2</v>
      </c>
      <c r="G42" s="26">
        <f>'Exh 6 Stores BS'!L$29/('Exh 5 Stores IS (Hist Teuer)'!M$27+'Exh 5 Stores IS (Hist Teuer)'!M$28)</f>
        <v>4.6626391212905197E-2</v>
      </c>
      <c r="H42" s="26">
        <f>'Exh 6 Stores BS'!M$29/('Exh 5 Stores IS (Hist Teuer)'!N$27+'Exh 5 Stores IS (Hist Teuer)'!N$28)</f>
        <v>4.7350557226988527E-2</v>
      </c>
      <c r="I42" s="26"/>
    </row>
    <row r="43" spans="1:11">
      <c r="B43" s="67">
        <v>2007</v>
      </c>
      <c r="C43" s="26">
        <f>'Exh 6 Stores BS'!I$36/('Exh 5 Stores IS (Hist Teuer)'!J$34+'Exh 5 Stores IS (Hist Teuer)'!J$35)</f>
        <v>4.602889365622536E-2</v>
      </c>
      <c r="D43" s="26">
        <f>'Exh 6 Stores BS'!J$36/('Exh 5 Stores IS (Hist Teuer)'!K$34+'Exh 5 Stores IS (Hist Teuer)'!K$35)</f>
        <v>5.0034777035821029E-2</v>
      </c>
      <c r="E43" s="26">
        <f>'Exh 6 Stores BS'!K$36/('Exh 5 Stores IS (Hist Teuer)'!L$34+'Exh 5 Stores IS (Hist Teuer)'!L$35)</f>
        <v>4.569093292745742E-2</v>
      </c>
      <c r="F43" s="26">
        <f>'Exh 6 Stores BS'!L$36/('Exh 5 Stores IS (Hist Teuer)'!M$34+'Exh 5 Stores IS (Hist Teuer)'!M$35)</f>
        <v>4.8130409593483713E-2</v>
      </c>
      <c r="G43" s="26">
        <f>'Exh 6 Stores BS'!M$36/('Exh 5 Stores IS (Hist Teuer)'!N$34+'Exh 5 Stores IS (Hist Teuer)'!N$35)</f>
        <v>4.8251097281857808E-2</v>
      </c>
      <c r="H43" s="26"/>
      <c r="I43" s="26"/>
    </row>
    <row r="44" spans="1:11">
      <c r="B44" s="67">
        <v>2008</v>
      </c>
      <c r="C44" s="26">
        <f>'Exh 6 Stores BS'!J$43/('Exh 5 Stores IS (Hist Teuer)'!K$41+'Exh 5 Stores IS (Hist Teuer)'!K$42)</f>
        <v>5.086677037290957E-2</v>
      </c>
      <c r="D44" s="26">
        <f>'Exh 6 Stores BS'!K$43/('Exh 5 Stores IS (Hist Teuer)'!L$41+'Exh 5 Stores IS (Hist Teuer)'!L$42)</f>
        <v>4.9656346290096263E-2</v>
      </c>
      <c r="E44" s="26">
        <f>'Exh 6 Stores BS'!L$43/('Exh 5 Stores IS (Hist Teuer)'!M$41+'Exh 5 Stores IS (Hist Teuer)'!M$42)</f>
        <v>4.849867817047069E-2</v>
      </c>
      <c r="F44" s="26">
        <f>'Exh 6 Stores BS'!M$43/('Exh 5 Stores IS (Hist Teuer)'!N$41+'Exh 5 Stores IS (Hist Teuer)'!N$42)</f>
        <v>4.8758126377279262E-2</v>
      </c>
      <c r="G44" s="26"/>
      <c r="H44" s="26"/>
      <c r="I44" s="26"/>
    </row>
    <row r="45" spans="1:11">
      <c r="B45" s="67">
        <v>2009</v>
      </c>
      <c r="C45" s="26">
        <f>'Exh 6 Stores BS'!K$50/('Exh 5 Stores IS (Hist Teuer)'!L$48+'Exh 5 Stores IS (Hist Teuer)'!L$49)</f>
        <v>5.1705536115121603E-2</v>
      </c>
      <c r="D45" s="26">
        <f>'Exh 6 Stores BS'!L$50/('Exh 5 Stores IS (Hist Teuer)'!M$48+'Exh 5 Stores IS (Hist Teuer)'!M$49)</f>
        <v>4.7733461261701068E-2</v>
      </c>
      <c r="E45" s="26">
        <f>'Exh 6 Stores BS'!M$50/('Exh 5 Stores IS (Hist Teuer)'!N$48+'Exh 5 Stores IS (Hist Teuer)'!N$49)</f>
        <v>4.7335400699820104E-2</v>
      </c>
      <c r="F45" s="26"/>
      <c r="G45" s="26"/>
      <c r="H45" s="26"/>
      <c r="I45" s="26"/>
    </row>
    <row r="46" spans="1:11">
      <c r="B46" s="67">
        <v>2010</v>
      </c>
      <c r="C46" s="26">
        <f>'Exh 6 Stores BS'!L$57/('Exh 5 Stores IS (Hist Teuer)'!M$55+'Exh 5 Stores IS (Hist Teuer)'!M$56)</f>
        <v>4.5494179406882759E-2</v>
      </c>
      <c r="D46" s="26">
        <f>'Exh 6 Stores BS'!M$57/('Exh 5 Stores IS (Hist Teuer)'!N$55+'Exh 5 Stores IS (Hist Teuer)'!N$56)</f>
        <v>4.72995053666583E-2</v>
      </c>
      <c r="E46" s="26"/>
      <c r="F46" s="26"/>
      <c r="G46" s="26"/>
      <c r="H46" s="26"/>
      <c r="I46" s="26"/>
    </row>
    <row r="47" spans="1:11">
      <c r="B47" s="69">
        <v>2011</v>
      </c>
      <c r="C47" s="70">
        <f>'Exh 6 Stores BS'!M$64/('Exh 5 Stores IS (Hist Teuer)'!N$62+'Exh 5 Stores IS (Hist Teuer)'!N$63)</f>
        <v>4.4471368689932435E-2</v>
      </c>
      <c r="D47" s="26"/>
      <c r="E47" s="26"/>
      <c r="F47" s="26"/>
      <c r="G47" s="26"/>
      <c r="H47" s="26"/>
      <c r="I47" s="26"/>
    </row>
    <row r="48" spans="1:11">
      <c r="B48" s="50" t="s">
        <v>3</v>
      </c>
      <c r="C48" s="26">
        <f>AVERAGE(C39:K47)</f>
        <v>4.8059665018554347E-2</v>
      </c>
      <c r="D48" s="26"/>
      <c r="E48" s="1"/>
      <c r="F48" s="19"/>
      <c r="G48" s="26"/>
      <c r="H48" s="26"/>
      <c r="I48" s="26"/>
    </row>
    <row r="50" spans="1:12">
      <c r="B50" s="4"/>
      <c r="C50" s="66" t="s">
        <v>40</v>
      </c>
      <c r="D50" s="66" t="s">
        <v>60</v>
      </c>
    </row>
    <row r="51" spans="1:12">
      <c r="A51" t="s">
        <v>59</v>
      </c>
      <c r="B51" s="24">
        <v>2003</v>
      </c>
      <c r="C51" s="8">
        <f>1000*'Exh 6 Stores BS'!E4/('Exh 6 Stores BS'!C3*'Exh 6 Stores BS'!D3)</f>
        <v>20.813953488372093</v>
      </c>
      <c r="D51" s="8">
        <f>C51/(HLOOKUP(B51,'Exh 2 Econ Indicators'!$B$2:$S$8,2,FALSE)/HLOOKUP($B$60,'Exh 2 Econ Indicators'!$B$2:$S$8,2,FALSE))</f>
        <v>25.930030031924691</v>
      </c>
      <c r="E51" s="8"/>
      <c r="K51" s="31"/>
      <c r="L51" s="8"/>
    </row>
    <row r="52" spans="1:12">
      <c r="A52" t="s">
        <v>108</v>
      </c>
      <c r="B52" s="24">
        <v>2004</v>
      </c>
      <c r="C52" s="8">
        <f>1000*'Exh 6 Stores BS'!F11/('Exh 6 Stores BS'!C10*'Exh 6 Stores BS'!D10)</f>
        <v>22.253787878787879</v>
      </c>
      <c r="D52" s="8">
        <f>C52/(HLOOKUP(B52,'Exh 2 Econ Indicators'!$B$2:$S$8,2,FALSE)/HLOOKUP($B$60,'Exh 2 Econ Indicators'!$B$2:$S$8,2,FALSE))</f>
        <v>26.849668685010904</v>
      </c>
      <c r="E52" s="8"/>
      <c r="K52" s="31"/>
      <c r="L52" s="8"/>
    </row>
    <row r="53" spans="1:12">
      <c r="B53" s="24">
        <v>2005</v>
      </c>
      <c r="C53" s="8">
        <f>1000*'Exh 6 Stores BS'!G18/('Exh 6 Stores BS'!C17*'Exh 6 Stores BS'!D17)</f>
        <v>24.513513513513512</v>
      </c>
      <c r="D53" s="8">
        <f>C53/(HLOOKUP(B53,'Exh 2 Econ Indicators'!$B$2:$S$8,2,FALSE)/HLOOKUP($B$60,'Exh 2 Econ Indicators'!$B$2:$S$8,2,FALSE))</f>
        <v>28.599223659635239</v>
      </c>
      <c r="E53" s="8"/>
      <c r="K53" s="31"/>
      <c r="L53" s="8"/>
    </row>
    <row r="54" spans="1:12">
      <c r="B54" s="24">
        <v>2006</v>
      </c>
      <c r="C54" s="8">
        <f>1000*'Exh 6 Stores BS'!H25/('Exh 6 Stores BS'!C24*'Exh 6 Stores BS'!D24)</f>
        <v>28.161137440758292</v>
      </c>
      <c r="D54" s="8">
        <f>C54/(HLOOKUP(B54,'Exh 2 Econ Indicators'!$B$2:$S$8,2,FALSE)/HLOOKUP($B$60,'Exh 2 Econ Indicators'!$B$2:$S$8,2,FALSE))</f>
        <v>32.04075974992837</v>
      </c>
      <c r="E54" s="8"/>
      <c r="K54" s="31"/>
      <c r="L54" s="8"/>
    </row>
    <row r="55" spans="1:12">
      <c r="B55" s="24">
        <v>2007</v>
      </c>
      <c r="C55" s="8">
        <f>1000*('Exh 6 Stores BS'!I32/('Exh 6 Stores BS'!C31*'Exh 6 Stores BS'!D31))</f>
        <v>30.603318250377075</v>
      </c>
      <c r="D55" s="8">
        <f>C55/(HLOOKUP(B55,'Exh 2 Econ Indicators'!$B$2:$S$8,2,FALSE)/HLOOKUP($B$60,'Exh 2 Econ Indicators'!$B$2:$S$8,2,FALSE))</f>
        <v>33.45403870576866</v>
      </c>
      <c r="E55" s="8"/>
      <c r="K55" s="31"/>
      <c r="L55" s="8"/>
    </row>
    <row r="56" spans="1:12">
      <c r="B56" s="24">
        <v>2008</v>
      </c>
      <c r="C56" s="8">
        <f>1000*'Exh 6 Stores BS'!J39/('Exh 6 Stores BS'!C38*'Exh 6 Stores BS'!D38)</f>
        <v>29.806451612903224</v>
      </c>
      <c r="D56" s="8">
        <f>C56/(HLOOKUP(B56,'Exh 2 Econ Indicators'!$B$2:$S$8,2,FALSE)/HLOOKUP($B$60,'Exh 2 Econ Indicators'!$B$2:$S$8,2,FALSE))</f>
        <v>32.553185573635261</v>
      </c>
      <c r="E56" s="8"/>
      <c r="K56" s="31"/>
      <c r="L56" s="8"/>
    </row>
    <row r="57" spans="1:12">
      <c r="B57" s="24">
        <v>2009</v>
      </c>
      <c r="C57" s="8">
        <f>1000*'Exh 6 Stores BS'!K46/('Exh 6 Stores BS'!C45*'Exh 6 Stores BS'!D45)</f>
        <v>27.172413793103448</v>
      </c>
      <c r="D57" s="8">
        <f>C57/(HLOOKUP(B57,'Exh 2 Econ Indicators'!$B$2:$S$8,2,FALSE)/HLOOKUP($B$60,'Exh 2 Econ Indicators'!$B$2:$S$8,2,FALSE))</f>
        <v>28.89021657572086</v>
      </c>
      <c r="E57" s="8"/>
      <c r="K57" s="31"/>
      <c r="L57" s="8"/>
    </row>
    <row r="58" spans="1:12">
      <c r="B58" s="24">
        <v>2010</v>
      </c>
      <c r="C58" s="8">
        <f>1000*'Exh 6 Stores BS'!L53/('Exh 6 Stores BS'!C52*'Exh 6 Stores BS'!D52)</f>
        <v>25.578231292517007</v>
      </c>
      <c r="D58" s="8">
        <f>C58/(HLOOKUP(B58,'Exh 2 Econ Indicators'!$B$2:$S$8,2,FALSE)/HLOOKUP($B$60,'Exh 2 Econ Indicators'!$B$2:$S$8,2,FALSE))</f>
        <v>26.794480689268575</v>
      </c>
      <c r="E58" s="8"/>
      <c r="K58" s="31"/>
      <c r="L58" s="8"/>
    </row>
    <row r="59" spans="1:12">
      <c r="B59" s="24">
        <v>2011</v>
      </c>
      <c r="C59" s="8">
        <f>1000*'Exh 6 Stores BS'!M60/('Exh 6 Stores BS'!C59*'Exh 6 Stores BS'!D59)</f>
        <v>25.90909090909091</v>
      </c>
      <c r="D59" s="8">
        <f>C59/(HLOOKUP(B59,'Exh 2 Econ Indicators'!$B$2:$S$8,2,FALSE)/HLOOKUP($B$60,'Exh 2 Econ Indicators'!$B$2:$S$8,2,FALSE))</f>
        <v>26.360173977357324</v>
      </c>
      <c r="E59" s="8"/>
      <c r="K59" s="31"/>
      <c r="L59" s="8"/>
    </row>
    <row r="60" spans="1:12">
      <c r="B60" s="24">
        <v>2012</v>
      </c>
      <c r="C60" s="8">
        <f>1000*'Exh 6 Stores BS'!N67/('Exh 6 Stores BS'!C66*'Exh 6 Stores BS'!D66)</f>
        <v>26.441717791411044</v>
      </c>
      <c r="D60" s="8">
        <f>C60/(HLOOKUP(B60,'Exh 2 Econ Indicators'!$B$2:$S$8,2,FALSE)/HLOOKUP($B$60,'Exh 2 Econ Indicators'!$B$2:$S$8,2,FALSE))</f>
        <v>26.441717791411044</v>
      </c>
      <c r="E60" s="8"/>
      <c r="K60" s="31"/>
      <c r="L60" s="8"/>
    </row>
    <row r="61" spans="1:12">
      <c r="B61" s="24">
        <v>2013</v>
      </c>
      <c r="C61" s="8">
        <f>1000*'Exh 6 Stores BS'!O74/('Exh 6 Stores BS'!C73*'Exh 6 Stores BS'!D73)</f>
        <v>26.885938650306748</v>
      </c>
      <c r="D61" s="8">
        <f>C61/(HLOOKUP(B61,'Exh 2 Econ Indicators'!$B$2:$S$8,2,FALSE)/HLOOKUP($B$60,'Exh 2 Econ Indicators'!$B$2:$S$8,2,FALSE))</f>
        <v>26.441717791411044</v>
      </c>
      <c r="E61" s="8"/>
      <c r="K61" s="31"/>
      <c r="L61" s="8"/>
    </row>
    <row r="62" spans="1:12">
      <c r="B62" s="24">
        <v>2014</v>
      </c>
      <c r="C62" s="8">
        <f>1000*'Exh 6 Stores BS'!P81/('Exh 6 Stores BS'!C80*'Exh 6 Stores BS'!D80)</f>
        <v>27.372574139877301</v>
      </c>
      <c r="D62" s="8">
        <f>C62/(HLOOKUP(B62,'Exh 2 Econ Indicators'!$B$2:$S$8,2,FALSE)/HLOOKUP($B$60,'Exh 2 Econ Indicators'!$B$2:$S$8,2,FALSE))</f>
        <v>26.441717791411044</v>
      </c>
      <c r="E62" s="8"/>
      <c r="K62" s="31"/>
      <c r="L62" s="8"/>
    </row>
    <row r="63" spans="1:12">
      <c r="B63" s="24">
        <v>2015</v>
      </c>
      <c r="C63" s="8">
        <f>1000*'Exh 6 Stores BS'!Q88/('Exh 6 Stores BS'!C87*'Exh 6 Stores BS'!D87)</f>
        <v>27.903602078190918</v>
      </c>
      <c r="D63" s="8">
        <f>C63/(HLOOKUP(B63,'Exh 2 Econ Indicators'!$B$2:$S$8,2,FALSE)/HLOOKUP($B$60,'Exh 2 Econ Indicators'!$B$2:$S$8,2,FALSE))</f>
        <v>26.44171779141104</v>
      </c>
      <c r="E63" s="8"/>
      <c r="K63" s="31"/>
      <c r="L63" s="8"/>
    </row>
    <row r="64" spans="1:12">
      <c r="B64" s="24"/>
      <c r="C64" s="8"/>
      <c r="D64" s="31"/>
      <c r="E64" s="8"/>
      <c r="K64" s="31"/>
      <c r="L64" s="8"/>
    </row>
    <row r="65" spans="1:7">
      <c r="B65" s="24"/>
      <c r="D65" s="31"/>
      <c r="E65" s="8"/>
    </row>
    <row r="66" spans="1:7">
      <c r="C66" s="66" t="s">
        <v>40</v>
      </c>
      <c r="D66" s="66" t="s">
        <v>60</v>
      </c>
    </row>
    <row r="67" spans="1:7">
      <c r="A67" t="s">
        <v>61</v>
      </c>
      <c r="B67">
        <v>2003</v>
      </c>
      <c r="C67" s="6">
        <f>'Exh 6 Stores BS'!$M$4/'Exh 6 Stores BS'!$E$4</f>
        <v>0.90614525139664803</v>
      </c>
      <c r="D67" s="6">
        <f>C67/(HLOOKUP(B67+8,'Exh 2 Econ Indicators'!$B$2:$S$8,2,FALSE)/HLOOKUP(B67,'Exh 2 Econ Indicators'!$B$2:$S$8,2,FALSE))</f>
        <v>0.74002344035769718</v>
      </c>
      <c r="E67" s="3"/>
      <c r="F67" t="s">
        <v>117</v>
      </c>
      <c r="G67" s="1">
        <v>324000</v>
      </c>
    </row>
    <row r="68" spans="1:7">
      <c r="B68" s="4">
        <v>2004</v>
      </c>
      <c r="C68" s="68">
        <f>'Exh 6 Stores BS'!N11/'Exh 6 Stores BS'!F11</f>
        <v>0.79625531914893621</v>
      </c>
      <c r="D68" s="68">
        <f>C68/(HLOOKUP(B68+8,'Exh 2 Econ Indicators'!$B$2:$S$8,2,FALSE)/HLOOKUP(B68,'Exh 2 Econ Indicators'!$B$2:$S$8,2,FALSE))</f>
        <v>0.65995961356458621</v>
      </c>
      <c r="E68" s="3"/>
      <c r="G68" s="3"/>
    </row>
    <row r="69" spans="1:7">
      <c r="B69" s="50" t="s">
        <v>3</v>
      </c>
      <c r="D69" s="26">
        <f>ROUND(AVERAGE(D67:D68),4)</f>
        <v>0.7</v>
      </c>
      <c r="E69" s="5"/>
      <c r="G69" s="3"/>
    </row>
  </sheetData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5"/>
  <sheetViews>
    <sheetView workbookViewId="0">
      <selection activeCell="E6" sqref="E6"/>
    </sheetView>
  </sheetViews>
  <sheetFormatPr defaultColWidth="8.81640625" defaultRowHeight="14.5"/>
  <cols>
    <col min="1" max="1" width="25.6328125" customWidth="1"/>
    <col min="2" max="19" width="9.1796875" customWidth="1"/>
    <col min="20" max="20" width="9.6328125" bestFit="1" customWidth="1"/>
  </cols>
  <sheetData>
    <row r="1" spans="1:21" ht="18.5">
      <c r="A1" s="10" t="s">
        <v>79</v>
      </c>
    </row>
    <row r="2" spans="1:21">
      <c r="B2" s="4">
        <v>2002</v>
      </c>
      <c r="C2" s="4">
        <v>2003</v>
      </c>
      <c r="D2" s="4">
        <v>2004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  <c r="M2" s="4">
        <v>2013</v>
      </c>
      <c r="N2" s="4">
        <v>2014</v>
      </c>
      <c r="O2" s="4">
        <v>2015</v>
      </c>
      <c r="P2" s="4">
        <v>2016</v>
      </c>
      <c r="Q2" s="4">
        <v>2017</v>
      </c>
      <c r="R2" s="4">
        <v>2018</v>
      </c>
      <c r="S2" s="4">
        <v>2019</v>
      </c>
    </row>
    <row r="3" spans="1:21">
      <c r="A3" t="s">
        <v>90</v>
      </c>
      <c r="B3" s="46">
        <v>180.9</v>
      </c>
      <c r="C3" s="47">
        <v>184.3</v>
      </c>
      <c r="D3" s="47">
        <v>190.3</v>
      </c>
      <c r="E3" s="47">
        <v>196.8</v>
      </c>
      <c r="F3" s="47">
        <v>201.8</v>
      </c>
      <c r="G3" s="47">
        <v>210.036</v>
      </c>
      <c r="H3" s="47">
        <v>210.22800000000001</v>
      </c>
      <c r="I3" s="47">
        <v>215.94900000000001</v>
      </c>
      <c r="J3" s="47">
        <v>219.179</v>
      </c>
      <c r="K3" s="47">
        <v>225.672</v>
      </c>
      <c r="L3" s="47">
        <v>229.601</v>
      </c>
      <c r="M3" s="16">
        <f>L3*(1+M4)</f>
        <v>233.45829679999997</v>
      </c>
      <c r="N3" s="16">
        <f t="shared" ref="N3:R3" si="0">M3*(1+N4)</f>
        <v>237.68389197207998</v>
      </c>
      <c r="O3" s="16">
        <f t="shared" si="0"/>
        <v>242.29495947633833</v>
      </c>
      <c r="P3" s="16">
        <f t="shared" si="0"/>
        <v>247.40738312128906</v>
      </c>
      <c r="Q3" s="16">
        <f t="shared" si="0"/>
        <v>252.10812340059351</v>
      </c>
      <c r="R3" s="16">
        <f t="shared" si="0"/>
        <v>256.6460696218042</v>
      </c>
      <c r="S3" s="16">
        <f t="shared" ref="S3" si="1">R3*(1+S4)</f>
        <v>261.2656988749967</v>
      </c>
    </row>
    <row r="4" spans="1:21">
      <c r="A4" t="s">
        <v>53</v>
      </c>
      <c r="C4" s="6">
        <f>C3/B3-1</f>
        <v>1.8794914317302513E-2</v>
      </c>
      <c r="D4" s="6">
        <f t="shared" ref="D4:L4" si="2">D3/C3-1</f>
        <v>3.255561584373301E-2</v>
      </c>
      <c r="E4" s="6">
        <f t="shared" si="2"/>
        <v>3.4156594850236477E-2</v>
      </c>
      <c r="F4" s="6">
        <f t="shared" si="2"/>
        <v>2.5406504065040636E-2</v>
      </c>
      <c r="G4" s="6">
        <f t="shared" si="2"/>
        <v>4.0812685827551931E-2</v>
      </c>
      <c r="H4" s="6">
        <f t="shared" si="2"/>
        <v>9.1412900645604367E-4</v>
      </c>
      <c r="I4" s="6">
        <f t="shared" si="2"/>
        <v>2.7213311262058282E-2</v>
      </c>
      <c r="J4" s="6">
        <f t="shared" si="2"/>
        <v>1.4957235273143077E-2</v>
      </c>
      <c r="K4" s="6">
        <f t="shared" si="2"/>
        <v>2.9624188448710953E-2</v>
      </c>
      <c r="L4" s="6">
        <f t="shared" si="2"/>
        <v>1.7410223687475579E-2</v>
      </c>
      <c r="M4" s="44">
        <v>1.6799999999999999E-2</v>
      </c>
      <c r="N4" s="44">
        <v>1.8100000000000002E-2</v>
      </c>
      <c r="O4" s="44">
        <v>1.9400000000000001E-2</v>
      </c>
      <c r="P4" s="44">
        <v>2.1100000000000001E-2</v>
      </c>
      <c r="Q4" s="44">
        <v>1.9E-2</v>
      </c>
      <c r="R4" s="44">
        <v>1.7999999999999999E-2</v>
      </c>
      <c r="S4" s="44">
        <v>1.7999999999999999E-2</v>
      </c>
    </row>
    <row r="5" spans="1:21">
      <c r="A5" t="s">
        <v>52</v>
      </c>
      <c r="B5" s="48">
        <v>10642.3</v>
      </c>
      <c r="C5" s="41">
        <v>11142.225</v>
      </c>
      <c r="D5" s="41">
        <v>11853.25</v>
      </c>
      <c r="E5" s="41">
        <v>12622.95</v>
      </c>
      <c r="F5" s="41">
        <v>13377.2</v>
      </c>
      <c r="G5" s="41">
        <v>14028.674999999999</v>
      </c>
      <c r="H5" s="41">
        <v>14291.55</v>
      </c>
      <c r="I5" s="41">
        <v>13973.65</v>
      </c>
      <c r="J5" s="41">
        <v>14498.924999999999</v>
      </c>
      <c r="K5" s="41">
        <v>15075.674999999999</v>
      </c>
      <c r="L5" s="41">
        <v>15684.75</v>
      </c>
      <c r="M5" s="41">
        <v>16237.745999999999</v>
      </c>
      <c r="N5" s="41">
        <v>17049.026999999998</v>
      </c>
      <c r="O5" s="41">
        <v>18012.185000000001</v>
      </c>
      <c r="P5" s="41">
        <v>19020.508999999998</v>
      </c>
      <c r="Q5" s="41">
        <v>20077.907999999999</v>
      </c>
      <c r="R5" s="41">
        <v>21101.367999999999</v>
      </c>
      <c r="S5" s="7"/>
    </row>
    <row r="6" spans="1:21">
      <c r="A6" t="s">
        <v>89</v>
      </c>
      <c r="B6" s="7"/>
      <c r="C6" s="6">
        <f>C5/B5-1</f>
        <v>4.6975277900453971E-2</v>
      </c>
      <c r="D6" s="6">
        <f t="shared" ref="D6:R6" si="3">D5/C5-1</f>
        <v>6.3813556089560075E-2</v>
      </c>
      <c r="E6" s="6">
        <f t="shared" si="3"/>
        <v>6.4935777107544501E-2</v>
      </c>
      <c r="F6" s="6">
        <f t="shared" si="3"/>
        <v>5.9752276607290655E-2</v>
      </c>
      <c r="G6" s="6">
        <f t="shared" si="3"/>
        <v>4.870040068175685E-2</v>
      </c>
      <c r="H6" s="6">
        <f t="shared" si="3"/>
        <v>1.8738405444562733E-2</v>
      </c>
      <c r="I6" s="6">
        <f t="shared" si="3"/>
        <v>-2.2243913361391865E-2</v>
      </c>
      <c r="J6" s="6">
        <f t="shared" si="3"/>
        <v>3.7590393347479045E-2</v>
      </c>
      <c r="K6" s="6">
        <f t="shared" si="3"/>
        <v>3.9778811187725971E-2</v>
      </c>
      <c r="L6" s="6">
        <f t="shared" si="3"/>
        <v>4.0401176066743316E-2</v>
      </c>
      <c r="M6" s="6">
        <f t="shared" si="3"/>
        <v>3.5256921532061281E-2</v>
      </c>
      <c r="N6" s="6">
        <f t="shared" si="3"/>
        <v>4.996266107377223E-2</v>
      </c>
      <c r="O6" s="6">
        <f t="shared" si="3"/>
        <v>5.6493429214464985E-2</v>
      </c>
      <c r="P6" s="6">
        <f t="shared" si="3"/>
        <v>5.5980104579205436E-2</v>
      </c>
      <c r="Q6" s="6">
        <f t="shared" si="3"/>
        <v>5.5592571155693049E-2</v>
      </c>
      <c r="R6" s="6">
        <f t="shared" si="3"/>
        <v>5.0974434189059892E-2</v>
      </c>
      <c r="S6" s="6"/>
    </row>
    <row r="7" spans="1:21">
      <c r="A7" t="s">
        <v>24</v>
      </c>
      <c r="B7" s="34">
        <v>94.44</v>
      </c>
      <c r="C7" s="46">
        <v>96.74</v>
      </c>
      <c r="D7" s="46">
        <v>103.76</v>
      </c>
      <c r="E7" s="46">
        <v>109.12</v>
      </c>
      <c r="F7" s="46">
        <v>112.8</v>
      </c>
      <c r="G7" s="46">
        <v>111.14</v>
      </c>
      <c r="H7" s="46">
        <v>99.56</v>
      </c>
      <c r="I7" s="46">
        <v>86.26</v>
      </c>
      <c r="J7" s="46">
        <v>87.29</v>
      </c>
      <c r="K7" s="46">
        <v>90.07</v>
      </c>
      <c r="L7" s="46">
        <f>K7*(1+L8)</f>
        <v>93.132379999999998</v>
      </c>
      <c r="M7" s="8">
        <f t="shared" ref="M7:S7" si="4">L7*(1+M8)</f>
        <v>95.926351400000001</v>
      </c>
      <c r="N7" s="8">
        <f t="shared" si="4"/>
        <v>98.61228923920001</v>
      </c>
      <c r="O7" s="8">
        <f t="shared" si="4"/>
        <v>101.17620875941921</v>
      </c>
      <c r="P7" s="8">
        <f t="shared" si="4"/>
        <v>103.60443776964527</v>
      </c>
      <c r="Q7" s="8">
        <f t="shared" si="4"/>
        <v>105.88373540057746</v>
      </c>
      <c r="R7" s="8">
        <f t="shared" si="4"/>
        <v>108.00141010858901</v>
      </c>
      <c r="S7" s="8">
        <f t="shared" si="4"/>
        <v>110.1614383107608</v>
      </c>
    </row>
    <row r="8" spans="1:21">
      <c r="A8" t="s">
        <v>54</v>
      </c>
      <c r="C8" s="18">
        <f>C7/B7-1</f>
        <v>2.4354087251164724E-2</v>
      </c>
      <c r="D8" s="18">
        <f t="shared" ref="D8:K8" si="5">D7/C7-1</f>
        <v>7.2565639859416997E-2</v>
      </c>
      <c r="E8" s="18">
        <f t="shared" si="5"/>
        <v>5.1657671549730111E-2</v>
      </c>
      <c r="F8" s="18">
        <f t="shared" si="5"/>
        <v>3.3724340175953049E-2</v>
      </c>
      <c r="G8" s="18">
        <f t="shared" si="5"/>
        <v>-1.4716312056737513E-2</v>
      </c>
      <c r="H8" s="18">
        <f t="shared" si="5"/>
        <v>-0.10419290984344065</v>
      </c>
      <c r="I8" s="18">
        <f>I7/H7-1</f>
        <v>-0.13358778625954193</v>
      </c>
      <c r="J8" s="18">
        <f t="shared" si="5"/>
        <v>1.1940644562949299E-2</v>
      </c>
      <c r="K8" s="18">
        <f t="shared" si="5"/>
        <v>3.1847863443693392E-2</v>
      </c>
      <c r="L8" s="6">
        <v>3.4000000000000002E-2</v>
      </c>
      <c r="M8" s="89">
        <v>0.03</v>
      </c>
      <c r="N8" s="44">
        <v>2.8000000000000001E-2</v>
      </c>
      <c r="O8" s="44">
        <v>2.5999999999999999E-2</v>
      </c>
      <c r="P8" s="44">
        <v>2.4E-2</v>
      </c>
      <c r="Q8" s="44">
        <v>2.1999999999999999E-2</v>
      </c>
      <c r="R8" s="44">
        <v>0.02</v>
      </c>
      <c r="S8" s="49">
        <v>0.02</v>
      </c>
      <c r="T8" s="20" t="s">
        <v>115</v>
      </c>
      <c r="U8" t="s">
        <v>116</v>
      </c>
    </row>
    <row r="9" spans="1:21">
      <c r="M9" s="26">
        <f>N9</f>
        <v>2.8100975347429058E-2</v>
      </c>
      <c r="N9" s="26">
        <f>MEDIAN(C8:L8)</f>
        <v>2.8100975347429058E-2</v>
      </c>
      <c r="O9" s="26">
        <f>N9</f>
        <v>2.8100975347429058E-2</v>
      </c>
      <c r="P9" s="26">
        <f t="shared" ref="P9:S10" si="6">O9</f>
        <v>2.8100975347429058E-2</v>
      </c>
      <c r="Q9" s="26">
        <f t="shared" si="6"/>
        <v>2.8100975347429058E-2</v>
      </c>
      <c r="R9" s="26">
        <f t="shared" si="6"/>
        <v>2.8100975347429058E-2</v>
      </c>
      <c r="S9" s="26">
        <f t="shared" si="6"/>
        <v>2.8100975347429058E-2</v>
      </c>
      <c r="T9" s="20" t="s">
        <v>114</v>
      </c>
    </row>
    <row r="10" spans="1:21">
      <c r="M10" s="26">
        <f>N10</f>
        <v>0.03</v>
      </c>
      <c r="N10" s="26">
        <f>M8</f>
        <v>0.03</v>
      </c>
      <c r="O10" s="26">
        <f>N10</f>
        <v>0.03</v>
      </c>
      <c r="P10" s="26">
        <f t="shared" si="6"/>
        <v>0.03</v>
      </c>
      <c r="Q10" s="26">
        <f t="shared" si="6"/>
        <v>0.03</v>
      </c>
      <c r="R10" s="26">
        <f t="shared" si="6"/>
        <v>0.03</v>
      </c>
      <c r="S10" s="26">
        <f t="shared" si="6"/>
        <v>0.03</v>
      </c>
      <c r="T10" s="20" t="s">
        <v>114</v>
      </c>
    </row>
    <row r="13" spans="1:21">
      <c r="R13" s="7"/>
    </row>
    <row r="14" spans="1:21">
      <c r="R14" s="26"/>
    </row>
    <row r="15" spans="1:21">
      <c r="R15" s="26"/>
    </row>
  </sheetData>
  <pageMargins left="0.7" right="0.7" top="0.75" bottom="0.75" header="0.3" footer="0.3"/>
  <pageSetup scale="6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T103"/>
  <sheetViews>
    <sheetView zoomScale="130" zoomScaleNormal="130" workbookViewId="0">
      <pane xSplit="4" ySplit="2" topLeftCell="E3" activePane="bottomRight" state="frozen"/>
      <selection activeCell="A9" sqref="A9"/>
      <selection pane="topRight" activeCell="A9" sqref="A9"/>
      <selection pane="bottomLeft" activeCell="A9" sqref="A9"/>
      <selection pane="bottomRight" activeCell="O18" sqref="O18"/>
    </sheetView>
  </sheetViews>
  <sheetFormatPr defaultColWidth="8.81640625" defaultRowHeight="14.5"/>
  <cols>
    <col min="1" max="1" width="4.453125" customWidth="1"/>
    <col min="2" max="2" width="12.6328125" customWidth="1"/>
    <col min="3" max="3" width="3.6328125" customWidth="1"/>
    <col min="4" max="4" width="6.6328125" customWidth="1"/>
    <col min="5" max="20" width="6.1796875" customWidth="1"/>
    <col min="22" max="22" width="5" customWidth="1"/>
    <col min="23" max="32" width="4.6328125" customWidth="1"/>
  </cols>
  <sheetData>
    <row r="1" spans="1:20" ht="18.75" customHeight="1">
      <c r="A1" s="10" t="s">
        <v>75</v>
      </c>
    </row>
    <row r="2" spans="1:20" ht="14" customHeight="1">
      <c r="A2" s="51"/>
      <c r="B2" s="51"/>
      <c r="C2" s="65" t="s">
        <v>55</v>
      </c>
      <c r="D2" s="65" t="s">
        <v>27</v>
      </c>
      <c r="E2" s="52">
        <v>2003</v>
      </c>
      <c r="F2" s="52">
        <v>2004</v>
      </c>
      <c r="G2" s="52">
        <v>2005</v>
      </c>
      <c r="H2" s="52">
        <v>2006</v>
      </c>
      <c r="I2" s="52">
        <v>2007</v>
      </c>
      <c r="J2" s="52">
        <v>2008</v>
      </c>
      <c r="K2" s="52">
        <v>2009</v>
      </c>
      <c r="L2" s="52">
        <v>2010</v>
      </c>
      <c r="M2" s="52">
        <v>2011</v>
      </c>
      <c r="N2" s="52">
        <v>2012</v>
      </c>
      <c r="O2" s="53">
        <v>2013</v>
      </c>
      <c r="P2" s="53">
        <v>2014</v>
      </c>
      <c r="Q2" s="53">
        <v>2015</v>
      </c>
      <c r="R2" s="53">
        <v>2016</v>
      </c>
      <c r="S2" s="53">
        <v>2017</v>
      </c>
      <c r="T2" s="53">
        <v>2018</v>
      </c>
    </row>
    <row r="3" spans="1:20" s="12" customFormat="1" ht="14" customHeight="1">
      <c r="A3" s="80">
        <v>2003</v>
      </c>
      <c r="B3" s="56"/>
      <c r="C3" s="57">
        <f>'Exh 5 Stores IS (Hist Teuer)'!C3</f>
        <v>1</v>
      </c>
      <c r="D3" s="58">
        <f>'Exh 5 Stores IS (Hist Teuer)'!D3</f>
        <v>17200</v>
      </c>
      <c r="E3" s="61">
        <v>0</v>
      </c>
      <c r="F3" s="61">
        <v>1</v>
      </c>
      <c r="G3" s="61">
        <v>2</v>
      </c>
      <c r="H3" s="61">
        <v>3</v>
      </c>
      <c r="I3" s="61">
        <v>4</v>
      </c>
      <c r="J3" s="61">
        <v>5</v>
      </c>
      <c r="K3" s="61">
        <v>6</v>
      </c>
      <c r="L3" s="61">
        <v>7</v>
      </c>
      <c r="M3" s="61">
        <v>8</v>
      </c>
      <c r="N3" s="61">
        <v>9</v>
      </c>
      <c r="O3" s="61">
        <v>10</v>
      </c>
      <c r="P3" s="61">
        <v>11</v>
      </c>
      <c r="Q3" s="61">
        <v>12</v>
      </c>
      <c r="R3" s="61">
        <v>13</v>
      </c>
      <c r="S3" s="61">
        <v>14</v>
      </c>
      <c r="T3" s="61">
        <v>15</v>
      </c>
    </row>
    <row r="4" spans="1:20" s="12" customFormat="1" ht="14" customHeight="1">
      <c r="A4" s="65"/>
      <c r="B4" s="51" t="s">
        <v>83</v>
      </c>
      <c r="C4" s="51"/>
      <c r="D4" s="51"/>
      <c r="E4" s="60">
        <v>358</v>
      </c>
      <c r="F4" s="59"/>
      <c r="G4" s="55"/>
      <c r="H4" s="55"/>
      <c r="I4" s="55"/>
      <c r="J4" s="55"/>
      <c r="K4" s="55"/>
      <c r="L4" s="59"/>
      <c r="M4" s="60">
        <v>324.39999999999998</v>
      </c>
      <c r="N4" s="55"/>
      <c r="O4" s="55"/>
      <c r="P4" s="55"/>
      <c r="Q4" s="55"/>
      <c r="R4" s="55"/>
      <c r="S4" s="59"/>
      <c r="T4" s="55"/>
    </row>
    <row r="5" spans="1:20" s="12" customFormat="1" ht="14" customHeight="1">
      <c r="A5" s="65"/>
      <c r="B5" s="51" t="s">
        <v>84</v>
      </c>
      <c r="C5" s="51"/>
      <c r="D5" s="51"/>
      <c r="E5" s="54"/>
      <c r="F5" s="60">
        <v>751</v>
      </c>
      <c r="G5" s="60">
        <v>1187.1047587783319</v>
      </c>
      <c r="H5" s="60">
        <v>1664.9935612383174</v>
      </c>
      <c r="I5" s="60">
        <v>1975.142031823121</v>
      </c>
      <c r="J5" s="60">
        <v>2039.7896605318658</v>
      </c>
      <c r="K5" s="60">
        <v>1700.4303482668206</v>
      </c>
      <c r="L5" s="60">
        <v>1745.4208636520214</v>
      </c>
      <c r="M5" s="60">
        <v>1742</v>
      </c>
      <c r="N5" s="60">
        <v>1902.2379431698173</v>
      </c>
      <c r="O5" s="59"/>
      <c r="P5" s="59"/>
      <c r="Q5" s="59"/>
      <c r="R5" s="59"/>
      <c r="S5" s="59"/>
      <c r="T5" s="59"/>
    </row>
    <row r="6" spans="1:20" s="12" customFormat="1" ht="14" customHeight="1">
      <c r="A6" s="65"/>
      <c r="B6" s="51" t="s">
        <v>12</v>
      </c>
      <c r="C6" s="51"/>
      <c r="D6" s="51"/>
      <c r="E6" s="60">
        <v>670.84166067841807</v>
      </c>
      <c r="F6" s="60">
        <v>1090.1977483733046</v>
      </c>
      <c r="G6" s="60">
        <v>1329.5306881261283</v>
      </c>
      <c r="H6" s="60">
        <v>1206.084858554972</v>
      </c>
      <c r="I6" s="60">
        <v>1166.5501364310039</v>
      </c>
      <c r="J6" s="60">
        <v>979.73611660045424</v>
      </c>
      <c r="K6" s="60">
        <v>972.37387394279938</v>
      </c>
      <c r="L6" s="60">
        <v>1082.0055803263556</v>
      </c>
      <c r="M6" s="60">
        <v>1027.1241589297817</v>
      </c>
      <c r="N6" s="60">
        <v>1089.7061312235546</v>
      </c>
      <c r="O6" s="59"/>
      <c r="P6" s="59"/>
      <c r="Q6" s="59"/>
      <c r="R6" s="59"/>
      <c r="S6" s="59"/>
      <c r="T6" s="59"/>
    </row>
    <row r="7" spans="1:20" s="12" customFormat="1" ht="14" customHeight="1">
      <c r="A7" s="65"/>
      <c r="B7" s="51" t="s">
        <v>85</v>
      </c>
      <c r="C7" s="51"/>
      <c r="D7" s="51"/>
      <c r="E7" s="60">
        <v>235.95540336291995</v>
      </c>
      <c r="F7" s="60">
        <v>396.22202120352028</v>
      </c>
      <c r="G7" s="60">
        <v>447.99406968514057</v>
      </c>
      <c r="H7" s="60">
        <v>405.02760658593343</v>
      </c>
      <c r="I7" s="60">
        <v>403.28341807289513</v>
      </c>
      <c r="J7" s="60">
        <v>350.45393386233673</v>
      </c>
      <c r="K7" s="60">
        <v>345.1970906140038</v>
      </c>
      <c r="L7" s="60">
        <v>370.26689518448478</v>
      </c>
      <c r="M7" s="60">
        <v>369.33675425997797</v>
      </c>
      <c r="N7" s="60">
        <v>390.0174652388734</v>
      </c>
      <c r="O7" s="59"/>
      <c r="P7" s="59"/>
      <c r="Q7" s="59"/>
      <c r="R7" s="59"/>
      <c r="S7" s="59"/>
      <c r="T7" s="59"/>
    </row>
    <row r="8" spans="1:20" s="12" customFormat="1" ht="13.5" customHeight="1">
      <c r="A8" s="65"/>
      <c r="B8" s="51" t="s">
        <v>86</v>
      </c>
      <c r="C8" s="51"/>
      <c r="D8" s="51"/>
      <c r="E8" s="60">
        <v>28.963003922544758</v>
      </c>
      <c r="F8" s="60">
        <v>49.330302300615742</v>
      </c>
      <c r="G8" s="60">
        <v>61.505886010023694</v>
      </c>
      <c r="H8" s="60">
        <v>60.599410650664908</v>
      </c>
      <c r="I8" s="60">
        <v>60.835566961104753</v>
      </c>
      <c r="J8" s="60">
        <v>52.866591210157402</v>
      </c>
      <c r="K8" s="60">
        <v>53.645457862218592</v>
      </c>
      <c r="L8" s="60">
        <v>56.576389781778076</v>
      </c>
      <c r="M8" s="60">
        <v>58.370622539216683</v>
      </c>
      <c r="N8" s="60">
        <v>57.838559574163426</v>
      </c>
      <c r="O8" s="59"/>
      <c r="P8" s="59"/>
      <c r="Q8" s="59"/>
      <c r="R8" s="59"/>
      <c r="S8" s="59"/>
      <c r="T8" s="59"/>
    </row>
    <row r="9" spans="1:20" ht="14" customHeight="1">
      <c r="A9" s="65"/>
      <c r="B9" s="51"/>
      <c r="C9" s="51"/>
      <c r="D9" s="51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</row>
    <row r="10" spans="1:20" ht="14" customHeight="1">
      <c r="A10" s="80">
        <v>2004</v>
      </c>
      <c r="B10" s="56"/>
      <c r="C10" s="57">
        <f>'Exh 5 Stores IS (Hist Teuer)'!C10</f>
        <v>3</v>
      </c>
      <c r="D10" s="58">
        <f>'Exh 5 Stores IS (Hist Teuer)'!D10</f>
        <v>17600</v>
      </c>
      <c r="E10" s="61"/>
      <c r="F10" s="61">
        <v>0</v>
      </c>
      <c r="G10" s="61">
        <v>1</v>
      </c>
      <c r="H10" s="61">
        <v>2</v>
      </c>
      <c r="I10" s="61">
        <v>3</v>
      </c>
      <c r="J10" s="61">
        <v>4</v>
      </c>
      <c r="K10" s="61">
        <v>5</v>
      </c>
      <c r="L10" s="61">
        <v>6</v>
      </c>
      <c r="M10" s="61">
        <v>7</v>
      </c>
      <c r="N10" s="61">
        <v>8</v>
      </c>
      <c r="O10" s="61">
        <v>9</v>
      </c>
      <c r="P10" s="61">
        <v>10</v>
      </c>
      <c r="Q10" s="61">
        <v>11</v>
      </c>
      <c r="R10" s="61">
        <v>12</v>
      </c>
      <c r="S10" s="61">
        <v>13</v>
      </c>
      <c r="T10" s="61">
        <v>14</v>
      </c>
    </row>
    <row r="11" spans="1:20" ht="14" customHeight="1">
      <c r="A11" s="65"/>
      <c r="B11" s="51" t="s">
        <v>83</v>
      </c>
      <c r="C11" s="51"/>
      <c r="D11" s="51"/>
      <c r="E11" s="55"/>
      <c r="F11" s="60">
        <v>1175</v>
      </c>
      <c r="G11" s="59"/>
      <c r="H11" s="55"/>
      <c r="I11" s="55"/>
      <c r="J11" s="55"/>
      <c r="K11" s="55"/>
      <c r="L11" s="55"/>
      <c r="M11" s="59"/>
      <c r="N11" s="60">
        <v>935.6</v>
      </c>
      <c r="O11" s="55"/>
      <c r="P11" s="55"/>
      <c r="Q11" s="55"/>
      <c r="R11" s="55"/>
      <c r="S11" s="55"/>
      <c r="T11" s="55"/>
    </row>
    <row r="12" spans="1:20" ht="14" customHeight="1">
      <c r="A12" s="65"/>
      <c r="B12" s="51" t="s">
        <v>84</v>
      </c>
      <c r="C12" s="51"/>
      <c r="D12" s="51"/>
      <c r="E12" s="55"/>
      <c r="F12" s="54"/>
      <c r="G12" s="60">
        <v>2291.5818999246544</v>
      </c>
      <c r="H12" s="60">
        <v>3869.6821434417884</v>
      </c>
      <c r="I12" s="60">
        <v>5029.0119303043884</v>
      </c>
      <c r="J12" s="60">
        <v>5525.7803700647646</v>
      </c>
      <c r="K12" s="60">
        <v>5276.4520207369605</v>
      </c>
      <c r="L12" s="60">
        <v>5598.9405376671375</v>
      </c>
      <c r="M12" s="60">
        <v>5611.5290546565575</v>
      </c>
      <c r="N12" s="60">
        <v>5691.3671237735571</v>
      </c>
      <c r="O12" s="59"/>
      <c r="P12" s="59"/>
      <c r="Q12" s="59"/>
      <c r="R12" s="59"/>
      <c r="S12" s="59"/>
      <c r="T12" s="59"/>
    </row>
    <row r="13" spans="1:20" ht="14" customHeight="1">
      <c r="A13" s="65"/>
      <c r="B13" s="51" t="s">
        <v>12</v>
      </c>
      <c r="C13" s="51"/>
      <c r="D13" s="51"/>
      <c r="E13" s="55"/>
      <c r="F13" s="60">
        <v>2061.0794061383854</v>
      </c>
      <c r="G13" s="60">
        <v>3590.2263091317868</v>
      </c>
      <c r="H13" s="60">
        <v>4303.6605396403183</v>
      </c>
      <c r="I13" s="60">
        <v>3351.6454344543645</v>
      </c>
      <c r="J13" s="60">
        <v>2851.0372843047121</v>
      </c>
      <c r="K13" s="60">
        <v>3041.9421398052878</v>
      </c>
      <c r="L13" s="60">
        <v>3247.5212314545197</v>
      </c>
      <c r="M13" s="60">
        <v>3397.2094165729495</v>
      </c>
      <c r="N13" s="60">
        <v>3618.5146211771503</v>
      </c>
      <c r="O13" s="59"/>
      <c r="P13" s="59"/>
      <c r="Q13" s="59"/>
      <c r="R13" s="59"/>
      <c r="S13" s="59"/>
      <c r="T13" s="59"/>
    </row>
    <row r="14" spans="1:20" ht="14" customHeight="1">
      <c r="A14" s="65"/>
      <c r="B14" s="51" t="s">
        <v>85</v>
      </c>
      <c r="C14" s="51"/>
      <c r="D14" s="51"/>
      <c r="E14" s="55"/>
      <c r="F14" s="60">
        <v>762.05858689007141</v>
      </c>
      <c r="G14" s="60">
        <v>1255.2551043878689</v>
      </c>
      <c r="H14" s="60">
        <v>1420.5156336757141</v>
      </c>
      <c r="I14" s="60">
        <v>1124.1693106251623</v>
      </c>
      <c r="J14" s="60">
        <v>1025.0622521790533</v>
      </c>
      <c r="K14" s="60">
        <v>1089.5262432495163</v>
      </c>
      <c r="L14" s="60">
        <v>1123.7387488116453</v>
      </c>
      <c r="M14" s="60">
        <v>1138.6307475484894</v>
      </c>
      <c r="N14" s="60">
        <v>1152.828408766022</v>
      </c>
      <c r="O14" s="59"/>
      <c r="P14" s="59"/>
      <c r="Q14" s="59"/>
      <c r="R14" s="59"/>
      <c r="S14" s="59"/>
      <c r="T14" s="59"/>
    </row>
    <row r="15" spans="1:20" ht="14" customHeight="1">
      <c r="A15" s="65"/>
      <c r="B15" s="51" t="s">
        <v>86</v>
      </c>
      <c r="C15" s="51"/>
      <c r="D15" s="51"/>
      <c r="E15" s="55"/>
      <c r="F15" s="60">
        <v>95.399740286596071</v>
      </c>
      <c r="G15" s="60">
        <v>157.97283155935887</v>
      </c>
      <c r="H15" s="60">
        <v>192.58841772981469</v>
      </c>
      <c r="I15" s="60">
        <v>172.91370318171704</v>
      </c>
      <c r="J15" s="60">
        <v>162.10587311590243</v>
      </c>
      <c r="K15" s="60">
        <v>162.13772947175622</v>
      </c>
      <c r="L15" s="60">
        <v>174.65825296930274</v>
      </c>
      <c r="M15" s="60">
        <v>176.57589286400261</v>
      </c>
      <c r="N15" s="60">
        <v>178.68648191090205</v>
      </c>
      <c r="O15" s="59"/>
      <c r="P15" s="59"/>
      <c r="Q15" s="59"/>
      <c r="R15" s="59"/>
      <c r="S15" s="59"/>
      <c r="T15" s="59"/>
    </row>
    <row r="16" spans="1:20" ht="14" customHeight="1">
      <c r="A16" s="65"/>
      <c r="B16" s="51"/>
      <c r="C16" s="51"/>
      <c r="D16" s="51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ht="14" customHeight="1">
      <c r="A17" s="80">
        <v>2005</v>
      </c>
      <c r="B17" s="56"/>
      <c r="C17" s="57">
        <f>'Exh 5 Stores IS (Hist Teuer)'!C17</f>
        <v>4</v>
      </c>
      <c r="D17" s="58">
        <f>'Exh 5 Stores IS (Hist Teuer)'!D17</f>
        <v>18500</v>
      </c>
      <c r="E17" s="61"/>
      <c r="F17" s="61"/>
      <c r="G17" s="61">
        <v>0</v>
      </c>
      <c r="H17" s="61">
        <v>1</v>
      </c>
      <c r="I17" s="61">
        <v>2</v>
      </c>
      <c r="J17" s="61">
        <v>3</v>
      </c>
      <c r="K17" s="61">
        <v>4</v>
      </c>
      <c r="L17" s="61">
        <v>5</v>
      </c>
      <c r="M17" s="61">
        <v>6</v>
      </c>
      <c r="N17" s="61">
        <v>7</v>
      </c>
      <c r="O17" s="61">
        <v>8</v>
      </c>
      <c r="P17" s="61">
        <v>9</v>
      </c>
      <c r="Q17" s="61">
        <v>10</v>
      </c>
      <c r="R17" s="61">
        <v>11</v>
      </c>
      <c r="S17" s="61">
        <v>12</v>
      </c>
      <c r="T17" s="61">
        <v>13</v>
      </c>
    </row>
    <row r="18" spans="1:20" ht="14" customHeight="1">
      <c r="A18" s="65"/>
      <c r="B18" s="51" t="s">
        <v>83</v>
      </c>
      <c r="C18" s="51"/>
      <c r="D18" s="51"/>
      <c r="E18" s="55"/>
      <c r="F18" s="55"/>
      <c r="G18" s="60">
        <v>1814</v>
      </c>
      <c r="H18" s="59"/>
      <c r="I18" s="55"/>
      <c r="J18" s="55"/>
      <c r="K18" s="55"/>
      <c r="L18" s="55"/>
      <c r="M18" s="55"/>
      <c r="N18" s="59"/>
      <c r="O18" s="95">
        <f>'Exh 9 Capital Forecasting'!D69*'Exh 6 Stores BS'!G18*'Exh 2 Econ Indicators'!M3/'Exh 2 Econ Indicators'!E3</f>
        <v>1506.3279739666664</v>
      </c>
      <c r="P18" s="55"/>
      <c r="Q18" s="55"/>
      <c r="R18" s="55"/>
      <c r="S18" s="55"/>
      <c r="T18" s="55"/>
    </row>
    <row r="19" spans="1:20" ht="14" customHeight="1">
      <c r="A19" s="65"/>
      <c r="B19" s="51" t="s">
        <v>84</v>
      </c>
      <c r="C19" s="51"/>
      <c r="D19" s="51"/>
      <c r="E19" s="55"/>
      <c r="F19" s="55"/>
      <c r="G19" s="54"/>
      <c r="H19" s="60">
        <v>3140.2573153370722</v>
      </c>
      <c r="I19" s="60">
        <v>5508.3362094239837</v>
      </c>
      <c r="J19" s="60">
        <v>6296.3712390669789</v>
      </c>
      <c r="K19" s="60">
        <v>6230.7645197611955</v>
      </c>
      <c r="L19" s="60">
        <v>7149.279849071334</v>
      </c>
      <c r="M19" s="60">
        <v>7750.803209102367</v>
      </c>
      <c r="N19" s="60">
        <v>7949.6325528571906</v>
      </c>
      <c r="O19" s="59"/>
      <c r="P19" s="59"/>
      <c r="Q19" s="59"/>
      <c r="R19" s="59"/>
      <c r="S19" s="59"/>
      <c r="T19" s="59"/>
    </row>
    <row r="20" spans="1:20" ht="14" customHeight="1">
      <c r="A20" s="65"/>
      <c r="B20" s="51" t="s">
        <v>12</v>
      </c>
      <c r="C20" s="51"/>
      <c r="D20" s="51"/>
      <c r="E20" s="55"/>
      <c r="F20" s="55"/>
      <c r="G20" s="60">
        <v>3296.1867949894472</v>
      </c>
      <c r="H20" s="60">
        <v>5271.0136233689773</v>
      </c>
      <c r="I20" s="60">
        <v>4639.7276270749089</v>
      </c>
      <c r="J20" s="60">
        <v>3974.8727240396611</v>
      </c>
      <c r="K20" s="60">
        <v>4074.823614099952</v>
      </c>
      <c r="L20" s="60">
        <v>4427.2526049967528</v>
      </c>
      <c r="M20" s="60">
        <v>4353.7393867654619</v>
      </c>
      <c r="N20" s="60">
        <v>5114.4019556117146</v>
      </c>
      <c r="O20" s="59"/>
      <c r="P20" s="59"/>
      <c r="Q20" s="59"/>
      <c r="R20" s="59"/>
      <c r="S20" s="59"/>
      <c r="T20" s="59"/>
    </row>
    <row r="21" spans="1:20" ht="14" customHeight="1">
      <c r="A21" s="65"/>
      <c r="B21" s="51" t="s">
        <v>85</v>
      </c>
      <c r="C21" s="51"/>
      <c r="D21" s="51"/>
      <c r="E21" s="55"/>
      <c r="F21" s="55"/>
      <c r="G21" s="60">
        <v>1077.7804843703043</v>
      </c>
      <c r="H21" s="60">
        <v>1760.2111873284641</v>
      </c>
      <c r="I21" s="60">
        <v>1742.1706198380352</v>
      </c>
      <c r="J21" s="60">
        <v>1380.7489322358426</v>
      </c>
      <c r="K21" s="60">
        <v>1522.8391935568707</v>
      </c>
      <c r="L21" s="60">
        <v>1571.6809452207374</v>
      </c>
      <c r="M21" s="60">
        <v>1564.6663885990063</v>
      </c>
      <c r="N21" s="60">
        <v>1631.3393420161124</v>
      </c>
      <c r="O21" s="59"/>
      <c r="P21" s="59"/>
      <c r="Q21" s="59"/>
      <c r="R21" s="59"/>
      <c r="S21" s="59"/>
      <c r="T21" s="59"/>
    </row>
    <row r="22" spans="1:20" ht="14" customHeight="1">
      <c r="A22" s="65"/>
      <c r="B22" s="51" t="s">
        <v>86</v>
      </c>
      <c r="C22" s="51"/>
      <c r="D22" s="51"/>
      <c r="E22" s="55"/>
      <c r="F22" s="55"/>
      <c r="G22" s="60">
        <v>138.090877711779</v>
      </c>
      <c r="H22" s="60">
        <v>211.87393625883232</v>
      </c>
      <c r="I22" s="60">
        <v>239.86458103924693</v>
      </c>
      <c r="J22" s="60">
        <v>203.38655415390136</v>
      </c>
      <c r="K22" s="60">
        <v>240.36823964169261</v>
      </c>
      <c r="L22" s="60">
        <v>243.85129263254893</v>
      </c>
      <c r="M22" s="60">
        <v>250.83220523263634</v>
      </c>
      <c r="N22" s="60">
        <v>258.68023719768161</v>
      </c>
      <c r="O22" s="59"/>
      <c r="P22" s="59"/>
      <c r="Q22" s="59"/>
      <c r="R22" s="59"/>
      <c r="S22" s="59"/>
      <c r="T22" s="59"/>
    </row>
    <row r="23" spans="1:20" ht="14" customHeight="1">
      <c r="A23" s="65"/>
      <c r="B23" s="51"/>
      <c r="C23" s="51"/>
      <c r="D23" s="51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ht="14" customHeight="1">
      <c r="A24" s="80">
        <v>2006</v>
      </c>
      <c r="B24" s="56"/>
      <c r="C24" s="57">
        <f>'Exh 5 Stores IS (Hist Teuer)'!C24</f>
        <v>5</v>
      </c>
      <c r="D24" s="58">
        <f>'Exh 5 Stores IS (Hist Teuer)'!D24</f>
        <v>21100</v>
      </c>
      <c r="E24" s="61"/>
      <c r="F24" s="61"/>
      <c r="G24" s="61"/>
      <c r="H24" s="61">
        <v>0</v>
      </c>
      <c r="I24" s="61">
        <v>1</v>
      </c>
      <c r="J24" s="61">
        <v>2</v>
      </c>
      <c r="K24" s="61">
        <v>3</v>
      </c>
      <c r="L24" s="61">
        <v>4</v>
      </c>
      <c r="M24" s="61">
        <v>5</v>
      </c>
      <c r="N24" s="61">
        <v>6</v>
      </c>
      <c r="O24" s="61">
        <v>7</v>
      </c>
      <c r="P24" s="61">
        <v>8</v>
      </c>
      <c r="Q24" s="61">
        <v>9</v>
      </c>
      <c r="R24" s="61">
        <v>10</v>
      </c>
      <c r="S24" s="61">
        <v>11</v>
      </c>
      <c r="T24" s="61">
        <v>12</v>
      </c>
    </row>
    <row r="25" spans="1:20" ht="14" customHeight="1">
      <c r="A25" s="65"/>
      <c r="B25" s="51" t="s">
        <v>83</v>
      </c>
      <c r="C25" s="51"/>
      <c r="D25" s="51"/>
      <c r="E25" s="55"/>
      <c r="F25" s="55"/>
      <c r="G25" s="55"/>
      <c r="H25" s="60">
        <v>2971</v>
      </c>
      <c r="I25" s="59"/>
      <c r="J25" s="55"/>
      <c r="K25" s="55"/>
      <c r="L25" s="55"/>
      <c r="M25" s="55"/>
      <c r="N25" s="55"/>
      <c r="O25" s="59"/>
      <c r="P25" s="62">
        <f>'Exh 9 Capital Forecasting'!D69*'Exh 6 Stores BS'!H25*'Exh 2 Econ Indicators'!N3/'Exh 2 Econ Indicators'!F3</f>
        <v>2449.5103574545819</v>
      </c>
      <c r="Q25" s="55"/>
      <c r="R25" s="55"/>
      <c r="S25" s="55"/>
      <c r="T25" s="55"/>
    </row>
    <row r="26" spans="1:20" ht="14" customHeight="1">
      <c r="A26" s="65"/>
      <c r="B26" s="51" t="s">
        <v>84</v>
      </c>
      <c r="C26" s="51"/>
      <c r="D26" s="51"/>
      <c r="E26" s="55"/>
      <c r="F26" s="55"/>
      <c r="G26" s="55"/>
      <c r="H26" s="54"/>
      <c r="I26" s="60">
        <v>4433.2016283488692</v>
      </c>
      <c r="J26" s="60">
        <v>6592.6253119805524</v>
      </c>
      <c r="K26" s="60">
        <v>7974.1282012752936</v>
      </c>
      <c r="L26" s="60">
        <v>10039.839124211874</v>
      </c>
      <c r="M26" s="60">
        <v>10907.929926592791</v>
      </c>
      <c r="N26" s="60">
        <v>11761.443510421352</v>
      </c>
      <c r="O26" s="59"/>
      <c r="P26" s="59"/>
      <c r="Q26" s="59"/>
      <c r="R26" s="59"/>
      <c r="S26" s="59"/>
      <c r="T26" s="59"/>
    </row>
    <row r="27" spans="1:20" ht="14" customHeight="1">
      <c r="A27" s="65"/>
      <c r="B27" s="51" t="s">
        <v>12</v>
      </c>
      <c r="C27" s="51"/>
      <c r="D27" s="51"/>
      <c r="E27" s="55"/>
      <c r="F27" s="55"/>
      <c r="G27" s="55"/>
      <c r="H27" s="60">
        <v>4344.0209209035011</v>
      </c>
      <c r="I27" s="60">
        <v>6517.789103516664</v>
      </c>
      <c r="J27" s="60">
        <v>6634.630707193689</v>
      </c>
      <c r="K27" s="60">
        <v>5869.9537250245912</v>
      </c>
      <c r="L27" s="60">
        <v>6688.941171593573</v>
      </c>
      <c r="M27" s="60">
        <v>6854.1007588111925</v>
      </c>
      <c r="N27" s="60">
        <v>6348.3899767252005</v>
      </c>
      <c r="O27" s="59"/>
      <c r="P27" s="59"/>
      <c r="Q27" s="59"/>
      <c r="R27" s="59"/>
      <c r="S27" s="59"/>
      <c r="T27" s="59"/>
    </row>
    <row r="28" spans="1:20" ht="14" customHeight="1">
      <c r="A28" s="65"/>
      <c r="B28" s="51" t="s">
        <v>85</v>
      </c>
      <c r="C28" s="51"/>
      <c r="D28" s="51"/>
      <c r="E28" s="55"/>
      <c r="F28" s="55"/>
      <c r="G28" s="55"/>
      <c r="H28" s="60">
        <v>1533.4807295629762</v>
      </c>
      <c r="I28" s="60">
        <v>2226.7780530064824</v>
      </c>
      <c r="J28" s="60">
        <v>2181.1927133770864</v>
      </c>
      <c r="K28" s="60">
        <v>1889.4706039625571</v>
      </c>
      <c r="L28" s="60">
        <v>2165.2442041634035</v>
      </c>
      <c r="M28" s="60">
        <v>2325.0280057094255</v>
      </c>
      <c r="N28" s="60">
        <v>2376.70538209184</v>
      </c>
      <c r="O28" s="59"/>
      <c r="P28" s="59"/>
      <c r="Q28" s="59"/>
      <c r="R28" s="59"/>
      <c r="S28" s="59"/>
      <c r="T28" s="59"/>
    </row>
    <row r="29" spans="1:20" ht="14" customHeight="1">
      <c r="A29" s="65"/>
      <c r="B29" s="51" t="s">
        <v>86</v>
      </c>
      <c r="C29" s="51"/>
      <c r="D29" s="51"/>
      <c r="E29" s="55"/>
      <c r="F29" s="55"/>
      <c r="G29" s="55"/>
      <c r="H29" s="60">
        <v>192.85986756318354</v>
      </c>
      <c r="I29" s="60">
        <v>271.56754269566369</v>
      </c>
      <c r="J29" s="60">
        <v>299.90075690952142</v>
      </c>
      <c r="K29" s="60">
        <v>291.48216333732438</v>
      </c>
      <c r="L29" s="60">
        <v>336.7544478960865</v>
      </c>
      <c r="M29" s="60">
        <v>342.51499075714423</v>
      </c>
      <c r="N29" s="60">
        <v>361.5444955464589</v>
      </c>
      <c r="O29" s="59"/>
      <c r="P29" s="59"/>
      <c r="Q29" s="59"/>
      <c r="R29" s="59"/>
      <c r="S29" s="59"/>
      <c r="T29" s="59"/>
    </row>
    <row r="30" spans="1:20" ht="14" customHeight="1">
      <c r="A30" s="65"/>
      <c r="B30" s="51"/>
      <c r="C30" s="51"/>
      <c r="D30" s="51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0" ht="14" customHeight="1">
      <c r="A31" s="80">
        <v>2007</v>
      </c>
      <c r="B31" s="56"/>
      <c r="C31" s="57">
        <f>'Exh 5 Stores IS (Hist Teuer)'!C31</f>
        <v>6</v>
      </c>
      <c r="D31" s="58">
        <f>'Exh 5 Stores IS (Hist Teuer)'!D31</f>
        <v>22100</v>
      </c>
      <c r="E31" s="61"/>
      <c r="F31" s="61"/>
      <c r="G31" s="61"/>
      <c r="H31" s="61"/>
      <c r="I31" s="61">
        <v>0</v>
      </c>
      <c r="J31" s="61">
        <v>1</v>
      </c>
      <c r="K31" s="61">
        <v>2</v>
      </c>
      <c r="L31" s="61">
        <v>3</v>
      </c>
      <c r="M31" s="61">
        <v>4</v>
      </c>
      <c r="N31" s="61">
        <v>5</v>
      </c>
      <c r="O31" s="61">
        <v>6</v>
      </c>
      <c r="P31" s="61">
        <v>7</v>
      </c>
      <c r="Q31" s="61">
        <v>8</v>
      </c>
      <c r="R31" s="61">
        <v>9</v>
      </c>
      <c r="S31" s="61">
        <v>10</v>
      </c>
      <c r="T31" s="61">
        <v>11</v>
      </c>
    </row>
    <row r="32" spans="1:20" ht="14" customHeight="1">
      <c r="A32" s="65"/>
      <c r="B32" s="51" t="s">
        <v>83</v>
      </c>
      <c r="C32" s="51"/>
      <c r="D32" s="51"/>
      <c r="E32" s="55"/>
      <c r="F32" s="55"/>
      <c r="G32" s="55"/>
      <c r="H32" s="55"/>
      <c r="I32" s="60">
        <v>4058</v>
      </c>
      <c r="J32" s="59"/>
      <c r="K32" s="55"/>
      <c r="L32" s="55"/>
      <c r="M32" s="55"/>
      <c r="N32" s="55"/>
      <c r="O32" s="55"/>
      <c r="P32" s="59"/>
      <c r="Q32" s="62">
        <f>'Exh 9 Capital Forecasting'!D69*'Exh 6 Stores BS'!I32*'Exh 2 Econ Indicators'!O3/'Exh 2 Econ Indicators'!G3</f>
        <v>3276.8814007526644</v>
      </c>
      <c r="R32" s="55"/>
      <c r="S32" s="55"/>
      <c r="T32" s="55"/>
    </row>
    <row r="33" spans="1:20" ht="14" customHeight="1">
      <c r="A33" s="65"/>
      <c r="B33" s="51" t="s">
        <v>84</v>
      </c>
      <c r="C33" s="51"/>
      <c r="D33" s="51"/>
      <c r="E33" s="55"/>
      <c r="F33" s="55"/>
      <c r="G33" s="55"/>
      <c r="H33" s="55"/>
      <c r="I33" s="54"/>
      <c r="J33" s="60">
        <v>4817.382080428526</v>
      </c>
      <c r="K33" s="60">
        <v>6829.1234778058742</v>
      </c>
      <c r="L33" s="60">
        <v>9849.4844422324913</v>
      </c>
      <c r="M33" s="60">
        <v>12400.458430128157</v>
      </c>
      <c r="N33" s="60">
        <v>13919.559170395845</v>
      </c>
      <c r="O33" s="59"/>
      <c r="P33" s="59"/>
      <c r="Q33" s="59"/>
      <c r="R33" s="59"/>
      <c r="S33" s="59"/>
      <c r="T33" s="59"/>
    </row>
    <row r="34" spans="1:20" ht="14" customHeight="1">
      <c r="A34" s="65"/>
      <c r="B34" s="51" t="s">
        <v>12</v>
      </c>
      <c r="C34" s="51"/>
      <c r="D34" s="51"/>
      <c r="E34" s="55"/>
      <c r="F34" s="55"/>
      <c r="G34" s="55"/>
      <c r="H34" s="55"/>
      <c r="I34" s="60">
        <v>5232.0487492051234</v>
      </c>
      <c r="J34" s="60">
        <v>6245.9850508603877</v>
      </c>
      <c r="K34" s="60">
        <v>8709.6172209313681</v>
      </c>
      <c r="L34" s="60">
        <v>7320.2463780495218</v>
      </c>
      <c r="M34" s="60">
        <v>8121.2050260434298</v>
      </c>
      <c r="N34" s="60">
        <v>9022.1975022161278</v>
      </c>
      <c r="O34" s="59"/>
      <c r="P34" s="59"/>
      <c r="Q34" s="59"/>
      <c r="R34" s="59"/>
      <c r="S34" s="59"/>
      <c r="T34" s="59"/>
    </row>
    <row r="35" spans="1:20" ht="14" customHeight="1">
      <c r="A35" s="65"/>
      <c r="B35" s="51" t="s">
        <v>85</v>
      </c>
      <c r="C35" s="51"/>
      <c r="D35" s="51"/>
      <c r="E35" s="55"/>
      <c r="F35" s="55"/>
      <c r="G35" s="55"/>
      <c r="H35" s="55"/>
      <c r="I35" s="60">
        <v>1731.6415178095378</v>
      </c>
      <c r="J35" s="60">
        <v>2480.3676468610629</v>
      </c>
      <c r="K35" s="60">
        <v>2711.8923677746848</v>
      </c>
      <c r="L35" s="60">
        <v>2631.0818908399056</v>
      </c>
      <c r="M35" s="60">
        <v>2711.9898835506115</v>
      </c>
      <c r="N35" s="60">
        <v>2919.0030166884576</v>
      </c>
      <c r="O35" s="59"/>
      <c r="P35" s="59"/>
      <c r="Q35" s="59"/>
      <c r="R35" s="59"/>
      <c r="S35" s="59"/>
      <c r="T35" s="59"/>
    </row>
    <row r="36" spans="1:20" ht="14" customHeight="1">
      <c r="A36" s="65"/>
      <c r="B36" s="51" t="s">
        <v>86</v>
      </c>
      <c r="C36" s="51"/>
      <c r="D36" s="51"/>
      <c r="E36" s="55"/>
      <c r="F36" s="55"/>
      <c r="G36" s="55"/>
      <c r="H36" s="55"/>
      <c r="I36" s="60">
        <v>213.05854295593596</v>
      </c>
      <c r="J36" s="60">
        <v>293.40893601575812</v>
      </c>
      <c r="K36" s="60">
        <v>362.30168355498085</v>
      </c>
      <c r="L36" s="60">
        <v>380.88962239995203</v>
      </c>
      <c r="M36" s="60">
        <v>435.5288793952331</v>
      </c>
      <c r="N36" s="60">
        <v>435.26198506449663</v>
      </c>
      <c r="O36" s="59"/>
      <c r="P36" s="59"/>
      <c r="Q36" s="59"/>
      <c r="R36" s="59"/>
      <c r="S36" s="59"/>
      <c r="T36" s="59"/>
    </row>
    <row r="37" spans="1:20" ht="14" customHeight="1">
      <c r="A37" s="65"/>
      <c r="B37" s="51"/>
      <c r="C37" s="51"/>
      <c r="D37" s="51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</row>
    <row r="38" spans="1:20" ht="14" customHeight="1">
      <c r="A38" s="80">
        <v>2008</v>
      </c>
      <c r="B38" s="56"/>
      <c r="C38" s="57">
        <f>'Exh 5 Stores IS (Hist Teuer)'!C38</f>
        <v>2</v>
      </c>
      <c r="D38" s="58">
        <f>'Exh 5 Stores IS (Hist Teuer)'!D38</f>
        <v>15500</v>
      </c>
      <c r="E38" s="61"/>
      <c r="F38" s="61"/>
      <c r="G38" s="61"/>
      <c r="H38" s="61"/>
      <c r="I38" s="61"/>
      <c r="J38" s="61">
        <v>0</v>
      </c>
      <c r="K38" s="61">
        <v>1</v>
      </c>
      <c r="L38" s="61">
        <v>2</v>
      </c>
      <c r="M38" s="61">
        <v>3</v>
      </c>
      <c r="N38" s="61">
        <v>4</v>
      </c>
      <c r="O38" s="61">
        <v>5</v>
      </c>
      <c r="P38" s="61">
        <v>6</v>
      </c>
      <c r="Q38" s="61">
        <v>7</v>
      </c>
      <c r="R38" s="61">
        <v>8</v>
      </c>
      <c r="S38" s="61">
        <v>9</v>
      </c>
      <c r="T38" s="61">
        <v>10</v>
      </c>
    </row>
    <row r="39" spans="1:20" ht="14" customHeight="1">
      <c r="A39" s="65"/>
      <c r="B39" s="51" t="s">
        <v>83</v>
      </c>
      <c r="C39" s="51"/>
      <c r="D39" s="51"/>
      <c r="E39" s="55"/>
      <c r="F39" s="55"/>
      <c r="G39" s="55"/>
      <c r="H39" s="55"/>
      <c r="I39" s="55"/>
      <c r="J39" s="60">
        <v>924</v>
      </c>
      <c r="K39" s="59"/>
      <c r="L39" s="55"/>
      <c r="M39" s="55"/>
      <c r="N39" s="55"/>
      <c r="O39" s="55"/>
      <c r="P39" s="55"/>
      <c r="Q39" s="59"/>
      <c r="R39" s="62">
        <f>'Exh 9 Capital Forecasting'!D69*'Exh 6 Stores BS'!J39*'Exh 2 Econ Indicators'!P3/'Exh 2 Econ Indicators'!H3</f>
        <v>761.18830699454759</v>
      </c>
      <c r="S39" s="55"/>
      <c r="T39" s="55"/>
    </row>
    <row r="40" spans="1:20" ht="14" customHeight="1">
      <c r="A40" s="65"/>
      <c r="B40" s="51" t="s">
        <v>84</v>
      </c>
      <c r="C40" s="51"/>
      <c r="D40" s="51"/>
      <c r="E40" s="55"/>
      <c r="F40" s="55"/>
      <c r="G40" s="55"/>
      <c r="H40" s="55"/>
      <c r="I40" s="55"/>
      <c r="J40" s="54"/>
      <c r="K40" s="60">
        <v>1048.2444318075131</v>
      </c>
      <c r="L40" s="60">
        <v>1758.0566057168182</v>
      </c>
      <c r="M40" s="60">
        <v>2212.2900096349267</v>
      </c>
      <c r="N40" s="60">
        <v>2905.3454629650828</v>
      </c>
      <c r="O40" s="59"/>
      <c r="P40" s="59"/>
      <c r="Q40" s="59"/>
      <c r="R40" s="59"/>
      <c r="S40" s="59"/>
      <c r="T40" s="59"/>
    </row>
    <row r="41" spans="1:20" ht="14" customHeight="1">
      <c r="A41" s="65"/>
      <c r="B41" s="51" t="s">
        <v>12</v>
      </c>
      <c r="C41" s="51"/>
      <c r="D41" s="51"/>
      <c r="E41" s="55"/>
      <c r="F41" s="55"/>
      <c r="G41" s="55"/>
      <c r="H41" s="55"/>
      <c r="I41" s="55"/>
      <c r="J41" s="60">
        <v>1028.4497751161671</v>
      </c>
      <c r="K41" s="60">
        <v>1711.2587519317417</v>
      </c>
      <c r="L41" s="60">
        <v>2146.8287065625996</v>
      </c>
      <c r="M41" s="60">
        <v>1727.2529835747157</v>
      </c>
      <c r="N41" s="60">
        <v>1911.3442801161673</v>
      </c>
      <c r="O41" s="59"/>
      <c r="P41" s="59"/>
      <c r="Q41" s="59"/>
      <c r="R41" s="59"/>
      <c r="S41" s="59"/>
      <c r="T41" s="59"/>
    </row>
    <row r="42" spans="1:20" ht="14" customHeight="1">
      <c r="A42" s="65"/>
      <c r="B42" s="51" t="s">
        <v>85</v>
      </c>
      <c r="C42" s="51"/>
      <c r="D42" s="51"/>
      <c r="E42" s="55"/>
      <c r="F42" s="55"/>
      <c r="G42" s="55"/>
      <c r="H42" s="55"/>
      <c r="I42" s="55"/>
      <c r="J42" s="60">
        <v>349.01325018211611</v>
      </c>
      <c r="K42" s="60">
        <v>546.89215682001702</v>
      </c>
      <c r="L42" s="60">
        <v>661.90547960822551</v>
      </c>
      <c r="M42" s="60">
        <v>586.37762469378663</v>
      </c>
      <c r="N42" s="60">
        <v>689.77390402889978</v>
      </c>
      <c r="O42" s="59"/>
      <c r="P42" s="59"/>
      <c r="Q42" s="59"/>
      <c r="R42" s="59"/>
      <c r="S42" s="59"/>
      <c r="T42" s="59"/>
    </row>
    <row r="43" spans="1:20" ht="14" customHeight="1">
      <c r="A43" s="65"/>
      <c r="B43" s="51" t="s">
        <v>86</v>
      </c>
      <c r="C43" s="51"/>
      <c r="D43" s="51"/>
      <c r="E43" s="55"/>
      <c r="F43" s="55"/>
      <c r="G43" s="55"/>
      <c r="H43" s="55"/>
      <c r="I43" s="55"/>
      <c r="J43" s="60">
        <v>43.129934599190022</v>
      </c>
      <c r="K43" s="60">
        <v>72.016599024526613</v>
      </c>
      <c r="L43" s="60">
        <v>88.413090304768062</v>
      </c>
      <c r="M43" s="60">
        <v>93.522962204259343</v>
      </c>
      <c r="N43" s="60">
        <v>101.26460008115897</v>
      </c>
      <c r="O43" s="59"/>
      <c r="P43" s="59"/>
      <c r="Q43" s="59"/>
      <c r="R43" s="59"/>
      <c r="S43" s="59"/>
      <c r="T43" s="59"/>
    </row>
    <row r="44" spans="1:20" ht="14" customHeight="1">
      <c r="A44" s="65"/>
      <c r="B44" s="51"/>
      <c r="C44" s="51"/>
      <c r="D44" s="51"/>
      <c r="E44" s="55"/>
      <c r="F44" s="55"/>
      <c r="G44" s="55"/>
      <c r="H44" s="55"/>
      <c r="I44" s="55"/>
      <c r="J44" s="60"/>
      <c r="K44" s="60"/>
      <c r="L44" s="60"/>
      <c r="M44" s="60"/>
      <c r="N44" s="60"/>
      <c r="O44" s="59"/>
      <c r="P44" s="59"/>
      <c r="Q44" s="59"/>
      <c r="R44" s="59"/>
      <c r="S44" s="59"/>
      <c r="T44" s="59"/>
    </row>
    <row r="45" spans="1:20" ht="14" customHeight="1">
      <c r="A45" s="80">
        <v>2009</v>
      </c>
      <c r="B45" s="56"/>
      <c r="C45" s="57">
        <f>'Exh 5 Stores IS (Hist Teuer)'!C45</f>
        <v>1</v>
      </c>
      <c r="D45" s="58">
        <f>'Exh 5 Stores IS (Hist Teuer)'!D45</f>
        <v>14500</v>
      </c>
      <c r="E45" s="61"/>
      <c r="F45" s="61"/>
      <c r="G45" s="61"/>
      <c r="H45" s="61"/>
      <c r="I45" s="61"/>
      <c r="J45" s="61"/>
      <c r="K45" s="61">
        <v>0</v>
      </c>
      <c r="L45" s="61">
        <v>1</v>
      </c>
      <c r="M45" s="61">
        <v>2</v>
      </c>
      <c r="N45" s="61">
        <v>3</v>
      </c>
      <c r="O45" s="61">
        <v>4</v>
      </c>
      <c r="P45" s="61">
        <v>5</v>
      </c>
      <c r="Q45" s="61">
        <v>6</v>
      </c>
      <c r="R45" s="61">
        <v>7</v>
      </c>
      <c r="S45" s="61">
        <v>8</v>
      </c>
      <c r="T45" s="61">
        <v>9</v>
      </c>
    </row>
    <row r="46" spans="1:20" ht="14" customHeight="1">
      <c r="A46" s="65"/>
      <c r="B46" s="51" t="s">
        <v>83</v>
      </c>
      <c r="C46" s="51"/>
      <c r="D46" s="51"/>
      <c r="E46" s="55"/>
      <c r="F46" s="55"/>
      <c r="G46" s="55"/>
      <c r="H46" s="55"/>
      <c r="I46" s="55"/>
      <c r="J46" s="55"/>
      <c r="K46" s="60">
        <v>394</v>
      </c>
      <c r="L46" s="59"/>
      <c r="M46" s="55"/>
      <c r="N46" s="55"/>
      <c r="O46" s="55"/>
      <c r="P46" s="55"/>
      <c r="Q46" s="55"/>
      <c r="R46" s="59"/>
      <c r="S46" s="62">
        <f>'Exh 9 Capital Forecasting'!D69*'Exh 6 Stores BS'!K46*'Exh 2 Econ Indicators'!Q3/'Exh 2 Econ Indicators'!I3</f>
        <v>321.98074746298283</v>
      </c>
      <c r="T46" s="55"/>
    </row>
    <row r="47" spans="1:20" ht="14" customHeight="1">
      <c r="A47" s="65"/>
      <c r="B47" s="51" t="s">
        <v>84</v>
      </c>
      <c r="C47" s="51"/>
      <c r="D47" s="51"/>
      <c r="E47" s="55"/>
      <c r="F47" s="55"/>
      <c r="G47" s="55"/>
      <c r="H47" s="55"/>
      <c r="I47" s="55"/>
      <c r="J47" s="55"/>
      <c r="K47" s="54"/>
      <c r="L47" s="60">
        <v>484.17755852974977</v>
      </c>
      <c r="M47" s="60">
        <v>840.23216219238236</v>
      </c>
      <c r="N47" s="60">
        <v>1190.5836489530589</v>
      </c>
      <c r="O47" s="59"/>
      <c r="P47" s="59"/>
      <c r="Q47" s="59"/>
      <c r="R47" s="59"/>
      <c r="S47" s="59"/>
      <c r="T47" s="59"/>
    </row>
    <row r="48" spans="1:20" ht="14" customHeight="1">
      <c r="A48" s="65"/>
      <c r="B48" s="51" t="s">
        <v>12</v>
      </c>
      <c r="C48" s="51"/>
      <c r="D48" s="51"/>
      <c r="E48" s="55"/>
      <c r="F48" s="55"/>
      <c r="G48" s="55"/>
      <c r="H48" s="55"/>
      <c r="I48" s="55"/>
      <c r="J48" s="55"/>
      <c r="K48" s="60">
        <v>487.56234852734559</v>
      </c>
      <c r="L48" s="60">
        <v>882.0019620406257</v>
      </c>
      <c r="M48" s="60">
        <v>880.67784307026375</v>
      </c>
      <c r="N48" s="60">
        <v>822.82414300439677</v>
      </c>
      <c r="O48" s="59"/>
      <c r="P48" s="59"/>
      <c r="Q48" s="59"/>
      <c r="R48" s="59"/>
      <c r="S48" s="59"/>
      <c r="T48" s="59"/>
    </row>
    <row r="49" spans="1:20" ht="14" customHeight="1">
      <c r="A49" s="65"/>
      <c r="B49" s="51" t="s">
        <v>85</v>
      </c>
      <c r="C49" s="51"/>
      <c r="D49" s="51"/>
      <c r="E49" s="55"/>
      <c r="F49" s="55"/>
      <c r="G49" s="55"/>
      <c r="H49" s="55"/>
      <c r="I49" s="55"/>
      <c r="J49" s="55"/>
      <c r="K49" s="60">
        <v>171.2136094979941</v>
      </c>
      <c r="L49" s="60">
        <v>261.21017425890295</v>
      </c>
      <c r="M49" s="60">
        <v>326.51553763398488</v>
      </c>
      <c r="N49" s="60">
        <v>281.13974887651392</v>
      </c>
      <c r="O49" s="59"/>
      <c r="P49" s="59"/>
      <c r="Q49" s="59"/>
      <c r="R49" s="59"/>
      <c r="S49" s="59"/>
      <c r="T49" s="59"/>
    </row>
    <row r="50" spans="1:20" ht="14" customHeight="1">
      <c r="A50" s="65"/>
      <c r="B50" s="51" t="s">
        <v>86</v>
      </c>
      <c r="C50" s="51"/>
      <c r="D50" s="51"/>
      <c r="E50" s="55"/>
      <c r="F50" s="55"/>
      <c r="G50" s="55"/>
      <c r="H50" s="55"/>
      <c r="I50" s="55"/>
      <c r="J50" s="55"/>
      <c r="K50" s="60">
        <v>21.452626934163952</v>
      </c>
      <c r="L50" s="60">
        <v>33.771423842653505</v>
      </c>
      <c r="M50" s="60">
        <v>43.458631382504841</v>
      </c>
      <c r="N50" s="60">
        <v>43.726889225731888</v>
      </c>
      <c r="O50" s="59"/>
      <c r="P50" s="59"/>
      <c r="Q50" s="59"/>
      <c r="R50" s="59"/>
      <c r="S50" s="59"/>
      <c r="T50" s="59"/>
    </row>
    <row r="51" spans="1:20" ht="14" customHeight="1">
      <c r="A51" s="65"/>
      <c r="B51" s="51"/>
      <c r="C51" s="51"/>
      <c r="D51" s="51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ht="14" customHeight="1">
      <c r="A52" s="80">
        <v>2010</v>
      </c>
      <c r="B52" s="56"/>
      <c r="C52" s="57">
        <f>'Exh 5 Stores IS (Hist Teuer)'!C52</f>
        <v>2</v>
      </c>
      <c r="D52" s="58">
        <f>'Exh 5 Stores IS (Hist Teuer)'!D52</f>
        <v>14700</v>
      </c>
      <c r="E52" s="61"/>
      <c r="F52" s="61"/>
      <c r="G52" s="61"/>
      <c r="H52" s="61"/>
      <c r="I52" s="61"/>
      <c r="J52" s="61"/>
      <c r="K52" s="61"/>
      <c r="L52" s="61">
        <v>0</v>
      </c>
      <c r="M52" s="61">
        <v>1</v>
      </c>
      <c r="N52" s="61">
        <v>2</v>
      </c>
      <c r="O52" s="61">
        <v>3</v>
      </c>
      <c r="P52" s="61">
        <v>4</v>
      </c>
      <c r="Q52" s="61">
        <v>5</v>
      </c>
      <c r="R52" s="61">
        <v>6</v>
      </c>
      <c r="S52" s="61">
        <v>7</v>
      </c>
      <c r="T52" s="61">
        <v>8</v>
      </c>
    </row>
    <row r="53" spans="1:20" ht="14" customHeight="1">
      <c r="A53" s="65"/>
      <c r="B53" s="51" t="s">
        <v>83</v>
      </c>
      <c r="C53" s="51"/>
      <c r="D53" s="51"/>
      <c r="E53" s="55"/>
      <c r="F53" s="55"/>
      <c r="G53" s="55"/>
      <c r="H53" s="55"/>
      <c r="I53" s="55"/>
      <c r="J53" s="55"/>
      <c r="K53" s="55"/>
      <c r="L53" s="60">
        <v>752</v>
      </c>
      <c r="M53" s="59"/>
      <c r="N53" s="55"/>
      <c r="O53" s="55"/>
      <c r="P53" s="55"/>
      <c r="Q53" s="55"/>
      <c r="R53" s="55"/>
      <c r="S53" s="59"/>
      <c r="T53" s="62">
        <f>'Exh 9 Capital Forecasting'!D69*'Exh 6 Stores BS'!L53*'Exh 2 Econ Indicators'!R3/'Exh 2 Econ Indicators'!J3</f>
        <v>616.38428430149656</v>
      </c>
    </row>
    <row r="54" spans="1:20" ht="14" customHeight="1">
      <c r="A54" s="65"/>
      <c r="B54" s="51" t="s">
        <v>84</v>
      </c>
      <c r="C54" s="51"/>
      <c r="D54" s="51"/>
      <c r="E54" s="55"/>
      <c r="F54" s="55"/>
      <c r="G54" s="55"/>
      <c r="H54" s="55"/>
      <c r="I54" s="55"/>
      <c r="J54" s="55"/>
      <c r="K54" s="55"/>
      <c r="L54" s="54"/>
      <c r="M54" s="60">
        <v>956.18518263926796</v>
      </c>
      <c r="N54" s="60">
        <v>1787.0119219050603</v>
      </c>
      <c r="O54" s="59"/>
      <c r="P54" s="59"/>
      <c r="Q54" s="59"/>
      <c r="R54" s="59"/>
      <c r="S54" s="59"/>
      <c r="T54" s="59"/>
    </row>
    <row r="55" spans="1:20" ht="14" customHeight="1">
      <c r="A55" s="65"/>
      <c r="B55" s="51" t="s">
        <v>12</v>
      </c>
      <c r="C55" s="51"/>
      <c r="D55" s="51"/>
      <c r="E55" s="55"/>
      <c r="F55" s="55"/>
      <c r="G55" s="55"/>
      <c r="H55" s="55"/>
      <c r="I55" s="55"/>
      <c r="J55" s="55"/>
      <c r="K55" s="55"/>
      <c r="L55" s="60">
        <v>1013.0219789083174</v>
      </c>
      <c r="M55" s="60">
        <v>1787.4615278807826</v>
      </c>
      <c r="N55" s="60">
        <v>1912.6851051651058</v>
      </c>
      <c r="O55" s="59"/>
      <c r="P55" s="59"/>
      <c r="Q55" s="59"/>
      <c r="R55" s="59"/>
      <c r="S55" s="59"/>
      <c r="T55" s="59"/>
    </row>
    <row r="56" spans="1:20" ht="14" customHeight="1">
      <c r="A56" s="65"/>
      <c r="B56" s="51" t="s">
        <v>85</v>
      </c>
      <c r="C56" s="51"/>
      <c r="D56" s="51"/>
      <c r="E56" s="55"/>
      <c r="F56" s="55"/>
      <c r="G56" s="55"/>
      <c r="H56" s="55"/>
      <c r="I56" s="55"/>
      <c r="J56" s="55"/>
      <c r="K56" s="55"/>
      <c r="L56" s="60">
        <v>348.1970378799416</v>
      </c>
      <c r="M56" s="60">
        <v>576.56192086894293</v>
      </c>
      <c r="N56" s="60">
        <v>682.93824529116239</v>
      </c>
      <c r="O56" s="59"/>
      <c r="P56" s="59"/>
      <c r="Q56" s="59"/>
      <c r="R56" s="59"/>
      <c r="S56" s="59"/>
      <c r="T56" s="59"/>
    </row>
    <row r="57" spans="1:20" ht="14" customHeight="1">
      <c r="A57" s="65"/>
      <c r="B57" s="51" t="s">
        <v>86</v>
      </c>
      <c r="C57" s="51"/>
      <c r="D57" s="51"/>
      <c r="E57" s="55"/>
      <c r="F57" s="55"/>
      <c r="G57" s="55"/>
      <c r="H57" s="55"/>
      <c r="I57" s="55"/>
      <c r="J57" s="55"/>
      <c r="K57" s="55"/>
      <c r="L57" s="60">
        <v>44.384121429354821</v>
      </c>
      <c r="M57" s="60">
        <v>70.987097654280774</v>
      </c>
      <c r="N57" s="60">
        <v>90.88595342549138</v>
      </c>
      <c r="O57" s="59"/>
      <c r="P57" s="59"/>
      <c r="Q57" s="59"/>
      <c r="R57" s="59"/>
      <c r="S57" s="59"/>
      <c r="T57" s="59"/>
    </row>
    <row r="58" spans="1:20" ht="14" customHeight="1">
      <c r="A58" s="65"/>
      <c r="B58" s="51"/>
      <c r="C58" s="51"/>
      <c r="D58" s="51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t="14" customHeight="1">
      <c r="A59" s="80">
        <v>2011</v>
      </c>
      <c r="B59" s="56"/>
      <c r="C59" s="57">
        <f>'Exh 5 Stores IS (Hist Teuer)'!C59</f>
        <v>2</v>
      </c>
      <c r="D59" s="58">
        <f>'Exh 5 Stores IS (Hist Teuer)'!D59</f>
        <v>15400</v>
      </c>
      <c r="E59" s="61"/>
      <c r="F59" s="61"/>
      <c r="G59" s="61"/>
      <c r="H59" s="61"/>
      <c r="I59" s="61"/>
      <c r="J59" s="61"/>
      <c r="K59" s="61"/>
      <c r="L59" s="61"/>
      <c r="M59" s="61">
        <v>0</v>
      </c>
      <c r="N59" s="61">
        <v>1</v>
      </c>
      <c r="O59" s="61">
        <v>2</v>
      </c>
      <c r="P59" s="61">
        <v>3</v>
      </c>
      <c r="Q59" s="61">
        <v>4</v>
      </c>
      <c r="R59" s="61">
        <v>5</v>
      </c>
      <c r="S59" s="61">
        <v>6</v>
      </c>
      <c r="T59" s="61">
        <v>7</v>
      </c>
    </row>
    <row r="60" spans="1:20" ht="14" customHeight="1">
      <c r="A60" s="65"/>
      <c r="B60" s="51" t="s">
        <v>83</v>
      </c>
      <c r="C60" s="51"/>
      <c r="D60" s="51"/>
      <c r="E60" s="55"/>
      <c r="F60" s="55"/>
      <c r="G60" s="55"/>
      <c r="H60" s="55"/>
      <c r="I60" s="55"/>
      <c r="J60" s="55"/>
      <c r="K60" s="55"/>
      <c r="L60" s="55"/>
      <c r="M60" s="60">
        <v>798</v>
      </c>
      <c r="N60" s="59"/>
      <c r="O60" s="55"/>
      <c r="P60" s="55"/>
      <c r="Q60" s="55"/>
      <c r="R60" s="55"/>
      <c r="S60" s="55"/>
      <c r="T60" s="59"/>
    </row>
    <row r="61" spans="1:20" ht="14" customHeight="1">
      <c r="A61" s="65"/>
      <c r="B61" s="51" t="s">
        <v>84</v>
      </c>
      <c r="C61" s="51"/>
      <c r="D61" s="51"/>
      <c r="E61" s="55"/>
      <c r="F61" s="55"/>
      <c r="G61" s="55"/>
      <c r="H61" s="55"/>
      <c r="I61" s="55"/>
      <c r="J61" s="55"/>
      <c r="K61" s="55"/>
      <c r="L61" s="55"/>
      <c r="M61" s="54"/>
      <c r="N61" s="60">
        <v>1092.7778123173291</v>
      </c>
      <c r="O61" s="59"/>
      <c r="P61" s="59"/>
      <c r="Q61" s="59"/>
      <c r="R61" s="59"/>
      <c r="S61" s="59"/>
      <c r="T61" s="59"/>
    </row>
    <row r="62" spans="1:20" ht="14" customHeight="1">
      <c r="A62" s="65"/>
      <c r="B62" s="51" t="s">
        <v>12</v>
      </c>
      <c r="C62" s="51"/>
      <c r="D62" s="51"/>
      <c r="E62" s="55"/>
      <c r="F62" s="55"/>
      <c r="G62" s="55"/>
      <c r="H62" s="55"/>
      <c r="I62" s="55"/>
      <c r="J62" s="55"/>
      <c r="K62" s="55"/>
      <c r="L62" s="55"/>
      <c r="M62" s="60">
        <v>1066.8787061633195</v>
      </c>
      <c r="N62" s="60">
        <v>1794.8611189255691</v>
      </c>
      <c r="O62" s="59"/>
      <c r="P62" s="59"/>
      <c r="Q62" s="59"/>
      <c r="R62" s="59"/>
      <c r="S62" s="59"/>
      <c r="T62" s="59"/>
    </row>
    <row r="63" spans="1:20" ht="14" customHeight="1">
      <c r="A63" s="65"/>
      <c r="B63" s="51" t="s">
        <v>85</v>
      </c>
      <c r="C63" s="51"/>
      <c r="D63" s="51"/>
      <c r="E63" s="55"/>
      <c r="F63" s="55"/>
      <c r="G63" s="55"/>
      <c r="H63" s="55"/>
      <c r="I63" s="55"/>
      <c r="J63" s="55"/>
      <c r="K63" s="55"/>
      <c r="L63" s="55"/>
      <c r="M63" s="60">
        <v>386.7297486349317</v>
      </c>
      <c r="N63" s="60">
        <v>622.93194619864028</v>
      </c>
      <c r="O63" s="59"/>
      <c r="P63" s="59"/>
      <c r="Q63" s="59"/>
      <c r="R63" s="59"/>
      <c r="S63" s="59"/>
      <c r="T63" s="59"/>
    </row>
    <row r="64" spans="1:20" ht="14" customHeight="1">
      <c r="A64" s="65"/>
      <c r="B64" s="51" t="s">
        <v>86</v>
      </c>
      <c r="C64" s="51"/>
      <c r="D64" s="51"/>
      <c r="E64" s="55"/>
      <c r="F64" s="55"/>
      <c r="G64" s="55"/>
      <c r="H64" s="55"/>
      <c r="I64" s="55"/>
      <c r="J64" s="55"/>
      <c r="K64" s="55"/>
      <c r="L64" s="55"/>
      <c r="M64" s="60">
        <v>47.104073716376433</v>
      </c>
      <c r="N64" s="60">
        <v>75.763416290654604</v>
      </c>
      <c r="O64" s="59"/>
      <c r="P64" s="59"/>
      <c r="Q64" s="59"/>
      <c r="R64" s="59"/>
      <c r="S64" s="59"/>
      <c r="T64" s="59"/>
    </row>
    <row r="65" spans="1:20" ht="14" customHeight="1">
      <c r="A65" s="65"/>
      <c r="B65" s="51"/>
      <c r="C65" s="51"/>
      <c r="D65" s="51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spans="1:20" ht="14" customHeight="1">
      <c r="A66" s="80">
        <v>2012</v>
      </c>
      <c r="B66" s="56"/>
      <c r="C66" s="57">
        <f>'Exh 5 Stores IS (Hist Teuer)'!C66</f>
        <v>3</v>
      </c>
      <c r="D66" s="58">
        <f>'Exh 5 Stores IS (Hist Teuer)'!D66</f>
        <v>16300</v>
      </c>
      <c r="E66" s="61"/>
      <c r="F66" s="61"/>
      <c r="G66" s="61"/>
      <c r="H66" s="61"/>
      <c r="I66" s="61"/>
      <c r="J66" s="61"/>
      <c r="K66" s="61"/>
      <c r="L66" s="61"/>
      <c r="M66" s="61"/>
      <c r="N66" s="61">
        <v>0</v>
      </c>
      <c r="O66" s="61">
        <v>1</v>
      </c>
      <c r="P66" s="61">
        <v>2</v>
      </c>
      <c r="Q66" s="61">
        <v>3</v>
      </c>
      <c r="R66" s="61">
        <v>4</v>
      </c>
      <c r="S66" s="61">
        <v>5</v>
      </c>
      <c r="T66" s="61">
        <v>6</v>
      </c>
    </row>
    <row r="67" spans="1:20" ht="14" customHeight="1">
      <c r="A67" s="65"/>
      <c r="B67" s="51" t="s">
        <v>83</v>
      </c>
      <c r="C67" s="51"/>
      <c r="D67" s="51"/>
      <c r="E67" s="55"/>
      <c r="F67" s="55"/>
      <c r="G67" s="55"/>
      <c r="H67" s="55"/>
      <c r="I67" s="55"/>
      <c r="J67" s="55"/>
      <c r="K67" s="55"/>
      <c r="L67" s="55"/>
      <c r="M67" s="55"/>
      <c r="N67" s="60">
        <v>1293</v>
      </c>
      <c r="O67" s="59"/>
      <c r="P67" s="55"/>
      <c r="Q67" s="55"/>
      <c r="R67" s="55"/>
      <c r="S67" s="55"/>
      <c r="T67" s="55"/>
    </row>
    <row r="68" spans="1:20" ht="14" customHeight="1">
      <c r="A68" s="65"/>
      <c r="B68" s="51" t="s">
        <v>84</v>
      </c>
      <c r="C68" s="51"/>
      <c r="D68" s="51"/>
      <c r="E68" s="55"/>
      <c r="F68" s="55"/>
      <c r="G68" s="55"/>
      <c r="H68" s="55"/>
      <c r="I68" s="55"/>
      <c r="J68" s="55"/>
      <c r="K68" s="55"/>
      <c r="L68" s="55"/>
      <c r="M68" s="55"/>
      <c r="N68" s="54"/>
      <c r="O68" s="59"/>
      <c r="P68" s="59"/>
      <c r="Q68" s="59"/>
      <c r="R68" s="59"/>
      <c r="S68" s="59"/>
      <c r="T68" s="59"/>
    </row>
    <row r="69" spans="1:20" ht="14" customHeight="1">
      <c r="A69" s="65"/>
      <c r="B69" s="51" t="s">
        <v>12</v>
      </c>
      <c r="C69" s="51"/>
      <c r="D69" s="51"/>
      <c r="E69" s="55"/>
      <c r="F69" s="55"/>
      <c r="G69" s="55"/>
      <c r="H69" s="55"/>
      <c r="I69" s="55"/>
      <c r="J69" s="55"/>
      <c r="K69" s="55"/>
      <c r="L69" s="55"/>
      <c r="M69" s="55"/>
      <c r="N69" s="60">
        <v>1708.0318030571016</v>
      </c>
      <c r="O69" s="59"/>
      <c r="P69" s="59"/>
      <c r="Q69" s="59"/>
      <c r="R69" s="59"/>
      <c r="S69" s="59"/>
      <c r="T69" s="59"/>
    </row>
    <row r="70" spans="1:20" ht="14" customHeight="1">
      <c r="A70" s="65"/>
      <c r="B70" s="51" t="s">
        <v>85</v>
      </c>
      <c r="C70" s="51"/>
      <c r="D70" s="51"/>
      <c r="E70" s="55"/>
      <c r="F70" s="55"/>
      <c r="G70" s="55"/>
      <c r="H70" s="55"/>
      <c r="I70" s="55"/>
      <c r="J70" s="55"/>
      <c r="K70" s="55"/>
      <c r="L70" s="55"/>
      <c r="M70" s="55"/>
      <c r="N70" s="60">
        <v>616.86850425444607</v>
      </c>
      <c r="O70" s="59"/>
      <c r="P70" s="59"/>
      <c r="Q70" s="59"/>
      <c r="R70" s="59"/>
      <c r="S70" s="59"/>
      <c r="T70" s="59"/>
    </row>
    <row r="71" spans="1:20" ht="14" customHeight="1">
      <c r="A71" s="65"/>
      <c r="B71" s="51" t="s">
        <v>86</v>
      </c>
      <c r="C71" s="51"/>
      <c r="D71" s="51"/>
      <c r="E71" s="55"/>
      <c r="F71" s="55"/>
      <c r="G71" s="55"/>
      <c r="H71" s="55"/>
      <c r="I71" s="55"/>
      <c r="J71" s="55"/>
      <c r="K71" s="55"/>
      <c r="L71" s="55"/>
      <c r="M71" s="55"/>
      <c r="N71" s="60">
        <v>78.602493985012458</v>
      </c>
      <c r="O71" s="59"/>
      <c r="P71" s="59"/>
      <c r="Q71" s="59"/>
      <c r="R71" s="59"/>
      <c r="S71" s="59"/>
      <c r="T71" s="59"/>
    </row>
    <row r="72" spans="1:20" ht="14" customHeight="1">
      <c r="A72" s="65"/>
      <c r="B72" s="51"/>
      <c r="C72" s="51"/>
      <c r="D72" s="51"/>
      <c r="E72" s="55"/>
      <c r="F72" s="55"/>
      <c r="G72" s="55"/>
      <c r="H72" s="55"/>
      <c r="I72" s="55"/>
      <c r="J72" s="55"/>
      <c r="K72" s="55"/>
      <c r="L72" s="55"/>
      <c r="M72" s="55"/>
      <c r="N72" s="60"/>
      <c r="O72" s="59"/>
      <c r="P72" s="59"/>
      <c r="Q72" s="59"/>
      <c r="R72" s="59"/>
      <c r="S72" s="59"/>
      <c r="T72" s="59"/>
    </row>
    <row r="73" spans="1:20" ht="14" customHeight="1">
      <c r="A73" s="80">
        <v>2013</v>
      </c>
      <c r="B73" s="56"/>
      <c r="C73" s="57">
        <f>'Exh 5 Stores IS (Hist Teuer)'!C73</f>
        <v>2</v>
      </c>
      <c r="D73" s="58">
        <f>'Exh 5 Stores IS (Hist Teuer)'!D73</f>
        <v>16000</v>
      </c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>
        <v>0</v>
      </c>
      <c r="P73" s="61">
        <v>1</v>
      </c>
      <c r="Q73" s="61">
        <v>2</v>
      </c>
      <c r="R73" s="61">
        <v>3</v>
      </c>
      <c r="S73" s="61">
        <v>4</v>
      </c>
      <c r="T73" s="61">
        <v>5</v>
      </c>
    </row>
    <row r="74" spans="1:20" ht="14" customHeight="1">
      <c r="A74" s="65"/>
      <c r="B74" s="51" t="s">
        <v>83</v>
      </c>
      <c r="C74" s="51"/>
      <c r="D74" s="51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60">
        <f>$C73*$D73*($N$67/($C$66*$D$66))*(HLOOKUP(O$2,'Exh 2 Econ Indicators'!$B$2:$S$3,2,FALSE)/HLOOKUP(2012,'Exh 2 Econ Indicators'!$B$2:$S$3,2,FALSE))</f>
        <v>860.35003680981595</v>
      </c>
      <c r="P74" s="59"/>
      <c r="Q74" s="55"/>
      <c r="R74" s="55"/>
      <c r="S74" s="55"/>
      <c r="T74" s="55"/>
    </row>
    <row r="75" spans="1:20" ht="14" customHeight="1">
      <c r="A75" s="65"/>
      <c r="B75" s="51" t="s">
        <v>84</v>
      </c>
      <c r="C75" s="51"/>
      <c r="D75" s="51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9"/>
      <c r="Q75" s="59"/>
      <c r="R75" s="59"/>
      <c r="S75" s="59"/>
      <c r="T75" s="59"/>
    </row>
    <row r="76" spans="1:20" ht="14" customHeight="1">
      <c r="A76" s="65"/>
      <c r="B76" s="51" t="s">
        <v>12</v>
      </c>
      <c r="C76" s="51"/>
      <c r="D76" s="51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9"/>
      <c r="P76" s="59"/>
      <c r="Q76" s="59"/>
      <c r="R76" s="59"/>
      <c r="S76" s="59"/>
      <c r="T76" s="59"/>
    </row>
    <row r="77" spans="1:20" ht="14" customHeight="1">
      <c r="A77" s="65"/>
      <c r="B77" s="51" t="s">
        <v>85</v>
      </c>
      <c r="C77" s="51"/>
      <c r="D77" s="51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9"/>
      <c r="P77" s="59"/>
      <c r="Q77" s="59"/>
      <c r="R77" s="59"/>
      <c r="S77" s="59"/>
      <c r="T77" s="59"/>
    </row>
    <row r="78" spans="1:20" ht="14" customHeight="1">
      <c r="A78" s="65"/>
      <c r="B78" s="51" t="s">
        <v>86</v>
      </c>
      <c r="C78" s="51"/>
      <c r="D78" s="51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9"/>
      <c r="P78" s="59"/>
      <c r="Q78" s="59"/>
      <c r="R78" s="59"/>
      <c r="S78" s="59"/>
      <c r="T78" s="59"/>
    </row>
    <row r="79" spans="1:20" ht="14" customHeight="1">
      <c r="A79" s="65"/>
      <c r="B79" s="51"/>
      <c r="C79" s="51"/>
      <c r="D79" s="51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spans="1:20" ht="14" customHeight="1">
      <c r="A80" s="80">
        <v>2014</v>
      </c>
      <c r="B80" s="56"/>
      <c r="C80" s="57">
        <f>'Exh 5 Stores IS (Hist Teuer)'!C80</f>
        <v>2</v>
      </c>
      <c r="D80" s="58">
        <f>'Exh 5 Stores IS (Hist Teuer)'!D80</f>
        <v>16000</v>
      </c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>
        <v>0</v>
      </c>
      <c r="Q80" s="61">
        <v>1</v>
      </c>
      <c r="R80" s="61">
        <v>2</v>
      </c>
      <c r="S80" s="61">
        <v>3</v>
      </c>
      <c r="T80" s="61">
        <v>4</v>
      </c>
    </row>
    <row r="81" spans="1:20" ht="14" customHeight="1">
      <c r="A81" s="65"/>
      <c r="B81" s="51" t="s">
        <v>83</v>
      </c>
      <c r="C81" s="51"/>
      <c r="D81" s="51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60">
        <f>$C80*$D80*($N$67/($C$66*$D$66))*(HLOOKUP(P$2,'Exh 2 Econ Indicators'!$B$2:$S$3,2,FALSE)/HLOOKUP(2012,'Exh 2 Econ Indicators'!$B$2:$S$3,2,FALSE))</f>
        <v>875.92237247607363</v>
      </c>
      <c r="Q81" s="59"/>
      <c r="R81" s="55"/>
      <c r="S81" s="55"/>
      <c r="T81" s="55"/>
    </row>
    <row r="82" spans="1:20" ht="14" customHeight="1">
      <c r="A82" s="65"/>
      <c r="B82" s="51" t="s">
        <v>84</v>
      </c>
      <c r="C82" s="51"/>
      <c r="D82" s="51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9"/>
      <c r="R82" s="59"/>
      <c r="S82" s="59"/>
      <c r="T82" s="59"/>
    </row>
    <row r="83" spans="1:20" ht="14" customHeight="1">
      <c r="A83" s="65"/>
      <c r="B83" s="51" t="s">
        <v>12</v>
      </c>
      <c r="C83" s="51"/>
      <c r="D83" s="51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9"/>
      <c r="Q83" s="59"/>
      <c r="R83" s="59"/>
      <c r="S83" s="59"/>
      <c r="T83" s="59"/>
    </row>
    <row r="84" spans="1:20" ht="14" customHeight="1">
      <c r="A84" s="65"/>
      <c r="B84" s="51" t="s">
        <v>85</v>
      </c>
      <c r="C84" s="51"/>
      <c r="D84" s="51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9"/>
      <c r="Q84" s="59"/>
      <c r="R84" s="59"/>
      <c r="S84" s="59"/>
      <c r="T84" s="59"/>
    </row>
    <row r="85" spans="1:20" ht="14" customHeight="1">
      <c r="A85" s="65"/>
      <c r="B85" s="51" t="s">
        <v>86</v>
      </c>
      <c r="C85" s="51"/>
      <c r="D85" s="51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9"/>
      <c r="Q85" s="59"/>
      <c r="R85" s="59"/>
      <c r="S85" s="59"/>
      <c r="T85" s="59"/>
    </row>
    <row r="86" spans="1:20" ht="14" customHeight="1">
      <c r="A86" s="65"/>
      <c r="B86" s="51"/>
      <c r="C86" s="51"/>
      <c r="D86" s="51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spans="1:20" ht="14" customHeight="1">
      <c r="A87" s="80">
        <v>2015</v>
      </c>
      <c r="B87" s="56"/>
      <c r="C87" s="57">
        <f>'Exh 5 Stores IS (Hist Teuer)'!C87</f>
        <v>2</v>
      </c>
      <c r="D87" s="58">
        <f>'Exh 5 Stores IS (Hist Teuer)'!D87</f>
        <v>15000</v>
      </c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>
        <v>0</v>
      </c>
      <c r="R87" s="61">
        <v>1</v>
      </c>
      <c r="S87" s="61">
        <v>2</v>
      </c>
      <c r="T87" s="61">
        <v>3</v>
      </c>
    </row>
    <row r="88" spans="1:20" ht="14" customHeight="1">
      <c r="A88" s="65"/>
      <c r="B88" s="51" t="s">
        <v>83</v>
      </c>
      <c r="C88" s="51"/>
      <c r="D88" s="51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60">
        <f>$C87*$D87*($N$67/($C$66*$D$66))*(HLOOKUP(Q$2,'Exh 2 Econ Indicators'!$B$2:$S$3,2,FALSE)/HLOOKUP(2012,'Exh 2 Econ Indicators'!$B$2:$S$3,2,FALSE))</f>
        <v>837.1080623457276</v>
      </c>
      <c r="R88" s="59"/>
      <c r="S88" s="55"/>
      <c r="T88" s="55"/>
    </row>
    <row r="89" spans="1:20" ht="14" customHeight="1">
      <c r="A89" s="65"/>
      <c r="B89" s="51" t="s">
        <v>84</v>
      </c>
      <c r="C89" s="51"/>
      <c r="D89" s="51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9"/>
      <c r="S89" s="59"/>
      <c r="T89" s="59"/>
    </row>
    <row r="90" spans="1:20" ht="14" customHeight="1">
      <c r="A90" s="65"/>
      <c r="B90" s="51" t="s">
        <v>12</v>
      </c>
      <c r="C90" s="51"/>
      <c r="D90" s="51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9"/>
      <c r="R90" s="59"/>
      <c r="S90" s="59"/>
      <c r="T90" s="59"/>
    </row>
    <row r="91" spans="1:20" ht="14" customHeight="1">
      <c r="A91" s="65"/>
      <c r="B91" s="51" t="s">
        <v>85</v>
      </c>
      <c r="C91" s="51"/>
      <c r="D91" s="51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9"/>
      <c r="R91" s="59"/>
      <c r="S91" s="59"/>
      <c r="T91" s="59"/>
    </row>
    <row r="92" spans="1:20" ht="14" customHeight="1">
      <c r="A92" s="65"/>
      <c r="B92" s="51" t="s">
        <v>86</v>
      </c>
      <c r="C92" s="51"/>
      <c r="D92" s="51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9"/>
      <c r="R92" s="59"/>
      <c r="S92" s="59"/>
      <c r="T92" s="59"/>
    </row>
    <row r="93" spans="1:20" ht="15" customHeight="1"/>
    <row r="94" spans="1:20" ht="15" customHeight="1">
      <c r="B94" s="51" t="s">
        <v>101</v>
      </c>
    </row>
    <row r="95" spans="1:20">
      <c r="B95" s="51"/>
      <c r="O95" s="7">
        <f>'Exh 6 Stores BS'!O4+'Exh 6 Stores BS'!O11+'Exh 6 Stores BS'!O18+'Exh 6 Stores BS'!O25+'Exh 6 Stores BS'!O32+'Exh 6 Stores BS'!O39+'Exh 6 Stores BS'!O46+'Exh 6 Stores BS'!O53+'Exh 6 Stores BS'!O60+'Exh 6 Stores BS'!O67+'Exh 6 Stores BS'!O74+O81+O88</f>
        <v>2366.6780107764826</v>
      </c>
      <c r="P95" s="7">
        <f>'Exh 6 Stores BS'!P4+'Exh 6 Stores BS'!P11+'Exh 6 Stores BS'!P18+'Exh 6 Stores BS'!P25+'Exh 6 Stores BS'!P32+'Exh 6 Stores BS'!P39+'Exh 6 Stores BS'!P46+'Exh 6 Stores BS'!P53+'Exh 6 Stores BS'!P60+'Exh 6 Stores BS'!P67+'Exh 6 Stores BS'!P74+P81+P88</f>
        <v>3325.4327299306556</v>
      </c>
      <c r="Q95" s="7">
        <f>'Exh 6 Stores BS'!Q4+'Exh 6 Stores BS'!Q11+'Exh 6 Stores BS'!Q18+'Exh 6 Stores BS'!Q25+'Exh 6 Stores BS'!Q32+'Exh 6 Stores BS'!Q39+'Exh 6 Stores BS'!Q46+'Exh 6 Stores BS'!Q53+'Exh 6 Stores BS'!Q60+'Exh 6 Stores BS'!Q67+'Exh 6 Stores BS'!Q74+Q81+Q88</f>
        <v>4113.9894630983918</v>
      </c>
      <c r="R95" s="7">
        <f>'Exh 6 Stores BS'!R4+'Exh 6 Stores BS'!R11+'Exh 6 Stores BS'!R18+'Exh 6 Stores BS'!R25+'Exh 6 Stores BS'!R32+'Exh 6 Stores BS'!R39+'Exh 6 Stores BS'!R46+'Exh 6 Stores BS'!R53+'Exh 6 Stores BS'!R60+'Exh 6 Stores BS'!R67+'Exh 6 Stores BS'!R74+R81+R88</f>
        <v>761.18830699454759</v>
      </c>
      <c r="S95" s="7">
        <f>'Exh 6 Stores BS'!S4+'Exh 6 Stores BS'!S11+'Exh 6 Stores BS'!S18+'Exh 6 Stores BS'!S25+'Exh 6 Stores BS'!S32+'Exh 6 Stores BS'!S39+'Exh 6 Stores BS'!S46+'Exh 6 Stores BS'!S53+'Exh 6 Stores BS'!S60+'Exh 6 Stores BS'!S67+'Exh 6 Stores BS'!S74+S81+S88</f>
        <v>321.98074746298283</v>
      </c>
      <c r="T95" s="7">
        <f>'Exh 6 Stores BS'!T4+'Exh 6 Stores BS'!T11+'Exh 6 Stores BS'!T18+'Exh 6 Stores BS'!T25+'Exh 6 Stores BS'!T32+'Exh 6 Stores BS'!T39+'Exh 6 Stores BS'!T46+'Exh 6 Stores BS'!T53+'Exh 6 Stores BS'!T60+'Exh 6 Stores BS'!T67+'Exh 6 Stores BS'!T74+T81+T88</f>
        <v>616.38428430149656</v>
      </c>
    </row>
    <row r="96" spans="1:20">
      <c r="B96" s="51"/>
      <c r="O96" s="7"/>
      <c r="P96" s="7"/>
      <c r="Q96" s="7"/>
      <c r="R96" s="7"/>
      <c r="S96" s="7"/>
      <c r="T96" s="7"/>
    </row>
    <row r="97" spans="2:20">
      <c r="B97" s="51"/>
      <c r="O97" s="7"/>
      <c r="P97" s="7"/>
      <c r="Q97" s="7"/>
      <c r="R97" s="7"/>
      <c r="S97" s="7"/>
      <c r="T97" s="7"/>
    </row>
    <row r="98" spans="2:20">
      <c r="B98" s="51"/>
      <c r="O98" s="7"/>
      <c r="P98" s="7"/>
      <c r="Q98" s="7"/>
      <c r="R98" s="7"/>
      <c r="S98" s="7"/>
      <c r="T98" s="7"/>
    </row>
    <row r="99" spans="2:20">
      <c r="B99" s="51"/>
      <c r="O99" s="7"/>
      <c r="P99" s="7"/>
      <c r="Q99" s="7"/>
      <c r="R99" s="7"/>
      <c r="S99" s="7"/>
      <c r="T99" s="7"/>
    </row>
    <row r="103" spans="2:20">
      <c r="L103" s="51"/>
      <c r="N103" s="7"/>
      <c r="O103" s="7"/>
      <c r="P103" s="7"/>
      <c r="Q103" s="7"/>
      <c r="R103" s="7"/>
      <c r="S103" s="7"/>
    </row>
  </sheetData>
  <pageMargins left="0.7" right="0.7" top="0.75" bottom="0.75" header="0.3" footer="0.3"/>
  <pageSetup scale="62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26"/>
  <sheetViews>
    <sheetView workbookViewId="0">
      <selection activeCell="B16" sqref="B16"/>
    </sheetView>
  </sheetViews>
  <sheetFormatPr defaultColWidth="8.81640625" defaultRowHeight="14.5"/>
  <cols>
    <col min="1" max="1" width="37.453125" customWidth="1"/>
    <col min="2" max="2" width="9.453125" bestFit="1" customWidth="1"/>
    <col min="4" max="7" width="9.453125" bestFit="1" customWidth="1"/>
  </cols>
  <sheetData>
    <row r="1" spans="1:10" s="10" customFormat="1" ht="18.5">
      <c r="A1" s="10" t="s">
        <v>64</v>
      </c>
    </row>
    <row r="2" spans="1:10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</row>
    <row r="3" spans="1:10">
      <c r="A3" t="s">
        <v>26</v>
      </c>
      <c r="B3" s="6"/>
      <c r="C3" s="72">
        <v>0.70199999999999996</v>
      </c>
      <c r="D3" s="72">
        <v>0.33500000000000002</v>
      </c>
      <c r="E3" s="72">
        <v>0.22900000000000001</v>
      </c>
      <c r="F3" s="72">
        <v>9.7000000000000003E-2</v>
      </c>
      <c r="G3" s="72">
        <v>1.4999999999999999E-2</v>
      </c>
      <c r="H3" s="72">
        <v>3.0000000000000001E-3</v>
      </c>
      <c r="J3" s="17"/>
    </row>
    <row r="4" spans="1:10">
      <c r="A4" t="s">
        <v>2</v>
      </c>
      <c r="B4" s="72">
        <v>0.70899999999999996</v>
      </c>
      <c r="C4" s="72">
        <v>0.63700000000000001</v>
      </c>
      <c r="D4" s="72">
        <v>0.56200000000000006</v>
      </c>
      <c r="E4" s="72">
        <v>0.39900000000000002</v>
      </c>
      <c r="F4" s="72">
        <f t="shared" ref="F4:H6" si="0">E4</f>
        <v>0.39900000000000002</v>
      </c>
      <c r="G4" s="72">
        <f t="shared" si="0"/>
        <v>0.39900000000000002</v>
      </c>
      <c r="H4" s="72">
        <f t="shared" si="0"/>
        <v>0.39900000000000002</v>
      </c>
    </row>
    <row r="5" spans="1:10">
      <c r="A5" t="s">
        <v>70</v>
      </c>
      <c r="B5" s="72">
        <v>0.193</v>
      </c>
      <c r="C5" s="72">
        <v>0.183</v>
      </c>
      <c r="D5" s="72">
        <v>0.17299999999999999</v>
      </c>
      <c r="E5" s="72">
        <v>0.13600000000000001</v>
      </c>
      <c r="F5" s="72">
        <f t="shared" si="0"/>
        <v>0.13600000000000001</v>
      </c>
      <c r="G5" s="72">
        <f t="shared" si="0"/>
        <v>0.13600000000000001</v>
      </c>
      <c r="H5" s="72">
        <f t="shared" si="0"/>
        <v>0.13600000000000001</v>
      </c>
    </row>
    <row r="6" spans="1:10">
      <c r="A6" t="s">
        <v>92</v>
      </c>
      <c r="B6" s="72">
        <v>0.106</v>
      </c>
      <c r="C6" s="72">
        <v>8.8999999999999996E-2</v>
      </c>
      <c r="D6" s="72">
        <v>8.2000000000000003E-2</v>
      </c>
      <c r="E6" s="72">
        <v>7.1999999999999995E-2</v>
      </c>
      <c r="F6" s="72">
        <f t="shared" si="0"/>
        <v>7.1999999999999995E-2</v>
      </c>
      <c r="G6" s="72">
        <f t="shared" si="0"/>
        <v>7.1999999999999995E-2</v>
      </c>
      <c r="H6" s="72">
        <f t="shared" si="0"/>
        <v>7.1999999999999995E-2</v>
      </c>
    </row>
    <row r="7" spans="1:10">
      <c r="A7" t="s">
        <v>71</v>
      </c>
      <c r="B7" s="72">
        <v>0.32400000000000001</v>
      </c>
      <c r="C7" s="71"/>
      <c r="D7" s="73"/>
      <c r="E7" s="73"/>
      <c r="F7" s="73"/>
    </row>
    <row r="8" spans="1:10">
      <c r="A8" t="s">
        <v>72</v>
      </c>
      <c r="B8" s="72">
        <v>0.47599999999999998</v>
      </c>
      <c r="C8" s="71"/>
      <c r="D8" s="73"/>
      <c r="E8" s="73"/>
      <c r="F8" s="73"/>
    </row>
    <row r="9" spans="1:10">
      <c r="A9" t="s">
        <v>73</v>
      </c>
      <c r="B9" s="72">
        <v>0.16300000000000001</v>
      </c>
      <c r="C9" s="71"/>
    </row>
    <row r="10" spans="1:10">
      <c r="A10" t="s">
        <v>93</v>
      </c>
      <c r="B10" s="72">
        <v>4.8000000000000001E-2</v>
      </c>
      <c r="C10" s="71"/>
    </row>
    <row r="11" spans="1:10">
      <c r="A11" t="s">
        <v>15</v>
      </c>
      <c r="B11" s="74">
        <v>5</v>
      </c>
      <c r="C11" s="71"/>
    </row>
    <row r="12" spans="1:10">
      <c r="A12" t="s">
        <v>82</v>
      </c>
      <c r="B12" s="77">
        <v>0.7</v>
      </c>
      <c r="C12" s="71"/>
    </row>
    <row r="13" spans="1:10">
      <c r="A13" t="s">
        <v>69</v>
      </c>
      <c r="B13" s="72">
        <v>0.4</v>
      </c>
      <c r="C13" s="71"/>
    </row>
    <row r="14" spans="1:10">
      <c r="A14" t="s">
        <v>68</v>
      </c>
      <c r="B14" s="49">
        <v>0.05</v>
      </c>
      <c r="C14" s="71"/>
    </row>
    <row r="15" spans="1:10">
      <c r="A15" t="s">
        <v>65</v>
      </c>
      <c r="B15" s="49">
        <f>0.017+1.3*0.08</f>
        <v>0.12100000000000001</v>
      </c>
      <c r="D15" s="6"/>
      <c r="E15" s="6"/>
    </row>
    <row r="16" spans="1:10">
      <c r="A16" s="20" t="s">
        <v>94</v>
      </c>
      <c r="B16" s="49">
        <v>3.5000000000000003E-2</v>
      </c>
      <c r="D16" s="17"/>
    </row>
    <row r="17" spans="1:13">
      <c r="A17" t="s">
        <v>45</v>
      </c>
      <c r="B17" s="41">
        <v>9945</v>
      </c>
    </row>
    <row r="19" spans="1:13">
      <c r="C19" s="3"/>
    </row>
    <row r="20" spans="1:13">
      <c r="B20" s="7"/>
      <c r="C20" s="7"/>
      <c r="J20" s="8"/>
      <c r="K20" s="8"/>
      <c r="L20" s="8"/>
      <c r="M20" s="8"/>
    </row>
    <row r="21" spans="1:13">
      <c r="A21" s="15"/>
      <c r="B21" s="30"/>
      <c r="C21" s="30"/>
      <c r="D21" s="30"/>
      <c r="E21" s="30"/>
      <c r="F21" s="30"/>
      <c r="G21" s="30"/>
      <c r="J21" s="8"/>
      <c r="K21" s="8"/>
      <c r="L21" s="8"/>
      <c r="M21" s="8"/>
    </row>
    <row r="22" spans="1:13">
      <c r="A22" s="15"/>
      <c r="B22" s="30"/>
      <c r="C22" s="30"/>
      <c r="D22" s="30"/>
      <c r="E22" s="30"/>
      <c r="F22" s="30"/>
      <c r="G22" s="30"/>
      <c r="J22" s="8"/>
      <c r="K22" s="8"/>
      <c r="L22" s="8"/>
      <c r="M22" s="8"/>
    </row>
    <row r="23" spans="1:13">
      <c r="A23" s="15"/>
      <c r="B23" s="30"/>
      <c r="C23" s="30"/>
      <c r="D23" s="30"/>
      <c r="E23" s="30"/>
      <c r="F23" s="30"/>
      <c r="G23" s="30"/>
      <c r="J23" s="8"/>
      <c r="K23" s="8"/>
      <c r="L23" s="8"/>
      <c r="M23" s="8"/>
    </row>
    <row r="24" spans="1:13">
      <c r="J24" s="6"/>
      <c r="K24" s="6"/>
      <c r="L24" s="6"/>
      <c r="M24" s="6"/>
    </row>
    <row r="25" spans="1:13">
      <c r="J25" s="3"/>
      <c r="K25" s="3"/>
      <c r="L25" s="3"/>
      <c r="M25" s="3"/>
    </row>
    <row r="26" spans="1:13">
      <c r="J26" s="6"/>
      <c r="K26" s="6"/>
      <c r="L26" s="6"/>
      <c r="M26" s="6"/>
    </row>
  </sheetData>
  <pageMargins left="0.7" right="0.7" top="0.75" bottom="0.75" header="0.3" footer="0.3"/>
  <pageSetup scale="6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0"/>
  <sheetViews>
    <sheetView zoomScale="120" zoomScaleNormal="120" workbookViewId="0">
      <selection activeCell="I8" sqref="I8"/>
    </sheetView>
  </sheetViews>
  <sheetFormatPr defaultColWidth="8.81640625" defaultRowHeight="14.5"/>
  <cols>
    <col min="1" max="1" width="5.6328125" customWidth="1"/>
    <col min="2" max="2" width="25.6328125" customWidth="1"/>
    <col min="3" max="12" width="9.1796875" customWidth="1"/>
  </cols>
  <sheetData>
    <row r="1" spans="1:14" ht="18.5">
      <c r="A1" s="10" t="s">
        <v>80</v>
      </c>
    </row>
    <row r="2" spans="1:14" ht="15" customHeight="1">
      <c r="C2" s="4">
        <v>2003</v>
      </c>
      <c r="D2" s="4">
        <v>2004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</row>
    <row r="3" spans="1:14" ht="15" customHeight="1">
      <c r="B3" t="s">
        <v>0</v>
      </c>
      <c r="D3" s="32">
        <v>2056.5</v>
      </c>
      <c r="E3" s="32">
        <v>10415</v>
      </c>
      <c r="F3" s="32">
        <v>26700.600000000002</v>
      </c>
      <c r="G3" s="32">
        <v>51539.6</v>
      </c>
      <c r="H3" s="32">
        <v>79191</v>
      </c>
      <c r="I3" s="32">
        <v>90679.700000000012</v>
      </c>
      <c r="J3" s="32">
        <v>111451</v>
      </c>
      <c r="K3" s="32">
        <v>134093.30000000002</v>
      </c>
      <c r="L3" s="32">
        <v>148217.90000000002</v>
      </c>
    </row>
    <row r="4" spans="1:14" ht="15" customHeight="1">
      <c r="B4" t="s">
        <v>66</v>
      </c>
      <c r="D4" s="32">
        <v>-1462.9</v>
      </c>
      <c r="E4" s="32">
        <v>-7056.7000000000007</v>
      </c>
      <c r="F4" s="32">
        <v>-17423.8</v>
      </c>
      <c r="G4" s="32">
        <v>-30730.199999999997</v>
      </c>
      <c r="H4" s="32">
        <v>-43833.8</v>
      </c>
      <c r="I4" s="32">
        <v>-47289.9</v>
      </c>
      <c r="J4" s="32">
        <v>-49067.7</v>
      </c>
      <c r="K4" s="32">
        <v>-55486.7</v>
      </c>
      <c r="L4" s="32">
        <v>-61955.099999999991</v>
      </c>
      <c r="N4" s="3"/>
    </row>
    <row r="5" spans="1:14" ht="15" customHeight="1">
      <c r="B5" t="s">
        <v>67</v>
      </c>
      <c r="D5" s="32">
        <v>-409.5</v>
      </c>
      <c r="E5" s="32">
        <v>-1811.5</v>
      </c>
      <c r="F5" s="32">
        <v>-4957.5999999999995</v>
      </c>
      <c r="G5" s="32">
        <v>-9230.1</v>
      </c>
      <c r="H5" s="32">
        <v>-13576.4</v>
      </c>
      <c r="I5" s="32">
        <v>-14679.1</v>
      </c>
      <c r="J5" s="32">
        <v>-16470.900000000001</v>
      </c>
      <c r="K5" s="32">
        <v>-18698.099999999999</v>
      </c>
      <c r="L5" s="32">
        <v>-21252.500000000004</v>
      </c>
      <c r="N5" s="3"/>
    </row>
    <row r="6" spans="1:14" ht="15" customHeight="1">
      <c r="B6" t="s">
        <v>4</v>
      </c>
      <c r="D6" s="32">
        <v>-203.4</v>
      </c>
      <c r="E6" s="32">
        <v>-1018.7</v>
      </c>
      <c r="F6" s="32">
        <v>-2410.8000000000002</v>
      </c>
      <c r="G6" s="32">
        <v>-4587.5</v>
      </c>
      <c r="H6" s="32">
        <v>-6584.6</v>
      </c>
      <c r="I6" s="32">
        <v>-7532</v>
      </c>
      <c r="J6" s="32">
        <v>-8366.6</v>
      </c>
      <c r="K6" s="32">
        <v>-9545</v>
      </c>
      <c r="L6" s="32">
        <v>-10743.699999999999</v>
      </c>
      <c r="N6" s="3"/>
    </row>
    <row r="7" spans="1:14" ht="15" customHeight="1">
      <c r="B7" t="s">
        <v>8</v>
      </c>
      <c r="D7" s="32">
        <v>-71.599999999999994</v>
      </c>
      <c r="E7" s="32">
        <v>-306.60000000000002</v>
      </c>
      <c r="F7" s="32">
        <v>-669.40000000000009</v>
      </c>
      <c r="G7" s="32">
        <v>-1263.6000000000001</v>
      </c>
      <c r="H7" s="32">
        <v>-2075.2000000000003</v>
      </c>
      <c r="I7" s="32">
        <v>-2188.4</v>
      </c>
      <c r="J7" s="32">
        <v>-2032.1999999999998</v>
      </c>
      <c r="K7" s="32">
        <v>-1819.8000000000002</v>
      </c>
      <c r="L7" s="32">
        <v>-1450.08</v>
      </c>
      <c r="N7" s="3"/>
    </row>
    <row r="8" spans="1:14" ht="15" customHeight="1">
      <c r="B8" t="s">
        <v>56</v>
      </c>
      <c r="D8" s="32">
        <v>-250</v>
      </c>
      <c r="E8" s="32">
        <v>-1080</v>
      </c>
      <c r="F8" s="32">
        <v>-2330</v>
      </c>
      <c r="G8" s="32">
        <v>-4240</v>
      </c>
      <c r="H8" s="32">
        <v>-6770</v>
      </c>
      <c r="I8" s="32">
        <v>-7380</v>
      </c>
      <c r="J8" s="32">
        <v>-7712</v>
      </c>
      <c r="K8" s="32">
        <v>-8450</v>
      </c>
      <c r="L8" s="32">
        <v>-9320</v>
      </c>
      <c r="N8" s="3"/>
    </row>
    <row r="9" spans="1:14" ht="15" customHeight="1">
      <c r="B9" t="s">
        <v>88</v>
      </c>
      <c r="D9" s="32">
        <v>-185.08406855787482</v>
      </c>
      <c r="E9" s="32">
        <v>-729.05226975738742</v>
      </c>
      <c r="F9" s="32">
        <v>-1602.037437761441</v>
      </c>
      <c r="G9" s="32">
        <v>-3092.3782275164745</v>
      </c>
      <c r="H9" s="32">
        <v>-4751.4624017799943</v>
      </c>
      <c r="I9" s="32">
        <v>-5440.7827168532531</v>
      </c>
      <c r="J9" s="32">
        <v>-5572.5499412451973</v>
      </c>
      <c r="K9" s="32">
        <v>-6704.6637190649171</v>
      </c>
      <c r="L9" s="32">
        <v>-7410.8943379691937</v>
      </c>
      <c r="N9" s="3"/>
    </row>
    <row r="10" spans="1:14" s="14" customFormat="1" ht="15" customHeight="1">
      <c r="B10" s="14" t="s">
        <v>20</v>
      </c>
      <c r="D10" s="7">
        <f>-$C$16*SUM(D3:D9)</f>
        <v>210.39362742314998</v>
      </c>
      <c r="E10" s="7">
        <f t="shared" ref="E10:L10" si="0">-$C$16*SUM(E3:E9)</f>
        <v>635.0209079029554</v>
      </c>
      <c r="F10" s="7">
        <f t="shared" si="0"/>
        <v>1077.2149751045752</v>
      </c>
      <c r="G10" s="7">
        <f>-$C$16*SUM(G3:G9)</f>
        <v>641.67129100658951</v>
      </c>
      <c r="H10" s="7">
        <f t="shared" si="0"/>
        <v>-639.81503928800021</v>
      </c>
      <c r="I10" s="7">
        <f t="shared" si="0"/>
        <v>-2467.8069132587029</v>
      </c>
      <c r="J10" s="7">
        <f t="shared" si="0"/>
        <v>-8891.6200235019242</v>
      </c>
      <c r="K10" s="7">
        <f t="shared" si="0"/>
        <v>-13355.614512374041</v>
      </c>
      <c r="L10" s="7">
        <f t="shared" si="0"/>
        <v>-14434.250264812337</v>
      </c>
      <c r="N10" s="3"/>
    </row>
    <row r="11" spans="1:14" s="14" customFormat="1" ht="15" customHeight="1">
      <c r="B11" s="14" t="s">
        <v>21</v>
      </c>
      <c r="D11" s="7">
        <f>IF(D10&gt;0,C11+D10,IF(C11+D10&gt;0,C11+D10,0))</f>
        <v>210.39362742314998</v>
      </c>
      <c r="E11" s="7">
        <f t="shared" ref="E11:L11" si="1">IF(E10&gt;0,D11+E10,IF(D11+E10&gt;0,D11+E10,0))</f>
        <v>845.41453532610535</v>
      </c>
      <c r="F11" s="7">
        <f t="shared" si="1"/>
        <v>1922.6295104306805</v>
      </c>
      <c r="G11" s="7">
        <f t="shared" si="1"/>
        <v>2564.3008014372699</v>
      </c>
      <c r="H11" s="7">
        <f>IF(H10&gt;0,G11+H10,IF(G11+H10&gt;0,G11+H10,0))</f>
        <v>1924.4857621492697</v>
      </c>
      <c r="I11" s="7">
        <f t="shared" si="1"/>
        <v>0</v>
      </c>
      <c r="J11" s="7">
        <f t="shared" si="1"/>
        <v>0</v>
      </c>
      <c r="K11" s="7">
        <f t="shared" si="1"/>
        <v>0</v>
      </c>
      <c r="L11" s="7">
        <f t="shared" si="1"/>
        <v>0</v>
      </c>
      <c r="N11" s="3"/>
    </row>
    <row r="12" spans="1:14" ht="15" customHeight="1">
      <c r="B12" s="4" t="s">
        <v>5</v>
      </c>
      <c r="C12" s="79"/>
      <c r="D12" s="11">
        <f>IF(D10&gt;0,0,IF(C11&gt;0,MIN(D10+C11,0),D10))</f>
        <v>0</v>
      </c>
      <c r="E12" s="11">
        <f t="shared" ref="E12:L12" si="2">IF(E10&gt;0,0,IF(D11&gt;0,MIN(E10+D11,0),E10))</f>
        <v>0</v>
      </c>
      <c r="F12" s="11">
        <f t="shared" si="2"/>
        <v>0</v>
      </c>
      <c r="G12" s="11">
        <f t="shared" si="2"/>
        <v>0</v>
      </c>
      <c r="H12" s="11">
        <f>IF(H10&gt;0,0,IF(G11&gt;0,MIN(H10+G11,0),H10))</f>
        <v>0</v>
      </c>
      <c r="I12" s="11">
        <f>IF(I10&gt;0,0,IF(H11&gt;0,MIN(I10+H11,0),I10))</f>
        <v>-543.32115110943323</v>
      </c>
      <c r="J12" s="11">
        <f t="shared" si="2"/>
        <v>-8891.6200235019242</v>
      </c>
      <c r="K12" s="11">
        <f t="shared" si="2"/>
        <v>-13355.614512374041</v>
      </c>
      <c r="L12" s="11">
        <f t="shared" si="2"/>
        <v>-14434.250264812337</v>
      </c>
      <c r="N12" s="3"/>
    </row>
    <row r="13" spans="1:14" ht="15" customHeight="1">
      <c r="B13" t="s">
        <v>22</v>
      </c>
      <c r="D13" s="7">
        <f>SUM(D3:D9)+D12</f>
        <v>-525.98406855787493</v>
      </c>
      <c r="E13" s="7">
        <f t="shared" ref="E13:L13" si="3">SUM(E3:E9)+E12</f>
        <v>-1587.5522697573883</v>
      </c>
      <c r="F13" s="7">
        <f t="shared" si="3"/>
        <v>-2693.037437761438</v>
      </c>
      <c r="G13" s="7">
        <f t="shared" si="3"/>
        <v>-1604.1782275164737</v>
      </c>
      <c r="H13" s="7">
        <f t="shared" si="3"/>
        <v>1599.5375982200003</v>
      </c>
      <c r="I13" s="7">
        <f t="shared" si="3"/>
        <v>5626.1961320373239</v>
      </c>
      <c r="J13" s="7">
        <f t="shared" si="3"/>
        <v>13337.430035252884</v>
      </c>
      <c r="K13" s="7">
        <f t="shared" si="3"/>
        <v>20033.421768561057</v>
      </c>
      <c r="L13" s="7">
        <f t="shared" si="3"/>
        <v>21651.375397218504</v>
      </c>
      <c r="N13" s="3"/>
    </row>
    <row r="14" spans="1:14" ht="15" customHeight="1">
      <c r="D14" s="7"/>
    </row>
    <row r="15" spans="1:14" ht="15" customHeight="1">
      <c r="A15" t="s">
        <v>6</v>
      </c>
      <c r="D15" s="6"/>
      <c r="E15" s="6"/>
      <c r="F15" s="6"/>
      <c r="G15" s="6"/>
      <c r="H15" s="6"/>
      <c r="I15" s="6"/>
      <c r="J15" s="6"/>
      <c r="K15" s="6"/>
      <c r="L15" s="6"/>
    </row>
    <row r="16" spans="1:14" ht="15" customHeight="1">
      <c r="B16" t="s">
        <v>69</v>
      </c>
      <c r="C16" s="42">
        <v>0.4</v>
      </c>
      <c r="D16" s="6"/>
      <c r="E16" s="6"/>
      <c r="F16" s="6"/>
      <c r="G16" s="6"/>
      <c r="H16" s="6"/>
      <c r="I16" s="6"/>
      <c r="J16" s="6"/>
      <c r="K16" s="6"/>
      <c r="L16" s="6"/>
    </row>
    <row r="17" spans="4:12">
      <c r="D17" s="7"/>
      <c r="E17" s="7"/>
      <c r="F17" s="7"/>
    </row>
    <row r="18" spans="4:12">
      <c r="D18" s="7"/>
      <c r="E18" s="7"/>
      <c r="F18" s="7"/>
      <c r="G18" s="7"/>
      <c r="H18" s="7"/>
      <c r="I18" s="7"/>
      <c r="J18" s="7"/>
      <c r="K18" s="7"/>
      <c r="L18" s="7"/>
    </row>
    <row r="20" spans="4:12">
      <c r="E20" s="3">
        <f>E3/D3-1</f>
        <v>4.0644298565523949</v>
      </c>
      <c r="F20" s="3">
        <f t="shared" ref="F20:L20" si="4">F3/E3-1</f>
        <v>1.5636677868458957</v>
      </c>
      <c r="G20" s="3">
        <f t="shared" si="4"/>
        <v>0.93027872032838199</v>
      </c>
      <c r="H20" s="3">
        <f t="shared" si="4"/>
        <v>0.5365078502743521</v>
      </c>
      <c r="I20" s="3">
        <f t="shared" si="4"/>
        <v>0.14507582932403951</v>
      </c>
      <c r="J20" s="3">
        <f t="shared" si="4"/>
        <v>0.22906229288363322</v>
      </c>
      <c r="K20" s="3">
        <f t="shared" si="4"/>
        <v>0.20315923589738993</v>
      </c>
      <c r="L20" s="3">
        <f t="shared" si="4"/>
        <v>0.105334121839048</v>
      </c>
    </row>
  </sheetData>
  <pageMargins left="0.7" right="0.7" top="0.75" bottom="0.75" header="0.3" footer="0.3"/>
  <pageSetup scale="59" fitToHeight="0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1"/>
  <sheetViews>
    <sheetView workbookViewId="0">
      <selection activeCell="K32" sqref="K32"/>
    </sheetView>
  </sheetViews>
  <sheetFormatPr defaultColWidth="8.81640625" defaultRowHeight="14.5"/>
  <cols>
    <col min="1" max="1" width="5.6328125" customWidth="1"/>
    <col min="2" max="2" width="25.6328125" customWidth="1"/>
    <col min="3" max="12" width="9.1796875" customWidth="1"/>
  </cols>
  <sheetData>
    <row r="1" spans="1:15" ht="18.5">
      <c r="A1" s="10" t="s">
        <v>81</v>
      </c>
    </row>
    <row r="2" spans="1:15" ht="15" customHeight="1">
      <c r="C2" s="4">
        <v>2003</v>
      </c>
      <c r="D2" s="4">
        <v>2004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</row>
    <row r="3" spans="1:15" ht="15" customHeight="1">
      <c r="A3" s="28" t="s">
        <v>28</v>
      </c>
    </row>
    <row r="4" spans="1:15" ht="15" customHeight="1">
      <c r="B4" t="s">
        <v>11</v>
      </c>
      <c r="C4" s="32">
        <v>0</v>
      </c>
      <c r="D4" s="32">
        <v>751</v>
      </c>
      <c r="E4" s="32">
        <v>3478.6866587029863</v>
      </c>
      <c r="F4" s="32">
        <v>8674.9330200171789</v>
      </c>
      <c r="G4" s="32">
        <v>16945.691799900364</v>
      </c>
      <c r="H4" s="32">
        <v>25271.948662072689</v>
      </c>
      <c r="I4" s="32">
        <v>29059.142999653657</v>
      </c>
      <c r="J4" s="32">
        <v>36625.198981081427</v>
      </c>
      <c r="K4" s="32">
        <v>42421.427974946448</v>
      </c>
      <c r="L4" s="32">
        <v>48199.959146758287</v>
      </c>
      <c r="M4" s="7">
        <f>L4-K4</f>
        <v>5778.5311718118392</v>
      </c>
    </row>
    <row r="5" spans="1:15" ht="15" customHeight="1">
      <c r="B5" t="s">
        <v>12</v>
      </c>
      <c r="C5" s="33">
        <v>670.84166067841807</v>
      </c>
      <c r="D5" s="33">
        <v>3151.2771545116902</v>
      </c>
      <c r="E5" s="33">
        <v>8215.9437922473626</v>
      </c>
      <c r="F5" s="33">
        <v>15124.779942467769</v>
      </c>
      <c r="G5" s="33">
        <v>20907.761050682064</v>
      </c>
      <c r="H5" s="33">
        <v>21714.711658115069</v>
      </c>
      <c r="I5" s="33">
        <v>24867.531674263086</v>
      </c>
      <c r="J5" s="33">
        <v>26807.819613932268</v>
      </c>
      <c r="K5" s="33">
        <v>29215.6498078119</v>
      </c>
      <c r="L5" s="33">
        <v>33342.956637222087</v>
      </c>
      <c r="M5" s="109">
        <f>L5-K5</f>
        <v>4127.3068294101868</v>
      </c>
    </row>
    <row r="6" spans="1:15" ht="15" customHeight="1">
      <c r="A6" t="s">
        <v>30</v>
      </c>
      <c r="C6" s="36">
        <f>SUM(C4:C5)</f>
        <v>670.84166067841807</v>
      </c>
      <c r="D6" s="36">
        <f t="shared" ref="D6:E6" si="0">SUM(D4:D5)</f>
        <v>3902.2771545116902</v>
      </c>
      <c r="E6" s="36">
        <f t="shared" si="0"/>
        <v>11694.63045095035</v>
      </c>
      <c r="F6" s="36">
        <f t="shared" ref="F6:L6" si="1">SUM(F4:F5)</f>
        <v>23799.712962484948</v>
      </c>
      <c r="G6" s="36">
        <f t="shared" si="1"/>
        <v>37853.452850582427</v>
      </c>
      <c r="H6" s="36">
        <f t="shared" si="1"/>
        <v>46986.660320187759</v>
      </c>
      <c r="I6" s="36">
        <f t="shared" si="1"/>
        <v>53926.674673916743</v>
      </c>
      <c r="J6" s="36">
        <f t="shared" si="1"/>
        <v>63433.018595013695</v>
      </c>
      <c r="K6" s="36">
        <f t="shared" si="1"/>
        <v>71637.077782758352</v>
      </c>
      <c r="L6" s="36">
        <f t="shared" si="1"/>
        <v>81542.915783980367</v>
      </c>
      <c r="M6" s="7">
        <f>L6-K6</f>
        <v>9905.838001222015</v>
      </c>
      <c r="O6" s="20">
        <v>2011</v>
      </c>
    </row>
    <row r="7" spans="1:15" ht="15" customHeight="1">
      <c r="B7" t="s">
        <v>7</v>
      </c>
      <c r="C7" s="33">
        <v>358</v>
      </c>
      <c r="D7" s="33">
        <v>1461.4</v>
      </c>
      <c r="E7" s="33">
        <v>2968.8</v>
      </c>
      <c r="F7" s="33">
        <v>5270.4</v>
      </c>
      <c r="G7" s="33">
        <v>8064.7999999999993</v>
      </c>
      <c r="H7" s="33">
        <v>6913.5999999999985</v>
      </c>
      <c r="I7" s="33">
        <v>5119.1999999999989</v>
      </c>
      <c r="J7" s="33">
        <v>3838.9999999999991</v>
      </c>
      <c r="K7" s="33">
        <v>3141.5999999999995</v>
      </c>
      <c r="L7" s="33">
        <v>3920.119999999999</v>
      </c>
      <c r="M7" s="109">
        <f>L7-K7</f>
        <v>778.51999999999953</v>
      </c>
      <c r="O7" s="1">
        <v>13539</v>
      </c>
    </row>
    <row r="8" spans="1:15" ht="15" customHeight="1">
      <c r="A8" t="s">
        <v>31</v>
      </c>
      <c r="C8" s="38">
        <f>C6+C7</f>
        <v>1028.8416606784181</v>
      </c>
      <c r="D8" s="38">
        <f t="shared" ref="D8:E8" si="2">D6+D7</f>
        <v>5363.6771545116899</v>
      </c>
      <c r="E8" s="38">
        <f t="shared" si="2"/>
        <v>14663.430450950349</v>
      </c>
      <c r="F8" s="38">
        <f t="shared" ref="F8:L8" si="3">F6+F7</f>
        <v>29070.112962484949</v>
      </c>
      <c r="G8" s="38">
        <f t="shared" si="3"/>
        <v>45918.25285058243</v>
      </c>
      <c r="H8" s="38">
        <f t="shared" si="3"/>
        <v>53900.260320187757</v>
      </c>
      <c r="I8" s="38">
        <f t="shared" si="3"/>
        <v>59045.87467391674</v>
      </c>
      <c r="J8" s="38">
        <f t="shared" si="3"/>
        <v>67272.018595013695</v>
      </c>
      <c r="K8" s="38">
        <f t="shared" si="3"/>
        <v>74778.677782758357</v>
      </c>
      <c r="L8" s="38">
        <f t="shared" si="3"/>
        <v>85463.035783980362</v>
      </c>
      <c r="M8" s="7">
        <f>L8-K8</f>
        <v>10684.358001222005</v>
      </c>
    </row>
    <row r="9" spans="1:15" ht="15" customHeight="1">
      <c r="C9" s="7"/>
      <c r="D9" s="7"/>
      <c r="E9" s="7"/>
      <c r="F9" s="7"/>
      <c r="G9" s="7"/>
      <c r="H9" s="7"/>
      <c r="I9" s="7"/>
      <c r="J9" s="7"/>
      <c r="K9" s="7"/>
      <c r="L9" s="7"/>
    </row>
    <row r="10" spans="1:15" ht="15" customHeight="1">
      <c r="A10" s="20" t="s">
        <v>29</v>
      </c>
      <c r="D10" s="2"/>
      <c r="E10" s="2"/>
      <c r="F10" s="2"/>
      <c r="G10" s="2"/>
      <c r="H10" s="2"/>
      <c r="I10" s="2"/>
      <c r="J10" s="2"/>
      <c r="K10" s="2"/>
      <c r="L10" s="2"/>
    </row>
    <row r="11" spans="1:15" ht="15" customHeight="1">
      <c r="B11" t="s">
        <v>13</v>
      </c>
      <c r="C11" s="32">
        <v>235.95540336291995</v>
      </c>
      <c r="D11" s="32">
        <v>1158.2806080935916</v>
      </c>
      <c r="E11" s="32">
        <v>2781.0296584433136</v>
      </c>
      <c r="F11" s="32">
        <v>5119.235157153088</v>
      </c>
      <c r="G11" s="32">
        <v>7228.0429193521122</v>
      </c>
      <c r="H11" s="32">
        <v>7766.8387286974985</v>
      </c>
      <c r="I11" s="32">
        <v>8277.0312654756435</v>
      </c>
      <c r="J11" s="32">
        <v>9133.325375967248</v>
      </c>
      <c r="K11" s="32">
        <v>9985.8366114991568</v>
      </c>
      <c r="L11" s="32">
        <v>11363.545963450968</v>
      </c>
      <c r="M11" s="7">
        <f>L11-K11</f>
        <v>1377.7093519518112</v>
      </c>
    </row>
    <row r="12" spans="1:15" ht="15" customHeight="1">
      <c r="B12" t="s">
        <v>14</v>
      </c>
      <c r="C12" s="33">
        <v>28.963003922544758</v>
      </c>
      <c r="D12" s="33">
        <v>144.73004258721181</v>
      </c>
      <c r="E12" s="33">
        <v>357.56959528116158</v>
      </c>
      <c r="F12" s="33">
        <v>657.92163220249552</v>
      </c>
      <c r="G12" s="33">
        <v>958.23993683366848</v>
      </c>
      <c r="H12" s="33">
        <v>1054.7986460044306</v>
      </c>
      <c r="I12" s="33">
        <v>1203.4044998266631</v>
      </c>
      <c r="J12" s="33">
        <v>1359.2986412564446</v>
      </c>
      <c r="K12" s="33">
        <v>1518.8953557456541</v>
      </c>
      <c r="L12" s="33">
        <v>1682.2551123017518</v>
      </c>
    </row>
    <row r="13" spans="1:15" ht="15" customHeight="1">
      <c r="A13" t="s">
        <v>32</v>
      </c>
      <c r="C13" s="36">
        <f>SUM(C11:C12)</f>
        <v>264.9184072854647</v>
      </c>
      <c r="D13" s="36">
        <f t="shared" ref="D13:E13" si="4">SUM(D11:D12)</f>
        <v>1303.0106506808033</v>
      </c>
      <c r="E13" s="36">
        <f t="shared" si="4"/>
        <v>3138.5992537244751</v>
      </c>
      <c r="F13" s="36">
        <f t="shared" ref="F13:L13" si="5">SUM(F11:F12)</f>
        <v>5777.1567893555839</v>
      </c>
      <c r="G13" s="36">
        <f t="shared" si="5"/>
        <v>8186.2828561857805</v>
      </c>
      <c r="H13" s="36">
        <f t="shared" si="5"/>
        <v>8821.6373747019297</v>
      </c>
      <c r="I13" s="36">
        <f t="shared" si="5"/>
        <v>9480.4357653023071</v>
      </c>
      <c r="J13" s="36">
        <f t="shared" si="5"/>
        <v>10492.624017223692</v>
      </c>
      <c r="K13" s="36">
        <f t="shared" si="5"/>
        <v>11504.73196724481</v>
      </c>
      <c r="L13" s="36">
        <f t="shared" si="5"/>
        <v>13045.801075752719</v>
      </c>
    </row>
    <row r="14" spans="1:15" ht="15" customHeight="1">
      <c r="B14" t="s">
        <v>33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</row>
    <row r="15" spans="1:15" ht="15" customHeight="1">
      <c r="B15" t="s">
        <v>34</v>
      </c>
      <c r="C15" s="35">
        <v>763.92325339295337</v>
      </c>
      <c r="D15" s="35">
        <v>4060.6665038308865</v>
      </c>
      <c r="E15" s="35">
        <v>11524.831197225874</v>
      </c>
      <c r="F15" s="35">
        <v>23292.956173129365</v>
      </c>
      <c r="G15" s="35">
        <v>37731.969994396648</v>
      </c>
      <c r="H15" s="35">
        <v>45078.622945485826</v>
      </c>
      <c r="I15" s="35">
        <v>49565.438908614422</v>
      </c>
      <c r="J15" s="35">
        <v>56779.394577789993</v>
      </c>
      <c r="K15" s="35">
        <v>63273.945815513536</v>
      </c>
      <c r="L15" s="35">
        <v>72417.234708227654</v>
      </c>
      <c r="M15" s="7">
        <f>L15-K15</f>
        <v>9143.2888927141175</v>
      </c>
    </row>
    <row r="16" spans="1:15" ht="15" customHeight="1">
      <c r="A16" t="s">
        <v>35</v>
      </c>
      <c r="C16" s="38">
        <f>SUM(C13:C15)</f>
        <v>1028.8416606784181</v>
      </c>
      <c r="D16" s="38">
        <f t="shared" ref="D16:E16" si="6">SUM(D13:D15)</f>
        <v>5363.6771545116899</v>
      </c>
      <c r="E16" s="38">
        <f t="shared" si="6"/>
        <v>14663.430450950349</v>
      </c>
      <c r="F16" s="38">
        <f t="shared" ref="F16:L16" si="7">SUM(F13:F15)</f>
        <v>29070.112962484949</v>
      </c>
      <c r="G16" s="38">
        <f t="shared" si="7"/>
        <v>45918.25285058243</v>
      </c>
      <c r="H16" s="38">
        <f t="shared" si="7"/>
        <v>53900.260320187757</v>
      </c>
      <c r="I16" s="38">
        <f t="shared" si="7"/>
        <v>59045.874673916725</v>
      </c>
      <c r="J16" s="38">
        <f t="shared" si="7"/>
        <v>67272.01859501368</v>
      </c>
      <c r="K16" s="38">
        <f t="shared" si="7"/>
        <v>74778.677782758343</v>
      </c>
      <c r="L16" s="38">
        <f t="shared" si="7"/>
        <v>85463.035783980376</v>
      </c>
    </row>
    <row r="17" spans="1:12" ht="15" customHeight="1"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15" customHeight="1">
      <c r="B18" t="s">
        <v>38</v>
      </c>
      <c r="C18" s="7" t="str">
        <f t="shared" ref="C18:L18" si="8">IF(ABS(C8-C16)&gt;0.01,"ERROR","")</f>
        <v/>
      </c>
      <c r="D18" s="7" t="str">
        <f t="shared" si="8"/>
        <v/>
      </c>
      <c r="E18" s="7" t="str">
        <f t="shared" si="8"/>
        <v/>
      </c>
      <c r="F18" s="7" t="str">
        <f t="shared" si="8"/>
        <v/>
      </c>
      <c r="G18" s="7" t="str">
        <f t="shared" si="8"/>
        <v/>
      </c>
      <c r="H18" s="7" t="str">
        <f t="shared" si="8"/>
        <v/>
      </c>
      <c r="I18" s="7" t="str">
        <f t="shared" si="8"/>
        <v/>
      </c>
      <c r="J18" s="7" t="str">
        <f t="shared" si="8"/>
        <v/>
      </c>
      <c r="K18" s="7" t="str">
        <f t="shared" si="8"/>
        <v/>
      </c>
      <c r="L18" s="7" t="str">
        <f t="shared" si="8"/>
        <v/>
      </c>
    </row>
    <row r="19" spans="1:12" ht="15" customHeight="1">
      <c r="C19" s="8"/>
      <c r="D19" s="8"/>
      <c r="E19" s="8"/>
      <c r="F19" s="8"/>
      <c r="G19" s="8"/>
      <c r="H19" s="8"/>
      <c r="I19" s="8"/>
      <c r="J19" s="8"/>
      <c r="K19" s="8"/>
      <c r="L19" s="6"/>
    </row>
    <row r="20" spans="1:12" ht="15" customHeight="1">
      <c r="C20" s="7"/>
      <c r="D20" s="3"/>
      <c r="E20" s="3"/>
      <c r="F20" s="3"/>
      <c r="G20" s="3"/>
      <c r="H20" s="3"/>
      <c r="I20" s="3"/>
      <c r="J20" s="3"/>
      <c r="K20" s="3"/>
      <c r="L20" s="3"/>
    </row>
    <row r="21" spans="1:12" ht="15" customHeight="1"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ht="15" customHeight="1">
      <c r="B22" s="20"/>
      <c r="C22" s="7"/>
      <c r="D22" s="7"/>
      <c r="E22" s="7"/>
      <c r="F22" s="7"/>
      <c r="G22" s="7"/>
      <c r="H22" s="7"/>
      <c r="I22" s="7"/>
      <c r="J22" s="7"/>
      <c r="K22" s="7"/>
      <c r="L22" s="7">
        <f>L8-K8-M4</f>
        <v>4905.8268294101654</v>
      </c>
    </row>
    <row r="23" spans="1:12" ht="15" customHeight="1"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5" customHeight="1"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5" customHeight="1"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5" customHeight="1">
      <c r="A26" s="20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5" customHeight="1"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5" customHeight="1"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>
      <c r="C31" s="7"/>
      <c r="D31" s="7"/>
      <c r="E31" s="7"/>
      <c r="F31" s="7"/>
      <c r="G31" s="7"/>
      <c r="H31" s="7"/>
      <c r="I31" s="7"/>
      <c r="J31" s="7"/>
      <c r="K31" s="7"/>
      <c r="L31" s="7"/>
    </row>
  </sheetData>
  <pageMargins left="0.7" right="0.7" top="0.75" bottom="0.75" header="0.3" footer="0.3"/>
  <pageSetup scale="62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B318-17E9-604D-A37E-E9830B0063DE}">
  <dimension ref="A1:M24"/>
  <sheetViews>
    <sheetView workbookViewId="0">
      <selection activeCell="K6" sqref="K6"/>
    </sheetView>
  </sheetViews>
  <sheetFormatPr defaultColWidth="8.81640625" defaultRowHeight="14.5"/>
  <cols>
    <col min="1" max="1" width="5.6328125" customWidth="1"/>
    <col min="2" max="2" width="25.6328125" customWidth="1"/>
    <col min="3" max="12" width="9.1796875" customWidth="1"/>
  </cols>
  <sheetData>
    <row r="1" spans="1:13" ht="18.5">
      <c r="A1" s="10"/>
    </row>
    <row r="2" spans="1:13">
      <c r="C2" s="4">
        <v>2003</v>
      </c>
      <c r="D2" s="4">
        <v>2004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</row>
    <row r="3" spans="1:13">
      <c r="B3" t="s">
        <v>0</v>
      </c>
      <c r="C3" s="7"/>
      <c r="D3" s="32">
        <v>2056.5</v>
      </c>
      <c r="E3" s="32">
        <v>10415</v>
      </c>
      <c r="F3" s="32">
        <v>26700.6</v>
      </c>
      <c r="G3" s="32">
        <v>51539.6</v>
      </c>
      <c r="H3" s="32">
        <v>79191</v>
      </c>
      <c r="I3" s="32">
        <v>90679.7</v>
      </c>
      <c r="J3" s="32">
        <v>111451</v>
      </c>
      <c r="K3" s="32">
        <v>134093.29999999999</v>
      </c>
      <c r="L3" s="32">
        <v>148217.9</v>
      </c>
    </row>
    <row r="4" spans="1:13">
      <c r="B4" s="13" t="s">
        <v>46</v>
      </c>
      <c r="C4" s="7"/>
      <c r="D4" s="32">
        <v>-2582.5</v>
      </c>
      <c r="E4" s="32">
        <v>-12002.6</v>
      </c>
      <c r="F4" s="32">
        <v>-29393.599999999999</v>
      </c>
      <c r="G4" s="32">
        <v>-53143.8</v>
      </c>
      <c r="H4" s="32">
        <v>-77591.5</v>
      </c>
      <c r="I4" s="32">
        <v>-84510.2</v>
      </c>
      <c r="J4" s="32">
        <v>-89221.9</v>
      </c>
      <c r="K4" s="32">
        <v>-100704.3</v>
      </c>
      <c r="L4" s="32">
        <v>-112132.3</v>
      </c>
    </row>
    <row r="5" spans="1:13">
      <c r="B5" s="13" t="s">
        <v>47</v>
      </c>
      <c r="C5" s="11"/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-543.32115110943323</v>
      </c>
      <c r="J5" s="33">
        <v>-8891.6200235019242</v>
      </c>
      <c r="K5" s="33">
        <v>-13355.614512374041</v>
      </c>
      <c r="L5" s="33">
        <v>-14434.250264812337</v>
      </c>
    </row>
    <row r="6" spans="1:13">
      <c r="B6" t="s">
        <v>22</v>
      </c>
      <c r="C6" s="7">
        <f>SUM(C3:C5)</f>
        <v>0</v>
      </c>
      <c r="D6" s="7">
        <f t="shared" ref="D6:L6" si="0">SUM(D3:D5)</f>
        <v>-526</v>
      </c>
      <c r="E6" s="7">
        <f t="shared" si="0"/>
        <v>-1587.6000000000004</v>
      </c>
      <c r="F6" s="7">
        <f t="shared" si="0"/>
        <v>-2693</v>
      </c>
      <c r="G6" s="7">
        <f t="shared" si="0"/>
        <v>-1604.2000000000044</v>
      </c>
      <c r="H6" s="7">
        <f t="shared" si="0"/>
        <v>1599.5</v>
      </c>
      <c r="I6" s="7">
        <f t="shared" si="0"/>
        <v>5626.1788488905668</v>
      </c>
      <c r="J6" s="7">
        <f t="shared" si="0"/>
        <v>13337.479976498082</v>
      </c>
      <c r="K6" s="7">
        <f t="shared" si="0"/>
        <v>20033.385487625943</v>
      </c>
      <c r="L6" s="7">
        <f t="shared" si="0"/>
        <v>21651.349735187654</v>
      </c>
    </row>
    <row r="7" spans="1:13">
      <c r="B7" s="13" t="s">
        <v>78</v>
      </c>
      <c r="C7" s="32">
        <v>-358</v>
      </c>
      <c r="D7" s="32">
        <v>-1175</v>
      </c>
      <c r="E7" s="32">
        <v>-1814</v>
      </c>
      <c r="F7" s="32">
        <v>-2971</v>
      </c>
      <c r="G7" s="32">
        <v>-4058</v>
      </c>
      <c r="H7" s="32">
        <v>-924</v>
      </c>
      <c r="I7" s="32">
        <v>-394</v>
      </c>
      <c r="J7" s="32">
        <v>-752</v>
      </c>
      <c r="K7" s="32">
        <v>-1122.4000000000001</v>
      </c>
      <c r="L7" s="32">
        <v>-2228.6</v>
      </c>
    </row>
    <row r="8" spans="1:13">
      <c r="B8" s="13" t="s">
        <v>48</v>
      </c>
      <c r="C8" s="32">
        <v>0</v>
      </c>
      <c r="D8" s="32">
        <v>71.599999999999994</v>
      </c>
      <c r="E8" s="32">
        <v>306.60000000000002</v>
      </c>
      <c r="F8" s="32">
        <v>669.40000000000009</v>
      </c>
      <c r="G8" s="32">
        <v>1263.6000000000001</v>
      </c>
      <c r="H8" s="32">
        <v>2075.2000000000003</v>
      </c>
      <c r="I8" s="32">
        <v>2188.4</v>
      </c>
      <c r="J8" s="32">
        <v>2032.1999999999998</v>
      </c>
      <c r="K8" s="32">
        <v>1819.8000000000002</v>
      </c>
      <c r="L8" s="32">
        <v>1450.08</v>
      </c>
    </row>
    <row r="9" spans="1:13">
      <c r="B9" s="13" t="s">
        <v>49</v>
      </c>
      <c r="C9" s="33">
        <v>-405.92325339295337</v>
      </c>
      <c r="D9" s="33">
        <v>-2193.3432504379334</v>
      </c>
      <c r="E9" s="33">
        <v>-5956.7646933949873</v>
      </c>
      <c r="F9" s="33">
        <v>-9466.5249759034887</v>
      </c>
      <c r="G9" s="33">
        <v>-11644.613821267283</v>
      </c>
      <c r="H9" s="33">
        <v>-8497.8529510891822</v>
      </c>
      <c r="I9" s="33">
        <v>-6281.2159631286067</v>
      </c>
      <c r="J9" s="33">
        <v>-8494.1556691755668</v>
      </c>
      <c r="K9" s="33">
        <v>-7191.9512377235387</v>
      </c>
      <c r="L9" s="33">
        <v>-8364.7688927141062</v>
      </c>
    </row>
    <row r="10" spans="1:13">
      <c r="B10" t="s">
        <v>91</v>
      </c>
      <c r="C10" s="7">
        <f>SUM(C6:C9)</f>
        <v>-763.92325339295337</v>
      </c>
      <c r="D10" s="7">
        <f>SUM(D6:D9)</f>
        <v>-3822.7432504379335</v>
      </c>
      <c r="E10" s="7">
        <f t="shared" ref="E10:L10" si="1">SUM(E6:E9)</f>
        <v>-9051.7646933949873</v>
      </c>
      <c r="F10" s="7">
        <f t="shared" si="1"/>
        <v>-14461.124975903489</v>
      </c>
      <c r="G10" s="7">
        <f t="shared" si="1"/>
        <v>-16043.213821267287</v>
      </c>
      <c r="H10" s="7">
        <f t="shared" si="1"/>
        <v>-5747.1529510891814</v>
      </c>
      <c r="I10" s="7">
        <f t="shared" si="1"/>
        <v>1139.3628857619606</v>
      </c>
      <c r="J10" s="7">
        <f t="shared" si="1"/>
        <v>6123.5243073225156</v>
      </c>
      <c r="K10" s="7">
        <f t="shared" si="1"/>
        <v>13538.834249902402</v>
      </c>
      <c r="L10" s="7">
        <f t="shared" si="1"/>
        <v>12508.060842473547</v>
      </c>
    </row>
    <row r="11" spans="1:13">
      <c r="C11" s="7"/>
      <c r="D11" s="7"/>
      <c r="E11" s="7"/>
      <c r="F11" s="7"/>
      <c r="G11" s="7"/>
      <c r="H11" s="7"/>
    </row>
    <row r="12" spans="1:13"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3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3"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3"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3:12"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3:12"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3:12"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3:12"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3:12"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3:12"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3:12"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3:12">
      <c r="C24" s="8"/>
      <c r="D24" s="8"/>
      <c r="E24" s="8"/>
      <c r="F24" s="8"/>
      <c r="G24" s="8"/>
      <c r="H24" s="8"/>
      <c r="I24" s="8"/>
      <c r="J24" s="8"/>
      <c r="K24" s="8"/>
      <c r="L24" s="8"/>
    </row>
  </sheetData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35"/>
  <sheetViews>
    <sheetView workbookViewId="0">
      <pane xSplit="2" ySplit="2" topLeftCell="C3" activePane="bottomRight" state="frozen"/>
      <selection pane="topRight"/>
      <selection pane="bottomLeft"/>
      <selection pane="bottomRight" activeCell="H5" sqref="H5"/>
    </sheetView>
  </sheetViews>
  <sheetFormatPr defaultColWidth="8.81640625" defaultRowHeight="14.5"/>
  <cols>
    <col min="1" max="1" width="18.6328125" customWidth="1"/>
    <col min="2" max="11" width="8.6328125" customWidth="1"/>
  </cols>
  <sheetData>
    <row r="1" spans="1:21" ht="18.5">
      <c r="A1" s="10" t="s">
        <v>62</v>
      </c>
    </row>
    <row r="2" spans="1:21">
      <c r="B2" s="50" t="s">
        <v>25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21">
      <c r="A3" t="s">
        <v>26</v>
      </c>
      <c r="B3" s="50">
        <v>2003</v>
      </c>
      <c r="C3" s="21"/>
      <c r="D3" s="18">
        <f>('Exh 5 Stores IS (Hist Teuer)'!G4/'Exh 5 Stores IS (Hist Teuer)'!F4)/(1+HLOOKUP($B3+D$2,'Exh 2 Econ Indicators'!$B$2:$S$8,7,FALSE))-1</f>
        <v>0.73576593206719565</v>
      </c>
      <c r="E3" s="18">
        <f>('Exh 5 Stores IS (Hist Teuer)'!H4/'Exh 5 Stores IS (Hist Teuer)'!G4)/(1+HLOOKUP($B3+E$2,'Exh 2 Econ Indicators'!$B$2:$S$8,7,FALSE))-1</f>
        <v>0.34605432692126037</v>
      </c>
      <c r="F3" s="18">
        <f>('Exh 5 Stores IS (Hist Teuer)'!I4/'Exh 5 Stores IS (Hist Teuer)'!H4)/(1+HLOOKUP($B3+F$2,'Exh 2 Econ Indicators'!$B$2:$S$8,7,FALSE))-1</f>
        <v>0.19454881809221036</v>
      </c>
      <c r="G3" s="18">
        <f>('Exh 5 Stores IS (Hist Teuer)'!J4/'Exh 5 Stores IS (Hist Teuer)'!I4)/(1+HLOOKUP($B3+G$2,'Exh 2 Econ Indicators'!$B$2:$S$8,7,FALSE))-1</f>
        <v>0.15137411879793339</v>
      </c>
      <c r="H3" s="18">
        <f>('Exh 5 Stores IS (Hist Teuer)'!K4/'Exh 5 Stores IS (Hist Teuer)'!J4)/(1+HLOOKUP($B3+H$2,'Exh 2 Econ Indicators'!$B$2:$S$8,7,FALSE))-1</f>
        <v>1.6527639507102343E-3</v>
      </c>
      <c r="I3" s="18">
        <f>('Exh 5 Stores IS (Hist Teuer)'!L4/'Exh 5 Stores IS (Hist Teuer)'!K4)/(1+HLOOKUP($B3+I$2,'Exh 2 Econ Indicators'!$B$2:$S$8,7,FALSE))-1</f>
        <v>1.1993916106581182E-2</v>
      </c>
      <c r="J3" s="18">
        <f>('Exh 5 Stores IS (Hist Teuer)'!M4/'Exh 5 Stores IS (Hist Teuer)'!L4)/(1+HLOOKUP($B3+J$2,'Exh 2 Econ Indicators'!$B$2:$S$8,7,FALSE))-1</f>
        <v>9.6339761648136513E-3</v>
      </c>
      <c r="K3" s="18">
        <f>('Exh 5 Stores IS (Hist Teuer)'!N4/'Exh 5 Stores IS (Hist Teuer)'!M4)/(1+HLOOKUP($B3+K$2,'Exh 2 Econ Indicators'!$B$2:$S$8,7,FALSE))-1</f>
        <v>-6.031350370819144E-3</v>
      </c>
      <c r="L3" s="18"/>
      <c r="M3" s="26"/>
      <c r="N3" s="6"/>
      <c r="O3" s="6"/>
      <c r="P3" s="6"/>
      <c r="Q3" s="6"/>
      <c r="R3" s="6"/>
      <c r="S3" s="6"/>
      <c r="T3" s="6"/>
      <c r="U3" s="6"/>
    </row>
    <row r="4" spans="1:21">
      <c r="B4" s="50">
        <v>2004</v>
      </c>
      <c r="D4" s="22">
        <f>('Exh 5 Stores IS (Hist Teuer)'!H11/'Exh 5 Stores IS (Hist Teuer)'!G11)/(1+HLOOKUP($B4+D$2,'Exh 2 Econ Indicators'!$B$2:$S$8,7,FALSE))-1</f>
        <v>0.72930965789005753</v>
      </c>
      <c r="E4" s="22">
        <f>('Exh 5 Stores IS (Hist Teuer)'!I11/'Exh 5 Stores IS (Hist Teuer)'!H11)/(1+HLOOKUP($B4+E$2,'Exh 2 Econ Indicators'!$B$2:$S$8,7,FALSE))-1</f>
        <v>0.29198638395839804</v>
      </c>
      <c r="F4" s="22">
        <f>('Exh 5 Stores IS (Hist Teuer)'!J11/'Exh 5 Stores IS (Hist Teuer)'!I11)/(1+HLOOKUP($B4+F$2,'Exh 2 Econ Indicators'!$B$2:$S$8,7,FALSE))-1</f>
        <v>0.21423889597995305</v>
      </c>
      <c r="G4" s="22">
        <f>('Exh 5 Stores IS (Hist Teuer)'!K11/'Exh 5 Stores IS (Hist Teuer)'!J11)/(1+HLOOKUP($B4+G$2,'Exh 2 Econ Indicators'!$B$2:$S$8,7,FALSE))-1</f>
        <v>8.1248229034811326E-2</v>
      </c>
      <c r="H4" s="22">
        <f>('Exh 5 Stores IS (Hist Teuer)'!L11/'Exh 5 Stores IS (Hist Teuer)'!K11)/(1+HLOOKUP($B4+H$2,'Exh 2 Econ Indicators'!$B$2:$S$8,7,FALSE))-1</f>
        <v>3.5653774520969739E-2</v>
      </c>
      <c r="I4" s="22">
        <f>('Exh 5 Stores IS (Hist Teuer)'!M11/'Exh 5 Stores IS (Hist Teuer)'!L11)/(1+HLOOKUP($B4+I$2,'Exh 2 Econ Indicators'!$B$2:$S$8,7,FALSE))-1</f>
        <v>3.4489308000526187E-2</v>
      </c>
      <c r="J4" s="22">
        <f>('Exh 5 Stores IS (Hist Teuer)'!N11/'Exh 5 Stores IS (Hist Teuer)'!M11)/(1+HLOOKUP($B4+J$2,'Exh 2 Econ Indicators'!$B$2:$S$8,7,FALSE))-1</f>
        <v>1.1851307829924274E-4</v>
      </c>
      <c r="L4" s="20"/>
      <c r="O4" t="s">
        <v>109</v>
      </c>
    </row>
    <row r="5" spans="1:21">
      <c r="B5" s="50">
        <v>2005</v>
      </c>
      <c r="D5" s="102">
        <f>('Exh 5 Stores IS (Hist Teuer)'!I18/'Exh 5 Stores IS (Hist Teuer)'!H18)/(1+HLOOKUP($B5+D$2,'Exh 2 Econ Indicators'!$B$2:$S$8,7,FALSE))-1</f>
        <v>0.76595935898385559</v>
      </c>
      <c r="E5" s="102">
        <f>('Exh 5 Stores IS (Hist Teuer)'!J18/'Exh 5 Stores IS (Hist Teuer)'!I18)/(1+HLOOKUP($B5+E$2,'Exh 2 Econ Indicators'!$B$2:$S$8,7,FALSE))-1</f>
        <v>0.32642724377869792</v>
      </c>
      <c r="F5" s="102">
        <f>('Exh 5 Stores IS (Hist Teuer)'!K18/'Exh 5 Stores IS (Hist Teuer)'!J18)/(1+HLOOKUP($B5+F$2,'Exh 2 Econ Indicators'!$B$2:$S$8,7,FALSE))-1</f>
        <v>0.22217571417212767</v>
      </c>
      <c r="G5" s="102">
        <f>('Exh 5 Stores IS (Hist Teuer)'!L18/'Exh 5 Stores IS (Hist Teuer)'!K18)/(1+HLOOKUP($B5+G$2,'Exh 2 Econ Indicators'!$B$2:$S$8,7,FALSE))-1</f>
        <v>7.7649860061681952E-2</v>
      </c>
      <c r="H5" s="102">
        <f>('Exh 5 Stores IS (Hist Teuer)'!M18/'Exh 5 Stores IS (Hist Teuer)'!L18)/(1+HLOOKUP($B5+H$2,'Exh 2 Econ Indicators'!$B$2:$S$8,7,FALSE))-1</f>
        <v>3.7170124544198879E-2</v>
      </c>
      <c r="I5" s="102">
        <f>('Exh 5 Stores IS (Hist Teuer)'!N18/'Exh 5 Stores IS (Hist Teuer)'!M18)/(1+HLOOKUP($B5+I$2,'Exh 2 Econ Indicators'!$B$2:$S$8,7,FALSE))-1</f>
        <v>-3.0963668213674134E-2</v>
      </c>
      <c r="L5" s="20"/>
    </row>
    <row r="6" spans="1:21">
      <c r="B6" s="50">
        <v>2006</v>
      </c>
      <c r="C6" s="103"/>
      <c r="D6" s="102">
        <f>('Exh 5 Stores IS (Hist Teuer)'!J25/'Exh 5 Stores IS (Hist Teuer)'!I25)/(1+HLOOKUP($B6+D$2,'Exh 2 Econ Indicators'!$B$2:$S$8,7,FALSE))-1</f>
        <v>0.73755703710613796</v>
      </c>
      <c r="E6" s="102">
        <f>('Exh 5 Stores IS (Hist Teuer)'!K25/'Exh 5 Stores IS (Hist Teuer)'!J25)/(1+HLOOKUP($B6+E$2,'Exh 2 Econ Indicators'!$B$2:$S$8,7,FALSE))-1</f>
        <v>0.28795736986360754</v>
      </c>
      <c r="F6" s="102">
        <f>('Exh 5 Stores IS (Hist Teuer)'!L25/'Exh 5 Stores IS (Hist Teuer)'!K25)/(1+HLOOKUP($B6+F$2,'Exh 2 Econ Indicators'!$B$2:$S$8,7,FALSE))-1</f>
        <v>0.24410509595769736</v>
      </c>
      <c r="G6" s="102">
        <f>('Exh 5 Stores IS (Hist Teuer)'!M25/'Exh 5 Stores IS (Hist Teuer)'!L25)/(1+HLOOKUP($B6+G$2,'Exh 2 Econ Indicators'!$B$2:$S$8,7,FALSE))-1</f>
        <v>0.11281244332153828</v>
      </c>
      <c r="H6" s="102">
        <f>('Exh 5 Stores IS (Hist Teuer)'!N25/'Exh 5 Stores IS (Hist Teuer)'!M25)/(1+HLOOKUP($B6+H$2,'Exh 2 Econ Indicators'!$B$2:$S$8,7,FALSE))-1</f>
        <v>-1.2501962221326379E-2</v>
      </c>
      <c r="I6" s="102"/>
      <c r="L6" s="20"/>
    </row>
    <row r="7" spans="1:21">
      <c r="B7" s="50">
        <v>2007</v>
      </c>
      <c r="D7" s="102">
        <f>('Exh 5 Stores IS (Hist Teuer)'!K32/'Exh 5 Stores IS (Hist Teuer)'!J32)/(1+HLOOKUP($B7+D$2,'Exh 2 Econ Indicators'!$B$2:$S$8,7,FALSE))-1</f>
        <v>0.64512903258765708</v>
      </c>
      <c r="E7" s="102">
        <f>('Exh 5 Stores IS (Hist Teuer)'!L32/'Exh 5 Stores IS (Hist Teuer)'!K32)/(1+HLOOKUP($B7+E$2,'Exh 2 Econ Indicators'!$B$2:$S$8,7,FALSE))-1</f>
        <v>0.36841098397463479</v>
      </c>
      <c r="F7" s="102">
        <f>('Exh 5 Stores IS (Hist Teuer)'!M32/'Exh 5 Stores IS (Hist Teuer)'!L32)/(1+HLOOKUP($B7+F$2,'Exh 2 Econ Indicators'!$B$2:$S$8,7,FALSE))-1</f>
        <v>0.26059234254348174</v>
      </c>
      <c r="G7" s="102">
        <f>('Exh 5 Stores IS (Hist Teuer)'!N32/'Exh 5 Stores IS (Hist Teuer)'!M32)/(1+HLOOKUP($B7+G$2,'Exh 2 Econ Indicators'!$B$2:$S$8,7,FALSE))-1</f>
        <v>6.2609059525504218E-2</v>
      </c>
      <c r="H7" s="102"/>
      <c r="I7" s="102"/>
      <c r="L7" s="20"/>
    </row>
    <row r="8" spans="1:21">
      <c r="B8" s="50">
        <v>2008</v>
      </c>
      <c r="D8" s="102">
        <f>('Exh 5 Stores IS (Hist Teuer)'!L39/'Exh 5 Stores IS (Hist Teuer)'!K39)/(1+HLOOKUP($B8+D$2,'Exh 2 Econ Indicators'!$B$2:$S$8,7,FALSE))-1</f>
        <v>0.60488359465506125</v>
      </c>
      <c r="E8" s="102">
        <f>('Exh 5 Stores IS (Hist Teuer)'!M39/'Exh 5 Stores IS (Hist Teuer)'!L39)/(1+HLOOKUP($B8+E$2,'Exh 2 Econ Indicators'!$B$2:$S$8,7,FALSE))-1</f>
        <v>0.35635852048097916</v>
      </c>
      <c r="F8" s="102">
        <f>('Exh 5 Stores IS (Hist Teuer)'!N39/'Exh 5 Stores IS (Hist Teuer)'!M39)/(1+HLOOKUP($B8+F$2,'Exh 2 Econ Indicators'!$B$2:$S$8,7,FALSE))-1</f>
        <v>0.23587535265475967</v>
      </c>
      <c r="G8" s="102"/>
      <c r="H8" s="102"/>
      <c r="I8" s="102"/>
      <c r="L8" s="20"/>
      <c r="P8" s="20"/>
    </row>
    <row r="9" spans="1:21">
      <c r="B9" s="50">
        <v>2009</v>
      </c>
      <c r="D9" s="102">
        <f>('Exh 5 Stores IS (Hist Teuer)'!M46/'Exh 5 Stores IS (Hist Teuer)'!L46)/(1+HLOOKUP($B9+D$2,'Exh 2 Econ Indicators'!$B$2:$S$8,7,FALSE))-1</f>
        <v>0.69042407518515669</v>
      </c>
      <c r="E9" s="102">
        <f>('Exh 5 Stores IS (Hist Teuer)'!N46/'Exh 5 Stores IS (Hist Teuer)'!M46)/(1+HLOOKUP($B9+E$2,'Exh 2 Econ Indicators'!$B$2:$S$8,7,FALSE))-1</f>
        <v>0.36554498672450042</v>
      </c>
      <c r="F9" s="102"/>
      <c r="G9" s="102"/>
      <c r="H9" s="102"/>
      <c r="I9" s="102"/>
    </row>
    <row r="10" spans="1:21">
      <c r="B10" s="50">
        <v>2010</v>
      </c>
      <c r="D10" s="104">
        <f>('Exh 5 Stores IS (Hist Teuer)'!N53/'Exh 5 Stores IS (Hist Teuer)'!M53)/(1+HLOOKUP($B10+D$2,'Exh 2 Econ Indicators'!$B$2:$S$8,7,FALSE))-1</f>
        <v>0.70420099693829052</v>
      </c>
      <c r="E10" s="102"/>
      <c r="F10" s="102"/>
      <c r="G10" s="102"/>
      <c r="H10" s="102"/>
      <c r="I10" s="102"/>
    </row>
    <row r="11" spans="1:21">
      <c r="B11" s="66">
        <v>2011</v>
      </c>
      <c r="C11" s="4"/>
      <c r="D11" s="105"/>
      <c r="E11" s="105"/>
      <c r="F11" s="105"/>
      <c r="G11" s="105"/>
      <c r="H11" s="105"/>
      <c r="I11" s="105"/>
      <c r="K11" s="26"/>
    </row>
    <row r="12" spans="1:21">
      <c r="B12" s="50" t="s">
        <v>3</v>
      </c>
      <c r="D12" s="106">
        <f>AVERAGE(D3:D11)</f>
        <v>0.70165371067667659</v>
      </c>
      <c r="E12" s="106">
        <f>AVERAGE(E3:E11)</f>
        <v>0.33467711652886833</v>
      </c>
      <c r="F12" s="106">
        <f t="shared" ref="F12:H12" si="0">AVERAGE(F3:F11)</f>
        <v>0.22858936990003831</v>
      </c>
      <c r="G12" s="106">
        <f t="shared" si="0"/>
        <v>9.7138742148293836E-2</v>
      </c>
      <c r="H12" s="106">
        <f t="shared" si="0"/>
        <v>1.5493675198638118E-2</v>
      </c>
      <c r="I12" s="106">
        <f>AVERAGE(I3:K11)</f>
        <v>3.2067824609544973E-3</v>
      </c>
      <c r="P12" s="31"/>
    </row>
    <row r="13" spans="1:21">
      <c r="B13" s="50"/>
      <c r="C13" s="107"/>
      <c r="D13" s="106"/>
      <c r="E13" s="106"/>
      <c r="F13" s="106"/>
      <c r="G13" s="106"/>
      <c r="H13" s="106"/>
      <c r="I13" s="106"/>
      <c r="P13" s="31"/>
    </row>
    <row r="14" spans="1:21">
      <c r="B14" s="66" t="s">
        <v>25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</row>
    <row r="15" spans="1:21">
      <c r="A15" t="s">
        <v>1</v>
      </c>
      <c r="B15" s="50">
        <v>2003</v>
      </c>
      <c r="C15" s="106">
        <f>'Exh 5 Stores IS (Hist Teuer)'!F5/'Exh 5 Stores IS (Hist Teuer)'!F4</f>
        <v>0.71135424264527114</v>
      </c>
      <c r="D15" s="106">
        <f>'Exh 5 Stores IS (Hist Teuer)'!G5/'Exh 5 Stores IS (Hist Teuer)'!G4</f>
        <v>0.61505061267980821</v>
      </c>
      <c r="E15" s="106">
        <f>'Exh 5 Stores IS (Hist Teuer)'!H5/'Exh 5 Stores IS (Hist Teuer)'!H4</f>
        <v>0.57783095625538439</v>
      </c>
      <c r="F15" s="106">
        <f>'Exh 5 Stores IS (Hist Teuer)'!I5/'Exh 5 Stores IS (Hist Teuer)'!I4</f>
        <v>0.38933619609948111</v>
      </c>
      <c r="G15" s="106">
        <f>'Exh 5 Stores IS (Hist Teuer)'!J5/'Exh 5 Stores IS (Hist Teuer)'!J4</f>
        <v>0.43420596120485733</v>
      </c>
      <c r="H15" s="106">
        <f>'Exh 5 Stores IS (Hist Teuer)'!K5/'Exh 5 Stores IS (Hist Teuer)'!K4</f>
        <v>0.41998909685626018</v>
      </c>
      <c r="I15" s="106">
        <f>'Exh 5 Stores IS (Hist Teuer)'!L5/'Exh 5 Stores IS (Hist Teuer)'!L4</f>
        <v>0.38933546269186409</v>
      </c>
      <c r="J15" s="6">
        <f>'Exh 5 Stores IS (Hist Teuer)'!M5/'Exh 5 Stores IS (Hist Teuer)'!M4</f>
        <v>0.36615568046329411</v>
      </c>
      <c r="K15" s="6">
        <f>'Exh 5 Stores IS (Hist Teuer)'!N5/'Exh 5 Stores IS (Hist Teuer)'!N4</f>
        <v>0.40039774610540274</v>
      </c>
    </row>
    <row r="16" spans="1:21">
      <c r="B16" s="50">
        <v>2004</v>
      </c>
      <c r="C16" s="106">
        <f>'Exh 5 Stores IS (Hist Teuer)'!G12/'Exh 5 Stores IS (Hist Teuer)'!G11</f>
        <v>0.71277585948055855</v>
      </c>
      <c r="D16" s="106">
        <f>'Exh 5 Stores IS (Hist Teuer)'!H12/'Exh 5 Stores IS (Hist Teuer)'!H11</f>
        <v>0.62378856845323072</v>
      </c>
      <c r="E16" s="106">
        <f>'Exh 5 Stores IS (Hist Teuer)'!I12/'Exh 5 Stores IS (Hist Teuer)'!I11</f>
        <v>0.5207681853567141</v>
      </c>
      <c r="F16" s="106">
        <f>'Exh 5 Stores IS (Hist Teuer)'!J12/'Exh 5 Stores IS (Hist Teuer)'!J11</f>
        <v>0.43768309325246402</v>
      </c>
      <c r="G16" s="106">
        <f>'Exh 5 Stores IS (Hist Teuer)'!K12/'Exh 5 Stores IS (Hist Teuer)'!K11</f>
        <v>0.39049308540943695</v>
      </c>
      <c r="H16" s="106">
        <f>'Exh 5 Stores IS (Hist Teuer)'!L12/'Exh 5 Stores IS (Hist Teuer)'!L11</f>
        <v>0.41236030715437411</v>
      </c>
      <c r="I16" s="106">
        <f>'Exh 5 Stores IS (Hist Teuer)'!M12/'Exh 5 Stores IS (Hist Teuer)'!M11</f>
        <v>0.38724108594875828</v>
      </c>
      <c r="J16" s="6">
        <f>'Exh 5 Stores IS (Hist Teuer)'!N12/'Exh 5 Stores IS (Hist Teuer)'!N11</f>
        <v>0.40159498558916529</v>
      </c>
      <c r="K16" s="6"/>
    </row>
    <row r="17" spans="1:11">
      <c r="B17" s="50">
        <v>2005</v>
      </c>
      <c r="C17" s="106">
        <f>'Exh 5 Stores IS (Hist Teuer)'!H19/'Exh 5 Stores IS (Hist Teuer)'!H18</f>
        <v>0.72915556391527425</v>
      </c>
      <c r="D17" s="104">
        <f>'Exh 5 Stores IS (Hist Teuer)'!I19/'Exh 5 Stores IS (Hist Teuer)'!I18</f>
        <v>0.65562428682961982</v>
      </c>
      <c r="E17" s="104">
        <f>'Exh 5 Stores IS (Hist Teuer)'!J19/'Exh 5 Stores IS (Hist Teuer)'!J18</f>
        <v>0.57771757534710477</v>
      </c>
      <c r="F17" s="104">
        <f>'Exh 5 Stores IS (Hist Teuer)'!K19/'Exh 5 Stores IS (Hist Teuer)'!K18</f>
        <v>0.4056733458707627</v>
      </c>
      <c r="G17" s="104">
        <f>'Exh 5 Stores IS (Hist Teuer)'!L19/'Exh 5 Stores IS (Hist Teuer)'!L18</f>
        <v>0.41087670153630668</v>
      </c>
      <c r="H17" s="104">
        <f>'Exh 5 Stores IS (Hist Teuer)'!M19/'Exh 5 Stores IS (Hist Teuer)'!M18</f>
        <v>0.40312626529084816</v>
      </c>
      <c r="I17" s="104">
        <f>'Exh 5 Stores IS (Hist Teuer)'!N12/'Exh 5 Stores IS (Hist Teuer)'!N11</f>
        <v>0.40159498558916529</v>
      </c>
      <c r="J17" s="18"/>
      <c r="K17" s="18"/>
    </row>
    <row r="18" spans="1:11">
      <c r="B18" s="50">
        <v>2006</v>
      </c>
      <c r="C18" s="106">
        <f>'Exh 5 Stores IS (Hist Teuer)'!I26/'Exh 5 Stores IS (Hist Teuer)'!I25</f>
        <v>0.7013303491890539</v>
      </c>
      <c r="D18" s="106">
        <f>'Exh 5 Stores IS (Hist Teuer)'!J26/'Exh 5 Stores IS (Hist Teuer)'!J25</f>
        <v>0.53114180304606939</v>
      </c>
      <c r="E18" s="106">
        <f>'Exh 5 Stores IS (Hist Teuer)'!K26/'Exh 5 Stores IS (Hist Teuer)'!K25</f>
        <v>0.57621946050423012</v>
      </c>
      <c r="F18" s="106">
        <f>'Exh 5 Stores IS (Hist Teuer)'!L26/'Exh 5 Stores IS (Hist Teuer)'!L25</f>
        <v>0.33338944646638763</v>
      </c>
      <c r="G18" s="106">
        <f>'Exh 5 Stores IS (Hist Teuer)'!M26/'Exh 5 Stores IS (Hist Teuer)'!M25</f>
        <v>0.38876655534477045</v>
      </c>
      <c r="H18" s="106">
        <f>'Exh 5 Stores IS (Hist Teuer)'!N26/'Exh 5 Stores IS (Hist Teuer)'!N25</f>
        <v>0.40006317482196185</v>
      </c>
      <c r="I18" s="106"/>
    </row>
    <row r="19" spans="1:11">
      <c r="B19" s="50">
        <v>2007</v>
      </c>
      <c r="C19" s="106">
        <f>'Exh 5 Stores IS (Hist Teuer)'!J33/'Exh 5 Stores IS (Hist Teuer)'!J32</f>
        <v>0.72590279487412057</v>
      </c>
      <c r="D19" s="106">
        <f>'Exh 5 Stores IS (Hist Teuer)'!K33/'Exh 5 Stores IS (Hist Teuer)'!K32</f>
        <v>0.67271942184446165</v>
      </c>
      <c r="E19" s="106">
        <f>'Exh 5 Stores IS (Hist Teuer)'!L33/'Exh 5 Stores IS (Hist Teuer)'!L32</f>
        <v>0.53901903439583276</v>
      </c>
      <c r="F19" s="106">
        <f>'Exh 5 Stores IS (Hist Teuer)'!M33/'Exh 5 Stores IS (Hist Teuer)'!M32</f>
        <v>0.38436265083955368</v>
      </c>
      <c r="G19" s="106">
        <f>'Exh 5 Stores IS (Hist Teuer)'!N33/'Exh 5 Stores IS (Hist Teuer)'!N32</f>
        <v>0.41009163776670265</v>
      </c>
      <c r="H19" s="106"/>
      <c r="I19" s="106"/>
    </row>
    <row r="20" spans="1:11">
      <c r="B20" s="50">
        <v>2008</v>
      </c>
      <c r="C20" s="106">
        <f>'Exh 5 Stores IS (Hist Teuer)'!K40/'Exh 5 Stores IS (Hist Teuer)'!K39</f>
        <v>0.64425339650465951</v>
      </c>
      <c r="D20" s="106">
        <f>'Exh 5 Stores IS (Hist Teuer)'!L40/'Exh 5 Stores IS (Hist Teuer)'!L39</f>
        <v>0.66976429675425031</v>
      </c>
      <c r="E20" s="106">
        <f>'Exh 5 Stores IS (Hist Teuer)'!M40/'Exh 5 Stores IS (Hist Teuer)'!M39</f>
        <v>0.61022073135379129</v>
      </c>
      <c r="F20" s="106">
        <f>'Exh 5 Stores IS (Hist Teuer)'!N40/'Exh 5 Stores IS (Hist Teuer)'!N39</f>
        <v>0.40661323078252598</v>
      </c>
      <c r="G20" s="106"/>
      <c r="H20" s="106"/>
      <c r="I20" s="106"/>
    </row>
    <row r="21" spans="1:11">
      <c r="B21" s="50">
        <v>2009</v>
      </c>
      <c r="C21" s="106">
        <f>'Exh 5 Stores IS (Hist Teuer)'!L47/'Exh 5 Stores IS (Hist Teuer)'!L46</f>
        <v>0.71003200222624174</v>
      </c>
      <c r="D21" s="106">
        <f>'Exh 5 Stores IS (Hist Teuer)'!M47/'Exh 5 Stores IS (Hist Teuer)'!M46</f>
        <v>0.65890236119974477</v>
      </c>
      <c r="E21" s="106">
        <f>'Exh 5 Stores IS (Hist Teuer)'!N47/'Exh 5 Stores IS (Hist Teuer)'!N46</f>
        <v>0.53303578994943646</v>
      </c>
      <c r="F21" s="106"/>
      <c r="G21" s="106"/>
      <c r="H21" s="106"/>
      <c r="I21" s="106"/>
    </row>
    <row r="22" spans="1:11">
      <c r="B22" s="50">
        <v>2010</v>
      </c>
      <c r="C22" s="106">
        <f>'Exh 5 Stores IS (Hist Teuer)'!M54/'Exh 5 Stores IS (Hist Teuer)'!M53</f>
        <v>0.74010040895036078</v>
      </c>
      <c r="D22" s="106">
        <f>'Exh 5 Stores IS (Hist Teuer)'!N54/'Exh 5 Stores IS (Hist Teuer)'!N53</f>
        <v>0.66520754716981134</v>
      </c>
      <c r="E22" s="106"/>
      <c r="F22" s="106"/>
      <c r="G22" s="106"/>
      <c r="H22" s="106"/>
      <c r="I22" s="106"/>
    </row>
    <row r="23" spans="1:11">
      <c r="B23" s="66">
        <v>2011</v>
      </c>
      <c r="C23" s="108">
        <f>'Exh 5 Stores IS (Hist Teuer)'!N61/'Exh 5 Stores IS (Hist Teuer)'!N60</f>
        <v>0.70283567403166658</v>
      </c>
      <c r="D23" s="108"/>
      <c r="E23" s="108"/>
      <c r="F23" s="108"/>
      <c r="G23" s="106"/>
      <c r="H23" s="106"/>
      <c r="I23" s="106"/>
    </row>
    <row r="24" spans="1:11">
      <c r="B24" s="50" t="s">
        <v>3</v>
      </c>
      <c r="C24" s="106">
        <f t="shared" ref="C24:F24" si="1">AVERAGE(C15:C23)</f>
        <v>0.70863781020191174</v>
      </c>
      <c r="D24" s="106">
        <f t="shared" si="1"/>
        <v>0.63652486224712457</v>
      </c>
      <c r="E24" s="106">
        <f t="shared" si="1"/>
        <v>0.56211596188035629</v>
      </c>
      <c r="F24" s="106">
        <f t="shared" si="1"/>
        <v>0.39284299388519583</v>
      </c>
      <c r="G24" s="106"/>
      <c r="H24" s="106"/>
      <c r="I24" s="106"/>
      <c r="J24" s="106"/>
      <c r="K24" s="106"/>
    </row>
    <row r="25" spans="1:11">
      <c r="B25" s="50"/>
      <c r="C25" s="106"/>
      <c r="D25" s="106"/>
      <c r="E25" s="106"/>
      <c r="F25" s="106"/>
      <c r="G25" s="106"/>
      <c r="H25" s="106"/>
      <c r="I25" s="106"/>
    </row>
    <row r="26" spans="1:11">
      <c r="B26" s="66" t="s">
        <v>25</v>
      </c>
      <c r="C26" s="4">
        <v>1</v>
      </c>
      <c r="D26" s="4">
        <v>2</v>
      </c>
      <c r="E26" s="4">
        <v>3</v>
      </c>
      <c r="F26" s="4">
        <v>4</v>
      </c>
      <c r="G26" s="4">
        <v>5</v>
      </c>
      <c r="H26" s="4">
        <v>6</v>
      </c>
      <c r="I26" s="4">
        <v>7</v>
      </c>
      <c r="J26" s="4">
        <v>8</v>
      </c>
      <c r="K26" s="4">
        <v>9</v>
      </c>
    </row>
    <row r="27" spans="1:11">
      <c r="A27" t="s">
        <v>19</v>
      </c>
      <c r="B27" s="50">
        <v>2003</v>
      </c>
      <c r="C27" s="25">
        <f>'Exh 5 Stores IS (Hist Teuer)'!F6/'Exh 5 Stores IS (Hist Teuer)'!F4</f>
        <v>0.19912472647702406</v>
      </c>
      <c r="D27" s="25">
        <f>'Exh 5 Stores IS (Hist Teuer)'!G6/'Exh 5 Stores IS (Hist Teuer)'!G4</f>
        <v>0.17053809270111883</v>
      </c>
      <c r="E27" s="25">
        <f>'Exh 5 Stores IS (Hist Teuer)'!H6/'Exh 5 Stores IS (Hist Teuer)'!H4</f>
        <v>0.16400880635589166</v>
      </c>
      <c r="F27" s="25">
        <f>'Exh 5 Stores IS (Hist Teuer)'!I6/'Exh 5 Stores IS (Hist Teuer)'!I4</f>
        <v>0.13915320678605703</v>
      </c>
      <c r="G27" s="25">
        <f>'Exh 5 Stores IS (Hist Teuer)'!J6/'Exh 5 Stores IS (Hist Teuer)'!J4</f>
        <v>0.12854439362876519</v>
      </c>
      <c r="H27" s="25">
        <f>'Exh 5 Stores IS (Hist Teuer)'!K6/'Exh 5 Stores IS (Hist Teuer)'!K4</f>
        <v>0.13903325458840632</v>
      </c>
      <c r="I27" s="25">
        <f>'Exh 5 Stores IS (Hist Teuer)'!L6/'Exh 5 Stores IS (Hist Teuer)'!L4</f>
        <v>0.13606601011445302</v>
      </c>
      <c r="J27" s="25">
        <f>'Exh 5 Stores IS (Hist Teuer)'!M6/'Exh 5 Stores IS (Hist Teuer)'!M4</f>
        <v>0.11694770907852155</v>
      </c>
      <c r="K27" s="25">
        <f>'Exh 5 Stores IS (Hist Teuer)'!N6/'Exh 5 Stores IS (Hist Teuer)'!N4</f>
        <v>0.13109048723897912</v>
      </c>
    </row>
    <row r="28" spans="1:11">
      <c r="B28" s="50">
        <v>2004</v>
      </c>
      <c r="C28" s="26">
        <f>'Exh 5 Stores IS (Hist Teuer)'!G13/'Exh 5 Stores IS (Hist Teuer)'!G11</f>
        <v>0.17584446779762797</v>
      </c>
      <c r="D28" s="26">
        <f>'Exh 5 Stores IS (Hist Teuer)'!H13/'Exh 5 Stores IS (Hist Teuer)'!H11</f>
        <v>0.18036683071031459</v>
      </c>
      <c r="E28" s="26">
        <f>'Exh 5 Stores IS (Hist Teuer)'!I13/'Exh 5 Stores IS (Hist Teuer)'!I11</f>
        <v>0.17360039055799656</v>
      </c>
      <c r="F28" s="26">
        <f>'Exh 5 Stores IS (Hist Teuer)'!J13/'Exh 5 Stores IS (Hist Teuer)'!J11</f>
        <v>0.1409188779378317</v>
      </c>
      <c r="G28" s="26">
        <f>'Exh 5 Stores IS (Hist Teuer)'!K13/'Exh 5 Stores IS (Hist Teuer)'!K11</f>
        <v>0.14493447972238047</v>
      </c>
      <c r="H28" s="26">
        <f>'Exh 5 Stores IS (Hist Teuer)'!L13/'Exh 5 Stores IS (Hist Teuer)'!L11</f>
        <v>0.13740401425809121</v>
      </c>
      <c r="I28" s="26">
        <f>'Exh 5 Stores IS (Hist Teuer)'!M13/'Exh 5 Stores IS (Hist Teuer)'!M11</f>
        <v>0.13859099826956575</v>
      </c>
      <c r="J28" s="26">
        <f>'Exh 5 Stores IS (Hist Teuer)'!N13/'Exh 5 Stores IS (Hist Teuer)'!N11</f>
        <v>0.12976466967008982</v>
      </c>
      <c r="K28" s="26"/>
    </row>
    <row r="29" spans="1:11">
      <c r="B29" s="50">
        <v>2005</v>
      </c>
      <c r="C29" s="26">
        <f>'Exh 5 Stores IS (Hist Teuer)'!H20/'Exh 5 Stores IS (Hist Teuer)'!H18</f>
        <v>0.20410253194979988</v>
      </c>
      <c r="D29" s="26">
        <f>'Exh 5 Stores IS (Hist Teuer)'!I20/'Exh 5 Stores IS (Hist Teuer)'!I18</f>
        <v>0.17876403819590414</v>
      </c>
      <c r="E29" s="26">
        <f>'Exh 5 Stores IS (Hist Teuer)'!J20/'Exh 5 Stores IS (Hist Teuer)'!J18</f>
        <v>0.17039084967980955</v>
      </c>
      <c r="F29" s="26">
        <f>'Exh 5 Stores IS (Hist Teuer)'!K20/'Exh 5 Stores IS (Hist Teuer)'!K18</f>
        <v>0.14506505780264051</v>
      </c>
      <c r="G29" s="26">
        <f>'Exh 5 Stores IS (Hist Teuer)'!L20/'Exh 5 Stores IS (Hist Teuer)'!L18</f>
        <v>0.13220991815117958</v>
      </c>
      <c r="H29" s="26">
        <f>'Exh 5 Stores IS (Hist Teuer)'!M20/'Exh 5 Stores IS (Hist Teuer)'!M18</f>
        <v>0.13203603957318544</v>
      </c>
      <c r="I29" s="26">
        <f>'Exh 5 Stores IS (Hist Teuer)'!N20/'Exh 5 Stores IS (Hist Teuer)'!N18</f>
        <v>0.15073838542984724</v>
      </c>
    </row>
    <row r="30" spans="1:11">
      <c r="B30" s="50">
        <v>2006</v>
      </c>
      <c r="C30" s="25">
        <f>'Exh 5 Stores IS (Hist Teuer)'!I27/'Exh 5 Stores IS (Hist Teuer)'!I25</f>
        <v>0.20368257146853763</v>
      </c>
      <c r="D30" s="25">
        <f>'Exh 5 Stores IS (Hist Teuer)'!J27/'Exh 5 Stores IS (Hist Teuer)'!J25</f>
        <v>0.18996783653391355</v>
      </c>
      <c r="E30" s="25">
        <f>'Exh 5 Stores IS (Hist Teuer)'!K27/'Exh 5 Stores IS (Hist Teuer)'!K25</f>
        <v>0.17957053966531594</v>
      </c>
      <c r="F30" s="25">
        <f>'Exh 5 Stores IS (Hist Teuer)'!L27/'Exh 5 Stores IS (Hist Teuer)'!L25</f>
        <v>0.12726795255522372</v>
      </c>
      <c r="G30" s="26">
        <f>'Exh 5 Stores IS (Hist Teuer)'!M27/'Exh 5 Stores IS (Hist Teuer)'!M25</f>
        <v>0.14352901161989484</v>
      </c>
      <c r="H30" s="26">
        <f>'Exh 5 Stores IS (Hist Teuer)'!N27/'Exh 5 Stores IS (Hist Teuer)'!N25</f>
        <v>0.14203710084998852</v>
      </c>
      <c r="I30" s="26"/>
    </row>
    <row r="31" spans="1:11">
      <c r="B31" s="50">
        <v>2007</v>
      </c>
      <c r="C31" s="26">
        <f>'Exh 5 Stores IS (Hist Teuer)'!J34/'Exh 5 Stores IS (Hist Teuer)'!J32</f>
        <v>0.19762364435000065</v>
      </c>
      <c r="D31" s="26">
        <f>'Exh 5 Stores IS (Hist Teuer)'!K34/'Exh 5 Stores IS (Hist Teuer)'!K32</f>
        <v>0.17625562474432982</v>
      </c>
      <c r="E31" s="26">
        <f>'Exh 5 Stores IS (Hist Teuer)'!L34/'Exh 5 Stores IS (Hist Teuer)'!L32</f>
        <v>0.17957782307432243</v>
      </c>
      <c r="F31" s="26">
        <f>'Exh 5 Stores IS (Hist Teuer)'!M34/'Exh 5 Stores IS (Hist Teuer)'!M32</f>
        <v>0.13035414174754342</v>
      </c>
      <c r="G31" s="26">
        <f>'Exh 5 Stores IS (Hist Teuer)'!N34/'Exh 5 Stores IS (Hist Teuer)'!N32</f>
        <v>0.13589260696814495</v>
      </c>
      <c r="H31" s="26"/>
      <c r="I31" s="26"/>
    </row>
    <row r="32" spans="1:11">
      <c r="B32" s="50">
        <v>2008</v>
      </c>
      <c r="C32" s="26">
        <f>'Exh 5 Stores IS (Hist Teuer)'!K41/'Exh 5 Stores IS (Hist Teuer)'!K39</f>
        <v>0.16375388284019954</v>
      </c>
      <c r="D32" s="26">
        <f>'Exh 5 Stores IS (Hist Teuer)'!L41/'Exh 5 Stores IS (Hist Teuer)'!L39</f>
        <v>0.18379057187017001</v>
      </c>
      <c r="E32" s="26">
        <f>'Exh 5 Stores IS (Hist Teuer)'!M41/'Exh 5 Stores IS (Hist Teuer)'!M39</f>
        <v>0.16904791485484738</v>
      </c>
      <c r="F32" s="26">
        <f>'Exh 5 Stores IS (Hist Teuer)'!N41/'Exh 5 Stores IS (Hist Teuer)'!N39</f>
        <v>0.13424145529965864</v>
      </c>
      <c r="G32" s="25"/>
      <c r="H32" s="25"/>
      <c r="I32" s="25"/>
    </row>
    <row r="33" spans="1:11">
      <c r="B33" s="50">
        <v>2009</v>
      </c>
      <c r="C33" s="25">
        <f>'Exh 5 Stores IS (Hist Teuer)'!L48/'Exh 5 Stores IS (Hist Teuer)'!L46</f>
        <v>0.17872547655489074</v>
      </c>
      <c r="D33" s="25">
        <f>'Exh 5 Stores IS (Hist Teuer)'!M48/'Exh 5 Stores IS (Hist Teuer)'!M46</f>
        <v>0.19156828334396939</v>
      </c>
      <c r="E33" s="25">
        <f>'Exh 5 Stores IS (Hist Teuer)'!N48/'Exh 5 Stores IS (Hist Teuer)'!N46</f>
        <v>0.17372390610434735</v>
      </c>
      <c r="F33" s="25"/>
      <c r="G33" s="26"/>
      <c r="H33" s="26"/>
      <c r="I33" s="26"/>
    </row>
    <row r="34" spans="1:11">
      <c r="B34" s="50">
        <v>2010</v>
      </c>
      <c r="C34" s="26">
        <f>'Exh 5 Stores IS (Hist Teuer)'!M55/'Exh 5 Stores IS (Hist Teuer)'!M53</f>
        <v>0.20703527612461353</v>
      </c>
      <c r="D34" s="26">
        <f>'Exh 5 Stores IS (Hist Teuer)'!N55/'Exh 5 Stores IS (Hist Teuer)'!N53</f>
        <v>0.19396226415094339</v>
      </c>
      <c r="E34" s="26"/>
      <c r="F34" s="26"/>
      <c r="G34" s="26"/>
      <c r="H34" s="26"/>
      <c r="I34" s="26"/>
    </row>
    <row r="35" spans="1:11">
      <c r="B35" s="66">
        <v>2011</v>
      </c>
      <c r="C35" s="70">
        <f>'Exh 5 Stores IS (Hist Teuer)'!N62/'Exh 5 Stores IS (Hist Teuer)'!N60</f>
        <v>0.20899305244953337</v>
      </c>
      <c r="D35" s="70"/>
      <c r="E35" s="70"/>
      <c r="F35" s="70"/>
      <c r="G35" s="26"/>
      <c r="H35" s="26"/>
      <c r="I35" s="26"/>
    </row>
    <row r="36" spans="1:11">
      <c r="B36" s="50" t="s">
        <v>3</v>
      </c>
      <c r="C36" s="26">
        <f t="shared" ref="C36:E36" si="2">AVERAGE(C27:C35)</f>
        <v>0.19320951444580303</v>
      </c>
      <c r="D36" s="26">
        <f t="shared" si="2"/>
        <v>0.18315169278133295</v>
      </c>
      <c r="E36" s="26">
        <f t="shared" si="2"/>
        <v>0.17284574718464732</v>
      </c>
      <c r="F36" s="26">
        <f>AVERAGE(F27:K35)</f>
        <v>0.13599141768049752</v>
      </c>
      <c r="G36" s="26"/>
      <c r="H36" s="26"/>
      <c r="I36" s="26"/>
    </row>
    <row r="37" spans="1:11">
      <c r="B37" s="50"/>
      <c r="C37" s="26"/>
      <c r="D37" s="26"/>
      <c r="E37" s="26"/>
      <c r="F37" s="26"/>
      <c r="G37" s="26"/>
      <c r="H37" s="26"/>
      <c r="I37" s="26"/>
    </row>
    <row r="38" spans="1:11">
      <c r="B38" s="66" t="s">
        <v>25</v>
      </c>
      <c r="C38" s="4">
        <v>1</v>
      </c>
      <c r="D38" s="4">
        <v>2</v>
      </c>
      <c r="E38" s="4">
        <v>3</v>
      </c>
      <c r="F38" s="4">
        <v>4</v>
      </c>
      <c r="G38" s="4">
        <v>5</v>
      </c>
      <c r="H38" s="4">
        <v>6</v>
      </c>
      <c r="I38" s="4">
        <v>7</v>
      </c>
      <c r="J38" s="4">
        <v>8</v>
      </c>
      <c r="K38" s="4">
        <v>9</v>
      </c>
    </row>
    <row r="39" spans="1:11">
      <c r="A39" t="s">
        <v>58</v>
      </c>
      <c r="B39" s="67">
        <v>2003</v>
      </c>
      <c r="C39" s="25">
        <f>'Exh 5 Stores IS (Hist Teuer)'!F7/'Exh 5 Stores IS (Hist Teuer)'!F4</f>
        <v>9.8905908096280096E-2</v>
      </c>
      <c r="D39" s="25">
        <f>'Exh 5 Stores IS (Hist Teuer)'!G7/'Exh 5 Stores IS (Hist Teuer)'!G4</f>
        <v>8.8998401704848171E-2</v>
      </c>
      <c r="E39" s="25">
        <f>'Exh 5 Stores IS (Hist Teuer)'!H7/'Exh 5 Stores IS (Hist Teuer)'!H4</f>
        <v>7.6442997989853545E-2</v>
      </c>
      <c r="F39" s="25">
        <f>'Exh 5 Stores IS (Hist Teuer)'!I7/'Exh 5 Stores IS (Hist Teuer)'!I4</f>
        <v>7.0609476406577859E-2</v>
      </c>
      <c r="G39" s="25">
        <f>'Exh 5 Stores IS (Hist Teuer)'!J7/'Exh 5 Stores IS (Hist Teuer)'!J4</f>
        <v>6.6535246806497389E-2</v>
      </c>
      <c r="H39" s="25">
        <f>'Exh 5 Stores IS (Hist Teuer)'!K7/'Exh 5 Stores IS (Hist Teuer)'!K4</f>
        <v>7.6848991459204069E-2</v>
      </c>
      <c r="I39" s="25">
        <f>'Exh 5 Stores IS (Hist Teuer)'!L7/'Exh 5 Stores IS (Hist Teuer)'!L4</f>
        <v>6.9381598793363503E-2</v>
      </c>
      <c r="J39" s="25">
        <f>'Exh 5 Stores IS (Hist Teuer)'!M7/'Exh 5 Stores IS (Hist Teuer)'!M4</f>
        <v>6.8335888264350192E-2</v>
      </c>
      <c r="K39" s="25">
        <f>'Exh 5 Stores IS (Hist Teuer)'!N7/'Exh 5 Stores IS (Hist Teuer)'!N4</f>
        <v>7.5737487570434206E-2</v>
      </c>
    </row>
    <row r="40" spans="1:11">
      <c r="B40" s="67">
        <v>2004</v>
      </c>
      <c r="C40" s="26">
        <f>'Exh 5 Stores IS (Hist Teuer)'!G14/'Exh 5 Stores IS (Hist Teuer)'!G11</f>
        <v>0.10277736075664315</v>
      </c>
      <c r="D40" s="26">
        <f>'Exh 5 Stores IS (Hist Teuer)'!H14/'Exh 5 Stores IS (Hist Teuer)'!H11</f>
        <v>8.1512336866150462E-2</v>
      </c>
      <c r="E40" s="26">
        <f>'Exh 5 Stores IS (Hist Teuer)'!I14/'Exh 5 Stores IS (Hist Teuer)'!I11</f>
        <v>8.3494966287983738E-2</v>
      </c>
      <c r="F40" s="26">
        <f>'Exh 5 Stores IS (Hist Teuer)'!J14/'Exh 5 Stores IS (Hist Teuer)'!J11</f>
        <v>7.3570887035633054E-2</v>
      </c>
      <c r="G40" s="26">
        <f>'Exh 5 Stores IS (Hist Teuer)'!K14/'Exh 5 Stores IS (Hist Teuer)'!K11</f>
        <v>7.9958046304449165E-2</v>
      </c>
      <c r="H40" s="26">
        <f>'Exh 5 Stores IS (Hist Teuer)'!L14/'Exh 5 Stores IS (Hist Teuer)'!L11</f>
        <v>7.6665039876940566E-2</v>
      </c>
      <c r="I40" s="26">
        <f>'Exh 5 Stores IS (Hist Teuer)'!M14/'Exh 5 Stores IS (Hist Teuer)'!M11</f>
        <v>7.2053197830880433E-2</v>
      </c>
      <c r="J40" s="26">
        <f>'Exh 5 Stores IS (Hist Teuer)'!N14/'Exh 5 Stores IS (Hist Teuer)'!N11</f>
        <v>7.2026191342306298E-2</v>
      </c>
      <c r="K40" s="26"/>
    </row>
    <row r="41" spans="1:11">
      <c r="B41" s="67">
        <v>2005</v>
      </c>
      <c r="C41" s="26">
        <f>'Exh 5 Stores IS (Hist Teuer)'!H21/'Exh 5 Stores IS (Hist Teuer)'!H18</f>
        <v>0.10877038987638066</v>
      </c>
      <c r="D41" s="26">
        <f>'Exh 5 Stores IS (Hist Teuer)'!I21/'Exh 5 Stores IS (Hist Teuer)'!I18</f>
        <v>8.9339979580805959E-2</v>
      </c>
      <c r="E41" s="26">
        <f>'Exh 5 Stores IS (Hist Teuer)'!J21/'Exh 5 Stores IS (Hist Teuer)'!J18</f>
        <v>8.0221985231310439E-2</v>
      </c>
      <c r="F41" s="26">
        <f>'Exh 5 Stores IS (Hist Teuer)'!K21/'Exh 5 Stores IS (Hist Teuer)'!K18</f>
        <v>7.6274665164720826E-2</v>
      </c>
      <c r="G41" s="26">
        <f>'Exh 5 Stores IS (Hist Teuer)'!L21/'Exh 5 Stores IS (Hist Teuer)'!L18</f>
        <v>7.0267431172582842E-2</v>
      </c>
      <c r="H41" s="26">
        <f>'Exh 5 Stores IS (Hist Teuer)'!M21/'Exh 5 Stores IS (Hist Teuer)'!M18</f>
        <v>6.7277687119901508E-2</v>
      </c>
      <c r="I41" s="26">
        <f>'Exh 5 Stores IS (Hist Teuer)'!N21/'Exh 5 Stores IS (Hist Teuer)'!N18</f>
        <v>7.3201792696964002E-2</v>
      </c>
    </row>
    <row r="42" spans="1:11">
      <c r="B42" s="67">
        <v>2006</v>
      </c>
      <c r="C42" s="25">
        <f>'Exh 5 Stores IS (Hist Teuer)'!I28/'Exh 5 Stores IS (Hist Teuer)'!I25</f>
        <v>0.10308549720604585</v>
      </c>
      <c r="D42" s="25">
        <f>'Exh 5 Stores IS (Hist Teuer)'!J28/'Exh 5 Stores IS (Hist Teuer)'!J25</f>
        <v>8.4386529183615541E-2</v>
      </c>
      <c r="E42" s="25">
        <f>'Exh 5 Stores IS (Hist Teuer)'!K28/'Exh 5 Stores IS (Hist Teuer)'!K25</f>
        <v>8.3238670080195309E-2</v>
      </c>
      <c r="F42" s="25">
        <f>'Exh 5 Stores IS (Hist Teuer)'!L28/'Exh 5 Stores IS (Hist Teuer)'!L25</f>
        <v>6.7800376406896526E-2</v>
      </c>
      <c r="G42" s="25">
        <f>'Exh 5 Stores IS (Hist Teuer)'!M28/'Exh 5 Stores IS (Hist Teuer)'!M25</f>
        <v>6.8238660853298466E-2</v>
      </c>
      <c r="H42" s="25">
        <f>'Exh 5 Stores IS (Hist Teuer)'!N28/'Exh 5 Stores IS (Hist Teuer)'!N25</f>
        <v>6.5681713760624857E-2</v>
      </c>
      <c r="I42" s="25"/>
    </row>
    <row r="43" spans="1:11">
      <c r="B43" s="67">
        <v>2007</v>
      </c>
      <c r="C43" s="26">
        <f>'Exh 5 Stores IS (Hist Teuer)'!J35/'Exh 5 Stores IS (Hist Teuer)'!J32</f>
        <v>0.10225844487347267</v>
      </c>
      <c r="D43" s="26">
        <f>'Exh 5 Stores IS (Hist Teuer)'!K35/'Exh 5 Stores IS (Hist Teuer)'!K32</f>
        <v>9.0282259897277395E-2</v>
      </c>
      <c r="E43" s="26">
        <f>'Exh 5 Stores IS (Hist Teuer)'!L35/'Exh 5 Stores IS (Hist Teuer)'!L32</f>
        <v>8.0693496663482772E-2</v>
      </c>
      <c r="F43" s="26">
        <f>'Exh 5 Stores IS (Hist Teuer)'!M35/'Exh 5 Stores IS (Hist Teuer)'!M32</f>
        <v>6.9344557663482076E-2</v>
      </c>
      <c r="G43" s="26">
        <f>'Exh 5 Stores IS (Hist Teuer)'!N35/'Exh 5 Stores IS (Hist Teuer)'!N32</f>
        <v>7.1413150823361887E-2</v>
      </c>
      <c r="H43" s="26"/>
      <c r="I43" s="26"/>
    </row>
    <row r="44" spans="1:11">
      <c r="B44" s="67">
        <v>2008</v>
      </c>
      <c r="C44" s="26">
        <f>'Exh 5 Stores IS (Hist Teuer)'!K42/'Exh 5 Stores IS (Hist Teuer)'!K39</f>
        <v>0.10228734586301026</v>
      </c>
      <c r="D44" s="26">
        <f>'Exh 5 Stores IS (Hist Teuer)'!L42/'Exh 5 Stores IS (Hist Teuer)'!L39</f>
        <v>9.6406491499227198E-2</v>
      </c>
      <c r="E44" s="26">
        <f>'Exh 5 Stores IS (Hist Teuer)'!M42/'Exh 5 Stores IS (Hist Teuer)'!M39</f>
        <v>8.2605154539556316E-2</v>
      </c>
      <c r="F44" s="26">
        <f>'Exh 5 Stores IS (Hist Teuer)'!N42/'Exh 5 Stores IS (Hist Teuer)'!N39</f>
        <v>7.2959426176381625E-2</v>
      </c>
      <c r="G44" s="26"/>
      <c r="H44" s="26"/>
      <c r="I44" s="26"/>
    </row>
    <row r="45" spans="1:11">
      <c r="B45" s="67">
        <v>2009</v>
      </c>
      <c r="C45" s="25">
        <f>'Exh 5 Stores IS (Hist Teuer)'!L49/'Exh 5 Stores IS (Hist Teuer)'!L46</f>
        <v>0.1099206901349659</v>
      </c>
      <c r="D45" s="25">
        <f>'Exh 5 Stores IS (Hist Teuer)'!M49/'Exh 5 Stores IS (Hist Teuer)'!M46</f>
        <v>9.061901723037652E-2</v>
      </c>
      <c r="E45" s="25">
        <f>'Exh 5 Stores IS (Hist Teuer)'!N49/'Exh 5 Stores IS (Hist Teuer)'!N46</f>
        <v>8.5619050309313299E-2</v>
      </c>
      <c r="F45" s="25"/>
      <c r="G45" s="25"/>
      <c r="H45" s="25"/>
      <c r="I45" s="25"/>
    </row>
    <row r="46" spans="1:11">
      <c r="B46" s="67">
        <v>2010</v>
      </c>
      <c r="C46" s="26">
        <f>'Exh 5 Stores IS (Hist Teuer)'!M56/'Exh 5 Stores IS (Hist Teuer)'!M53</f>
        <v>0.11733218073611065</v>
      </c>
      <c r="D46" s="26">
        <f>'Exh 5 Stores IS (Hist Teuer)'!N56/'Exh 5 Stores IS (Hist Teuer)'!N53</f>
        <v>8.920754716981133E-2</v>
      </c>
      <c r="E46" s="26"/>
      <c r="F46" s="26"/>
      <c r="G46" s="26"/>
      <c r="H46" s="26"/>
      <c r="I46" s="26"/>
    </row>
    <row r="47" spans="1:11">
      <c r="B47" s="69">
        <v>2011</v>
      </c>
      <c r="C47" s="70">
        <f>'Exh 5 Stores IS (Hist Teuer)'!N63/'Exh 5 Stores IS (Hist Teuer)'!N60</f>
        <v>0.10683722455795093</v>
      </c>
      <c r="D47" s="70"/>
      <c r="E47" s="70"/>
      <c r="F47" s="70"/>
      <c r="G47" s="26"/>
      <c r="H47" s="26"/>
      <c r="I47" s="26"/>
    </row>
    <row r="48" spans="1:11">
      <c r="B48" s="50" t="s">
        <v>3</v>
      </c>
      <c r="C48" s="26">
        <f t="shared" ref="C48:E48" si="3">AVERAGE(C39:C47)</f>
        <v>0.10579722690009558</v>
      </c>
      <c r="D48" s="26">
        <f t="shared" si="3"/>
        <v>8.8844070391514068E-2</v>
      </c>
      <c r="E48" s="26">
        <f t="shared" si="3"/>
        <v>8.1759474443099348E-2</v>
      </c>
      <c r="F48" s="26">
        <f>AVERAGE(F39:K47)</f>
        <v>7.1627691120421513E-2</v>
      </c>
      <c r="G48" s="26"/>
      <c r="H48" s="26"/>
      <c r="I48" s="26"/>
    </row>
    <row r="50" spans="2:12">
      <c r="B50" s="24"/>
      <c r="C50" s="6"/>
      <c r="D50" s="6"/>
      <c r="E50" s="6"/>
      <c r="F50" s="6"/>
      <c r="G50" s="6"/>
      <c r="H50" s="6"/>
      <c r="I50" s="6"/>
    </row>
    <row r="51" spans="2:12">
      <c r="B51" s="24"/>
      <c r="C51" s="6"/>
      <c r="D51" s="6"/>
      <c r="E51" s="6"/>
      <c r="F51" s="6"/>
      <c r="G51" s="6"/>
      <c r="H51" s="6"/>
      <c r="I51" s="6"/>
      <c r="L51" s="20"/>
    </row>
    <row r="52" spans="2:12">
      <c r="B52" s="24"/>
      <c r="C52" s="6"/>
      <c r="D52" s="6"/>
      <c r="E52" s="6"/>
      <c r="F52" s="6"/>
      <c r="G52" s="6"/>
      <c r="H52" s="6"/>
      <c r="I52" s="6"/>
    </row>
    <row r="53" spans="2:12">
      <c r="B53" s="24"/>
      <c r="C53" s="6"/>
      <c r="D53" s="6"/>
      <c r="E53" s="6"/>
      <c r="F53" s="6"/>
      <c r="G53" s="6"/>
      <c r="H53" s="6"/>
      <c r="I53" s="6"/>
    </row>
    <row r="54" spans="2:12">
      <c r="B54" s="24"/>
      <c r="C54" s="6"/>
      <c r="D54" s="6"/>
      <c r="E54" s="6"/>
      <c r="F54" s="6"/>
      <c r="G54" s="6"/>
      <c r="H54" s="6"/>
      <c r="I54" s="6"/>
    </row>
    <row r="55" spans="2:12">
      <c r="B55" s="24"/>
      <c r="C55" s="6"/>
      <c r="D55" s="6"/>
      <c r="E55" s="6"/>
      <c r="F55" s="6"/>
      <c r="G55" s="6"/>
      <c r="H55" s="6"/>
      <c r="I55" s="6"/>
    </row>
    <row r="56" spans="2:12">
      <c r="B56" s="24"/>
      <c r="C56" s="6"/>
      <c r="D56" s="6"/>
      <c r="E56" s="6"/>
      <c r="F56" s="6"/>
      <c r="G56" s="6"/>
      <c r="H56" s="6"/>
      <c r="I56" s="6"/>
    </row>
    <row r="57" spans="2:12">
      <c r="C57" s="26"/>
      <c r="D57" s="26"/>
      <c r="E57" s="26"/>
      <c r="F57" s="26"/>
      <c r="G57" s="26"/>
      <c r="H57" s="26"/>
      <c r="I57" s="26"/>
    </row>
    <row r="58" spans="2:12">
      <c r="C58" s="6"/>
      <c r="D58" s="23"/>
      <c r="E58" s="23"/>
      <c r="F58" s="23"/>
      <c r="G58" s="23"/>
      <c r="H58" s="23"/>
      <c r="I58" s="23"/>
    </row>
    <row r="59" spans="2:12">
      <c r="C59" s="26"/>
      <c r="D59" s="23"/>
      <c r="E59" s="23"/>
      <c r="F59" s="23"/>
      <c r="G59" s="23"/>
      <c r="H59" s="23"/>
      <c r="I59" s="23"/>
    </row>
    <row r="61" spans="2:12">
      <c r="B61" s="24"/>
      <c r="C61" s="6"/>
      <c r="D61" s="6"/>
      <c r="E61" s="6"/>
      <c r="F61" s="6"/>
      <c r="G61" s="6"/>
      <c r="H61" s="6"/>
      <c r="I61" s="6"/>
      <c r="J61" s="6"/>
      <c r="K61" s="6"/>
      <c r="L61" s="20"/>
    </row>
    <row r="62" spans="2:12">
      <c r="B62" s="24"/>
      <c r="C62" s="6"/>
      <c r="D62" s="6"/>
      <c r="E62" s="6"/>
      <c r="F62" s="6"/>
      <c r="G62" s="6"/>
      <c r="H62" s="6"/>
      <c r="I62" s="6"/>
      <c r="J62" s="6"/>
      <c r="K62" s="6"/>
    </row>
    <row r="63" spans="2:12">
      <c r="B63" s="24"/>
      <c r="C63" s="6"/>
      <c r="D63" s="6"/>
      <c r="E63" s="6"/>
      <c r="F63" s="6"/>
      <c r="G63" s="6"/>
      <c r="H63" s="6"/>
      <c r="I63" s="6"/>
    </row>
    <row r="64" spans="2:12">
      <c r="B64" s="24"/>
      <c r="C64" s="6"/>
      <c r="D64" s="6"/>
      <c r="E64" s="6"/>
      <c r="F64" s="6"/>
      <c r="G64" s="6"/>
      <c r="H64" s="6"/>
      <c r="I64" s="6"/>
    </row>
    <row r="65" spans="2:11">
      <c r="B65" s="24"/>
      <c r="C65" s="6"/>
      <c r="D65" s="6"/>
      <c r="E65" s="6"/>
      <c r="F65" s="6"/>
      <c r="G65" s="6"/>
      <c r="H65" s="6"/>
      <c r="I65" s="6"/>
    </row>
    <row r="66" spans="2:11">
      <c r="B66" s="24"/>
      <c r="C66" s="6"/>
      <c r="D66" s="6"/>
      <c r="E66" s="6"/>
      <c r="F66" s="6"/>
      <c r="G66" s="6"/>
      <c r="H66" s="6"/>
      <c r="I66" s="6"/>
    </row>
    <row r="67" spans="2:11">
      <c r="B67" s="24"/>
      <c r="C67" s="6"/>
      <c r="D67" s="6"/>
      <c r="E67" s="6"/>
      <c r="F67" s="6"/>
      <c r="G67" s="6"/>
      <c r="H67" s="6"/>
      <c r="I67" s="6"/>
    </row>
    <row r="68" spans="2:11">
      <c r="B68" s="24"/>
      <c r="C68" s="6"/>
      <c r="D68" s="6"/>
      <c r="E68" s="6"/>
      <c r="F68" s="6"/>
      <c r="G68" s="6"/>
      <c r="H68" s="6"/>
      <c r="I68" s="6"/>
    </row>
    <row r="69" spans="2:11">
      <c r="B69" s="24"/>
      <c r="C69" s="6"/>
      <c r="D69" s="6"/>
      <c r="E69" s="6"/>
      <c r="F69" s="6"/>
      <c r="G69" s="6"/>
      <c r="H69" s="6"/>
      <c r="I69" s="6"/>
    </row>
    <row r="70" spans="2:11">
      <c r="C70" s="26"/>
      <c r="D70" s="26"/>
      <c r="E70" s="26"/>
      <c r="F70" s="26"/>
      <c r="G70" s="26"/>
      <c r="H70" s="26"/>
      <c r="I70" s="26"/>
    </row>
    <row r="71" spans="2:11">
      <c r="C71" s="6"/>
      <c r="D71" s="23"/>
      <c r="E71" s="23"/>
      <c r="F71" s="23"/>
      <c r="G71" s="23"/>
      <c r="H71" s="23"/>
      <c r="I71" s="23"/>
    </row>
    <row r="72" spans="2:11">
      <c r="C72" s="6"/>
      <c r="D72" s="23"/>
      <c r="E72" s="23"/>
      <c r="F72" s="23"/>
      <c r="G72" s="23"/>
      <c r="H72" s="23"/>
      <c r="I72" s="23"/>
    </row>
    <row r="74" spans="2:11">
      <c r="B74" s="24"/>
      <c r="C74" s="26"/>
      <c r="D74" s="26"/>
      <c r="E74" s="26"/>
      <c r="F74" s="26"/>
      <c r="G74" s="26"/>
      <c r="H74" s="26"/>
      <c r="I74" s="26"/>
      <c r="J74" s="26"/>
      <c r="K74" s="26"/>
    </row>
    <row r="75" spans="2:11">
      <c r="B75" s="24"/>
      <c r="C75" s="26"/>
      <c r="D75" s="26"/>
      <c r="E75" s="26"/>
      <c r="F75" s="26"/>
      <c r="G75" s="26"/>
      <c r="H75" s="26"/>
      <c r="I75" s="26"/>
      <c r="J75" s="26"/>
      <c r="K75" s="26"/>
    </row>
    <row r="76" spans="2:11">
      <c r="B76" s="24"/>
      <c r="C76" s="26"/>
      <c r="D76" s="26"/>
      <c r="E76" s="26"/>
      <c r="F76" s="26"/>
      <c r="G76" s="26"/>
      <c r="H76" s="26"/>
      <c r="I76" s="26"/>
    </row>
    <row r="77" spans="2:11">
      <c r="B77" s="24"/>
      <c r="C77" s="26"/>
      <c r="D77" s="26"/>
      <c r="E77" s="26"/>
      <c r="F77" s="26"/>
      <c r="G77" s="26"/>
      <c r="H77" s="26"/>
      <c r="I77" s="26"/>
    </row>
    <row r="78" spans="2:11">
      <c r="B78" s="24"/>
      <c r="C78" s="26"/>
      <c r="D78" s="26"/>
      <c r="E78" s="26"/>
      <c r="F78" s="26"/>
      <c r="G78" s="26"/>
      <c r="H78" s="26"/>
      <c r="I78" s="26"/>
    </row>
    <row r="79" spans="2:11">
      <c r="B79" s="24"/>
      <c r="C79" s="26"/>
      <c r="D79" s="26"/>
      <c r="E79" s="26"/>
      <c r="F79" s="26"/>
      <c r="G79" s="26"/>
      <c r="H79" s="26"/>
      <c r="I79" s="26"/>
    </row>
    <row r="80" spans="2:11">
      <c r="B80" s="24"/>
      <c r="C80" s="26"/>
      <c r="D80" s="26"/>
      <c r="E80" s="26"/>
      <c r="F80" s="26"/>
      <c r="G80" s="26"/>
      <c r="H80" s="26"/>
      <c r="I80" s="26"/>
    </row>
    <row r="81" spans="2:12">
      <c r="B81" s="24"/>
      <c r="C81" s="26"/>
      <c r="D81" s="26"/>
      <c r="E81" s="26"/>
      <c r="F81" s="26"/>
      <c r="G81" s="26"/>
      <c r="H81" s="26"/>
      <c r="I81" s="26"/>
    </row>
    <row r="82" spans="2:12">
      <c r="B82" s="24"/>
      <c r="C82" s="26"/>
      <c r="D82" s="26"/>
      <c r="E82" s="26"/>
      <c r="F82" s="26"/>
      <c r="G82" s="26"/>
      <c r="H82" s="26"/>
      <c r="I82" s="26"/>
    </row>
    <row r="83" spans="2:12">
      <c r="C83" s="26"/>
      <c r="D83" s="26"/>
      <c r="E83" s="26"/>
      <c r="F83" s="26"/>
      <c r="G83" s="26"/>
      <c r="H83" s="26"/>
      <c r="I83" s="26"/>
    </row>
    <row r="84" spans="2:12">
      <c r="C84" s="6"/>
      <c r="D84" s="23"/>
      <c r="E84" s="23"/>
      <c r="F84" s="23"/>
      <c r="G84" s="23"/>
      <c r="H84" s="23"/>
      <c r="I84" s="23"/>
    </row>
    <row r="85" spans="2:12">
      <c r="C85" s="6"/>
    </row>
    <row r="88" spans="2:12">
      <c r="C88" s="6"/>
      <c r="D88" s="31"/>
      <c r="E88" s="3"/>
      <c r="G88" s="6"/>
    </row>
    <row r="89" spans="2:12">
      <c r="C89" s="6"/>
      <c r="D89" s="31"/>
      <c r="E89" s="3"/>
      <c r="G89" s="6"/>
    </row>
    <row r="90" spans="2:12">
      <c r="E90" s="5"/>
    </row>
    <row r="92" spans="2:12">
      <c r="B92" s="24"/>
      <c r="C92" s="8"/>
      <c r="D92" s="31"/>
      <c r="E92" s="8"/>
      <c r="K92" s="31"/>
      <c r="L92" s="8"/>
    </row>
    <row r="93" spans="2:12">
      <c r="B93" s="24"/>
      <c r="C93" s="8"/>
      <c r="D93" s="31"/>
      <c r="E93" s="8"/>
      <c r="K93" s="31"/>
      <c r="L93" s="8"/>
    </row>
    <row r="94" spans="2:12">
      <c r="B94" s="24"/>
      <c r="C94" s="8"/>
      <c r="D94" s="31"/>
      <c r="E94" s="8"/>
      <c r="K94" s="31"/>
      <c r="L94" s="8"/>
    </row>
    <row r="95" spans="2:12">
      <c r="B95" s="24"/>
      <c r="C95" s="8"/>
      <c r="D95" s="31"/>
      <c r="E95" s="8"/>
      <c r="K95" s="31"/>
      <c r="L95" s="8"/>
    </row>
    <row r="96" spans="2:12">
      <c r="B96" s="24"/>
      <c r="C96" s="8"/>
      <c r="D96" s="31"/>
      <c r="E96" s="8"/>
      <c r="K96" s="31"/>
      <c r="L96" s="8"/>
    </row>
    <row r="97" spans="2:12">
      <c r="B97" s="24"/>
      <c r="C97" s="8"/>
      <c r="D97" s="31"/>
      <c r="E97" s="8"/>
      <c r="K97" s="31"/>
      <c r="L97" s="8"/>
    </row>
    <row r="98" spans="2:12">
      <c r="B98" s="24"/>
      <c r="C98" s="8"/>
      <c r="D98" s="31"/>
      <c r="E98" s="8"/>
      <c r="K98" s="31"/>
      <c r="L98" s="8"/>
    </row>
    <row r="99" spans="2:12">
      <c r="B99" s="24"/>
      <c r="C99" s="8"/>
      <c r="D99" s="31"/>
      <c r="E99" s="8"/>
      <c r="K99" s="31"/>
      <c r="L99" s="8"/>
    </row>
    <row r="100" spans="2:12">
      <c r="B100" s="24"/>
      <c r="C100" s="8"/>
      <c r="D100" s="31"/>
      <c r="E100" s="8"/>
      <c r="K100" s="31"/>
      <c r="L100" s="8"/>
    </row>
    <row r="101" spans="2:12">
      <c r="B101" s="24"/>
      <c r="C101" s="8"/>
      <c r="D101" s="31"/>
      <c r="E101" s="8"/>
      <c r="K101" s="31"/>
      <c r="L101" s="8"/>
    </row>
    <row r="102" spans="2:12">
      <c r="B102" s="24"/>
      <c r="C102" s="8"/>
      <c r="D102" s="31"/>
      <c r="E102" s="8"/>
      <c r="K102" s="31"/>
      <c r="L102" s="8"/>
    </row>
    <row r="103" spans="2:12">
      <c r="B103" s="24"/>
      <c r="C103" s="8"/>
      <c r="D103" s="31"/>
      <c r="E103" s="8"/>
      <c r="K103" s="31"/>
      <c r="L103" s="8"/>
    </row>
    <row r="104" spans="2:12">
      <c r="B104" s="24"/>
      <c r="C104" s="8"/>
      <c r="D104" s="31"/>
      <c r="E104" s="8"/>
      <c r="K104" s="31"/>
      <c r="L104" s="8"/>
    </row>
    <row r="105" spans="2:12">
      <c r="B105" s="24"/>
      <c r="C105" s="8"/>
      <c r="D105" s="31"/>
      <c r="E105" s="8"/>
      <c r="K105" s="31"/>
      <c r="L105" s="8"/>
    </row>
    <row r="106" spans="2:12">
      <c r="B106" s="24"/>
      <c r="D106" s="31"/>
      <c r="E106" s="8"/>
    </row>
    <row r="107" spans="2:12">
      <c r="B107" s="24"/>
      <c r="C107" s="8"/>
      <c r="D107" s="31"/>
      <c r="E107" s="8"/>
      <c r="J107" s="31"/>
      <c r="K107" s="8"/>
    </row>
    <row r="108" spans="2:12">
      <c r="B108" s="24"/>
      <c r="C108" s="8"/>
      <c r="D108" s="31"/>
      <c r="E108" s="8"/>
      <c r="J108" s="31"/>
      <c r="K108" s="8"/>
    </row>
    <row r="109" spans="2:12">
      <c r="B109" s="24"/>
      <c r="C109" s="8"/>
      <c r="D109" s="31"/>
      <c r="E109" s="8"/>
      <c r="J109" s="31"/>
      <c r="K109" s="8"/>
    </row>
    <row r="110" spans="2:12">
      <c r="B110" s="24"/>
      <c r="C110" s="8"/>
      <c r="D110" s="31"/>
      <c r="E110" s="8"/>
      <c r="J110" s="31"/>
      <c r="K110" s="8"/>
    </row>
    <row r="111" spans="2:12">
      <c r="B111" s="24"/>
      <c r="C111" s="8"/>
      <c r="D111" s="31"/>
      <c r="E111" s="8"/>
      <c r="J111" s="31"/>
      <c r="K111" s="8"/>
    </row>
    <row r="112" spans="2:12">
      <c r="B112" s="24"/>
      <c r="C112" s="8"/>
      <c r="D112" s="31"/>
      <c r="E112" s="8"/>
      <c r="J112" s="31"/>
      <c r="K112" s="8"/>
    </row>
    <row r="113" spans="2:11">
      <c r="B113" s="24"/>
      <c r="C113" s="8"/>
      <c r="D113" s="31"/>
      <c r="E113" s="8"/>
      <c r="J113" s="31"/>
      <c r="K113" s="8"/>
    </row>
    <row r="114" spans="2:11">
      <c r="B114" s="24"/>
      <c r="C114" s="8"/>
      <c r="D114" s="31"/>
      <c r="E114" s="8"/>
      <c r="J114" s="31"/>
      <c r="K114" s="8"/>
    </row>
    <row r="115" spans="2:11">
      <c r="B115" s="24"/>
      <c r="C115" s="8"/>
      <c r="D115" s="31"/>
      <c r="E115" s="8"/>
      <c r="J115" s="31"/>
      <c r="K115" s="8"/>
    </row>
    <row r="116" spans="2:11">
      <c r="B116" s="24"/>
      <c r="C116" s="8"/>
      <c r="D116" s="31"/>
      <c r="E116" s="8"/>
      <c r="J116" s="31"/>
      <c r="K116" s="8"/>
    </row>
    <row r="117" spans="2:11">
      <c r="B117" s="24"/>
      <c r="C117" s="8"/>
      <c r="D117" s="31"/>
      <c r="E117" s="8"/>
      <c r="J117" s="31"/>
      <c r="K117" s="8"/>
    </row>
    <row r="118" spans="2:11">
      <c r="B118" s="24"/>
      <c r="C118" s="8"/>
      <c r="D118" s="31"/>
      <c r="E118" s="8"/>
      <c r="J118" s="31"/>
      <c r="K118" s="8"/>
    </row>
    <row r="119" spans="2:11">
      <c r="B119" s="24"/>
      <c r="C119" s="8"/>
      <c r="D119" s="31"/>
      <c r="E119" s="8"/>
      <c r="J119" s="31"/>
      <c r="K119" s="8"/>
    </row>
    <row r="121" spans="2:11">
      <c r="B121" s="5"/>
    </row>
    <row r="123" spans="2:11">
      <c r="B123" s="24"/>
      <c r="C123" s="8"/>
      <c r="D123" s="31"/>
      <c r="E123" s="8"/>
    </row>
    <row r="124" spans="2:11">
      <c r="B124" s="24"/>
      <c r="C124" s="8"/>
      <c r="D124" s="31"/>
      <c r="E124" s="8"/>
    </row>
    <row r="125" spans="2:11">
      <c r="B125" s="24"/>
      <c r="C125" s="8"/>
      <c r="D125" s="31"/>
      <c r="E125" s="8"/>
    </row>
    <row r="126" spans="2:11">
      <c r="B126" s="24"/>
      <c r="C126" s="8"/>
      <c r="D126" s="31"/>
      <c r="E126" s="8"/>
    </row>
    <row r="127" spans="2:11">
      <c r="B127" s="24"/>
      <c r="C127" s="8"/>
      <c r="D127" s="31"/>
      <c r="E127" s="8"/>
    </row>
    <row r="128" spans="2:11">
      <c r="B128" s="24"/>
      <c r="C128" s="8"/>
      <c r="D128" s="31"/>
      <c r="E128" s="8"/>
    </row>
    <row r="129" spans="2:8">
      <c r="B129" s="24"/>
      <c r="C129" s="8"/>
      <c r="D129" s="31"/>
      <c r="E129" s="8"/>
    </row>
    <row r="130" spans="2:8">
      <c r="B130" s="24"/>
      <c r="C130" s="8"/>
      <c r="D130" s="31"/>
      <c r="E130" s="8"/>
    </row>
    <row r="131" spans="2:8">
      <c r="B131" s="24"/>
      <c r="C131" s="8"/>
      <c r="D131" s="31"/>
      <c r="E131" s="8"/>
    </row>
    <row r="132" spans="2:8">
      <c r="B132" s="24"/>
      <c r="C132" s="8"/>
      <c r="D132" s="31"/>
      <c r="E132" s="8"/>
      <c r="H132" s="8"/>
    </row>
    <row r="133" spans="2:8">
      <c r="B133" s="24"/>
      <c r="C133" s="8"/>
      <c r="D133" s="31"/>
      <c r="E133" s="8"/>
      <c r="G133" s="6"/>
    </row>
    <row r="134" spans="2:8">
      <c r="B134" s="24"/>
      <c r="C134" s="8"/>
      <c r="D134" s="31"/>
      <c r="E134" s="8"/>
      <c r="G134" s="6"/>
    </row>
    <row r="135" spans="2:8">
      <c r="B135" s="24"/>
      <c r="C135" s="8"/>
      <c r="D135" s="31"/>
      <c r="E135" s="8"/>
      <c r="G135" s="6"/>
    </row>
  </sheetData>
  <pageMargins left="0.7" right="0.7" top="0.75" bottom="0.75" header="0.3" footer="0.3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6C0E-8995-6948-902E-2F679684282A}">
  <sheetPr>
    <tabColor theme="8" tint="0.39997558519241921"/>
    <pageSetUpPr fitToPage="1"/>
  </sheetPr>
  <dimension ref="A1:AF107"/>
  <sheetViews>
    <sheetView zoomScale="133" workbookViewId="0">
      <pane xSplit="4" ySplit="2" topLeftCell="E95" activePane="bottomRight" state="frozen"/>
      <selection activeCell="A9" sqref="A9"/>
      <selection pane="topRight" activeCell="A9" sqref="A9"/>
      <selection pane="bottomLeft" activeCell="A9" sqref="A9"/>
      <selection pane="bottomRight" activeCell="N102" sqref="N102"/>
    </sheetView>
  </sheetViews>
  <sheetFormatPr defaultColWidth="8.81640625" defaultRowHeight="14.5"/>
  <cols>
    <col min="1" max="1" width="4.453125" customWidth="1"/>
    <col min="2" max="2" width="12.6328125" customWidth="1"/>
    <col min="3" max="3" width="3.6328125" customWidth="1"/>
    <col min="4" max="4" width="6.6328125" customWidth="1"/>
    <col min="5" max="14" width="6.1796875" customWidth="1"/>
    <col min="15" max="21" width="7.6328125" customWidth="1"/>
    <col min="24" max="24" width="9.6328125" customWidth="1"/>
    <col min="25" max="32" width="5.36328125" customWidth="1"/>
  </cols>
  <sheetData>
    <row r="1" spans="1:32" ht="18.5">
      <c r="A1" s="10" t="s">
        <v>76</v>
      </c>
    </row>
    <row r="2" spans="1:32" ht="14" customHeight="1">
      <c r="A2" s="51"/>
      <c r="B2" s="51"/>
      <c r="C2" s="65" t="s">
        <v>55</v>
      </c>
      <c r="D2" s="65" t="s">
        <v>27</v>
      </c>
      <c r="E2" s="51"/>
      <c r="F2" s="52">
        <v>2004</v>
      </c>
      <c r="G2" s="52">
        <v>2005</v>
      </c>
      <c r="H2" s="52">
        <v>2006</v>
      </c>
      <c r="I2" s="52">
        <v>2007</v>
      </c>
      <c r="J2" s="52">
        <v>2008</v>
      </c>
      <c r="K2" s="52">
        <v>2009</v>
      </c>
      <c r="L2" s="52">
        <v>2010</v>
      </c>
      <c r="M2" s="52">
        <v>2011</v>
      </c>
      <c r="N2" s="52">
        <v>2012</v>
      </c>
      <c r="O2" s="53">
        <v>2013</v>
      </c>
      <c r="P2" s="53">
        <v>2014</v>
      </c>
      <c r="Q2" s="53">
        <v>2015</v>
      </c>
      <c r="R2" s="53">
        <v>2016</v>
      </c>
      <c r="S2" s="53">
        <v>2017</v>
      </c>
      <c r="T2" s="53">
        <v>2018</v>
      </c>
      <c r="U2" s="53">
        <v>2019</v>
      </c>
      <c r="V2" s="53"/>
      <c r="W2" s="53"/>
    </row>
    <row r="3" spans="1:32" ht="14" customHeight="1">
      <c r="A3" s="80">
        <v>2003</v>
      </c>
      <c r="B3" s="56"/>
      <c r="C3" s="57">
        <v>1</v>
      </c>
      <c r="D3" s="58">
        <v>17200</v>
      </c>
      <c r="E3" s="56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/>
      <c r="W3" s="56"/>
    </row>
    <row r="4" spans="1:32" ht="14" customHeight="1">
      <c r="A4" s="65"/>
      <c r="B4" s="51" t="s">
        <v>0</v>
      </c>
      <c r="C4" s="51"/>
      <c r="D4" s="55"/>
      <c r="E4" s="51"/>
      <c r="F4" s="60">
        <v>2056.5</v>
      </c>
      <c r="G4" s="60">
        <v>3754</v>
      </c>
      <c r="H4" s="60">
        <v>5223.5</v>
      </c>
      <c r="I4" s="60">
        <v>6147.9</v>
      </c>
      <c r="J4" s="60">
        <v>6341</v>
      </c>
      <c r="K4" s="60">
        <v>5503</v>
      </c>
      <c r="L4" s="60">
        <v>5635.5</v>
      </c>
      <c r="M4" s="60">
        <v>5871</v>
      </c>
      <c r="N4" s="60">
        <v>6034</v>
      </c>
      <c r="O4" s="119">
        <f>N4*(1+'Exh 2 Econ Indicators'!$M$9)</f>
        <v>6203.5612852463873</v>
      </c>
      <c r="P4" s="119">
        <f>O4*(1+'Exh 2 Econ Indicators'!$M$9)</f>
        <v>6377.8874079893612</v>
      </c>
      <c r="Q4" s="119">
        <f>P4*(1+'Exh 2 Econ Indicators'!$M$9)</f>
        <v>6557.1122648099481</v>
      </c>
      <c r="R4" s="119">
        <f>Q4*(1+'Exh 2 Econ Indicators'!$M$9)</f>
        <v>6741.3735149136974</v>
      </c>
      <c r="S4" s="119">
        <f>R4*(1+'Exh 2 Econ Indicators'!$M$9)</f>
        <v>6930.8126858640981</v>
      </c>
      <c r="T4" s="119">
        <f>S4*(1+'Exh 2 Econ Indicators'!$M$9)</f>
        <v>7125.5752822872137</v>
      </c>
      <c r="U4" s="119">
        <f>T4*(1+'Exh 2 Econ Indicators'!$M$9)</f>
        <v>7325.8108976310168</v>
      </c>
      <c r="V4" s="55"/>
      <c r="W4" s="55"/>
      <c r="X4" s="12"/>
    </row>
    <row r="5" spans="1:32" ht="14" customHeight="1">
      <c r="A5" s="65"/>
      <c r="B5" s="51" t="s">
        <v>1</v>
      </c>
      <c r="C5" s="51"/>
      <c r="D5" s="55"/>
      <c r="E5" s="51"/>
      <c r="F5" s="60">
        <v>1462.9</v>
      </c>
      <c r="G5" s="60">
        <v>2308.9</v>
      </c>
      <c r="H5" s="60">
        <v>3018.3</v>
      </c>
      <c r="I5" s="60">
        <v>2393.6</v>
      </c>
      <c r="J5" s="60">
        <v>2753.3</v>
      </c>
      <c r="K5" s="60">
        <v>2311.1999999999998</v>
      </c>
      <c r="L5" s="60">
        <v>2194.1</v>
      </c>
      <c r="M5" s="60">
        <v>2149.6999999999998</v>
      </c>
      <c r="N5" s="60">
        <v>2416</v>
      </c>
      <c r="O5" s="81">
        <f>'Exh 8 Sales Forecasting'!$F$24*O4</f>
        <v>2437.0255880464842</v>
      </c>
      <c r="P5" s="81">
        <f>'Exh 8 Sales Forecasting'!$F$24*P4</f>
        <v>2505.5083840172319</v>
      </c>
      <c r="Q5" s="81">
        <f>'Exh 8 Sales Forecasting'!$F$24*Q4</f>
        <v>2575.915613349277</v>
      </c>
      <c r="R5" s="81">
        <f>'Exh 8 Sales Forecasting'!$F$24*R4</f>
        <v>2648.3013544970627</v>
      </c>
      <c r="S5" s="81">
        <f>'Exh 8 Sales Forecasting'!$F$24*S4</f>
        <v>2722.7212055723476</v>
      </c>
      <c r="T5" s="81">
        <f>'Exh 8 Sales Forecasting'!$F$24*T4</f>
        <v>2799.2323270480583</v>
      </c>
      <c r="U5" s="81">
        <f>'Exh 8 Sales Forecasting'!$F$24*U4</f>
        <v>2877.8934856621627</v>
      </c>
      <c r="V5" s="55"/>
      <c r="W5" s="55"/>
      <c r="X5" s="12"/>
      <c r="Y5" s="60"/>
      <c r="Z5" s="60"/>
      <c r="AA5" s="60"/>
      <c r="AB5" s="60"/>
      <c r="AC5" s="60"/>
      <c r="AD5" s="60"/>
      <c r="AE5" s="60"/>
      <c r="AF5" s="60"/>
    </row>
    <row r="6" spans="1:32" ht="14" customHeight="1">
      <c r="A6" s="65"/>
      <c r="B6" s="51" t="s">
        <v>19</v>
      </c>
      <c r="C6" s="51"/>
      <c r="D6" s="55"/>
      <c r="E6" s="51"/>
      <c r="F6" s="60">
        <v>409.5</v>
      </c>
      <c r="G6" s="60">
        <v>640.20000000000005</v>
      </c>
      <c r="H6" s="60">
        <v>856.7</v>
      </c>
      <c r="I6" s="60">
        <v>855.5</v>
      </c>
      <c r="J6" s="60">
        <v>815.1</v>
      </c>
      <c r="K6" s="60">
        <v>765.1</v>
      </c>
      <c r="L6" s="60">
        <v>766.8</v>
      </c>
      <c r="M6" s="60">
        <v>686.6</v>
      </c>
      <c r="N6" s="60">
        <v>791</v>
      </c>
      <c r="O6" s="81">
        <f>'Exh 8 Sales Forecasting'!$F$36*O4</f>
        <v>843.63109384850554</v>
      </c>
      <c r="P6" s="81">
        <f>'Exh 8 Sales Forecasting'!$F$36*P4</f>
        <v>867.33795041906694</v>
      </c>
      <c r="Q6" s="81">
        <f>'Exh 8 Sales Forecasting'!$F$36*Q4</f>
        <v>891.71099278168276</v>
      </c>
      <c r="R6" s="81">
        <f>'Exh 8 Sales Forecasting'!$F$36*R4</f>
        <v>916.76894140687227</v>
      </c>
      <c r="S6" s="81">
        <f>'Exh 8 Sales Forecasting'!$F$36*S4</f>
        <v>942.53104282863546</v>
      </c>
      <c r="T6" s="81">
        <f>'Exh 8 Sales Forecasting'!$F$36*T4</f>
        <v>969.01708442734946</v>
      </c>
      <c r="U6" s="81">
        <f>'Exh 8 Sales Forecasting'!$F$36*U4</f>
        <v>996.24740962808005</v>
      </c>
      <c r="V6" s="55"/>
      <c r="W6" s="55"/>
      <c r="X6" s="12"/>
      <c r="Y6" s="51"/>
      <c r="Z6" s="60"/>
      <c r="AA6" s="60"/>
      <c r="AB6" s="60"/>
      <c r="AC6" s="60"/>
      <c r="AD6" s="60"/>
      <c r="AE6" s="60"/>
      <c r="AF6" s="60"/>
    </row>
    <row r="7" spans="1:32" ht="14" customHeight="1">
      <c r="A7" s="65"/>
      <c r="B7" s="51" t="s">
        <v>16</v>
      </c>
      <c r="C7" s="51"/>
      <c r="D7" s="55"/>
      <c r="E7" s="51"/>
      <c r="F7" s="60">
        <v>203.4</v>
      </c>
      <c r="G7" s="60">
        <v>334.1</v>
      </c>
      <c r="H7" s="60">
        <v>399.3</v>
      </c>
      <c r="I7" s="60">
        <v>434.1</v>
      </c>
      <c r="J7" s="60">
        <v>421.9</v>
      </c>
      <c r="K7" s="60">
        <v>422.9</v>
      </c>
      <c r="L7" s="60">
        <v>391</v>
      </c>
      <c r="M7" s="60">
        <v>401.2</v>
      </c>
      <c r="N7" s="60">
        <v>457</v>
      </c>
      <c r="O7" s="81">
        <f>'Exh 8 Sales Forecasting'!$F$48*O4</f>
        <v>444.34677158623333</v>
      </c>
      <c r="P7" s="81">
        <f>'Exh 8 Sales Forecasting'!$F$48*P4</f>
        <v>456.83334926028778</v>
      </c>
      <c r="Q7" s="81">
        <f>'Exh 8 Sales Forecasting'!$F$48*Q4</f>
        <v>469.6708119457345</v>
      </c>
      <c r="R7" s="81">
        <f>'Exh 8 Sales Forecasting'!$F$48*R4</f>
        <v>482.86901985362863</v>
      </c>
      <c r="S7" s="81">
        <f>'Exh 8 Sales Forecasting'!$F$48*S4</f>
        <v>496.43811027657262</v>
      </c>
      <c r="T7" s="81">
        <f>'Exh 8 Sales Forecasting'!$F$48*T4</f>
        <v>510.38850537497888</v>
      </c>
      <c r="U7" s="81">
        <f>'Exh 8 Sales Forecasting'!$F$48*U4</f>
        <v>524.73092018213231</v>
      </c>
      <c r="V7" s="55"/>
      <c r="W7" s="55"/>
      <c r="X7" s="12"/>
      <c r="Y7" s="51"/>
      <c r="Z7" s="51"/>
      <c r="AA7" s="60"/>
      <c r="AB7" s="60"/>
      <c r="AC7" s="60"/>
      <c r="AD7" s="60"/>
      <c r="AE7" s="60"/>
      <c r="AF7" s="60"/>
    </row>
    <row r="8" spans="1:32" ht="14" customHeight="1">
      <c r="A8" s="65"/>
      <c r="B8" s="51" t="s">
        <v>17</v>
      </c>
      <c r="C8" s="51"/>
      <c r="D8" s="55"/>
      <c r="E8" s="51"/>
      <c r="F8" s="60">
        <f>SUM('Exh 6 Stores BS'!A4:E4)/5</f>
        <v>71.599999999999994</v>
      </c>
      <c r="G8" s="60">
        <f>SUM('Exh 6 Stores BS'!B4:F4)/5</f>
        <v>71.599999999999994</v>
      </c>
      <c r="H8" s="60">
        <f>SUM('Exh 6 Stores BS'!C4:G4)/5</f>
        <v>71.599999999999994</v>
      </c>
      <c r="I8" s="60">
        <f>SUM('Exh 6 Stores BS'!D4:H4)/5</f>
        <v>71.599999999999994</v>
      </c>
      <c r="J8" s="60">
        <f>SUM('Exh 6 Stores BS'!E4:I4)/5</f>
        <v>71.599999999999994</v>
      </c>
      <c r="K8" s="60">
        <f>SUM('Exh 6 Stores BS'!F4:J4)/5</f>
        <v>0</v>
      </c>
      <c r="L8" s="60">
        <f>SUM('Exh 6 Stores BS'!G4:K4)/5</f>
        <v>0</v>
      </c>
      <c r="M8" s="60">
        <f>SUM('Exh 6 Stores BS'!H4:L4)/5</f>
        <v>0</v>
      </c>
      <c r="N8" s="60">
        <f>SUM('Exh 6 Stores BS'!I4:M4)/5</f>
        <v>64.88</v>
      </c>
      <c r="O8" s="93">
        <f>SUM('Exh 6 Stores BS'!J4:N4)/5</f>
        <v>64.88</v>
      </c>
      <c r="P8" s="93">
        <f>SUM('Exh 6 Stores BS'!K4:O4)/5</f>
        <v>64.88</v>
      </c>
      <c r="Q8" s="93">
        <f>SUM('Exh 6 Stores BS'!L4:P4)/5</f>
        <v>64.88</v>
      </c>
      <c r="R8" s="93">
        <f>SUM('Exh 6 Stores BS'!M4:Q4)/5</f>
        <v>64.88</v>
      </c>
      <c r="S8" s="93">
        <v>0</v>
      </c>
      <c r="T8" s="93">
        <v>0</v>
      </c>
      <c r="U8" s="82">
        <v>0</v>
      </c>
      <c r="V8" s="62"/>
      <c r="W8" s="62"/>
      <c r="X8" s="12"/>
      <c r="Y8" s="51"/>
      <c r="Z8" s="51"/>
      <c r="AA8" s="51"/>
      <c r="AB8" s="60"/>
      <c r="AC8" s="60"/>
      <c r="AD8" s="60"/>
      <c r="AE8" s="60"/>
      <c r="AF8" s="60"/>
    </row>
    <row r="9" spans="1:32" ht="14" customHeight="1">
      <c r="A9" s="65"/>
      <c r="B9" s="51" t="s">
        <v>10</v>
      </c>
      <c r="C9" s="51"/>
      <c r="D9" s="55"/>
      <c r="E9" s="63"/>
      <c r="F9" s="60">
        <v>250</v>
      </c>
      <c r="G9" s="60">
        <f>F9</f>
        <v>250</v>
      </c>
      <c r="H9" s="60">
        <f>G9</f>
        <v>250</v>
      </c>
      <c r="I9" s="60">
        <f>H9</f>
        <v>250</v>
      </c>
      <c r="J9" s="60">
        <f>I9</f>
        <v>250</v>
      </c>
      <c r="K9" s="60">
        <f>J9</f>
        <v>250</v>
      </c>
      <c r="L9" s="60">
        <v>302</v>
      </c>
      <c r="M9" s="60">
        <f>L9</f>
        <v>302</v>
      </c>
      <c r="N9" s="60">
        <f>M9</f>
        <v>302</v>
      </c>
      <c r="O9" s="93">
        <f>N9</f>
        <v>302</v>
      </c>
      <c r="P9" s="93">
        <f t="shared" ref="P9:Q9" si="0">O9</f>
        <v>302</v>
      </c>
      <c r="Q9" s="93">
        <f t="shared" si="0"/>
        <v>302</v>
      </c>
      <c r="R9" s="93">
        <f>Q9*(1+2%)^6</f>
        <v>340.10105061772805</v>
      </c>
      <c r="S9" s="93">
        <f>R9</f>
        <v>340.10105061772805</v>
      </c>
      <c r="T9" s="93">
        <f t="shared" ref="T9:U9" si="1">S9</f>
        <v>340.10105061772805</v>
      </c>
      <c r="U9" s="82">
        <f t="shared" si="1"/>
        <v>340.10105061772805</v>
      </c>
      <c r="V9" s="59"/>
      <c r="W9" s="59"/>
      <c r="X9" s="12"/>
      <c r="Y9" s="51"/>
      <c r="Z9" s="51"/>
      <c r="AA9" s="51"/>
      <c r="AB9" s="51"/>
      <c r="AC9" s="60"/>
      <c r="AD9" s="60"/>
      <c r="AE9" s="60"/>
      <c r="AF9" s="60"/>
    </row>
    <row r="10" spans="1:32" ht="14" customHeight="1">
      <c r="A10" s="80">
        <v>2004</v>
      </c>
      <c r="B10" s="56"/>
      <c r="C10" s="57">
        <v>3</v>
      </c>
      <c r="D10" s="58">
        <v>17600</v>
      </c>
      <c r="E10" s="56"/>
      <c r="F10" s="56"/>
      <c r="G10" s="56">
        <v>1</v>
      </c>
      <c r="H10" s="56">
        <v>2</v>
      </c>
      <c r="I10" s="56">
        <v>3</v>
      </c>
      <c r="J10" s="56">
        <v>4</v>
      </c>
      <c r="K10" s="56">
        <v>5</v>
      </c>
      <c r="L10" s="56">
        <v>6</v>
      </c>
      <c r="M10" s="56">
        <v>7</v>
      </c>
      <c r="N10" s="56">
        <v>8</v>
      </c>
      <c r="O10" s="56">
        <v>9</v>
      </c>
      <c r="P10" s="56">
        <v>10</v>
      </c>
      <c r="Q10" s="56">
        <v>11</v>
      </c>
      <c r="R10" s="56">
        <v>12</v>
      </c>
      <c r="S10" s="56">
        <v>13</v>
      </c>
      <c r="T10" s="56">
        <v>14</v>
      </c>
      <c r="U10" s="56">
        <v>15</v>
      </c>
      <c r="V10" s="56"/>
      <c r="W10" s="56"/>
      <c r="X10" s="12"/>
      <c r="Y10" s="51"/>
      <c r="Z10" s="51"/>
      <c r="AA10" s="51"/>
      <c r="AB10" s="51"/>
      <c r="AC10" s="51"/>
      <c r="AD10" s="60"/>
      <c r="AE10" s="60"/>
      <c r="AF10" s="60"/>
    </row>
    <row r="11" spans="1:32" ht="14" customHeight="1">
      <c r="A11" s="65"/>
      <c r="B11" s="51" t="s">
        <v>0</v>
      </c>
      <c r="C11" s="51"/>
      <c r="D11" s="55"/>
      <c r="E11" s="51"/>
      <c r="F11" s="51"/>
      <c r="G11" s="60">
        <v>6661</v>
      </c>
      <c r="H11" s="60">
        <v>11907.4</v>
      </c>
      <c r="I11" s="60">
        <v>15157.8</v>
      </c>
      <c r="J11" s="60">
        <v>16487.5</v>
      </c>
      <c r="K11" s="60">
        <v>15445.6</v>
      </c>
      <c r="L11" s="60">
        <v>16187.3</v>
      </c>
      <c r="M11" s="60">
        <v>17278.900000000001</v>
      </c>
      <c r="N11" s="60">
        <v>17868.5</v>
      </c>
      <c r="O11" s="119">
        <f>N11*(1+'Exh 2 Econ Indicators'!$M$9)</f>
        <v>18370.622277995535</v>
      </c>
      <c r="P11" s="119">
        <f>O11*(1+'Exh 2 Econ Indicators'!$M$9)</f>
        <v>18886.854681746419</v>
      </c>
      <c r="Q11" s="119">
        <f>P11*(1+'Exh 2 Econ Indicators'!$M$9)</f>
        <v>19417.593719548651</v>
      </c>
      <c r="R11" s="119">
        <f>Q11*(1+'Exh 2 Econ Indicators'!$M$9)</f>
        <v>19963.247041968079</v>
      </c>
      <c r="S11" s="119">
        <f>R11*(1+'Exh 2 Econ Indicators'!$M$9)</f>
        <v>20524.233754949062</v>
      </c>
      <c r="T11" s="119">
        <f>S11*(1+'Exh 2 Econ Indicators'!$M$9)</f>
        <v>21100.984741721757</v>
      </c>
      <c r="U11" s="119">
        <f>T11*(1+'Exh 2 Econ Indicators'!$M$9)</f>
        <v>21693.942993755358</v>
      </c>
      <c r="V11" s="55"/>
      <c r="W11" s="55"/>
    </row>
    <row r="12" spans="1:32" ht="14" customHeight="1">
      <c r="A12" s="65"/>
      <c r="B12" s="51" t="s">
        <v>1</v>
      </c>
      <c r="C12" s="51"/>
      <c r="D12" s="55"/>
      <c r="E12" s="51"/>
      <c r="F12" s="51"/>
      <c r="G12" s="60">
        <v>4747.8</v>
      </c>
      <c r="H12" s="60">
        <v>7427.7</v>
      </c>
      <c r="I12" s="60">
        <v>7893.7</v>
      </c>
      <c r="J12" s="60">
        <v>7216.3</v>
      </c>
      <c r="K12" s="60">
        <v>6031.4</v>
      </c>
      <c r="L12" s="60">
        <v>6675</v>
      </c>
      <c r="M12" s="60">
        <v>6691.1</v>
      </c>
      <c r="N12" s="60">
        <v>7175.9</v>
      </c>
      <c r="O12" s="81">
        <f>'Exh 8 Sales Forecasting'!$F$24*O11</f>
        <v>7216.7702552218425</v>
      </c>
      <c r="P12" s="81">
        <f>'Exh 8 Sales Forecasting'!$F$24*P11</f>
        <v>7419.5685382518914</v>
      </c>
      <c r="Q12" s="81">
        <f>'Exh 8 Sales Forecasting'!$F$24*Q11</f>
        <v>7628.0656508338679</v>
      </c>
      <c r="R12" s="81">
        <f>'Exh 8 Sales Forecasting'!$F$24*R11</f>
        <v>7842.4217356365198</v>
      </c>
      <c r="S12" s="81">
        <f>'Exh 8 Sales Forecasting'!$F$24*S11</f>
        <v>8062.8014354937841</v>
      </c>
      <c r="T12" s="81">
        <f>'Exh 8 Sales Forecasting'!$F$24*T11</f>
        <v>8289.3740198638116</v>
      </c>
      <c r="U12" s="81">
        <f>'Exh 8 Sales Forecasting'!$F$24*U11</f>
        <v>8522.3135148416222</v>
      </c>
      <c r="V12" s="55"/>
      <c r="W12" s="55"/>
    </row>
    <row r="13" spans="1:32" ht="14" customHeight="1">
      <c r="A13" s="65"/>
      <c r="B13" s="51" t="s">
        <v>19</v>
      </c>
      <c r="C13" s="51"/>
      <c r="D13" s="55"/>
      <c r="E13" s="51"/>
      <c r="F13" s="51"/>
      <c r="G13" s="60">
        <v>1171.3</v>
      </c>
      <c r="H13" s="60">
        <v>2147.6999999999998</v>
      </c>
      <c r="I13" s="60">
        <v>2631.4</v>
      </c>
      <c r="J13" s="60">
        <v>2323.4</v>
      </c>
      <c r="K13" s="60">
        <v>2238.6</v>
      </c>
      <c r="L13" s="60">
        <v>2224.1999999999998</v>
      </c>
      <c r="M13" s="60">
        <v>2394.6999999999998</v>
      </c>
      <c r="N13" s="60">
        <v>2318.6999999999998</v>
      </c>
      <c r="O13" s="81">
        <f>'Exh 8 Sales Forecasting'!$F$36*O11</f>
        <v>2498.2469672575435</v>
      </c>
      <c r="P13" s="81">
        <f>'Exh 8 Sales Forecasting'!$F$36*P11</f>
        <v>2568.4501436962373</v>
      </c>
      <c r="Q13" s="81">
        <f>'Exh 8 Sales Forecasting'!$F$36*Q11</f>
        <v>2640.6260978653463</v>
      </c>
      <c r="R13" s="81">
        <f>'Exh 8 Sales Forecasting'!$F$36*R11</f>
        <v>2714.8302667432376</v>
      </c>
      <c r="S13" s="81">
        <f>'Exh 8 Sales Forecasting'!$F$36*S11</f>
        <v>2791.1196451414439</v>
      </c>
      <c r="T13" s="81">
        <f>'Exh 8 Sales Forecasting'!$F$36*T11</f>
        <v>2869.5528294812884</v>
      </c>
      <c r="U13" s="81">
        <f>'Exh 8 Sales Forecasting'!$F$36*U11</f>
        <v>2950.1900628006879</v>
      </c>
      <c r="V13" s="55"/>
      <c r="W13" s="55"/>
    </row>
    <row r="14" spans="1:32" ht="14" customHeight="1">
      <c r="A14" s="65"/>
      <c r="B14" s="51" t="s">
        <v>16</v>
      </c>
      <c r="C14" s="51"/>
      <c r="D14" s="55"/>
      <c r="E14" s="51"/>
      <c r="F14" s="51"/>
      <c r="G14" s="60">
        <v>684.6</v>
      </c>
      <c r="H14" s="60">
        <v>970.6</v>
      </c>
      <c r="I14" s="60">
        <v>1265.5999999999999</v>
      </c>
      <c r="J14" s="60">
        <v>1213</v>
      </c>
      <c r="K14" s="60">
        <v>1235</v>
      </c>
      <c r="L14" s="60">
        <v>1241</v>
      </c>
      <c r="M14" s="60">
        <v>1245</v>
      </c>
      <c r="N14" s="60">
        <v>1287</v>
      </c>
      <c r="O14" s="81">
        <f>'Exh 8 Sales Forecasting'!$F$48*O11</f>
        <v>1315.8452582181985</v>
      </c>
      <c r="P14" s="81">
        <f>'Exh 8 Sales Forecasting'!$F$48*P11</f>
        <v>1352.8217933804194</v>
      </c>
      <c r="Q14" s="81">
        <f>'Exh 8 Sales Forecasting'!$F$48*Q11</f>
        <v>1390.8374052456675</v>
      </c>
      <c r="R14" s="81">
        <f>'Exh 8 Sales Forecasting'!$F$48*R11</f>
        <v>1429.9212928827581</v>
      </c>
      <c r="S14" s="81">
        <f>'Exh 8 Sales Forecasting'!$F$48*S11</f>
        <v>1470.1034758828205</v>
      </c>
      <c r="T14" s="81">
        <f>'Exh 8 Sales Forecasting'!$F$48*T11</f>
        <v>1511.4148174167733</v>
      </c>
      <c r="U14" s="81">
        <f>'Exh 8 Sales Forecasting'!$F$48*U11</f>
        <v>1553.8870479407412</v>
      </c>
      <c r="V14" s="55"/>
      <c r="W14" s="55"/>
    </row>
    <row r="15" spans="1:32" ht="14" customHeight="1">
      <c r="A15" s="65"/>
      <c r="B15" s="51" t="s">
        <v>17</v>
      </c>
      <c r="C15" s="51"/>
      <c r="D15" s="55"/>
      <c r="E15" s="51"/>
      <c r="F15" s="59"/>
      <c r="G15" s="60">
        <f>SUM('Exh 6 Stores BS'!B11:F11)/5</f>
        <v>235</v>
      </c>
      <c r="H15" s="60">
        <f>SUM('Exh 6 Stores BS'!C11:G11)/5</f>
        <v>235</v>
      </c>
      <c r="I15" s="60">
        <f>SUM('Exh 6 Stores BS'!D11:H11)/5</f>
        <v>235</v>
      </c>
      <c r="J15" s="60">
        <f>SUM('Exh 6 Stores BS'!E11:I11)/5</f>
        <v>235</v>
      </c>
      <c r="K15" s="60">
        <f>SUM('Exh 6 Stores BS'!F11:J11)/5</f>
        <v>235</v>
      </c>
      <c r="L15" s="60">
        <f>SUM('Exh 6 Stores BS'!G11:K11)/5</f>
        <v>0</v>
      </c>
      <c r="M15" s="60">
        <f>SUM('Exh 6 Stores BS'!H11:L11)/5</f>
        <v>0</v>
      </c>
      <c r="N15" s="60">
        <f>SUM('Exh 6 Stores BS'!I11:M11)/5</f>
        <v>0</v>
      </c>
      <c r="O15" s="93">
        <f>'Exh 6 Stores BS'!$N$11/5</f>
        <v>187.12</v>
      </c>
      <c r="P15" s="93">
        <f>'Exh 6 Stores BS'!$N$11/5</f>
        <v>187.12</v>
      </c>
      <c r="Q15" s="93">
        <f>'Exh 6 Stores BS'!$N$11/5</f>
        <v>187.12</v>
      </c>
      <c r="R15" s="93">
        <f>'Exh 6 Stores BS'!$N$11/5</f>
        <v>187.12</v>
      </c>
      <c r="S15" s="93">
        <f>'Exh 6 Stores BS'!$N$11/5</f>
        <v>187.12</v>
      </c>
      <c r="T15" s="93">
        <v>0</v>
      </c>
      <c r="U15" s="59">
        <v>0</v>
      </c>
      <c r="V15" s="59"/>
      <c r="W15" s="59"/>
    </row>
    <row r="16" spans="1:32" ht="14" customHeight="1">
      <c r="A16" s="65"/>
      <c r="B16" s="51" t="s">
        <v>10</v>
      </c>
      <c r="C16" s="51"/>
      <c r="D16" s="55"/>
      <c r="E16" s="63"/>
      <c r="F16" s="64"/>
      <c r="G16" s="60">
        <v>830</v>
      </c>
      <c r="H16" s="60">
        <f>G16</f>
        <v>830</v>
      </c>
      <c r="I16" s="60">
        <f>H16</f>
        <v>830</v>
      </c>
      <c r="J16" s="60">
        <f>I16</f>
        <v>830</v>
      </c>
      <c r="K16" s="60">
        <f>J16</f>
        <v>830</v>
      </c>
      <c r="L16" s="60">
        <f>K16</f>
        <v>830</v>
      </c>
      <c r="M16" s="60">
        <v>1003</v>
      </c>
      <c r="N16" s="60">
        <f>M16</f>
        <v>1003</v>
      </c>
      <c r="O16" s="93">
        <f>N16</f>
        <v>1003</v>
      </c>
      <c r="P16" s="93">
        <f t="shared" ref="P16:R16" si="2">O16</f>
        <v>1003</v>
      </c>
      <c r="Q16" s="93">
        <f t="shared" si="2"/>
        <v>1003</v>
      </c>
      <c r="R16" s="93">
        <f t="shared" si="2"/>
        <v>1003</v>
      </c>
      <c r="S16" s="93">
        <f>R16*(1+2%)^6</f>
        <v>1129.5409065217921</v>
      </c>
      <c r="T16" s="93">
        <f>S16</f>
        <v>1129.5409065217921</v>
      </c>
      <c r="U16" s="82">
        <f>T16</f>
        <v>1129.5409065217921</v>
      </c>
      <c r="V16" s="62"/>
      <c r="W16" s="62"/>
    </row>
    <row r="17" spans="1:32" ht="14" customHeight="1">
      <c r="A17" s="80">
        <v>2005</v>
      </c>
      <c r="B17" s="56"/>
      <c r="C17" s="57">
        <v>4</v>
      </c>
      <c r="D17" s="58">
        <v>18500</v>
      </c>
      <c r="E17" s="56"/>
      <c r="F17" s="56"/>
      <c r="G17" s="56"/>
      <c r="H17" s="56">
        <v>1</v>
      </c>
      <c r="I17" s="56">
        <v>2</v>
      </c>
      <c r="J17" s="56">
        <v>3</v>
      </c>
      <c r="K17" s="56">
        <v>4</v>
      </c>
      <c r="L17" s="56">
        <v>5</v>
      </c>
      <c r="M17" s="56">
        <v>6</v>
      </c>
      <c r="N17" s="56">
        <v>7</v>
      </c>
      <c r="O17" s="56">
        <v>8</v>
      </c>
      <c r="P17" s="56">
        <v>9</v>
      </c>
      <c r="Q17" s="56">
        <v>10</v>
      </c>
      <c r="R17" s="56">
        <v>11</v>
      </c>
      <c r="S17" s="56">
        <v>12</v>
      </c>
      <c r="T17" s="56">
        <v>13</v>
      </c>
      <c r="U17" s="56">
        <v>14</v>
      </c>
      <c r="V17" s="56"/>
      <c r="W17" s="56"/>
    </row>
    <row r="18" spans="1:32" ht="14" customHeight="1">
      <c r="A18" s="65"/>
      <c r="B18" s="51" t="s">
        <v>0</v>
      </c>
      <c r="C18" s="51"/>
      <c r="D18" s="55"/>
      <c r="E18" s="51"/>
      <c r="F18" s="51"/>
      <c r="G18" s="51"/>
      <c r="H18" s="60">
        <v>9569.7000000000007</v>
      </c>
      <c r="I18" s="60">
        <v>16651</v>
      </c>
      <c r="J18" s="60">
        <v>19785.099999999999</v>
      </c>
      <c r="K18" s="60">
        <v>20950.599999999999</v>
      </c>
      <c r="L18" s="60">
        <v>22847</v>
      </c>
      <c r="M18" s="60">
        <v>24450.9</v>
      </c>
      <c r="N18" s="60">
        <v>24499.4</v>
      </c>
      <c r="O18" s="119">
        <f>N18*(1+'Exh 2 Econ Indicators'!$M$9)</f>
        <v>25187.857035426805</v>
      </c>
      <c r="P18" s="119">
        <f>O18*(1+'Exh 2 Econ Indicators'!$M$9)</f>
        <v>25895.660385033902</v>
      </c>
      <c r="Q18" s="119">
        <f>P18*(1+'Exh 2 Econ Indicators'!$M$9)</f>
        <v>26623.353699119136</v>
      </c>
      <c r="R18" s="119">
        <f>Q18*(1+'Exh 2 Econ Indicators'!$M$9)</f>
        <v>27371.495905083968</v>
      </c>
      <c r="S18" s="119">
        <f>R18*(1+'Exh 2 Econ Indicators'!$M$9)</f>
        <v>28140.661636734989</v>
      </c>
      <c r="T18" s="119">
        <f>S18*(1+'Exh 2 Econ Indicators'!$M$9)</f>
        <v>28931.441675649221</v>
      </c>
      <c r="U18" s="119">
        <f>T18*(1+'Exh 2 Econ Indicators'!$M$9)</f>
        <v>29744.44340494222</v>
      </c>
      <c r="V18" s="55"/>
      <c r="W18" s="55"/>
    </row>
    <row r="19" spans="1:32" ht="14" customHeight="1">
      <c r="A19" s="65"/>
      <c r="B19" s="51" t="s">
        <v>1</v>
      </c>
      <c r="C19" s="51"/>
      <c r="D19" s="55"/>
      <c r="E19" s="51"/>
      <c r="F19" s="51"/>
      <c r="G19" s="51"/>
      <c r="H19" s="60">
        <v>6977.8</v>
      </c>
      <c r="I19" s="60">
        <v>10916.8</v>
      </c>
      <c r="J19" s="60">
        <v>11430.2</v>
      </c>
      <c r="K19" s="60">
        <v>8499.1</v>
      </c>
      <c r="L19" s="60">
        <v>9387.2999999999993</v>
      </c>
      <c r="M19" s="60">
        <v>9856.7999999999993</v>
      </c>
      <c r="N19" s="60">
        <v>9041.7999999999993</v>
      </c>
      <c r="O19" s="81">
        <f>'Exh 8 Sales Forecasting'!$F$24*O18</f>
        <v>9894.8731673493585</v>
      </c>
      <c r="P19" s="81">
        <f>'Exh 8 Sales Forecasting'!$F$24*P18</f>
        <v>10172.928754290981</v>
      </c>
      <c r="Q19" s="81">
        <f>'Exh 8 Sales Forecasting'!$F$24*Q18</f>
        <v>10458.797974426465</v>
      </c>
      <c r="R19" s="81">
        <f>'Exh 8 Sales Forecasting'!$F$24*R18</f>
        <v>10752.700398469564</v>
      </c>
      <c r="S19" s="81">
        <f>'Exh 8 Sales Forecasting'!$F$24*S18</f>
        <v>11054.861767285249</v>
      </c>
      <c r="T19" s="81">
        <f>'Exh 8 Sales Forecasting'!$F$24*T18</f>
        <v>11365.514165276967</v>
      </c>
      <c r="U19" s="81">
        <f>'Exh 8 Sales Forecasting'!$F$24*U18</f>
        <v>11684.896198646269</v>
      </c>
      <c r="V19" s="55"/>
      <c r="W19" s="55"/>
    </row>
    <row r="20" spans="1:32" ht="14" customHeight="1">
      <c r="A20" s="65"/>
      <c r="B20" s="51" t="s">
        <v>19</v>
      </c>
      <c r="C20" s="51"/>
      <c r="D20" s="55"/>
      <c r="E20" s="51"/>
      <c r="F20" s="51"/>
      <c r="G20" s="55"/>
      <c r="H20" s="60">
        <v>1953.2</v>
      </c>
      <c r="I20" s="60">
        <v>2976.6</v>
      </c>
      <c r="J20" s="60">
        <v>3371.2</v>
      </c>
      <c r="K20" s="60">
        <v>3039.2</v>
      </c>
      <c r="L20" s="60">
        <v>3020.6</v>
      </c>
      <c r="M20" s="60">
        <v>3228.4</v>
      </c>
      <c r="N20" s="60">
        <v>3693</v>
      </c>
      <c r="O20" s="81">
        <f>'Exh 8 Sales Forecasting'!$F$36*O18</f>
        <v>3425.3323865813845</v>
      </c>
      <c r="P20" s="81">
        <f>'Exh 8 Sales Forecasting'!$F$36*P18</f>
        <v>3521.5875675334587</v>
      </c>
      <c r="Q20" s="81">
        <f>'Exh 8 Sales Forecasting'!$F$36*Q18</f>
        <v>3620.5476129525291</v>
      </c>
      <c r="R20" s="81">
        <f>'Exh 8 Sales Forecasting'!$F$36*R18</f>
        <v>3722.2885321683016</v>
      </c>
      <c r="S20" s="81">
        <f>'Exh 8 Sales Forecasting'!$F$36*S18</f>
        <v>3826.888470446781</v>
      </c>
      <c r="T20" s="81">
        <f>'Exh 8 Sales Forecasting'!$F$36*T18</f>
        <v>3934.4277690121662</v>
      </c>
      <c r="U20" s="81">
        <f>'Exh 8 Sales Forecasting'!$F$36*U18</f>
        <v>4044.9890267554174</v>
      </c>
      <c r="V20" s="55"/>
      <c r="W20" s="55"/>
    </row>
    <row r="21" spans="1:32" ht="14" customHeight="1">
      <c r="A21" s="65"/>
      <c r="B21" s="51" t="s">
        <v>16</v>
      </c>
      <c r="C21" s="51"/>
      <c r="D21" s="55"/>
      <c r="E21" s="51"/>
      <c r="F21" s="51"/>
      <c r="G21" s="55"/>
      <c r="H21" s="60">
        <v>1040.9000000000001</v>
      </c>
      <c r="I21" s="60">
        <v>1487.6</v>
      </c>
      <c r="J21" s="60">
        <v>1587.2</v>
      </c>
      <c r="K21" s="60">
        <v>1598</v>
      </c>
      <c r="L21" s="60">
        <v>1605.4</v>
      </c>
      <c r="M21" s="60">
        <v>1645</v>
      </c>
      <c r="N21" s="60">
        <v>1793.4</v>
      </c>
      <c r="O21" s="81">
        <f>'Exh 8 Sales Forecasting'!$F$48*O18</f>
        <v>1804.148043718887</v>
      </c>
      <c r="P21" s="81">
        <f>'Exh 8 Sales Forecasting'!$F$48*P18</f>
        <v>1854.8463634185439</v>
      </c>
      <c r="Q21" s="81">
        <f>'Exh 8 Sales Forecasting'!$F$48*Q18</f>
        <v>1906.969355350237</v>
      </c>
      <c r="R21" s="81">
        <f>'Exh 8 Sales Forecasting'!$F$48*R18</f>
        <v>1960.5570541932368</v>
      </c>
      <c r="S21" s="81">
        <f>'Exh 8 Sales Forecasting'!$F$48*S18</f>
        <v>2015.6506196403491</v>
      </c>
      <c r="T21" s="81">
        <f>'Exh 8 Sales Forecasting'!$F$48*T18</f>
        <v>2072.2923680118924</v>
      </c>
      <c r="U21" s="81">
        <f>'Exh 8 Sales Forecasting'!$F$48*U18</f>
        <v>2130.5258047580601</v>
      </c>
      <c r="V21" s="55"/>
      <c r="W21" s="55"/>
    </row>
    <row r="22" spans="1:32" ht="14" customHeight="1">
      <c r="A22" s="65"/>
      <c r="B22" s="51" t="s">
        <v>17</v>
      </c>
      <c r="C22" s="51"/>
      <c r="D22" s="55"/>
      <c r="E22" s="51"/>
      <c r="F22" s="59"/>
      <c r="G22" s="59"/>
      <c r="H22" s="60">
        <f>SUM('Exh 6 Stores BS'!C18:G18)/5</f>
        <v>362.8</v>
      </c>
      <c r="I22" s="60">
        <f>SUM('Exh 6 Stores BS'!D18:H18)/5</f>
        <v>362.8</v>
      </c>
      <c r="J22" s="60">
        <f>SUM('Exh 6 Stores BS'!E18:I18)/5</f>
        <v>362.8</v>
      </c>
      <c r="K22" s="60">
        <f>SUM('Exh 6 Stores BS'!F18:J18)/5</f>
        <v>362.8</v>
      </c>
      <c r="L22" s="60">
        <f>SUM('Exh 6 Stores BS'!G18:K18)/5</f>
        <v>362.8</v>
      </c>
      <c r="M22" s="60">
        <f>SUM('Exh 6 Stores BS'!H18:L18)/5</f>
        <v>0</v>
      </c>
      <c r="N22" s="60">
        <f>SUM('Exh 6 Stores BS'!I18:M18)/5</f>
        <v>0</v>
      </c>
      <c r="O22" s="59">
        <v>0</v>
      </c>
      <c r="P22" s="59">
        <f>'Exh 6 Stores BS'!O18/5</f>
        <v>301.26559479333326</v>
      </c>
      <c r="Q22" s="59">
        <f>P22</f>
        <v>301.26559479333326</v>
      </c>
      <c r="R22" s="59">
        <f t="shared" ref="R22:T22" si="3">Q22</f>
        <v>301.26559479333326</v>
      </c>
      <c r="S22" s="59">
        <f t="shared" si="3"/>
        <v>301.26559479333326</v>
      </c>
      <c r="T22" s="59">
        <f t="shared" si="3"/>
        <v>301.26559479333326</v>
      </c>
      <c r="U22" s="59">
        <v>0</v>
      </c>
      <c r="V22" s="59"/>
      <c r="W22" s="59"/>
    </row>
    <row r="23" spans="1:32" ht="14" customHeight="1">
      <c r="A23" s="65"/>
      <c r="B23" s="51" t="s">
        <v>10</v>
      </c>
      <c r="C23" s="51"/>
      <c r="D23" s="55"/>
      <c r="E23" s="63"/>
      <c r="F23" s="59"/>
      <c r="G23" s="59"/>
      <c r="H23" s="60">
        <v>1250</v>
      </c>
      <c r="I23" s="60">
        <f>H23</f>
        <v>1250</v>
      </c>
      <c r="J23" s="60">
        <f>I23</f>
        <v>1250</v>
      </c>
      <c r="K23" s="60">
        <f>J23</f>
        <v>1250</v>
      </c>
      <c r="L23" s="60">
        <f>K23</f>
        <v>1250</v>
      </c>
      <c r="M23" s="60">
        <f>L23</f>
        <v>1250</v>
      </c>
      <c r="N23" s="60">
        <v>1510</v>
      </c>
      <c r="O23" s="62">
        <f>N23</f>
        <v>1510</v>
      </c>
      <c r="P23" s="62">
        <f t="shared" ref="P23:S23" si="4">O23</f>
        <v>1510</v>
      </c>
      <c r="Q23" s="62">
        <f t="shared" si="4"/>
        <v>1510</v>
      </c>
      <c r="R23" s="62">
        <f t="shared" si="4"/>
        <v>1510</v>
      </c>
      <c r="S23" s="62">
        <f t="shared" si="4"/>
        <v>1510</v>
      </c>
      <c r="T23" s="59">
        <f>S23*(1+2%)^6</f>
        <v>1700.5052530886401</v>
      </c>
      <c r="U23" s="62">
        <f>T23</f>
        <v>1700.5052530886401</v>
      </c>
      <c r="V23" s="59"/>
      <c r="W23" s="62"/>
    </row>
    <row r="24" spans="1:32" ht="14" customHeight="1">
      <c r="A24" s="80">
        <v>2006</v>
      </c>
      <c r="B24" s="56"/>
      <c r="C24" s="57">
        <v>5</v>
      </c>
      <c r="D24" s="58">
        <v>21100</v>
      </c>
      <c r="E24" s="56"/>
      <c r="F24" s="56"/>
      <c r="G24" s="56"/>
      <c r="H24" s="56"/>
      <c r="I24" s="56">
        <v>1</v>
      </c>
      <c r="J24" s="56">
        <v>2</v>
      </c>
      <c r="K24" s="56">
        <v>3</v>
      </c>
      <c r="L24" s="56">
        <v>4</v>
      </c>
      <c r="M24" s="56">
        <v>5</v>
      </c>
      <c r="N24" s="56">
        <v>6</v>
      </c>
      <c r="O24" s="56">
        <v>7</v>
      </c>
      <c r="P24" s="56">
        <v>8</v>
      </c>
      <c r="Q24" s="56">
        <v>9</v>
      </c>
      <c r="R24" s="56">
        <v>10</v>
      </c>
      <c r="S24" s="56">
        <v>11</v>
      </c>
      <c r="T24" s="56">
        <v>12</v>
      </c>
      <c r="U24" s="56">
        <v>13</v>
      </c>
      <c r="V24" s="56"/>
      <c r="W24" s="56"/>
    </row>
    <row r="25" spans="1:32" ht="14" customHeight="1">
      <c r="A25" s="65"/>
      <c r="B25" s="51" t="s">
        <v>0</v>
      </c>
      <c r="C25" s="51"/>
      <c r="D25" s="55"/>
      <c r="E25" s="51"/>
      <c r="F25" s="51"/>
      <c r="G25" s="51"/>
      <c r="H25" s="51"/>
      <c r="I25" s="60">
        <v>13582.9</v>
      </c>
      <c r="J25" s="60">
        <v>21142</v>
      </c>
      <c r="K25" s="60">
        <v>23592.400000000001</v>
      </c>
      <c r="L25" s="60">
        <v>29701.9</v>
      </c>
      <c r="M25" s="60">
        <v>34105.300000000003</v>
      </c>
      <c r="N25" s="60">
        <v>34824</v>
      </c>
      <c r="O25" s="119">
        <f>N25*(1+'Exh 2 Econ Indicators'!$M$9)</f>
        <v>35802.588365498872</v>
      </c>
      <c r="P25" s="119">
        <f>O25*(1+'Exh 2 Econ Indicators'!$M$9)</f>
        <v>36808.676018531907</v>
      </c>
      <c r="Q25" s="119">
        <f>P25*(1+'Exh 2 Econ Indicators'!$M$9)</f>
        <v>37843.035715900172</v>
      </c>
      <c r="R25" s="119">
        <f>Q25*(1+'Exh 2 Econ Indicators'!$M$9)</f>
        <v>38906.461929624558</v>
      </c>
      <c r="S25" s="119">
        <f>R25*(1+'Exh 2 Econ Indicators'!$M$9)</f>
        <v>39999.771457164628</v>
      </c>
      <c r="T25" s="119">
        <f>S25*(1+'Exh 2 Econ Indicators'!$M$9)</f>
        <v>41123.804048785205</v>
      </c>
      <c r="U25" s="119">
        <f>T25*(1+'Exh 2 Econ Indicators'!$M$9)</f>
        <v>42279.423052552622</v>
      </c>
      <c r="V25" s="55"/>
      <c r="W25" s="55"/>
    </row>
    <row r="26" spans="1:32" ht="14" customHeight="1">
      <c r="A26" s="65"/>
      <c r="B26" s="51" t="s">
        <v>1</v>
      </c>
      <c r="C26" s="51"/>
      <c r="D26" s="55"/>
      <c r="E26" s="51"/>
      <c r="F26" s="51"/>
      <c r="G26" s="51"/>
      <c r="H26" s="51"/>
      <c r="I26" s="60">
        <v>9526.1</v>
      </c>
      <c r="J26" s="60">
        <v>11229.4</v>
      </c>
      <c r="K26" s="60">
        <v>13594.4</v>
      </c>
      <c r="L26" s="60">
        <v>9902.2999999999993</v>
      </c>
      <c r="M26" s="60">
        <v>13259</v>
      </c>
      <c r="N26" s="60">
        <v>13931.8</v>
      </c>
      <c r="O26" s="81">
        <f>'Exh 8 Sales Forecasting'!$F$24*O25</f>
        <v>14064.796002341856</v>
      </c>
      <c r="P26" s="81">
        <f>'Exh 8 Sales Forecasting'!$F$24*P25</f>
        <v>14460.030488070284</v>
      </c>
      <c r="Q26" s="81">
        <f>'Exh 8 Sales Forecasting'!$F$24*Q25</f>
        <v>14866.371448338619</v>
      </c>
      <c r="R26" s="81">
        <f>'Exh 8 Sales Forecasting'!$F$24*R25</f>
        <v>15284.130985914106</v>
      </c>
      <c r="S26" s="81">
        <f>'Exh 8 Sales Forecasting'!$F$24*S25</f>
        <v>15713.629973956155</v>
      </c>
      <c r="T26" s="81">
        <f>'Exh 8 Sales Forecasting'!$F$24*T25</f>
        <v>16155.198302472918</v>
      </c>
      <c r="U26" s="81">
        <f>'Exh 8 Sales Forecasting'!$F$24*U25</f>
        <v>16609.175131703538</v>
      </c>
      <c r="V26" s="55"/>
      <c r="W26" s="55"/>
    </row>
    <row r="27" spans="1:32" ht="14" customHeight="1">
      <c r="A27" s="65"/>
      <c r="B27" s="51" t="s">
        <v>19</v>
      </c>
      <c r="C27" s="51"/>
      <c r="D27" s="55"/>
      <c r="E27" s="51"/>
      <c r="F27" s="51"/>
      <c r="G27" s="55"/>
      <c r="H27" s="55"/>
      <c r="I27" s="60">
        <v>2766.6</v>
      </c>
      <c r="J27" s="60">
        <v>4016.3</v>
      </c>
      <c r="K27" s="60">
        <v>4236.5</v>
      </c>
      <c r="L27" s="60">
        <v>3780.1</v>
      </c>
      <c r="M27" s="60">
        <v>4895.1000000000004</v>
      </c>
      <c r="N27" s="60">
        <v>4946.3</v>
      </c>
      <c r="O27" s="81">
        <f>'Exh 8 Sales Forecasting'!$F$36*O25</f>
        <v>4868.8447484554781</v>
      </c>
      <c r="P27" s="81">
        <f>'Exh 8 Sales Forecasting'!$F$36*P25</f>
        <v>5005.6640347022849</v>
      </c>
      <c r="Q27" s="81">
        <f>'Exh 8 Sales Forecasting'!$F$36*Q25</f>
        <v>5146.3280763389657</v>
      </c>
      <c r="R27" s="81">
        <f>'Exh 8 Sales Forecasting'!$F$36*R25</f>
        <v>5290.9449147419491</v>
      </c>
      <c r="S27" s="81">
        <f>'Exh 8 Sales Forecasting'!$F$36*S25</f>
        <v>5439.6256273557183</v>
      </c>
      <c r="T27" s="81">
        <f>'Exh 8 Sales Forecasting'!$F$36*T25</f>
        <v>5592.4844130092843</v>
      </c>
      <c r="U27" s="81">
        <f>'Exh 8 Sales Forecasting'!$F$36*U25</f>
        <v>5749.6386796301394</v>
      </c>
      <c r="V27" s="55"/>
      <c r="W27" s="55"/>
    </row>
    <row r="28" spans="1:32" ht="14" customHeight="1">
      <c r="A28" s="65"/>
      <c r="B28" s="51" t="s">
        <v>16</v>
      </c>
      <c r="C28" s="51"/>
      <c r="D28" s="55"/>
      <c r="E28" s="51"/>
      <c r="F28" s="51"/>
      <c r="G28" s="55"/>
      <c r="H28" s="55"/>
      <c r="I28" s="60">
        <v>1400.2</v>
      </c>
      <c r="J28" s="60">
        <v>1784.1</v>
      </c>
      <c r="K28" s="60">
        <v>1963.8</v>
      </c>
      <c r="L28" s="60">
        <v>2013.8</v>
      </c>
      <c r="M28" s="60">
        <v>2327.3000000000002</v>
      </c>
      <c r="N28" s="60">
        <v>2287.3000000000002</v>
      </c>
      <c r="O28" s="81">
        <f>'Exh 8 Sales Forecasting'!$F$48*O25</f>
        <v>2564.4567407555501</v>
      </c>
      <c r="P28" s="81">
        <f>'Exh 8 Sales Forecasting'!$F$48*P25</f>
        <v>2636.52047640707</v>
      </c>
      <c r="Q28" s="81">
        <f>'Exh 8 Sales Forecasting'!$F$48*Q25</f>
        <v>2710.6092733175769</v>
      </c>
      <c r="R28" s="81">
        <f>'Exh 8 Sales Forecasting'!$F$48*R25</f>
        <v>2786.7800376835867</v>
      </c>
      <c r="S28" s="81">
        <f>'Exh 8 Sales Forecasting'!$F$48*S25</f>
        <v>2865.0912748212409</v>
      </c>
      <c r="T28" s="81">
        <f>'Exh 8 Sales Forecasting'!$F$48*T25</f>
        <v>2945.6031341031262</v>
      </c>
      <c r="U28" s="81">
        <f>'Exh 8 Sales Forecasting'!$F$48*U25</f>
        <v>3028.3774551578681</v>
      </c>
      <c r="V28" s="55"/>
      <c r="W28" s="55"/>
    </row>
    <row r="29" spans="1:32" ht="14" customHeight="1">
      <c r="A29" s="65"/>
      <c r="B29" s="51" t="s">
        <v>17</v>
      </c>
      <c r="C29" s="51"/>
      <c r="D29" s="55"/>
      <c r="E29" s="51"/>
      <c r="F29" s="59"/>
      <c r="G29" s="59"/>
      <c r="H29" s="59"/>
      <c r="I29" s="60">
        <f>SUM('Exh 6 Stores BS'!D25:H25)/5</f>
        <v>594.20000000000005</v>
      </c>
      <c r="J29" s="60">
        <f>SUM('Exh 6 Stores BS'!E25:I25)/5</f>
        <v>594.20000000000005</v>
      </c>
      <c r="K29" s="60">
        <f>SUM('Exh 6 Stores BS'!F25:J25)/5</f>
        <v>594.20000000000005</v>
      </c>
      <c r="L29" s="60">
        <f>SUM('Exh 6 Stores BS'!G25:K25)/5</f>
        <v>594.20000000000005</v>
      </c>
      <c r="M29" s="60">
        <f>SUM('Exh 6 Stores BS'!H25:L25)/5</f>
        <v>594.20000000000005</v>
      </c>
      <c r="N29" s="60">
        <f>SUM('Exh 6 Stores BS'!I25:M25)/5</f>
        <v>0</v>
      </c>
      <c r="O29" s="59">
        <v>0</v>
      </c>
      <c r="P29" s="59">
        <v>0</v>
      </c>
      <c r="Q29" s="59">
        <f>'Exh 6 Stores BS'!P25/5</f>
        <v>489.9020714909164</v>
      </c>
      <c r="R29" s="59">
        <f>Q29</f>
        <v>489.9020714909164</v>
      </c>
      <c r="S29" s="59">
        <f t="shared" ref="S29:U29" si="5">R29</f>
        <v>489.9020714909164</v>
      </c>
      <c r="T29" s="59">
        <f t="shared" si="5"/>
        <v>489.9020714909164</v>
      </c>
      <c r="U29" s="59">
        <f t="shared" si="5"/>
        <v>489.9020714909164</v>
      </c>
      <c r="V29" s="59"/>
      <c r="W29" s="59"/>
    </row>
    <row r="30" spans="1:32" ht="14" customHeight="1">
      <c r="A30" s="65"/>
      <c r="B30" s="51" t="s">
        <v>10</v>
      </c>
      <c r="C30" s="51"/>
      <c r="D30" s="55"/>
      <c r="E30" s="63"/>
      <c r="F30" s="59"/>
      <c r="G30" s="59"/>
      <c r="H30" s="59"/>
      <c r="I30" s="60">
        <v>1910</v>
      </c>
      <c r="J30" s="60">
        <f>I30</f>
        <v>1910</v>
      </c>
      <c r="K30" s="60">
        <f>J30</f>
        <v>1910</v>
      </c>
      <c r="L30" s="60">
        <f>K30</f>
        <v>1910</v>
      </c>
      <c r="M30" s="60">
        <f>L30</f>
        <v>1910</v>
      </c>
      <c r="N30" s="60">
        <f>M30</f>
        <v>1910</v>
      </c>
      <c r="O30" s="62">
        <f>N30*(1+2%)^6</f>
        <v>2150.97022079424</v>
      </c>
      <c r="P30" s="62">
        <f>O30</f>
        <v>2150.97022079424</v>
      </c>
      <c r="Q30" s="62">
        <f t="shared" ref="Q30:T30" si="6">P30</f>
        <v>2150.97022079424</v>
      </c>
      <c r="R30" s="62">
        <f t="shared" si="6"/>
        <v>2150.97022079424</v>
      </c>
      <c r="S30" s="62">
        <f t="shared" si="6"/>
        <v>2150.97022079424</v>
      </c>
      <c r="T30" s="62">
        <f t="shared" si="6"/>
        <v>2150.97022079424</v>
      </c>
      <c r="U30" s="59">
        <f>T30*(1+2%)^6</f>
        <v>2422.3418276144616</v>
      </c>
      <c r="V30" s="62"/>
      <c r="W30" s="59"/>
    </row>
    <row r="31" spans="1:32" ht="14" customHeight="1">
      <c r="A31" s="80">
        <v>2007</v>
      </c>
      <c r="B31" s="56"/>
      <c r="C31" s="57">
        <v>6</v>
      </c>
      <c r="D31" s="58">
        <v>22100</v>
      </c>
      <c r="E31" s="56"/>
      <c r="F31" s="56"/>
      <c r="G31" s="56"/>
      <c r="H31" s="56"/>
      <c r="I31" s="56"/>
      <c r="J31" s="56">
        <v>1</v>
      </c>
      <c r="K31" s="56">
        <v>2</v>
      </c>
      <c r="L31" s="56">
        <v>3</v>
      </c>
      <c r="M31" s="56">
        <v>4</v>
      </c>
      <c r="N31" s="56">
        <v>5</v>
      </c>
      <c r="O31" s="56">
        <v>6</v>
      </c>
      <c r="P31" s="56">
        <v>7</v>
      </c>
      <c r="Q31" s="56">
        <v>8</v>
      </c>
      <c r="R31" s="56">
        <v>9</v>
      </c>
      <c r="S31" s="56">
        <v>10</v>
      </c>
      <c r="T31" s="56">
        <v>11</v>
      </c>
      <c r="U31" s="56">
        <v>12</v>
      </c>
      <c r="V31" s="56"/>
      <c r="W31" s="56"/>
    </row>
    <row r="32" spans="1:32" ht="14" customHeight="1">
      <c r="A32" s="65"/>
      <c r="B32" s="51" t="s">
        <v>0</v>
      </c>
      <c r="C32" s="51"/>
      <c r="D32" s="55"/>
      <c r="E32" s="51"/>
      <c r="F32" s="51"/>
      <c r="G32" s="51"/>
      <c r="H32" s="51"/>
      <c r="I32" s="51"/>
      <c r="J32" s="60">
        <v>15435.4</v>
      </c>
      <c r="K32" s="60">
        <v>22001</v>
      </c>
      <c r="L32" s="60">
        <v>30465.9</v>
      </c>
      <c r="M32" s="60">
        <v>39628.199999999997</v>
      </c>
      <c r="N32" s="60">
        <v>43541</v>
      </c>
      <c r="O32" s="119">
        <f>N32*(1+'Exh 2 Econ Indicators'!$M$9)</f>
        <v>44764.54456760241</v>
      </c>
      <c r="P32" s="119">
        <f>O32*(1+'Exh 2 Econ Indicators'!$M$9)</f>
        <v>46022.471930935491</v>
      </c>
      <c r="Q32" s="119">
        <f>P32*(1+'Exh 2 Econ Indicators'!$M$9)</f>
        <v>47315.748280094456</v>
      </c>
      <c r="R32" s="119">
        <f>Q32*(1+'Exh 2 Econ Indicators'!$M$9)</f>
        <v>48645.366956058548</v>
      </c>
      <c r="S32" s="119">
        <f>R32*(1+'Exh 2 Econ Indicators'!$M$9)</f>
        <v>50012.349213657391</v>
      </c>
      <c r="T32" s="119">
        <f>S32*(1+'Exh 2 Econ Indicators'!$M$9)</f>
        <v>51417.745005977391</v>
      </c>
      <c r="U32" s="119">
        <f>T32*(1+'Exh 2 Econ Indicators'!$M$9)</f>
        <v>52862.633790810753</v>
      </c>
      <c r="V32" s="55"/>
      <c r="W32" s="55"/>
      <c r="X32" s="51"/>
      <c r="Y32" s="91"/>
      <c r="Z32" s="91"/>
      <c r="AA32" s="91"/>
      <c r="AB32" s="91"/>
      <c r="AC32" s="91"/>
      <c r="AD32" s="91"/>
      <c r="AE32" s="91"/>
      <c r="AF32" s="91"/>
    </row>
    <row r="33" spans="1:32" ht="14" customHeight="1">
      <c r="A33" s="65"/>
      <c r="B33" s="51" t="s">
        <v>1</v>
      </c>
      <c r="C33" s="51"/>
      <c r="D33" s="55"/>
      <c r="E33" s="51"/>
      <c r="F33" s="51"/>
      <c r="G33" s="51"/>
      <c r="H33" s="51"/>
      <c r="I33" s="51"/>
      <c r="J33" s="60">
        <v>11204.6</v>
      </c>
      <c r="K33" s="60">
        <v>14800.5</v>
      </c>
      <c r="L33" s="60">
        <v>16421.7</v>
      </c>
      <c r="M33" s="60">
        <v>15231.6</v>
      </c>
      <c r="N33" s="60">
        <v>17855.8</v>
      </c>
      <c r="O33" s="81">
        <f>'Exh 8 Sales Forecasting'!$F$24*O32</f>
        <v>17585.437707844208</v>
      </c>
      <c r="P33" s="81">
        <f>'Exh 8 Sales Forecasting'!$F$24*P32</f>
        <v>18079.605659346089</v>
      </c>
      <c r="Q33" s="81">
        <f>'Exh 8 Sales Forecasting'!$F$24*Q32</f>
        <v>18587.660212270614</v>
      </c>
      <c r="R33" s="81">
        <f>'Exh 8 Sales Forecasting'!$F$24*R32</f>
        <v>19109.991593662016</v>
      </c>
      <c r="S33" s="81">
        <f>'Exh 8 Sales Forecasting'!$F$24*S32</f>
        <v>19647.000996325089</v>
      </c>
      <c r="T33" s="81">
        <f>'Exh 8 Sales Forecasting'!$F$24*T32</f>
        <v>20199.100886973734</v>
      </c>
      <c r="U33" s="81">
        <f>'Exh 8 Sales Forecasting'!$F$24*U32</f>
        <v>20766.715323038814</v>
      </c>
      <c r="V33" s="55"/>
      <c r="W33" s="55"/>
      <c r="Y33" s="51"/>
      <c r="Z33" s="91"/>
      <c r="AA33" s="91"/>
      <c r="AB33" s="91"/>
      <c r="AC33" s="91"/>
      <c r="AD33" s="91"/>
      <c r="AE33" s="91"/>
      <c r="AF33" s="91"/>
    </row>
    <row r="34" spans="1:32" ht="14" customHeight="1">
      <c r="A34" s="65"/>
      <c r="B34" s="51" t="s">
        <v>19</v>
      </c>
      <c r="C34" s="51"/>
      <c r="D34" s="55"/>
      <c r="E34" s="51"/>
      <c r="F34" s="51"/>
      <c r="G34" s="55"/>
      <c r="H34" s="55"/>
      <c r="I34" s="55"/>
      <c r="J34" s="60">
        <v>3050.4</v>
      </c>
      <c r="K34" s="60">
        <v>3877.8</v>
      </c>
      <c r="L34" s="60">
        <v>5471</v>
      </c>
      <c r="M34" s="60">
        <v>5165.7</v>
      </c>
      <c r="N34" s="60">
        <v>5916.9</v>
      </c>
      <c r="O34" s="81">
        <f>'Exh 8 Sales Forecasting'!$F$36*O32</f>
        <v>6087.5938775700661</v>
      </c>
      <c r="P34" s="81">
        <f>'Exh 8 Sales Forecasting'!$F$36*P32</f>
        <v>6258.6612030488213</v>
      </c>
      <c r="Q34" s="81">
        <f>'Exh 8 Sales Forecasting'!$F$36*Q32</f>
        <v>6434.5356872236071</v>
      </c>
      <c r="R34" s="81">
        <f>'Exh 8 Sales Forecasting'!$F$36*R32</f>
        <v>6615.3524159424305</v>
      </c>
      <c r="S34" s="81">
        <f>'Exh 8 Sales Forecasting'!$F$36*S32</f>
        <v>6801.250271097384</v>
      </c>
      <c r="T34" s="81">
        <f>'Exh 8 Sales Forecasting'!$F$36*T32</f>
        <v>6992.3720372971866</v>
      </c>
      <c r="U34" s="81">
        <f>'Exh 8 Sales Forecasting'!$F$36*U32</f>
        <v>7188.8645115373274</v>
      </c>
      <c r="V34" s="55"/>
      <c r="W34" s="55"/>
      <c r="X34" s="51"/>
      <c r="Y34" s="51"/>
      <c r="Z34" s="92"/>
      <c r="AA34" s="91"/>
      <c r="AB34" s="91"/>
      <c r="AC34" s="91"/>
      <c r="AD34" s="91"/>
      <c r="AE34" s="91"/>
      <c r="AF34" s="91"/>
    </row>
    <row r="35" spans="1:32" ht="14" customHeight="1">
      <c r="A35" s="65"/>
      <c r="B35" s="51" t="s">
        <v>16</v>
      </c>
      <c r="C35" s="51"/>
      <c r="D35" s="55"/>
      <c r="E35" s="51"/>
      <c r="F35" s="51"/>
      <c r="G35" s="55"/>
      <c r="H35" s="55"/>
      <c r="I35" s="55"/>
      <c r="J35" s="60">
        <v>1578.4</v>
      </c>
      <c r="K35" s="60">
        <v>1986.3</v>
      </c>
      <c r="L35" s="60">
        <v>2458.4</v>
      </c>
      <c r="M35" s="60">
        <v>2748</v>
      </c>
      <c r="N35" s="60">
        <v>3109.4</v>
      </c>
      <c r="O35" s="81">
        <f>'Exh 8 Sales Forecasting'!$F$48*O32</f>
        <v>3206.3809714345684</v>
      </c>
      <c r="P35" s="81">
        <f>'Exh 8 Sales Forecasting'!$F$48*P32</f>
        <v>3296.4834040673163</v>
      </c>
      <c r="Q35" s="81">
        <f>'Exh 8 Sales Forecasting'!$F$48*Q32</f>
        <v>3389.1178029382213</v>
      </c>
      <c r="R35" s="81">
        <f>'Exh 8 Sales Forecasting'!$F$48*R32</f>
        <v>3484.3553187681209</v>
      </c>
      <c r="S35" s="81">
        <f>'Exh 8 Sales Forecasting'!$F$48*S32</f>
        <v>3582.2691016825074</v>
      </c>
      <c r="T35" s="81">
        <f>'Exh 8 Sales Forecasting'!$F$48*T32</f>
        <v>3682.9343573967444</v>
      </c>
      <c r="U35" s="81">
        <f>'Exh 8 Sales Forecasting'!$F$48*U32</f>
        <v>3786.4284049801495</v>
      </c>
      <c r="V35" s="55"/>
      <c r="W35" s="55"/>
      <c r="Y35" s="51"/>
      <c r="Z35" s="92"/>
      <c r="AA35" s="92"/>
      <c r="AB35" s="91"/>
      <c r="AC35" s="91"/>
      <c r="AD35" s="91"/>
      <c r="AE35" s="91"/>
      <c r="AF35" s="91"/>
    </row>
    <row r="36" spans="1:32" ht="14" customHeight="1">
      <c r="A36" s="65"/>
      <c r="B36" s="51" t="s">
        <v>17</v>
      </c>
      <c r="C36" s="51"/>
      <c r="D36" s="55"/>
      <c r="E36" s="51"/>
      <c r="F36" s="59"/>
      <c r="G36" s="59"/>
      <c r="H36" s="59"/>
      <c r="I36" s="59"/>
      <c r="J36" s="60">
        <f>SUM('Exh 6 Stores BS'!E32:I32)/5</f>
        <v>811.6</v>
      </c>
      <c r="K36" s="60">
        <f>SUM('Exh 6 Stores BS'!F32:J32)/5</f>
        <v>811.6</v>
      </c>
      <c r="L36" s="60">
        <f>SUM('Exh 6 Stores BS'!G32:K32)/5</f>
        <v>811.6</v>
      </c>
      <c r="M36" s="60">
        <f>SUM('Exh 6 Stores BS'!H32:L32)/5</f>
        <v>811.6</v>
      </c>
      <c r="N36" s="60">
        <f>SUM('Exh 6 Stores BS'!I32:M32)/5</f>
        <v>811.6</v>
      </c>
      <c r="O36" s="59">
        <v>0</v>
      </c>
      <c r="P36" s="59">
        <v>0</v>
      </c>
      <c r="Q36" s="59">
        <v>0</v>
      </c>
      <c r="R36" s="59">
        <f>'Exh 6 Stores BS'!Q32/5</f>
        <v>655.37628015053292</v>
      </c>
      <c r="S36" s="59">
        <f>R36</f>
        <v>655.37628015053292</v>
      </c>
      <c r="T36" s="59">
        <f t="shared" ref="T36:U36" si="7">S36</f>
        <v>655.37628015053292</v>
      </c>
      <c r="U36" s="59">
        <f t="shared" si="7"/>
        <v>655.37628015053292</v>
      </c>
      <c r="V36" s="59"/>
      <c r="W36" s="59"/>
      <c r="X36" s="51"/>
      <c r="Y36" s="51"/>
      <c r="Z36" s="92"/>
      <c r="AA36" s="92"/>
      <c r="AB36" s="92"/>
      <c r="AC36" s="91"/>
      <c r="AD36" s="91"/>
      <c r="AE36" s="91"/>
      <c r="AF36" s="91"/>
    </row>
    <row r="37" spans="1:32" ht="14" customHeight="1">
      <c r="A37" s="65"/>
      <c r="B37" s="51" t="s">
        <v>10</v>
      </c>
      <c r="C37" s="51"/>
      <c r="D37" s="55"/>
      <c r="E37" s="63"/>
      <c r="F37" s="59"/>
      <c r="G37" s="59"/>
      <c r="H37" s="59"/>
      <c r="I37" s="59"/>
      <c r="J37" s="60">
        <v>2530</v>
      </c>
      <c r="K37" s="60">
        <f>J37</f>
        <v>2530</v>
      </c>
      <c r="L37" s="60">
        <f>K37</f>
        <v>2530</v>
      </c>
      <c r="M37" s="60">
        <f>L37</f>
        <v>2530</v>
      </c>
      <c r="N37" s="60">
        <f>M37</f>
        <v>2530</v>
      </c>
      <c r="O37" s="62">
        <f>N37</f>
        <v>2530</v>
      </c>
      <c r="P37" s="59">
        <f>O37*(1+2%)^6</f>
        <v>2849.1909207379204</v>
      </c>
      <c r="Q37" s="62">
        <f>P37</f>
        <v>2849.1909207379204</v>
      </c>
      <c r="R37" s="62">
        <f t="shared" ref="R37:U37" si="8">Q37</f>
        <v>2849.1909207379204</v>
      </c>
      <c r="S37" s="62">
        <f t="shared" si="8"/>
        <v>2849.1909207379204</v>
      </c>
      <c r="T37" s="62">
        <f t="shared" si="8"/>
        <v>2849.1909207379204</v>
      </c>
      <c r="U37" s="62">
        <f t="shared" si="8"/>
        <v>2849.1909207379204</v>
      </c>
      <c r="V37" s="62"/>
      <c r="W37" s="62"/>
      <c r="Y37" s="51"/>
      <c r="Z37" s="92"/>
      <c r="AA37" s="92"/>
      <c r="AB37" s="92"/>
      <c r="AC37" s="92"/>
      <c r="AD37" s="91"/>
      <c r="AE37" s="91"/>
      <c r="AF37" s="91"/>
    </row>
    <row r="38" spans="1:32" ht="14" customHeight="1">
      <c r="A38" s="80">
        <v>2008</v>
      </c>
      <c r="B38" s="56"/>
      <c r="C38" s="57">
        <v>2</v>
      </c>
      <c r="D38" s="58">
        <v>15500</v>
      </c>
      <c r="E38" s="56"/>
      <c r="F38" s="56"/>
      <c r="G38" s="56"/>
      <c r="H38" s="56"/>
      <c r="I38" s="56"/>
      <c r="J38" s="56"/>
      <c r="K38" s="56">
        <v>1</v>
      </c>
      <c r="L38" s="56">
        <v>2</v>
      </c>
      <c r="M38" s="56">
        <v>3</v>
      </c>
      <c r="N38" s="56">
        <v>4</v>
      </c>
      <c r="O38" s="56">
        <v>5</v>
      </c>
      <c r="P38" s="56">
        <v>6</v>
      </c>
      <c r="Q38" s="56">
        <v>7</v>
      </c>
      <c r="R38" s="56">
        <v>8</v>
      </c>
      <c r="S38" s="56">
        <v>9</v>
      </c>
      <c r="T38" s="56">
        <v>10</v>
      </c>
      <c r="U38" s="56">
        <v>11</v>
      </c>
      <c r="V38" s="56"/>
      <c r="W38" s="56"/>
    </row>
    <row r="39" spans="1:32" ht="14" customHeight="1">
      <c r="A39" s="65"/>
      <c r="B39" s="51" t="s">
        <v>0</v>
      </c>
      <c r="C39" s="51"/>
      <c r="D39" s="55"/>
      <c r="E39" s="51"/>
      <c r="F39" s="51"/>
      <c r="G39" s="51"/>
      <c r="H39" s="51"/>
      <c r="I39" s="51"/>
      <c r="J39" s="51"/>
      <c r="K39" s="60">
        <v>3187.1</v>
      </c>
      <c r="L39" s="60">
        <v>5176</v>
      </c>
      <c r="M39" s="60">
        <v>7244.1</v>
      </c>
      <c r="N39" s="60">
        <v>9257.2000000000007</v>
      </c>
      <c r="O39" s="119">
        <f>N39*(1+'Exh 2 Econ Indicators'!$M$9)</f>
        <v>9517.3363489862204</v>
      </c>
      <c r="P39" s="119">
        <f>O39*(1+'Exh 2 Econ Indicators'!$M$9)</f>
        <v>9784.7827831022732</v>
      </c>
      <c r="Q39" s="119">
        <f>P39*(1+'Exh 2 Econ Indicators'!$M$9)</f>
        <v>10059.744722870179</v>
      </c>
      <c r="R39" s="119">
        <f>Q39*(1+'Exh 2 Econ Indicators'!$M$9)</f>
        <v>10342.433361328984</v>
      </c>
      <c r="S39" s="119">
        <f>R39*(1+'Exh 2 Econ Indicators'!$M$9)</f>
        <v>10633.065826248117</v>
      </c>
      <c r="T39" s="119">
        <f>S39*(1+'Exh 2 Econ Indicators'!$M$9)</f>
        <v>10931.865346899107</v>
      </c>
      <c r="U39" s="119">
        <f>T39*(1+'Exh 2 Econ Indicators'!$M$9)</f>
        <v>11239.061425513733</v>
      </c>
      <c r="V39" s="55"/>
      <c r="W39" s="55"/>
    </row>
    <row r="40" spans="1:32" ht="14" customHeight="1">
      <c r="A40" s="65"/>
      <c r="B40" s="51" t="s">
        <v>1</v>
      </c>
      <c r="C40" s="51"/>
      <c r="D40" s="55"/>
      <c r="E40" s="51"/>
      <c r="F40" s="51"/>
      <c r="G40" s="51"/>
      <c r="H40" s="51"/>
      <c r="I40" s="51"/>
      <c r="J40" s="51"/>
      <c r="K40" s="60">
        <v>2053.3000000000002</v>
      </c>
      <c r="L40" s="60">
        <v>3466.7</v>
      </c>
      <c r="M40" s="60">
        <v>4420.5</v>
      </c>
      <c r="N40" s="60">
        <v>3764.1</v>
      </c>
      <c r="O40" s="81">
        <f>'Exh 8 Sales Forecasting'!$F$24*O39</f>
        <v>3738.8189051481459</v>
      </c>
      <c r="P40" s="81">
        <f>'Exh 8 Sales Forecasting'!$F$24*P39</f>
        <v>3843.8833630302156</v>
      </c>
      <c r="Q40" s="81">
        <f>'Exh 8 Sales Forecasting'!$F$24*Q39</f>
        <v>3951.9002346531206</v>
      </c>
      <c r="R40" s="81">
        <f>'Exh 8 Sales Forecasting'!$F$24*R39</f>
        <v>4062.9524857226074</v>
      </c>
      <c r="S40" s="81">
        <f>'Exh 8 Sales Forecasting'!$F$24*S39</f>
        <v>4177.125413361674</v>
      </c>
      <c r="T40" s="81">
        <f>'Exh 8 Sales Forecasting'!$F$24*T39</f>
        <v>4294.5067116256705</v>
      </c>
      <c r="U40" s="81">
        <f>'Exh 8 Sales Forecasting'!$F$24*U39</f>
        <v>4415.186538858432</v>
      </c>
      <c r="V40" s="55"/>
      <c r="W40" s="55"/>
    </row>
    <row r="41" spans="1:32" ht="14" customHeight="1">
      <c r="A41" s="65"/>
      <c r="B41" s="51" t="s">
        <v>19</v>
      </c>
      <c r="C41" s="51"/>
      <c r="D41" s="55"/>
      <c r="E41" s="51"/>
      <c r="F41" s="51"/>
      <c r="G41" s="55"/>
      <c r="H41" s="55"/>
      <c r="I41" s="55"/>
      <c r="J41" s="55"/>
      <c r="K41" s="60">
        <v>521.9</v>
      </c>
      <c r="L41" s="60">
        <v>951.3</v>
      </c>
      <c r="M41" s="60">
        <v>1224.5999999999999</v>
      </c>
      <c r="N41" s="60">
        <v>1242.7</v>
      </c>
      <c r="O41" s="81">
        <f>'Exh 8 Sales Forecasting'!$F$36*O39</f>
        <v>1294.2760626407664</v>
      </c>
      <c r="P41" s="81">
        <f>'Exh 8 Sales Forecasting'!$F$36*P39</f>
        <v>1330.6464823698022</v>
      </c>
      <c r="Q41" s="81">
        <f>'Exh 8 Sales Forecasting'!$F$36*Q39</f>
        <v>1368.0389463670192</v>
      </c>
      <c r="R41" s="81">
        <f>'Exh 8 Sales Forecasting'!$F$36*R39</f>
        <v>1406.4821750732017</v>
      </c>
      <c r="S41" s="81">
        <f>'Exh 8 Sales Forecasting'!$F$36*S39</f>
        <v>1446.0056960015322</v>
      </c>
      <c r="T41" s="81">
        <f>'Exh 8 Sales Forecasting'!$F$36*T39</f>
        <v>1486.6398664171134</v>
      </c>
      <c r="U41" s="81">
        <f>'Exh 8 Sales Forecasting'!$F$36*U39</f>
        <v>1528.4158966538059</v>
      </c>
      <c r="V41" s="55"/>
      <c r="W41" s="55"/>
    </row>
    <row r="42" spans="1:32" ht="14" customHeight="1">
      <c r="A42" s="65"/>
      <c r="B42" s="51" t="s">
        <v>16</v>
      </c>
      <c r="C42" s="51"/>
      <c r="D42" s="55"/>
      <c r="E42" s="51"/>
      <c r="F42" s="51"/>
      <c r="G42" s="55"/>
      <c r="H42" s="55"/>
      <c r="I42" s="55"/>
      <c r="J42" s="55"/>
      <c r="K42" s="60">
        <v>326</v>
      </c>
      <c r="L42" s="60">
        <v>499</v>
      </c>
      <c r="M42" s="60">
        <v>598.4</v>
      </c>
      <c r="N42" s="60">
        <v>675.4</v>
      </c>
      <c r="O42" s="81">
        <f>'Exh 8 Sales Forecasting'!$F$48*O39</f>
        <v>681.70482829434525</v>
      </c>
      <c r="P42" s="81">
        <f>'Exh 8 Sales Forecasting'!$F$48*P39</f>
        <v>700.86139886846797</v>
      </c>
      <c r="Q42" s="81">
        <f>'Exh 8 Sales Forecasting'!$F$48*Q39</f>
        <v>720.5562877600355</v>
      </c>
      <c r="R42" s="81">
        <f>'Exh 8 Sales Forecasting'!$F$48*R39</f>
        <v>740.80462223881523</v>
      </c>
      <c r="S42" s="81">
        <f>'Exh 8 Sales Forecasting'!$F$48*S39</f>
        <v>761.62195466560968</v>
      </c>
      <c r="T42" s="81">
        <f>'Exh 8 Sales Forecasting'!$F$48*T39</f>
        <v>783.02427443772876</v>
      </c>
      <c r="U42" s="81">
        <f>'Exh 8 Sales Forecasting'!$F$48*U39</f>
        <v>805.02802027014195</v>
      </c>
      <c r="V42" s="55"/>
      <c r="W42" s="55"/>
    </row>
    <row r="43" spans="1:32" ht="14" customHeight="1">
      <c r="A43" s="65"/>
      <c r="B43" s="51" t="s">
        <v>17</v>
      </c>
      <c r="C43" s="51"/>
      <c r="D43" s="55"/>
      <c r="E43" s="51"/>
      <c r="F43" s="59"/>
      <c r="G43" s="59"/>
      <c r="H43" s="59"/>
      <c r="I43" s="59"/>
      <c r="J43" s="59"/>
      <c r="K43" s="60">
        <f>SUM('Exh 6 Stores BS'!F39:J39)/5</f>
        <v>184.8</v>
      </c>
      <c r="L43" s="60">
        <f>SUM('Exh 6 Stores BS'!G39:K39)/5</f>
        <v>184.8</v>
      </c>
      <c r="M43" s="60">
        <f>SUM('Exh 6 Stores BS'!H39:L39)/5</f>
        <v>184.8</v>
      </c>
      <c r="N43" s="60">
        <f>SUM('Exh 6 Stores BS'!I39:M39)/5</f>
        <v>184.8</v>
      </c>
      <c r="O43" s="82">
        <f>N43</f>
        <v>184.8</v>
      </c>
      <c r="P43" s="82">
        <v>0</v>
      </c>
      <c r="Q43" s="82">
        <v>0</v>
      </c>
      <c r="R43" s="82">
        <v>0</v>
      </c>
      <c r="S43" s="82">
        <f>'Exh 6 Stores BS'!R39/5</f>
        <v>152.23766139890952</v>
      </c>
      <c r="T43" s="82">
        <f>S43</f>
        <v>152.23766139890952</v>
      </c>
      <c r="U43" s="82">
        <f>T43</f>
        <v>152.23766139890952</v>
      </c>
      <c r="V43" s="59"/>
      <c r="W43" s="59"/>
    </row>
    <row r="44" spans="1:32" ht="14" customHeight="1">
      <c r="A44" s="65"/>
      <c r="B44" s="51" t="s">
        <v>10</v>
      </c>
      <c r="C44" s="51"/>
      <c r="D44" s="55"/>
      <c r="E44" s="63"/>
      <c r="F44" s="59"/>
      <c r="G44" s="59"/>
      <c r="H44" s="59"/>
      <c r="I44" s="59"/>
      <c r="J44" s="59"/>
      <c r="K44" s="60">
        <v>610</v>
      </c>
      <c r="L44" s="60">
        <f>K44</f>
        <v>610</v>
      </c>
      <c r="M44" s="60">
        <f>L44</f>
        <v>610</v>
      </c>
      <c r="N44" s="60">
        <f>M44</f>
        <v>610</v>
      </c>
      <c r="O44" s="82">
        <f>N44</f>
        <v>610</v>
      </c>
      <c r="P44" s="82">
        <f>O44</f>
        <v>610</v>
      </c>
      <c r="Q44" s="82">
        <f>P44*(1+2%)^6</f>
        <v>686.95907575104002</v>
      </c>
      <c r="R44" s="82">
        <f>Q44</f>
        <v>686.95907575104002</v>
      </c>
      <c r="S44" s="82">
        <f t="shared" ref="S44:U44" si="9">R44</f>
        <v>686.95907575104002</v>
      </c>
      <c r="T44" s="82">
        <f t="shared" si="9"/>
        <v>686.95907575104002</v>
      </c>
      <c r="U44" s="82">
        <f t="shared" si="9"/>
        <v>686.95907575104002</v>
      </c>
      <c r="V44" s="62"/>
      <c r="W44" s="62"/>
    </row>
    <row r="45" spans="1:32" ht="14" customHeight="1">
      <c r="A45" s="80">
        <v>2009</v>
      </c>
      <c r="B45" s="56"/>
      <c r="C45" s="57">
        <v>1</v>
      </c>
      <c r="D45" s="58">
        <v>14500</v>
      </c>
      <c r="E45" s="56"/>
      <c r="F45" s="56"/>
      <c r="G45" s="56"/>
      <c r="H45" s="56"/>
      <c r="I45" s="56"/>
      <c r="J45" s="56"/>
      <c r="K45" s="56"/>
      <c r="L45" s="56">
        <v>1</v>
      </c>
      <c r="M45" s="56">
        <v>2</v>
      </c>
      <c r="N45" s="56">
        <v>3</v>
      </c>
      <c r="O45" s="56">
        <v>4</v>
      </c>
      <c r="P45" s="56">
        <v>5</v>
      </c>
      <c r="Q45" s="56">
        <v>6</v>
      </c>
      <c r="R45" s="56">
        <v>7</v>
      </c>
      <c r="S45" s="56">
        <v>8</v>
      </c>
      <c r="T45" s="56">
        <v>9</v>
      </c>
      <c r="U45" s="56">
        <v>10</v>
      </c>
      <c r="V45" s="56"/>
      <c r="W45" s="56"/>
    </row>
    <row r="46" spans="1:32" ht="14" customHeight="1">
      <c r="A46" s="65"/>
      <c r="B46" s="51" t="s">
        <v>0</v>
      </c>
      <c r="C46" s="51"/>
      <c r="D46" s="55"/>
      <c r="E46" s="51"/>
      <c r="F46" s="51"/>
      <c r="G46" s="51"/>
      <c r="H46" s="51"/>
      <c r="I46" s="51"/>
      <c r="J46" s="51"/>
      <c r="K46" s="51"/>
      <c r="L46" s="60">
        <v>1437.4</v>
      </c>
      <c r="M46" s="60">
        <v>2507.1999999999998</v>
      </c>
      <c r="N46" s="60">
        <v>3540.1</v>
      </c>
      <c r="O46" s="119">
        <f>N46*(1+'Exh 2 Econ Indicators'!$M$9)</f>
        <v>3639.5802628274337</v>
      </c>
      <c r="P46" s="119">
        <f>O46*(1+'Exh 2 Econ Indicators'!$M$9)</f>
        <v>3741.8560180681366</v>
      </c>
      <c r="Q46" s="119">
        <f>P46*(1+'Exh 2 Econ Indicators'!$M$9)</f>
        <v>3847.0058217854985</v>
      </c>
      <c r="R46" s="119">
        <f>Q46*(1+'Exh 2 Econ Indicators'!$M$9)</f>
        <v>3955.110437544909</v>
      </c>
      <c r="S46" s="119">
        <f>R46*(1+'Exh 2 Econ Indicators'!$M$9)</f>
        <v>4066.2528984467181</v>
      </c>
      <c r="T46" s="119">
        <f>S46*(1+'Exh 2 Econ Indicators'!$M$9)</f>
        <v>4180.5185709023808</v>
      </c>
      <c r="U46" s="119">
        <f>T46*(1+'Exh 2 Econ Indicators'!$M$9)</f>
        <v>4297.995220202778</v>
      </c>
      <c r="V46" s="55"/>
      <c r="W46" s="55"/>
    </row>
    <row r="47" spans="1:32" ht="14" customHeight="1">
      <c r="A47" s="65"/>
      <c r="B47" s="51" t="s">
        <v>1</v>
      </c>
      <c r="C47" s="51"/>
      <c r="D47" s="55"/>
      <c r="E47" s="51"/>
      <c r="F47" s="51"/>
      <c r="G47" s="51"/>
      <c r="H47" s="51"/>
      <c r="I47" s="51"/>
      <c r="J47" s="51"/>
      <c r="K47" s="51"/>
      <c r="L47" s="60">
        <v>1020.6</v>
      </c>
      <c r="M47" s="60">
        <v>1652</v>
      </c>
      <c r="N47" s="60">
        <v>1887</v>
      </c>
      <c r="O47" s="81">
        <f>'Exh 8 Sales Forecasting'!$F$24*O46</f>
        <v>1429.7836069345969</v>
      </c>
      <c r="P47" s="81">
        <f>'Exh 8 Sales Forecasting'!$F$24*P46</f>
        <v>1469.9619208252243</v>
      </c>
      <c r="Q47" s="81">
        <f>'Exh 8 Sales Forecasting'!$F$24*Q46</f>
        <v>1511.2692845239933</v>
      </c>
      <c r="R47" s="81">
        <f>'Exh 8 Sales Forecasting'!$F$24*R46</f>
        <v>1553.737425431729</v>
      </c>
      <c r="S47" s="81">
        <f>'Exh 8 Sales Forecasting'!$F$24*S46</f>
        <v>1597.3989625201639</v>
      </c>
      <c r="T47" s="81">
        <f>'Exh 8 Sales Forecasting'!$F$24*T46</f>
        <v>1642.2874313859515</v>
      </c>
      <c r="U47" s="81">
        <f>'Exh 8 Sales Forecasting'!$F$24*U46</f>
        <v>1688.4373100087209</v>
      </c>
      <c r="V47" s="55"/>
      <c r="W47" s="55"/>
    </row>
    <row r="48" spans="1:32" ht="14" customHeight="1">
      <c r="A48" s="65"/>
      <c r="B48" s="51" t="s">
        <v>19</v>
      </c>
      <c r="C48" s="51"/>
      <c r="D48" s="55"/>
      <c r="E48" s="51"/>
      <c r="F48" s="51"/>
      <c r="G48" s="55"/>
      <c r="H48" s="55"/>
      <c r="I48" s="55"/>
      <c r="J48" s="55"/>
      <c r="K48" s="55"/>
      <c r="L48" s="60">
        <v>256.89999999999998</v>
      </c>
      <c r="M48" s="60">
        <v>480.3</v>
      </c>
      <c r="N48" s="60">
        <v>615</v>
      </c>
      <c r="O48" s="81">
        <f>'Exh 8 Sales Forecasting'!$F$36*O46</f>
        <v>494.95167970386046</v>
      </c>
      <c r="P48" s="81">
        <f>'Exh 8 Sales Forecasting'!$F$36*P46</f>
        <v>508.86030465338723</v>
      </c>
      <c r="Q48" s="81">
        <f>'Exh 8 Sales Forecasting'!$F$36*Q46</f>
        <v>523.15977552973732</v>
      </c>
      <c r="R48" s="81">
        <f>'Exh 8 Sales Forecasting'!$F$36*R46</f>
        <v>537.86107548466498</v>
      </c>
      <c r="S48" s="81">
        <f>'Exh 8 Sales Forecasting'!$F$36*S46</f>
        <v>552.9754963072013</v>
      </c>
      <c r="T48" s="81">
        <f>'Exh 8 Sales Forecasting'!$F$36*T46</f>
        <v>568.51464709666232</v>
      </c>
      <c r="U48" s="81">
        <f>'Exh 8 Sales Forecasting'!$F$36*U46</f>
        <v>584.49046317937791</v>
      </c>
      <c r="V48" s="55"/>
      <c r="W48" s="55"/>
    </row>
    <row r="49" spans="1:23" ht="14" customHeight="1">
      <c r="A49" s="65"/>
      <c r="B49" s="51" t="s">
        <v>16</v>
      </c>
      <c r="C49" s="51"/>
      <c r="D49" s="55"/>
      <c r="E49" s="51"/>
      <c r="F49" s="51"/>
      <c r="G49" s="55"/>
      <c r="H49" s="55"/>
      <c r="I49" s="55"/>
      <c r="J49" s="55"/>
      <c r="K49" s="55"/>
      <c r="L49" s="60">
        <v>158</v>
      </c>
      <c r="M49" s="60">
        <v>227.2</v>
      </c>
      <c r="N49" s="60">
        <v>303.10000000000002</v>
      </c>
      <c r="O49" s="81">
        <f>'Exh 8 Sales Forecasting'!$F$48*O46</f>
        <v>260.69473087378594</v>
      </c>
      <c r="P49" s="81">
        <f>'Exh 8 Sales Forecasting'!$F$48*P46</f>
        <v>268.02050707927486</v>
      </c>
      <c r="Q49" s="81">
        <f>'Exh 8 Sales Forecasting'!$F$48*Q46</f>
        <v>275.55214474131503</v>
      </c>
      <c r="R49" s="81">
        <f>'Exh 8 Sales Forecasting'!$F$48*R46</f>
        <v>283.2954287676219</v>
      </c>
      <c r="S49" s="81">
        <f>'Exh 8 Sales Forecasting'!$F$48*S46</f>
        <v>291.25630662746022</v>
      </c>
      <c r="T49" s="81">
        <f>'Exh 8 Sales Forecasting'!$F$48*T46</f>
        <v>299.44089291978167</v>
      </c>
      <c r="U49" s="81">
        <f>'Exh 8 Sales Forecasting'!$F$48*U46</f>
        <v>307.85547406973262</v>
      </c>
      <c r="V49" s="55"/>
      <c r="W49" s="55"/>
    </row>
    <row r="50" spans="1:23" ht="14" customHeight="1">
      <c r="A50" s="65"/>
      <c r="B50" s="51" t="s">
        <v>17</v>
      </c>
      <c r="C50" s="51"/>
      <c r="D50" s="55"/>
      <c r="E50" s="51"/>
      <c r="F50" s="59"/>
      <c r="G50" s="59"/>
      <c r="H50" s="59"/>
      <c r="I50" s="59"/>
      <c r="J50" s="59"/>
      <c r="K50" s="59"/>
      <c r="L50" s="60">
        <f>SUM('Exh 6 Stores BS'!G46:K46)/5</f>
        <v>78.8</v>
      </c>
      <c r="M50" s="60">
        <f>SUM('Exh 6 Stores BS'!H46:L46)/5</f>
        <v>78.8</v>
      </c>
      <c r="N50" s="60">
        <f>SUM('Exh 6 Stores BS'!I46:M46)/5</f>
        <v>78.8</v>
      </c>
      <c r="O50" s="82">
        <f>N50</f>
        <v>78.8</v>
      </c>
      <c r="P50" s="82">
        <f>O50</f>
        <v>78.8</v>
      </c>
      <c r="Q50" s="82">
        <v>0</v>
      </c>
      <c r="R50" s="82">
        <v>0</v>
      </c>
      <c r="S50" s="82">
        <v>0</v>
      </c>
      <c r="T50" s="82">
        <f>'Exh 6 Stores BS'!S46/5</f>
        <v>64.396149492596564</v>
      </c>
      <c r="U50" s="59">
        <f>T50</f>
        <v>64.396149492596564</v>
      </c>
      <c r="V50" s="59"/>
      <c r="W50" s="59"/>
    </row>
    <row r="51" spans="1:23" ht="14" customHeight="1">
      <c r="A51" s="65"/>
      <c r="B51" s="51" t="s">
        <v>10</v>
      </c>
      <c r="C51" s="51"/>
      <c r="D51" s="55"/>
      <c r="E51" s="63"/>
      <c r="F51" s="59"/>
      <c r="G51" s="59"/>
      <c r="H51" s="59"/>
      <c r="I51" s="59"/>
      <c r="J51" s="59"/>
      <c r="K51" s="59"/>
      <c r="L51" s="60">
        <v>280</v>
      </c>
      <c r="M51" s="60">
        <f>L51</f>
        <v>280</v>
      </c>
      <c r="N51" s="60">
        <f>M51</f>
        <v>280</v>
      </c>
      <c r="O51" s="82">
        <f>N51</f>
        <v>280</v>
      </c>
      <c r="P51" s="82">
        <f t="shared" ref="P51:Q51" si="10">O51</f>
        <v>280</v>
      </c>
      <c r="Q51" s="82">
        <f t="shared" si="10"/>
        <v>280</v>
      </c>
      <c r="R51" s="82">
        <f>Q51*(1+2%)^6</f>
        <v>315.32547739392004</v>
      </c>
      <c r="S51" s="82">
        <f>R51</f>
        <v>315.32547739392004</v>
      </c>
      <c r="T51" s="82">
        <f t="shared" ref="T51:U51" si="11">S51</f>
        <v>315.32547739392004</v>
      </c>
      <c r="U51" s="82">
        <f t="shared" si="11"/>
        <v>315.32547739392004</v>
      </c>
      <c r="V51" s="62"/>
      <c r="W51" s="62"/>
    </row>
    <row r="52" spans="1:23" ht="14" customHeight="1">
      <c r="A52" s="80">
        <v>2010</v>
      </c>
      <c r="B52" s="56"/>
      <c r="C52" s="57">
        <v>2</v>
      </c>
      <c r="D52" s="58">
        <v>14700</v>
      </c>
      <c r="E52" s="56"/>
      <c r="F52" s="56"/>
      <c r="G52" s="56"/>
      <c r="H52" s="56"/>
      <c r="I52" s="56"/>
      <c r="J52" s="56"/>
      <c r="K52" s="56"/>
      <c r="L52" s="56"/>
      <c r="M52" s="56">
        <v>1</v>
      </c>
      <c r="N52" s="56">
        <v>2</v>
      </c>
      <c r="O52" s="56">
        <v>3</v>
      </c>
      <c r="P52" s="56">
        <v>4</v>
      </c>
      <c r="Q52" s="56">
        <v>5</v>
      </c>
      <c r="R52" s="56">
        <v>6</v>
      </c>
      <c r="S52" s="56">
        <v>7</v>
      </c>
      <c r="T52" s="56">
        <v>8</v>
      </c>
      <c r="U52" s="56">
        <v>9</v>
      </c>
      <c r="V52" s="56"/>
      <c r="W52" s="56"/>
    </row>
    <row r="53" spans="1:23" ht="14" customHeight="1">
      <c r="A53" s="65"/>
      <c r="B53" s="51" t="s">
        <v>0</v>
      </c>
      <c r="C53" s="51"/>
      <c r="D53" s="55"/>
      <c r="E53" s="51"/>
      <c r="F53" s="51"/>
      <c r="G53" s="51"/>
      <c r="H53" s="51"/>
      <c r="I53" s="51"/>
      <c r="J53" s="51"/>
      <c r="K53" s="51"/>
      <c r="L53" s="51"/>
      <c r="M53" s="60">
        <v>3007.7</v>
      </c>
      <c r="N53" s="60">
        <v>5300</v>
      </c>
      <c r="O53" s="119">
        <f>N53*(1+'Exh 2 Econ Indicators'!$M$9)</f>
        <v>5448.9351693413737</v>
      </c>
      <c r="P53" s="119">
        <f>O53*(1+'Exh 2 Econ Indicators'!$M$9)</f>
        <v>5602.055562204775</v>
      </c>
      <c r="Q53" s="119">
        <f>P53*(1+'Exh 2 Econ Indicators'!$M$9)</f>
        <v>5759.4787874532194</v>
      </c>
      <c r="R53" s="119">
        <f>Q53*(1+'Exh 2 Econ Indicators'!$M$9)</f>
        <v>5921.3257588734832</v>
      </c>
      <c r="S53" s="119">
        <f>R53*(1+'Exh 2 Econ Indicators'!$M$9)</f>
        <v>6087.7207880476835</v>
      </c>
      <c r="T53" s="119">
        <f>S53*(1+'Exh 2 Econ Indicators'!$M$9)</f>
        <v>6258.7916798346432</v>
      </c>
      <c r="U53" s="119">
        <f>T53*(1+'Exh 2 Econ Indicators'!$M$9)</f>
        <v>6434.6698305343707</v>
      </c>
      <c r="V53" s="55"/>
      <c r="W53" s="55"/>
    </row>
    <row r="54" spans="1:23" ht="14" customHeight="1">
      <c r="A54" s="65"/>
      <c r="B54" s="51" t="s">
        <v>1</v>
      </c>
      <c r="C54" s="51"/>
      <c r="D54" s="55"/>
      <c r="E54" s="51"/>
      <c r="F54" s="51"/>
      <c r="G54" s="51"/>
      <c r="H54" s="51"/>
      <c r="I54" s="51"/>
      <c r="J54" s="51"/>
      <c r="K54" s="51"/>
      <c r="L54" s="51"/>
      <c r="M54" s="60">
        <v>2226</v>
      </c>
      <c r="N54" s="60">
        <v>3525.6</v>
      </c>
      <c r="O54" s="81">
        <f>'Exh 8 Sales Forecasting'!$E$24*O53</f>
        <v>3062.9334339380284</v>
      </c>
      <c r="P54" s="81">
        <f>'Exh 8 Sales Forecasting'!$F$24*P53</f>
        <v>2200.7282789677379</v>
      </c>
      <c r="Q54" s="81">
        <f>'Exh 8 Sales Forecasting'!$F$24*Q53</f>
        <v>2262.5708900814002</v>
      </c>
      <c r="R54" s="81">
        <f>'Exh 8 Sales Forecasting'!$F$24*R53</f>
        <v>2326.1513388853882</v>
      </c>
      <c r="S54" s="81">
        <f>'Exh 8 Sales Forecasting'!$F$24*S53</f>
        <v>2391.5184603137959</v>
      </c>
      <c r="T54" s="81">
        <f>'Exh 8 Sales Forecasting'!$F$24*T53</f>
        <v>2458.7224616099952</v>
      </c>
      <c r="U54" s="81">
        <f>'Exh 8 Sales Forecasting'!$F$24*U53</f>
        <v>2527.814960889868</v>
      </c>
      <c r="V54" s="55"/>
      <c r="W54" s="55"/>
    </row>
    <row r="55" spans="1:23" ht="14" customHeight="1">
      <c r="A55" s="65"/>
      <c r="B55" s="51" t="s">
        <v>19</v>
      </c>
      <c r="C55" s="51"/>
      <c r="D55" s="55"/>
      <c r="E55" s="51"/>
      <c r="F55" s="51"/>
      <c r="G55" s="55"/>
      <c r="H55" s="55"/>
      <c r="I55" s="55"/>
      <c r="J55" s="55"/>
      <c r="K55" s="55"/>
      <c r="L55" s="55"/>
      <c r="M55" s="60">
        <v>622.70000000000005</v>
      </c>
      <c r="N55" s="60">
        <v>1028</v>
      </c>
      <c r="O55" s="81">
        <f>'Exh 8 Sales Forecasting'!$E$36*O53</f>
        <v>941.82527070551248</v>
      </c>
      <c r="P55" s="81">
        <f>'Exh 8 Sales Forecasting'!$F$36*P53</f>
        <v>761.83147782914398</v>
      </c>
      <c r="Q55" s="81">
        <f>'Exh 8 Sales Forecasting'!$F$36*Q53</f>
        <v>783.23968540651617</v>
      </c>
      <c r="R55" s="81">
        <f>'Exh 8 Sales Forecasting'!$F$36*R53</f>
        <v>805.24948449725287</v>
      </c>
      <c r="S55" s="81">
        <f>'Exh 8 Sales Forecasting'!$F$36*S53</f>
        <v>827.87778040964008</v>
      </c>
      <c r="T55" s="81">
        <f>'Exh 8 Sales Forecasting'!$F$36*T53</f>
        <v>851.14195350761565</v>
      </c>
      <c r="U55" s="81">
        <f>'Exh 8 Sales Forecasting'!$F$36*U53</f>
        <v>875.05987256029584</v>
      </c>
      <c r="V55" s="55"/>
      <c r="W55" s="55"/>
    </row>
    <row r="56" spans="1:23" ht="14" customHeight="1">
      <c r="A56" s="65"/>
      <c r="B56" s="51" t="s">
        <v>16</v>
      </c>
      <c r="C56" s="51"/>
      <c r="D56" s="55"/>
      <c r="E56" s="51"/>
      <c r="F56" s="51"/>
      <c r="G56" s="55"/>
      <c r="H56" s="55"/>
      <c r="I56" s="55"/>
      <c r="J56" s="55"/>
      <c r="K56" s="55"/>
      <c r="L56" s="55"/>
      <c r="M56" s="60">
        <v>352.9</v>
      </c>
      <c r="N56" s="60">
        <v>472.8</v>
      </c>
      <c r="O56" s="81">
        <f>'Exh 8 Sales Forecasting'!$E$48*O53</f>
        <v>445.50207571987124</v>
      </c>
      <c r="P56" s="81">
        <f>'Exh 8 Sales Forecasting'!$F$48*P53</f>
        <v>401.26230544904291</v>
      </c>
      <c r="Q56" s="81">
        <f>'Exh 8 Sales Forecasting'!$F$48*Q53</f>
        <v>412.53816760231905</v>
      </c>
      <c r="R56" s="81">
        <f>'Exh 8 Sales Forecasting'!$F$48*R53</f>
        <v>424.13089247998539</v>
      </c>
      <c r="S56" s="81">
        <f>'Exh 8 Sales Forecasting'!$F$48*S53</f>
        <v>436.04938423364854</v>
      </c>
      <c r="T56" s="81">
        <f>'Exh 8 Sales Forecasting'!$F$48*T53</f>
        <v>448.3027972302599</v>
      </c>
      <c r="U56" s="81">
        <f>'Exh 8 Sales Forecasting'!$F$48*U53</f>
        <v>460.90054308341092</v>
      </c>
      <c r="V56" s="55"/>
      <c r="W56" s="55"/>
    </row>
    <row r="57" spans="1:23" ht="14" customHeight="1">
      <c r="A57" s="65"/>
      <c r="B57" s="51" t="s">
        <v>17</v>
      </c>
      <c r="C57" s="51"/>
      <c r="D57" s="55"/>
      <c r="E57" s="51"/>
      <c r="F57" s="59"/>
      <c r="G57" s="59"/>
      <c r="H57" s="59"/>
      <c r="I57" s="59"/>
      <c r="J57" s="59"/>
      <c r="K57" s="59"/>
      <c r="L57" s="59"/>
      <c r="M57" s="60">
        <f>SUM('Exh 6 Stores BS'!H53:L53)/5</f>
        <v>150.4</v>
      </c>
      <c r="N57" s="60">
        <f>SUM('Exh 6 Stores BS'!I53:M53)/5</f>
        <v>150.4</v>
      </c>
      <c r="O57" s="81">
        <f>N57</f>
        <v>150.4</v>
      </c>
      <c r="P57" s="81">
        <f t="shared" ref="P57:R58" si="12">O57</f>
        <v>150.4</v>
      </c>
      <c r="Q57" s="81">
        <f t="shared" si="12"/>
        <v>150.4</v>
      </c>
      <c r="R57" s="81">
        <v>0</v>
      </c>
      <c r="S57" s="81">
        <v>0</v>
      </c>
      <c r="T57" s="81">
        <v>0</v>
      </c>
      <c r="U57" s="81">
        <f>'Exh 6 Stores BS'!T53/5</f>
        <v>123.27685686029932</v>
      </c>
      <c r="V57" s="94"/>
      <c r="W57" s="94"/>
    </row>
    <row r="58" spans="1:23" ht="14" customHeight="1">
      <c r="A58" s="65"/>
      <c r="B58" s="51" t="s">
        <v>10</v>
      </c>
      <c r="C58" s="51"/>
      <c r="D58" s="55"/>
      <c r="E58" s="63"/>
      <c r="F58" s="59"/>
      <c r="G58" s="59"/>
      <c r="H58" s="59"/>
      <c r="I58" s="59"/>
      <c r="J58" s="59"/>
      <c r="K58" s="59"/>
      <c r="L58" s="59"/>
      <c r="M58" s="60">
        <v>565</v>
      </c>
      <c r="N58" s="60">
        <f>M58</f>
        <v>565</v>
      </c>
      <c r="O58" s="93">
        <f>N58</f>
        <v>565</v>
      </c>
      <c r="P58" s="93">
        <f t="shared" si="12"/>
        <v>565</v>
      </c>
      <c r="Q58" s="93">
        <f t="shared" si="12"/>
        <v>565</v>
      </c>
      <c r="R58" s="93">
        <f t="shared" si="12"/>
        <v>565</v>
      </c>
      <c r="S58" s="93">
        <f>R58*(1+2%)^6</f>
        <v>636.28176688415999</v>
      </c>
      <c r="T58" s="93">
        <f>S58</f>
        <v>636.28176688415999</v>
      </c>
      <c r="U58" s="93">
        <f>T58</f>
        <v>636.28176688415999</v>
      </c>
      <c r="V58" s="95"/>
      <c r="W58" s="95"/>
    </row>
    <row r="59" spans="1:23" ht="14" customHeight="1">
      <c r="A59" s="80">
        <v>2011</v>
      </c>
      <c r="B59" s="56"/>
      <c r="C59" s="57">
        <v>2</v>
      </c>
      <c r="D59" s="58">
        <v>15400</v>
      </c>
      <c r="E59" s="56"/>
      <c r="F59" s="56"/>
      <c r="G59" s="56"/>
      <c r="H59" s="56"/>
      <c r="I59" s="56"/>
      <c r="J59" s="56"/>
      <c r="K59" s="56"/>
      <c r="L59" s="56"/>
      <c r="M59" s="56"/>
      <c r="N59" s="56">
        <v>1</v>
      </c>
      <c r="O59" s="56">
        <v>2</v>
      </c>
      <c r="P59" s="56">
        <v>3</v>
      </c>
      <c r="Q59" s="56">
        <v>4</v>
      </c>
      <c r="R59" s="56">
        <v>5</v>
      </c>
      <c r="S59" s="56">
        <v>6</v>
      </c>
      <c r="T59" s="56">
        <v>7</v>
      </c>
      <c r="U59" s="56">
        <v>8</v>
      </c>
      <c r="V59" s="56"/>
      <c r="W59" s="56"/>
    </row>
    <row r="60" spans="1:23" ht="14" customHeight="1">
      <c r="A60" s="65"/>
      <c r="B60" s="51" t="s">
        <v>0</v>
      </c>
      <c r="C60" s="51"/>
      <c r="D60" s="55"/>
      <c r="E60" s="51"/>
      <c r="F60" s="51"/>
      <c r="G60" s="51"/>
      <c r="H60" s="51"/>
      <c r="I60" s="51"/>
      <c r="J60" s="51"/>
      <c r="K60" s="51"/>
      <c r="L60" s="51"/>
      <c r="M60" s="59"/>
      <c r="N60" s="60">
        <v>3353.7</v>
      </c>
      <c r="O60" s="119">
        <f>N60*(1+'Exh 2 Econ Indicators'!$M$9)</f>
        <v>3447.9422410226725</v>
      </c>
      <c r="P60" s="119">
        <f>O60*(1+'Exh 2 Econ Indicators'!$M$9)</f>
        <v>3544.8327809370098</v>
      </c>
      <c r="Q60" s="119">
        <f>P60*(1+'Exh 2 Econ Indicators'!$M$9)</f>
        <v>3644.4460395248793</v>
      </c>
      <c r="R60" s="119">
        <f>Q60*(1+'Exh 2 Econ Indicators'!$M$9)</f>
        <v>3746.8585278366036</v>
      </c>
      <c r="S60" s="119">
        <f>R60*(1+'Exh 2 Econ Indicators'!$M$9)</f>
        <v>3852.1489069576442</v>
      </c>
      <c r="T60" s="119">
        <f>S60*(1+'Exh 2 Econ Indicators'!$M$9)</f>
        <v>3960.3980484266867</v>
      </c>
      <c r="U60" s="119">
        <f>T60*(1+'Exh 2 Econ Indicators'!$M$9)</f>
        <v>4071.6890963515311</v>
      </c>
      <c r="V60" s="55"/>
      <c r="W60" s="55"/>
    </row>
    <row r="61" spans="1:23" ht="14" customHeight="1">
      <c r="A61" s="65"/>
      <c r="B61" s="51" t="s">
        <v>1</v>
      </c>
      <c r="C61" s="51"/>
      <c r="D61" s="55"/>
      <c r="E61" s="51"/>
      <c r="F61" s="51"/>
      <c r="G61" s="51"/>
      <c r="H61" s="51"/>
      <c r="I61" s="51"/>
      <c r="J61" s="51"/>
      <c r="K61" s="51"/>
      <c r="L61" s="51"/>
      <c r="M61" s="55"/>
      <c r="N61" s="60">
        <v>2357.1</v>
      </c>
      <c r="O61" s="81">
        <f>'Exh 8 Sales Forecasting'!D24*O60</f>
        <v>2194.7009600029987</v>
      </c>
      <c r="P61" s="81">
        <f>'Exh 8 Sales Forecasting'!E24*P60</f>
        <v>1992.6070883614257</v>
      </c>
      <c r="Q61" s="81">
        <f>'Exh 8 Sales Forecasting'!$F$24*Q60</f>
        <v>1431.6950932199984</v>
      </c>
      <c r="R61" s="81">
        <f>'Exh 8 Sales Forecasting'!$F$24*R60</f>
        <v>1471.9271217396088</v>
      </c>
      <c r="S61" s="81">
        <f>'Exh 8 Sales Forecasting'!$F$24*S60</f>
        <v>1513.2897095008257</v>
      </c>
      <c r="T61" s="81">
        <f>'Exh 8 Sales Forecasting'!$F$24*T60</f>
        <v>1555.8146263210265</v>
      </c>
      <c r="U61" s="81">
        <f>'Exh 8 Sales Forecasting'!$F$24*U60</f>
        <v>1599.5345347804432</v>
      </c>
      <c r="V61" s="55"/>
      <c r="W61" s="55"/>
    </row>
    <row r="62" spans="1:23" ht="14" customHeight="1">
      <c r="A62" s="65"/>
      <c r="B62" s="51" t="s">
        <v>19</v>
      </c>
      <c r="C62" s="51"/>
      <c r="D62" s="55"/>
      <c r="E62" s="51"/>
      <c r="F62" s="51"/>
      <c r="G62" s="55"/>
      <c r="H62" s="55"/>
      <c r="I62" s="55"/>
      <c r="J62" s="55"/>
      <c r="K62" s="55"/>
      <c r="L62" s="55"/>
      <c r="M62" s="55"/>
      <c r="N62" s="60">
        <v>700.9</v>
      </c>
      <c r="O62" s="81">
        <f>'Exh 8 Sales Forecasting'!D36*O60</f>
        <v>631.4964580555652</v>
      </c>
      <c r="P62" s="81">
        <f>'Exh 8 Sales Forecasting'!E36*P60</f>
        <v>612.70927066568868</v>
      </c>
      <c r="Q62" s="81">
        <f>'Exh 8 Sales Forecasting'!$F$36*Q60</f>
        <v>495.61338357506287</v>
      </c>
      <c r="R62" s="81">
        <f>'Exh 8 Sales Forecasting'!$F$36*R60</f>
        <v>509.54060304876162</v>
      </c>
      <c r="S62" s="81">
        <f>'Exh 8 Sales Forecasting'!$F$36*S60</f>
        <v>523.85919097354895</v>
      </c>
      <c r="T62" s="81">
        <f>'Exh 8 Sales Forecasting'!$F$36*T60</f>
        <v>538.58014518462085</v>
      </c>
      <c r="U62" s="81">
        <f>'Exh 8 Sales Forecasting'!$F$36*U60</f>
        <v>553.71477256706862</v>
      </c>
      <c r="V62" s="55"/>
      <c r="W62" s="55"/>
    </row>
    <row r="63" spans="1:23" ht="14" customHeight="1">
      <c r="A63" s="65"/>
      <c r="B63" s="51" t="s">
        <v>16</v>
      </c>
      <c r="C63" s="51"/>
      <c r="D63" s="55"/>
      <c r="E63" s="51"/>
      <c r="F63" s="51"/>
      <c r="G63" s="55"/>
      <c r="H63" s="55"/>
      <c r="I63" s="55"/>
      <c r="J63" s="55"/>
      <c r="K63" s="55"/>
      <c r="L63" s="55"/>
      <c r="M63" s="55"/>
      <c r="N63" s="60">
        <v>358.3</v>
      </c>
      <c r="O63" s="81">
        <f>'Exh 8 Sales Forecasting'!D48*O60</f>
        <v>306.32922316729309</v>
      </c>
      <c r="P63" s="81">
        <f>'Exh 8 Sales Forecasting'!E48*P60</f>
        <v>289.82366515808025</v>
      </c>
      <c r="Q63" s="81">
        <f>'Exh 8 Sales Forecasting'!$F$48*Q60</f>
        <v>261.04325522413154</v>
      </c>
      <c r="R63" s="81">
        <f>'Exh 8 Sales Forecasting'!$F$48*R60</f>
        <v>268.3788253037975</v>
      </c>
      <c r="S63" s="81">
        <f>'Exh 8 Sales Forecasting'!$F$48*S60</f>
        <v>275.9205320574315</v>
      </c>
      <c r="T63" s="81">
        <f>'Exh 8 Sales Forecasting'!$F$48*T60</f>
        <v>283.67416812662685</v>
      </c>
      <c r="U63" s="81">
        <f>'Exh 8 Sales Forecasting'!$F$48*U60</f>
        <v>291.64568893185566</v>
      </c>
      <c r="V63" s="55"/>
      <c r="W63" s="55"/>
    </row>
    <row r="64" spans="1:23" ht="14" customHeight="1">
      <c r="A64" s="65"/>
      <c r="B64" s="51" t="s">
        <v>17</v>
      </c>
      <c r="C64" s="51"/>
      <c r="D64" s="55"/>
      <c r="E64" s="51"/>
      <c r="F64" s="59"/>
      <c r="G64" s="59"/>
      <c r="H64" s="59"/>
      <c r="I64" s="59"/>
      <c r="J64" s="59"/>
      <c r="K64" s="59"/>
      <c r="L64" s="59"/>
      <c r="M64" s="59"/>
      <c r="N64" s="60">
        <f>SUM('Exh 6 Stores BS'!I60:M60)/5</f>
        <v>159.6</v>
      </c>
      <c r="O64" s="93">
        <f>N64</f>
        <v>159.6</v>
      </c>
      <c r="P64" s="93">
        <f t="shared" ref="P64:S65" si="13">O64</f>
        <v>159.6</v>
      </c>
      <c r="Q64" s="93">
        <f t="shared" si="13"/>
        <v>159.6</v>
      </c>
      <c r="R64" s="93">
        <f t="shared" si="13"/>
        <v>159.6</v>
      </c>
      <c r="S64" s="93">
        <v>0</v>
      </c>
      <c r="T64" s="93">
        <v>0</v>
      </c>
      <c r="U64" s="94">
        <v>0</v>
      </c>
      <c r="V64" s="94"/>
      <c r="W64" s="94"/>
    </row>
    <row r="65" spans="1:23" ht="14" customHeight="1">
      <c r="A65" s="65"/>
      <c r="B65" s="51" t="s">
        <v>10</v>
      </c>
      <c r="C65" s="51"/>
      <c r="D65" s="55"/>
      <c r="E65" s="63"/>
      <c r="F65" s="59"/>
      <c r="G65" s="59"/>
      <c r="H65" s="59"/>
      <c r="I65" s="59"/>
      <c r="J65" s="59"/>
      <c r="K65" s="59"/>
      <c r="L65" s="59"/>
      <c r="M65" s="59"/>
      <c r="N65" s="60">
        <v>610</v>
      </c>
      <c r="O65" s="93">
        <f>N65</f>
        <v>610</v>
      </c>
      <c r="P65" s="93">
        <f t="shared" si="13"/>
        <v>610</v>
      </c>
      <c r="Q65" s="93">
        <f t="shared" si="13"/>
        <v>610</v>
      </c>
      <c r="R65" s="93">
        <f t="shared" si="13"/>
        <v>610</v>
      </c>
      <c r="S65" s="93">
        <f t="shared" si="13"/>
        <v>610</v>
      </c>
      <c r="T65" s="93">
        <f>S65*(1+2%)^6</f>
        <v>686.95907575104002</v>
      </c>
      <c r="U65" s="95">
        <f>T65</f>
        <v>686.95907575104002</v>
      </c>
      <c r="V65" s="94"/>
      <c r="W65" s="95"/>
    </row>
    <row r="66" spans="1:23" ht="14" customHeight="1">
      <c r="A66" s="80">
        <v>2012</v>
      </c>
      <c r="B66" s="56"/>
      <c r="C66" s="57">
        <v>3</v>
      </c>
      <c r="D66" s="58">
        <v>16300</v>
      </c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>
        <v>1</v>
      </c>
      <c r="P66" s="56">
        <v>2</v>
      </c>
      <c r="Q66" s="56">
        <v>3</v>
      </c>
      <c r="R66" s="56">
        <v>4</v>
      </c>
      <c r="S66" s="56">
        <v>5</v>
      </c>
      <c r="T66" s="56">
        <v>6</v>
      </c>
      <c r="U66" s="56">
        <v>7</v>
      </c>
      <c r="V66" s="56"/>
      <c r="W66" s="56"/>
    </row>
    <row r="67" spans="1:23" ht="14" customHeight="1">
      <c r="A67" s="65"/>
      <c r="B67" s="51" t="s">
        <v>0</v>
      </c>
      <c r="C67" s="51"/>
      <c r="D67" s="55"/>
      <c r="E67" s="51"/>
      <c r="F67" s="51"/>
      <c r="G67" s="51"/>
      <c r="H67" s="51"/>
      <c r="I67" s="51"/>
      <c r="J67" s="51"/>
      <c r="K67" s="51"/>
      <c r="L67" s="51"/>
      <c r="M67" s="51"/>
      <c r="N67" s="59"/>
      <c r="O67" s="96">
        <f>110*C66*D66/1000</f>
        <v>5379</v>
      </c>
      <c r="P67" s="119">
        <f>O67*(1+'Exh 2 Econ Indicators'!$M$9)</f>
        <v>5530.1551463938213</v>
      </c>
      <c r="Q67" s="119">
        <f>P67*(1+'Exh 2 Econ Indicators'!$M$9)</f>
        <v>5685.5578998300916</v>
      </c>
      <c r="R67" s="119">
        <f>Q67*(1+'Exh 2 Econ Indicators'!$M$9)</f>
        <v>5845.3276222095974</v>
      </c>
      <c r="S67" s="119">
        <f>R67*(1+'Exh 2 Econ Indicators'!$M$9)</f>
        <v>6009.5870296189551</v>
      </c>
      <c r="T67" s="119">
        <f>S67*(1+'Exh 2 Econ Indicators'!$M$9)</f>
        <v>6178.4622865865067</v>
      </c>
      <c r="U67" s="119">
        <f>T67*(1+'Exh 2 Econ Indicators'!$M$9)</f>
        <v>6352.0831029868941</v>
      </c>
      <c r="V67" s="55"/>
      <c r="W67" s="55"/>
    </row>
    <row r="68" spans="1:23" ht="14" customHeight="1">
      <c r="A68" s="65"/>
      <c r="B68" s="51" t="s">
        <v>1</v>
      </c>
      <c r="C68" s="51"/>
      <c r="D68" s="55"/>
      <c r="E68" s="51"/>
      <c r="F68" s="51"/>
      <c r="G68" s="51"/>
      <c r="H68" s="51"/>
      <c r="I68" s="51"/>
      <c r="J68" s="51"/>
      <c r="K68" s="51"/>
      <c r="L68" s="51"/>
      <c r="M68" s="51"/>
      <c r="N68" s="55"/>
      <c r="O68" s="81">
        <f>'Exh 8 Sales Forecasting'!C24*O67</f>
        <v>3811.7627810760832</v>
      </c>
      <c r="P68" s="81">
        <f>'Exh 8 Sales Forecasting'!D24*P67</f>
        <v>3520.0812427635542</v>
      </c>
      <c r="Q68" s="81">
        <f>'Exh 8 Sales Forecasting'!E24*Q67</f>
        <v>3195.9428476894504</v>
      </c>
      <c r="R68" s="81">
        <f>'Exh 8 Sales Forecasting'!$F$24*R67</f>
        <v>2296.2960033486511</v>
      </c>
      <c r="S68" s="81">
        <f>'Exh 8 Sales Forecasting'!$F$24*S67</f>
        <v>2360.8241607291516</v>
      </c>
      <c r="T68" s="81">
        <f>'Exh 8 Sales Forecasting'!$F$24*T67</f>
        <v>2427.165622269416</v>
      </c>
      <c r="U68" s="81">
        <f>'Exh 8 Sales Forecasting'!$F$24*U67</f>
        <v>2495.3713435849363</v>
      </c>
      <c r="V68" s="55"/>
      <c r="W68" s="55"/>
    </row>
    <row r="69" spans="1:23" ht="14" customHeight="1">
      <c r="A69" s="65"/>
      <c r="B69" s="51" t="s">
        <v>19</v>
      </c>
      <c r="C69" s="51"/>
      <c r="D69" s="55"/>
      <c r="E69" s="51"/>
      <c r="F69" s="51"/>
      <c r="G69" s="55"/>
      <c r="H69" s="55"/>
      <c r="I69" s="55"/>
      <c r="J69" s="55"/>
      <c r="K69" s="55"/>
      <c r="L69" s="55"/>
      <c r="M69" s="55"/>
      <c r="N69" s="55"/>
      <c r="O69" s="81">
        <f>'Exh 8 Sales Forecasting'!C36*O67</f>
        <v>1039.2739782039746</v>
      </c>
      <c r="P69" s="81">
        <f>'Exh 8 Sales Forecasting'!D36*P67</f>
        <v>1012.8572764054285</v>
      </c>
      <c r="Q69" s="81">
        <f>'Exh 8 Sales Forecasting'!E36*Q67</f>
        <v>982.72450335770634</v>
      </c>
      <c r="R69" s="81">
        <f>'Exh 8 Sales Forecasting'!$F$36*R67</f>
        <v>794.91439015125479</v>
      </c>
      <c r="S69" s="81">
        <f>'Exh 8 Sales Forecasting'!$F$36*S67</f>
        <v>817.25225983221173</v>
      </c>
      <c r="T69" s="81">
        <f>'Exh 8 Sales Forecasting'!$F$36*T67</f>
        <v>840.21784543838737</v>
      </c>
      <c r="U69" s="81">
        <f>'Exh 8 Sales Forecasting'!$F$36*U67</f>
        <v>863.8287863995215</v>
      </c>
      <c r="V69" s="55"/>
      <c r="W69" s="55"/>
    </row>
    <row r="70" spans="1:23" ht="14" customHeight="1">
      <c r="A70" s="65"/>
      <c r="B70" s="51" t="s">
        <v>16</v>
      </c>
      <c r="C70" s="51"/>
      <c r="D70" s="55"/>
      <c r="E70" s="51"/>
      <c r="F70" s="51"/>
      <c r="G70" s="55"/>
      <c r="H70" s="55"/>
      <c r="I70" s="55"/>
      <c r="J70" s="55"/>
      <c r="K70" s="55"/>
      <c r="L70" s="55"/>
      <c r="M70" s="55"/>
      <c r="N70" s="55"/>
      <c r="O70" s="81">
        <f>'Exh 8 Sales Forecasting'!C48*O67</f>
        <v>569.08328349561407</v>
      </c>
      <c r="P70" s="81">
        <f>'Exh 8 Sales Forecasting'!D48*P67</f>
        <v>491.32149310220643</v>
      </c>
      <c r="Q70" s="81">
        <f>'Exh 8 Sales Forecasting'!E48*Q67</f>
        <v>464.84822580591998</v>
      </c>
      <c r="R70" s="81">
        <f>'Exh 8 Sales Forecasting'!$F$48*R67</f>
        <v>418.68732142129699</v>
      </c>
      <c r="S70" s="81">
        <f>'Exh 8 Sales Forecasting'!$F$48*S67</f>
        <v>430.45284351883794</v>
      </c>
      <c r="T70" s="81">
        <f>'Exh 8 Sales Forecasting'!$F$48*T67</f>
        <v>442.54898826279151</v>
      </c>
      <c r="U70" s="81">
        <f>'Exh 8 Sales Forecasting'!$F$48*U67</f>
        <v>454.98504647199388</v>
      </c>
      <c r="V70" s="55"/>
      <c r="W70" s="55"/>
    </row>
    <row r="71" spans="1:23" ht="14" customHeight="1">
      <c r="A71" s="65"/>
      <c r="B71" s="51" t="s">
        <v>17</v>
      </c>
      <c r="C71" s="51"/>
      <c r="D71" s="55"/>
      <c r="E71" s="51"/>
      <c r="F71" s="59"/>
      <c r="G71" s="59"/>
      <c r="H71" s="59"/>
      <c r="I71" s="59"/>
      <c r="J71" s="59"/>
      <c r="K71" s="59"/>
      <c r="L71" s="59"/>
      <c r="M71" s="59"/>
      <c r="N71" s="59"/>
      <c r="O71" s="94">
        <f>'Exh 6 Stores BS'!N67/5</f>
        <v>258.60000000000002</v>
      </c>
      <c r="P71" s="93">
        <f>O71</f>
        <v>258.60000000000002</v>
      </c>
      <c r="Q71" s="93">
        <f t="shared" ref="Q71:T72" si="14">P71</f>
        <v>258.60000000000002</v>
      </c>
      <c r="R71" s="93">
        <f t="shared" si="14"/>
        <v>258.60000000000002</v>
      </c>
      <c r="S71" s="93">
        <f t="shared" si="14"/>
        <v>258.60000000000002</v>
      </c>
      <c r="T71" s="93">
        <v>0</v>
      </c>
      <c r="U71" s="94">
        <v>0</v>
      </c>
      <c r="V71" s="94"/>
      <c r="W71" s="94"/>
    </row>
    <row r="72" spans="1:23" ht="14" customHeight="1">
      <c r="A72" s="65"/>
      <c r="B72" s="51" t="s">
        <v>10</v>
      </c>
      <c r="C72" s="51"/>
      <c r="D72" s="55"/>
      <c r="E72" s="63"/>
      <c r="F72" s="59"/>
      <c r="G72" s="59"/>
      <c r="H72" s="59"/>
      <c r="I72" s="59"/>
      <c r="J72" s="59"/>
      <c r="K72" s="59"/>
      <c r="L72" s="59"/>
      <c r="M72" s="59"/>
      <c r="N72" s="59"/>
      <c r="O72" s="96">
        <v>1000</v>
      </c>
      <c r="P72" s="93">
        <f>O72</f>
        <v>1000</v>
      </c>
      <c r="Q72" s="93">
        <f t="shared" si="14"/>
        <v>1000</v>
      </c>
      <c r="R72" s="93">
        <f t="shared" si="14"/>
        <v>1000</v>
      </c>
      <c r="S72" s="93">
        <f t="shared" si="14"/>
        <v>1000</v>
      </c>
      <c r="T72" s="93">
        <f t="shared" si="14"/>
        <v>1000</v>
      </c>
      <c r="U72" s="94">
        <f>T72*(1+2%)^6</f>
        <v>1126.1624192640002</v>
      </c>
      <c r="V72" s="95"/>
      <c r="W72" s="94"/>
    </row>
    <row r="73" spans="1:23" ht="14" customHeight="1">
      <c r="A73" s="80">
        <v>2013</v>
      </c>
      <c r="B73" s="56"/>
      <c r="C73" s="57">
        <v>2</v>
      </c>
      <c r="D73" s="58">
        <v>16000</v>
      </c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>
        <v>1</v>
      </c>
      <c r="Q73" s="56">
        <v>2</v>
      </c>
      <c r="R73" s="56">
        <v>3</v>
      </c>
      <c r="S73" s="56">
        <v>4</v>
      </c>
      <c r="T73" s="56">
        <v>5</v>
      </c>
      <c r="U73" s="56">
        <v>6</v>
      </c>
      <c r="V73" s="56"/>
      <c r="W73" s="56"/>
    </row>
    <row r="74" spans="1:23" ht="14" customHeight="1">
      <c r="A74" s="65"/>
      <c r="B74" s="51" t="s">
        <v>0</v>
      </c>
      <c r="C74" s="51"/>
      <c r="D74" s="55"/>
      <c r="E74" s="51"/>
      <c r="F74" s="51"/>
      <c r="G74" s="51"/>
      <c r="H74" s="51"/>
      <c r="I74" s="51"/>
      <c r="J74" s="51"/>
      <c r="K74" s="51"/>
      <c r="L74" s="51"/>
      <c r="M74" s="59"/>
      <c r="N74" s="55"/>
      <c r="O74" s="55"/>
      <c r="P74" s="96">
        <f>113.2*C73*D73/1000</f>
        <v>3622.4</v>
      </c>
      <c r="Q74" s="119">
        <f>P74*(1+'Exh 2 Econ Indicators'!$M$9)</f>
        <v>3724.1929730985271</v>
      </c>
      <c r="R74" s="119">
        <f>Q74*(1+'Exh 2 Econ Indicators'!$M$9)</f>
        <v>3828.8464280246371</v>
      </c>
      <c r="S74" s="119">
        <f>R74*(1+'Exh 2 Econ Indicators'!$M$9)</f>
        <v>3936.4407471076493</v>
      </c>
      <c r="T74" s="119">
        <f>S74*(1+'Exh 2 Econ Indicators'!$M$9)</f>
        <v>4047.0585714987365</v>
      </c>
      <c r="U74" s="119">
        <f>T74*(1+'Exh 2 Econ Indicators'!$M$9)</f>
        <v>4160.7848646460243</v>
      </c>
      <c r="V74" s="55"/>
      <c r="W74" s="55"/>
    </row>
    <row r="75" spans="1:23" ht="14" customHeight="1">
      <c r="A75" s="65"/>
      <c r="B75" s="51" t="s">
        <v>1</v>
      </c>
      <c r="C75" s="51"/>
      <c r="D75" s="55"/>
      <c r="E75" s="51"/>
      <c r="F75" s="51"/>
      <c r="G75" s="51"/>
      <c r="H75" s="51"/>
      <c r="I75" s="51"/>
      <c r="J75" s="51"/>
      <c r="K75" s="51"/>
      <c r="L75" s="51"/>
      <c r="M75" s="55"/>
      <c r="N75" s="55"/>
      <c r="O75" s="55"/>
      <c r="P75" s="81">
        <f>'Exh 8 Sales Forecasting'!C24*P74</f>
        <v>2566.9696036754053</v>
      </c>
      <c r="Q75" s="81">
        <f>'Exh 8 Sales Forecasting'!D24*Q74</f>
        <v>2370.5414191832492</v>
      </c>
      <c r="R75" s="81">
        <f>'Exh 8 Sales Forecasting'!E24*R74</f>
        <v>2152.2556927812352</v>
      </c>
      <c r="S75" s="81">
        <f>'Exh 8 Sales Forecasting'!$F$24*S74</f>
        <v>1546.4031683454459</v>
      </c>
      <c r="T75" s="81">
        <f>'Exh 8 Sales Forecasting'!$F$24*T74</f>
        <v>1589.8586056563074</v>
      </c>
      <c r="U75" s="81">
        <f>'Exh 8 Sales Forecasting'!$F$24*U74</f>
        <v>1634.5351831397536</v>
      </c>
      <c r="V75" s="55"/>
      <c r="W75" s="55"/>
    </row>
    <row r="76" spans="1:23" ht="14" customHeight="1">
      <c r="A76" s="65"/>
      <c r="B76" s="51" t="s">
        <v>19</v>
      </c>
      <c r="C76" s="51"/>
      <c r="D76" s="55"/>
      <c r="E76" s="51"/>
      <c r="F76" s="51"/>
      <c r="G76" s="55"/>
      <c r="H76" s="55"/>
      <c r="I76" s="55"/>
      <c r="J76" s="55"/>
      <c r="K76" s="55"/>
      <c r="L76" s="55"/>
      <c r="M76" s="55"/>
      <c r="N76" s="55"/>
      <c r="O76" s="55"/>
      <c r="P76" s="81">
        <f>'Exh 8 Sales Forecasting'!C36*P74</f>
        <v>699.88214512847696</v>
      </c>
      <c r="Q76" s="81">
        <f>'Exh 8 Sales Forecasting'!D36*Q74</f>
        <v>682.09224726734044</v>
      </c>
      <c r="R76" s="81">
        <f>'Exh 8 Sales Forecasting'!E36*R74</f>
        <v>661.79982170718642</v>
      </c>
      <c r="S76" s="81">
        <f>'Exh 8 Sales Forecasting'!$F$36*S74</f>
        <v>535.32215781444609</v>
      </c>
      <c r="T76" s="81">
        <f>'Exh 8 Sales Forecasting'!$F$36*T74</f>
        <v>550.36523257412227</v>
      </c>
      <c r="U76" s="81">
        <f>'Exh 8 Sales Forecasting'!$F$36*U74</f>
        <v>565.83103240676985</v>
      </c>
      <c r="V76" s="55"/>
      <c r="W76" s="55"/>
    </row>
    <row r="77" spans="1:23" ht="14" customHeight="1">
      <c r="A77" s="65"/>
      <c r="B77" s="51" t="s">
        <v>16</v>
      </c>
      <c r="C77" s="51"/>
      <c r="D77" s="55"/>
      <c r="E77" s="51"/>
      <c r="F77" s="51"/>
      <c r="G77" s="55"/>
      <c r="H77" s="55"/>
      <c r="I77" s="55"/>
      <c r="J77" s="55"/>
      <c r="K77" s="55"/>
      <c r="L77" s="55"/>
      <c r="M77" s="55"/>
      <c r="N77" s="55"/>
      <c r="O77" s="55"/>
      <c r="P77" s="81">
        <f>'Exh 8 Sales Forecasting'!C48*P74</f>
        <v>383.23987472290622</v>
      </c>
      <c r="Q77" s="81">
        <f>'Exh 8 Sales Forecasting'!D48*Q74</f>
        <v>330.87246265354759</v>
      </c>
      <c r="R77" s="81">
        <f>'Exh 8 Sales Forecasting'!E48*R74</f>
        <v>313.04447167863253</v>
      </c>
      <c r="S77" s="81">
        <f>'Exh 8 Sales Forecasting'!$F$48*S74</f>
        <v>281.95816194766797</v>
      </c>
      <c r="T77" s="81">
        <f>'Exh 8 Sales Forecasting'!$F$48*T74</f>
        <v>289.88146130556584</v>
      </c>
      <c r="U77" s="81">
        <f>'Exh 8 Sales Forecasting'!$F$48*U74</f>
        <v>298.02741310339024</v>
      </c>
      <c r="V77" s="55"/>
      <c r="W77" s="55"/>
    </row>
    <row r="78" spans="1:23" ht="14" customHeight="1">
      <c r="A78" s="65"/>
      <c r="B78" s="51" t="s">
        <v>17</v>
      </c>
      <c r="C78" s="51"/>
      <c r="D78" s="55"/>
      <c r="E78" s="51"/>
      <c r="F78" s="59"/>
      <c r="G78" s="59"/>
      <c r="H78" s="59"/>
      <c r="I78" s="59"/>
      <c r="J78" s="59"/>
      <c r="K78" s="59"/>
      <c r="L78" s="59"/>
      <c r="M78" s="59"/>
      <c r="N78" s="59"/>
      <c r="O78" s="94"/>
      <c r="P78" s="94">
        <f>'Exh 6 Stores BS'!O74/5</f>
        <v>172.07000736196318</v>
      </c>
      <c r="Q78" s="93">
        <f>P78</f>
        <v>172.07000736196318</v>
      </c>
      <c r="R78" s="93">
        <f t="shared" ref="R78:U79" si="15">Q78</f>
        <v>172.07000736196318</v>
      </c>
      <c r="S78" s="93">
        <f t="shared" si="15"/>
        <v>172.07000736196318</v>
      </c>
      <c r="T78" s="93">
        <f t="shared" si="15"/>
        <v>172.07000736196318</v>
      </c>
      <c r="U78" s="94">
        <v>0</v>
      </c>
      <c r="V78" s="94"/>
      <c r="W78" s="94"/>
    </row>
    <row r="79" spans="1:23" ht="14" customHeight="1">
      <c r="A79" s="65"/>
      <c r="B79" s="51" t="s">
        <v>10</v>
      </c>
      <c r="C79" s="51"/>
      <c r="D79" s="55"/>
      <c r="E79" s="63"/>
      <c r="F79" s="59"/>
      <c r="G79" s="59"/>
      <c r="H79" s="59"/>
      <c r="I79" s="59"/>
      <c r="J79" s="59"/>
      <c r="K79" s="59"/>
      <c r="L79" s="59"/>
      <c r="M79" s="59"/>
      <c r="N79" s="59"/>
      <c r="O79" s="94"/>
      <c r="P79" s="97">
        <f>$D$96*$C73*$D73/1000</f>
        <v>668.16</v>
      </c>
      <c r="Q79" s="93">
        <f>P79</f>
        <v>668.16</v>
      </c>
      <c r="R79" s="93">
        <f t="shared" si="15"/>
        <v>668.16</v>
      </c>
      <c r="S79" s="93">
        <f t="shared" si="15"/>
        <v>668.16</v>
      </c>
      <c r="T79" s="93">
        <f t="shared" si="15"/>
        <v>668.16</v>
      </c>
      <c r="U79" s="93">
        <f t="shared" si="15"/>
        <v>668.16</v>
      </c>
      <c r="V79" s="95"/>
      <c r="W79" s="95"/>
    </row>
    <row r="80" spans="1:23" ht="14" customHeight="1">
      <c r="A80" s="80">
        <v>2014</v>
      </c>
      <c r="B80" s="56"/>
      <c r="C80" s="57">
        <v>2</v>
      </c>
      <c r="D80" s="58">
        <v>16000</v>
      </c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>
        <v>1</v>
      </c>
      <c r="R80" s="56">
        <v>2</v>
      </c>
      <c r="S80" s="56">
        <v>3</v>
      </c>
      <c r="T80" s="56">
        <v>4</v>
      </c>
      <c r="U80" s="56">
        <v>5</v>
      </c>
      <c r="V80" s="56"/>
      <c r="W80" s="56"/>
    </row>
    <row r="81" spans="1:23" ht="14" customHeight="1">
      <c r="A81" s="65"/>
      <c r="B81" s="51" t="s">
        <v>0</v>
      </c>
      <c r="C81" s="51"/>
      <c r="D81" s="55"/>
      <c r="E81" s="51"/>
      <c r="F81" s="51"/>
      <c r="G81" s="51"/>
      <c r="H81" s="51"/>
      <c r="I81" s="51"/>
      <c r="J81" s="51"/>
      <c r="K81" s="51"/>
      <c r="L81" s="51"/>
      <c r="M81" s="59"/>
      <c r="N81" s="55"/>
      <c r="O81" s="55"/>
      <c r="P81" s="55"/>
      <c r="Q81" s="96">
        <f>116.6*C80*D80/1000</f>
        <v>3731.2</v>
      </c>
      <c r="R81" s="119">
        <f>Q81*(1+'Exh 2 Econ Indicators'!$M$9)</f>
        <v>3836.0503592163273</v>
      </c>
      <c r="S81" s="119">
        <f>R81*(1+'Exh 2 Econ Indicators'!$M$9)</f>
        <v>3943.8471157921617</v>
      </c>
      <c r="T81" s="119">
        <f>S81*(1+'Exh 2 Econ Indicators'!$M$9)</f>
        <v>4054.6730663670664</v>
      </c>
      <c r="U81" s="119">
        <f>T81*(1+'Exh 2 Econ Indicators'!$M$9)</f>
        <v>4168.613334246932</v>
      </c>
      <c r="V81" s="55"/>
      <c r="W81" s="55"/>
    </row>
    <row r="82" spans="1:23" ht="14" customHeight="1">
      <c r="A82" s="65"/>
      <c r="B82" s="51" t="s">
        <v>1</v>
      </c>
      <c r="C82" s="51"/>
      <c r="D82" s="55"/>
      <c r="E82" s="51"/>
      <c r="F82" s="51"/>
      <c r="G82" s="51"/>
      <c r="H82" s="51"/>
      <c r="I82" s="51"/>
      <c r="J82" s="51"/>
      <c r="K82" s="51"/>
      <c r="L82" s="51"/>
      <c r="M82" s="55"/>
      <c r="N82" s="55"/>
      <c r="O82" s="55"/>
      <c r="P82" s="55"/>
      <c r="Q82" s="81">
        <f>'Exh 8 Sales Forecasting'!C24*Q81</f>
        <v>2644.0693974253732</v>
      </c>
      <c r="R82" s="81">
        <f>'Exh 8 Sales Forecasting'!D24*R81</f>
        <v>2441.7414264732056</v>
      </c>
      <c r="S82" s="81">
        <f>'Exh 8 Sales Forecasting'!E24*S81</f>
        <v>2216.8994150025796</v>
      </c>
      <c r="T82" s="81">
        <f>'Exh 8 Sales Forecasting'!F24*T81</f>
        <v>1592.8499066173058</v>
      </c>
      <c r="U82" s="81">
        <f>'Exh 8 Sales Forecasting'!F24*U81</f>
        <v>1637.6105425753133</v>
      </c>
      <c r="V82" s="55"/>
      <c r="W82" s="55"/>
    </row>
    <row r="83" spans="1:23" ht="14" customHeight="1">
      <c r="A83" s="65"/>
      <c r="B83" s="51" t="s">
        <v>19</v>
      </c>
      <c r="C83" s="51"/>
      <c r="D83" s="55"/>
      <c r="E83" s="51"/>
      <c r="F83" s="51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81">
        <f>'Exh 8 Sales Forecasting'!C36*Q81</f>
        <v>720.90334030018028</v>
      </c>
      <c r="R83" s="81">
        <f>'Exh 8 Sales Forecasting'!D36*R81</f>
        <v>702.57911688491072</v>
      </c>
      <c r="S83" s="81">
        <f>'Exh 8 Sales Forecasting'!E36*S81</f>
        <v>681.67720151111246</v>
      </c>
      <c r="T83" s="81">
        <f>'Exh 8 Sales Forecasting'!$F$36*T81</f>
        <v>551.40073852618741</v>
      </c>
      <c r="U83" s="81">
        <f>'Exh 8 Sales Forecasting'!$F$36*U81</f>
        <v>566.89563708606602</v>
      </c>
      <c r="V83" s="55"/>
      <c r="W83" s="55"/>
    </row>
    <row r="84" spans="1:23" ht="14" customHeight="1">
      <c r="A84" s="65"/>
      <c r="B84" s="51" t="s">
        <v>16</v>
      </c>
      <c r="C84" s="51"/>
      <c r="D84" s="55"/>
      <c r="E84" s="51"/>
      <c r="F84" s="51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81">
        <f>'Exh 8 Sales Forecasting'!C48*Q81</f>
        <v>394.7506130096366</v>
      </c>
      <c r="R84" s="81">
        <f>'Exh 8 Sales Forecasting'!D48*R81</f>
        <v>340.8103281396082</v>
      </c>
      <c r="S84" s="81">
        <f>'Exh 8 Sales Forecasting'!E48*S81</f>
        <v>322.44686747110035</v>
      </c>
      <c r="T84" s="81">
        <f>'Exh 8 Sales Forecasting'!$F$48*T81</f>
        <v>290.42686999203261</v>
      </c>
      <c r="U84" s="81">
        <f>'Exh 8 Sales Forecasting'!$F$48*U81</f>
        <v>298.58814830590967</v>
      </c>
      <c r="V84" s="55"/>
      <c r="W84" s="55"/>
    </row>
    <row r="85" spans="1:23" ht="14" customHeight="1">
      <c r="A85" s="65"/>
      <c r="B85" s="51" t="s">
        <v>17</v>
      </c>
      <c r="C85" s="51"/>
      <c r="D85" s="55"/>
      <c r="E85" s="51"/>
      <c r="F85" s="59"/>
      <c r="G85" s="59"/>
      <c r="H85" s="59"/>
      <c r="I85" s="59"/>
      <c r="J85" s="59"/>
      <c r="K85" s="59"/>
      <c r="L85" s="59"/>
      <c r="M85" s="59"/>
      <c r="N85" s="59"/>
      <c r="O85" s="94"/>
      <c r="P85" s="94"/>
      <c r="Q85" s="94">
        <f>'Exh 6 Stores BS'!P81/5</f>
        <v>175.18447449521472</v>
      </c>
      <c r="R85" s="94">
        <f>Q85</f>
        <v>175.18447449521472</v>
      </c>
      <c r="S85" s="94">
        <f t="shared" ref="S85:U86" si="16">R85</f>
        <v>175.18447449521472</v>
      </c>
      <c r="T85" s="94">
        <f t="shared" si="16"/>
        <v>175.18447449521472</v>
      </c>
      <c r="U85" s="94">
        <f t="shared" si="16"/>
        <v>175.18447449521472</v>
      </c>
      <c r="V85" s="94"/>
      <c r="W85" s="94"/>
    </row>
    <row r="86" spans="1:23" ht="14" customHeight="1">
      <c r="A86" s="65"/>
      <c r="B86" s="51" t="s">
        <v>10</v>
      </c>
      <c r="C86" s="51"/>
      <c r="D86" s="55"/>
      <c r="E86" s="63"/>
      <c r="F86" s="59"/>
      <c r="G86" s="59"/>
      <c r="H86" s="59"/>
      <c r="I86" s="59"/>
      <c r="J86" s="59"/>
      <c r="K86" s="59"/>
      <c r="L86" s="59"/>
      <c r="M86" s="59"/>
      <c r="N86" s="59"/>
      <c r="O86" s="94"/>
      <c r="P86" s="94"/>
      <c r="Q86" s="96">
        <f>$D$96*(1+$D$97)^($A80-$A$73)*$C80*$D80/1000</f>
        <v>681.52319999999997</v>
      </c>
      <c r="R86" s="95">
        <f>Q86</f>
        <v>681.52319999999997</v>
      </c>
      <c r="S86" s="95">
        <f t="shared" si="16"/>
        <v>681.52319999999997</v>
      </c>
      <c r="T86" s="95">
        <f t="shared" si="16"/>
        <v>681.52319999999997</v>
      </c>
      <c r="U86" s="95">
        <f t="shared" si="16"/>
        <v>681.52319999999997</v>
      </c>
      <c r="V86" s="95"/>
      <c r="W86" s="98"/>
    </row>
    <row r="87" spans="1:23" ht="14" customHeight="1">
      <c r="A87" s="80">
        <v>2015</v>
      </c>
      <c r="B87" s="56"/>
      <c r="C87" s="57">
        <v>2</v>
      </c>
      <c r="D87" s="58">
        <v>15000</v>
      </c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>
        <v>1</v>
      </c>
      <c r="S87" s="56">
        <v>2</v>
      </c>
      <c r="T87" s="56">
        <v>3</v>
      </c>
      <c r="U87" s="56">
        <v>4</v>
      </c>
      <c r="V87" s="56"/>
      <c r="W87" s="56"/>
    </row>
    <row r="88" spans="1:23" ht="14" customHeight="1">
      <c r="A88" s="65"/>
      <c r="B88" s="51" t="s">
        <v>0</v>
      </c>
      <c r="C88" s="51"/>
      <c r="D88" s="55"/>
      <c r="E88" s="51"/>
      <c r="F88" s="51"/>
      <c r="G88" s="51"/>
      <c r="H88" s="51"/>
      <c r="I88" s="51"/>
      <c r="J88" s="51"/>
      <c r="K88" s="51"/>
      <c r="L88" s="51"/>
      <c r="M88" s="59"/>
      <c r="N88" s="55"/>
      <c r="O88" s="55"/>
      <c r="P88" s="55"/>
      <c r="Q88" s="55"/>
      <c r="R88" s="96">
        <f>119.9*C87*D87/1000</f>
        <v>3597</v>
      </c>
      <c r="S88" s="119">
        <f>R88*(1+'Exh 2 Econ Indicators'!$M$9)</f>
        <v>3698.0792083247024</v>
      </c>
      <c r="T88" s="119">
        <f>S88*(1+'Exh 2 Econ Indicators'!$M$9)</f>
        <v>3801.998840990675</v>
      </c>
      <c r="U88" s="119">
        <f>T88*(1+'Exh 2 Econ Indicators'!$M$9)</f>
        <v>3908.838716692308</v>
      </c>
      <c r="V88" s="55"/>
      <c r="W88" s="55"/>
    </row>
    <row r="89" spans="1:23" ht="14" customHeight="1">
      <c r="A89" s="65"/>
      <c r="B89" s="51" t="s">
        <v>1</v>
      </c>
      <c r="C89" s="51"/>
      <c r="D89" s="55"/>
      <c r="E89" s="51"/>
      <c r="F89" s="51"/>
      <c r="G89" s="51"/>
      <c r="H89" s="51"/>
      <c r="I89" s="51"/>
      <c r="J89" s="51"/>
      <c r="K89" s="51"/>
      <c r="L89" s="51"/>
      <c r="M89" s="55"/>
      <c r="N89" s="55"/>
      <c r="O89" s="55"/>
      <c r="P89" s="55"/>
      <c r="Q89" s="55"/>
      <c r="R89" s="81">
        <f>'Exh 8 Sales Forecasting'!C24*R88</f>
        <v>2548.9702032962764</v>
      </c>
      <c r="S89" s="81">
        <f>'Exh 8 Sales Forecasting'!D24*S88</f>
        <v>2353.9193586578367</v>
      </c>
      <c r="T89" s="81">
        <f>'Exh 8 Sales Forecasting'!E24*T88</f>
        <v>2137.164235571473</v>
      </c>
      <c r="U89" s="81">
        <f>'Exh 8 Sales Forecasting'!F24*U88</f>
        <v>1535.5599040797731</v>
      </c>
      <c r="V89" s="55"/>
      <c r="W89" s="55"/>
    </row>
    <row r="90" spans="1:23" ht="14" customHeight="1">
      <c r="A90" s="65"/>
      <c r="B90" s="51" t="s">
        <v>19</v>
      </c>
      <c r="C90" s="51"/>
      <c r="D90" s="55"/>
      <c r="E90" s="51"/>
      <c r="F90" s="51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81">
        <f>'Exh 8 Sales Forecasting'!C36*R88</f>
        <v>694.97462346155351</v>
      </c>
      <c r="S90" s="81">
        <f>'Exh 8 Sales Forecasting'!D36*S88</f>
        <v>677.30946704412088</v>
      </c>
      <c r="T90" s="81">
        <f>'Exh 8 Sales Forecasting'!E36*T88</f>
        <v>657.15933046619637</v>
      </c>
      <c r="U90" s="81">
        <f>'Exh 8 Sales Forecasting'!F36*U88</f>
        <v>531.56851856740354</v>
      </c>
      <c r="V90" s="55"/>
      <c r="W90" s="55"/>
    </row>
    <row r="91" spans="1:23" ht="14" customHeight="1">
      <c r="A91" s="65"/>
      <c r="B91" s="51" t="s">
        <v>16</v>
      </c>
      <c r="C91" s="51"/>
      <c r="D91" s="55"/>
      <c r="E91" s="51"/>
      <c r="F91" s="51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81">
        <f>'Exh 8 Sales Forecasting'!C48*R88</f>
        <v>380.55262515964381</v>
      </c>
      <c r="S91" s="81">
        <f>'Exh 8 Sales Forecasting'!D48*S88</f>
        <v>328.55240949779449</v>
      </c>
      <c r="T91" s="81">
        <f>'Exh 8 Sales Forecasting'!E48*T88</f>
        <v>310.84942707267044</v>
      </c>
      <c r="U91" s="81">
        <f>'Exh 8 Sales Forecasting'!F48*U88</f>
        <v>279.98109223878146</v>
      </c>
      <c r="V91" s="55"/>
      <c r="W91" s="55"/>
    </row>
    <row r="92" spans="1:23" ht="14" customHeight="1">
      <c r="A92" s="65"/>
      <c r="B92" s="51" t="s">
        <v>17</v>
      </c>
      <c r="C92" s="51"/>
      <c r="D92" s="55"/>
      <c r="E92" s="51"/>
      <c r="F92" s="59"/>
      <c r="G92" s="59"/>
      <c r="H92" s="59"/>
      <c r="I92" s="59"/>
      <c r="J92" s="59"/>
      <c r="K92" s="59"/>
      <c r="L92" s="59"/>
      <c r="M92" s="59"/>
      <c r="N92" s="59"/>
      <c r="O92" s="94"/>
      <c r="P92" s="94"/>
      <c r="Q92" s="94"/>
      <c r="R92" s="94">
        <f>'Exh 6 Stores BS'!Q88/5</f>
        <v>167.42161246914551</v>
      </c>
      <c r="S92" s="94">
        <f>R92</f>
        <v>167.42161246914551</v>
      </c>
      <c r="T92" s="94">
        <f t="shared" ref="T92:U93" si="17">S92</f>
        <v>167.42161246914551</v>
      </c>
      <c r="U92" s="94">
        <f t="shared" si="17"/>
        <v>167.42161246914551</v>
      </c>
      <c r="V92" s="94"/>
      <c r="W92" s="94"/>
    </row>
    <row r="93" spans="1:23" ht="14" customHeight="1">
      <c r="A93" s="65"/>
      <c r="B93" s="51" t="s">
        <v>10</v>
      </c>
      <c r="C93" s="51"/>
      <c r="D93" s="55"/>
      <c r="E93" s="63"/>
      <c r="F93" s="59"/>
      <c r="G93" s="59"/>
      <c r="H93" s="59"/>
      <c r="I93" s="59"/>
      <c r="J93" s="59"/>
      <c r="K93" s="59"/>
      <c r="L93" s="59"/>
      <c r="M93" s="59"/>
      <c r="N93" s="59"/>
      <c r="O93" s="94"/>
      <c r="P93" s="94"/>
      <c r="Q93" s="94"/>
      <c r="R93" s="96">
        <f>$D$96*(1+$D$97)^($A87-$A$73)*$C87*$D87/1000</f>
        <v>651.70655999999997</v>
      </c>
      <c r="S93" s="95">
        <f>R93</f>
        <v>651.70655999999997</v>
      </c>
      <c r="T93" s="95">
        <f t="shared" si="17"/>
        <v>651.70655999999997</v>
      </c>
      <c r="U93" s="95">
        <f t="shared" si="17"/>
        <v>651.70655999999997</v>
      </c>
      <c r="V93" s="95"/>
      <c r="W93" s="98"/>
    </row>
    <row r="94" spans="1:23" ht="14" customHeight="1"/>
    <row r="95" spans="1:23" ht="14" customHeight="1">
      <c r="A95" s="20" t="s">
        <v>6</v>
      </c>
    </row>
    <row r="96" spans="1:23" ht="14" customHeight="1">
      <c r="B96" t="s">
        <v>87</v>
      </c>
      <c r="D96" s="34">
        <v>20.88</v>
      </c>
    </row>
    <row r="97" spans="2:21" ht="14" customHeight="1">
      <c r="B97" t="s">
        <v>57</v>
      </c>
      <c r="D97" s="44">
        <v>0.02</v>
      </c>
    </row>
    <row r="98" spans="2:21" ht="14" customHeight="1">
      <c r="D98" s="7"/>
    </row>
    <row r="99" spans="2:21" s="20" customFormat="1"/>
    <row r="101" spans="2:21">
      <c r="N101" s="51" t="s">
        <v>0</v>
      </c>
      <c r="O101" s="109">
        <f>O67+O60+O46+O53+O39+O32+O25+O11+O18+O4+O74+O81+O88</f>
        <v>157761.9675539477</v>
      </c>
      <c r="P101" s="109">
        <f t="shared" ref="P101:U101" si="18">P67+P60+P46+P53+P39+P32+P25+P11+P18+P4+P74+P81+P88</f>
        <v>165817.63271494309</v>
      </c>
      <c r="Q101" s="109">
        <f t="shared" si="18"/>
        <v>174208.46992403475</v>
      </c>
      <c r="R101" s="109">
        <f t="shared" si="18"/>
        <v>182700.89784268336</v>
      </c>
      <c r="S101" s="109">
        <f t="shared" si="18"/>
        <v>187834.9712689138</v>
      </c>
      <c r="T101" s="109">
        <f t="shared" si="18"/>
        <v>193113.31716592659</v>
      </c>
      <c r="U101" s="109">
        <f t="shared" si="18"/>
        <v>198539.98973086657</v>
      </c>
    </row>
    <row r="102" spans="2:21">
      <c r="M102" s="7">
        <f>N68+N61+N47+N54+N40+N33+N26+N12+N19+N5+N75+N82+N89</f>
        <v>61955.099999999991</v>
      </c>
      <c r="N102" s="51" t="s">
        <v>1</v>
      </c>
      <c r="O102" s="7">
        <f t="shared" ref="O102:U106" si="19">O68+O61+O47+O54+O40+O33+O26+O12+O19+O5+O75+O82+O89</f>
        <v>65436.902407903603</v>
      </c>
      <c r="P102" s="7">
        <f t="shared" si="19"/>
        <v>68231.87332160004</v>
      </c>
      <c r="Q102" s="7">
        <f t="shared" si="19"/>
        <v>71484.800065995427</v>
      </c>
      <c r="R102" s="7">
        <f t="shared" si="19"/>
        <v>74491.577765857975</v>
      </c>
      <c r="S102" s="7">
        <f t="shared" si="19"/>
        <v>75358.394027064103</v>
      </c>
      <c r="T102" s="7">
        <f t="shared" si="19"/>
        <v>76506.789302692647</v>
      </c>
      <c r="U102" s="7">
        <f t="shared" si="19"/>
        <v>77995.043971809646</v>
      </c>
    </row>
    <row r="103" spans="2:21">
      <c r="N103" s="51" t="s">
        <v>19</v>
      </c>
      <c r="O103" s="7">
        <f t="shared" si="19"/>
        <v>22125.472523022654</v>
      </c>
      <c r="P103" s="7">
        <f t="shared" si="19"/>
        <v>23148.487856451797</v>
      </c>
      <c r="Q103" s="7">
        <f t="shared" si="19"/>
        <v>24289.520348965692</v>
      </c>
      <c r="R103" s="7">
        <f t="shared" si="19"/>
        <v>25373.58636131158</v>
      </c>
      <c r="S103" s="7">
        <f t="shared" si="19"/>
        <v>25863.69430676378</v>
      </c>
      <c r="T103" s="7">
        <f t="shared" si="19"/>
        <v>26401.873892438183</v>
      </c>
      <c r="U103" s="7">
        <f t="shared" si="19"/>
        <v>26999.734669771962</v>
      </c>
    </row>
    <row r="104" spans="2:21">
      <c r="N104" s="51" t="s">
        <v>16</v>
      </c>
      <c r="O104" s="7">
        <f t="shared" si="19"/>
        <v>11598.491927264347</v>
      </c>
      <c r="P104" s="7">
        <f t="shared" si="19"/>
        <v>12132.034630913615</v>
      </c>
      <c r="Q104" s="7">
        <f t="shared" si="19"/>
        <v>12727.365805594343</v>
      </c>
      <c r="R104" s="7">
        <f t="shared" si="19"/>
        <v>13314.187238570734</v>
      </c>
      <c r="S104" s="7">
        <f t="shared" si="19"/>
        <v>13557.811042323043</v>
      </c>
      <c r="T104" s="7">
        <f t="shared" si="19"/>
        <v>13870.782061650971</v>
      </c>
      <c r="U104" s="7">
        <f t="shared" si="19"/>
        <v>14220.961059494166</v>
      </c>
    </row>
    <row r="105" spans="2:21">
      <c r="N105" s="51" t="s">
        <v>17</v>
      </c>
      <c r="O105" s="7">
        <f t="shared" si="19"/>
        <v>1084.2</v>
      </c>
      <c r="P105" s="7">
        <f t="shared" si="19"/>
        <v>1372.7356021552964</v>
      </c>
      <c r="Q105" s="7">
        <f t="shared" si="19"/>
        <v>1959.0221481414276</v>
      </c>
      <c r="R105" s="7">
        <f t="shared" si="19"/>
        <v>2631.4200407611061</v>
      </c>
      <c r="S105" s="7">
        <f t="shared" si="19"/>
        <v>2559.1777021600155</v>
      </c>
      <c r="T105" s="7">
        <f t="shared" si="19"/>
        <v>2177.8538516526123</v>
      </c>
      <c r="U105" s="7">
        <f t="shared" si="19"/>
        <v>1827.7951063576149</v>
      </c>
    </row>
    <row r="106" spans="2:21">
      <c r="N106" s="51" t="s">
        <v>10</v>
      </c>
      <c r="O106" s="7">
        <f t="shared" si="19"/>
        <v>10560.970220794239</v>
      </c>
      <c r="P106" s="7">
        <f t="shared" si="19"/>
        <v>11548.32114153216</v>
      </c>
      <c r="Q106" s="7">
        <f t="shared" si="19"/>
        <v>12306.803417283201</v>
      </c>
      <c r="R106" s="7">
        <f t="shared" si="19"/>
        <v>13031.936505294849</v>
      </c>
      <c r="S106" s="7">
        <f t="shared" si="19"/>
        <v>13229.7591787008</v>
      </c>
      <c r="T106" s="7">
        <f t="shared" si="19"/>
        <v>13497.223507540482</v>
      </c>
      <c r="U106" s="7">
        <f t="shared" si="19"/>
        <v>13894.757533624703</v>
      </c>
    </row>
    <row r="107" spans="2:21">
      <c r="N107" s="110" t="s">
        <v>111</v>
      </c>
      <c r="O107" s="109">
        <f>SUM(O102:O106)</f>
        <v>110806.03707898484</v>
      </c>
      <c r="P107" s="109">
        <f t="shared" ref="P107:U107" si="20">SUM(P102:P106)</f>
        <v>116433.45255265292</v>
      </c>
      <c r="Q107" s="109">
        <f t="shared" si="20"/>
        <v>122767.51178598008</v>
      </c>
      <c r="R107" s="109">
        <f t="shared" si="20"/>
        <v>128842.70791179626</v>
      </c>
      <c r="S107" s="109">
        <f t="shared" si="20"/>
        <v>130568.83625701173</v>
      </c>
      <c r="T107" s="109">
        <f t="shared" si="20"/>
        <v>132454.52261597489</v>
      </c>
      <c r="U107" s="109">
        <f t="shared" si="20"/>
        <v>134938.29234105808</v>
      </c>
    </row>
  </sheetData>
  <pageMargins left="0.7" right="0.7" top="0.75" bottom="0.75" header="0.3" footer="0.3"/>
  <pageSetup scale="2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2961-2DC0-3D4C-9098-C2A2DEF1F0C5}">
  <sheetPr>
    <tabColor theme="8" tint="0.39997558519241921"/>
    <pageSetUpPr fitToPage="1"/>
  </sheetPr>
  <dimension ref="A1:J33"/>
  <sheetViews>
    <sheetView workbookViewId="0">
      <selection activeCell="D3" sqref="D3"/>
    </sheetView>
  </sheetViews>
  <sheetFormatPr defaultColWidth="8.81640625" defaultRowHeight="14.5"/>
  <cols>
    <col min="1" max="1" width="5.6328125" customWidth="1"/>
    <col min="2" max="2" width="25.6328125" customWidth="1"/>
    <col min="3" max="10" width="9.1796875" customWidth="1"/>
  </cols>
  <sheetData>
    <row r="1" spans="1:10" ht="18.5">
      <c r="A1" s="10" t="s">
        <v>95</v>
      </c>
    </row>
    <row r="2" spans="1:10" ht="15" customHeight="1">
      <c r="C2" s="4">
        <v>2012</v>
      </c>
      <c r="D2" s="9">
        <v>2013</v>
      </c>
      <c r="E2" s="9">
        <v>2014</v>
      </c>
      <c r="F2" s="9">
        <v>2015</v>
      </c>
      <c r="G2" s="9">
        <v>2016</v>
      </c>
      <c r="H2" s="9">
        <v>2017</v>
      </c>
      <c r="I2" s="9">
        <v>2018</v>
      </c>
      <c r="J2" s="9">
        <v>2019</v>
      </c>
    </row>
    <row r="3" spans="1:10" ht="15" customHeight="1">
      <c r="B3" t="s">
        <v>0</v>
      </c>
      <c r="C3" s="36">
        <v>148217.90000000002</v>
      </c>
      <c r="D3" s="41">
        <f>'Exh 5 Stores IS (Hist Sect)'!O101</f>
        <v>157761.9675539477</v>
      </c>
      <c r="E3" s="41">
        <f>'Exh 5 Stores IS (Hist Sect)'!P101</f>
        <v>165817.63271494309</v>
      </c>
      <c r="F3" s="41">
        <f>'Exh 5 Stores IS (Hist Sect)'!Q101</f>
        <v>174208.46992403475</v>
      </c>
      <c r="G3" s="41">
        <f>'Exh 5 Stores IS (Hist Sect)'!R101</f>
        <v>182700.89784268336</v>
      </c>
      <c r="H3" s="41">
        <f>'Exh 5 Stores IS (Hist Sect)'!S101</f>
        <v>187834.9712689138</v>
      </c>
      <c r="I3" s="41">
        <f>'Exh 5 Stores IS (Hist Sect)'!T101</f>
        <v>193113.31716592659</v>
      </c>
      <c r="J3" s="41">
        <f>'Exh 5 Stores IS (Hist Sect)'!U101</f>
        <v>198539.98973086657</v>
      </c>
    </row>
    <row r="4" spans="1:10" ht="15" customHeight="1">
      <c r="B4" t="s">
        <v>1</v>
      </c>
      <c r="C4" s="36">
        <v>-61955.099999999991</v>
      </c>
      <c r="D4" s="41">
        <f>'Exh 5 Stores IS (Hist Sect)'!O102</f>
        <v>65436.902407903603</v>
      </c>
      <c r="E4" s="41">
        <f>'Exh 5 Stores IS (Hist Sect)'!P102</f>
        <v>68231.87332160004</v>
      </c>
      <c r="F4" s="41">
        <f>'Exh 5 Stores IS (Hist Sect)'!Q102</f>
        <v>71484.800065995427</v>
      </c>
      <c r="G4" s="41">
        <f>'Exh 5 Stores IS (Hist Sect)'!R102</f>
        <v>74491.577765857975</v>
      </c>
      <c r="H4" s="41">
        <f>'Exh 5 Stores IS (Hist Sect)'!S102</f>
        <v>75358.394027064103</v>
      </c>
      <c r="I4" s="41">
        <f>'Exh 5 Stores IS (Hist Sect)'!T102</f>
        <v>76506.789302692647</v>
      </c>
      <c r="J4" s="41">
        <f>'Exh 5 Stores IS (Hist Sect)'!U102</f>
        <v>77995.043971809646</v>
      </c>
    </row>
    <row r="5" spans="1:10" ht="15" customHeight="1">
      <c r="B5" t="s">
        <v>18</v>
      </c>
      <c r="C5" s="36">
        <v>-21252.500000000004</v>
      </c>
      <c r="D5" s="41">
        <f>'Exh 5 Stores IS (Hist Sect)'!O103</f>
        <v>22125.472523022654</v>
      </c>
      <c r="E5" s="41">
        <f>'Exh 5 Stores IS (Hist Sect)'!P103</f>
        <v>23148.487856451797</v>
      </c>
      <c r="F5" s="41">
        <f>'Exh 5 Stores IS (Hist Sect)'!Q103</f>
        <v>24289.520348965692</v>
      </c>
      <c r="G5" s="41">
        <f>'Exh 5 Stores IS (Hist Sect)'!R103</f>
        <v>25373.58636131158</v>
      </c>
      <c r="H5" s="41">
        <f>'Exh 5 Stores IS (Hist Sect)'!S103</f>
        <v>25863.69430676378</v>
      </c>
      <c r="I5" s="41">
        <f>'Exh 5 Stores IS (Hist Sect)'!T103</f>
        <v>26401.873892438183</v>
      </c>
      <c r="J5" s="41">
        <f>'Exh 5 Stores IS (Hist Sect)'!U103</f>
        <v>26999.734669771962</v>
      </c>
    </row>
    <row r="6" spans="1:10" ht="15" customHeight="1">
      <c r="B6" t="s">
        <v>4</v>
      </c>
      <c r="C6" s="36">
        <v>-10743.699999999999</v>
      </c>
      <c r="D6" s="41">
        <f>'Exh 5 Stores IS (Hist Sect)'!O104</f>
        <v>11598.491927264347</v>
      </c>
      <c r="E6" s="41">
        <f>'Exh 5 Stores IS (Hist Sect)'!P104</f>
        <v>12132.034630913615</v>
      </c>
      <c r="F6" s="41">
        <f>'Exh 5 Stores IS (Hist Sect)'!Q104</f>
        <v>12727.365805594343</v>
      </c>
      <c r="G6" s="41">
        <f>'Exh 5 Stores IS (Hist Sect)'!R104</f>
        <v>13314.187238570734</v>
      </c>
      <c r="H6" s="41">
        <f>'Exh 5 Stores IS (Hist Sect)'!S104</f>
        <v>13557.811042323043</v>
      </c>
      <c r="I6" s="41">
        <f>'Exh 5 Stores IS (Hist Sect)'!T104</f>
        <v>13870.782061650971</v>
      </c>
      <c r="J6" s="41">
        <f>'Exh 5 Stores IS (Hist Sect)'!U104</f>
        <v>14220.961059494166</v>
      </c>
    </row>
    <row r="7" spans="1:10" ht="15" customHeight="1">
      <c r="B7" t="s">
        <v>8</v>
      </c>
      <c r="C7" s="36">
        <v>-1450.08</v>
      </c>
      <c r="D7" s="41">
        <f>'Exh 5 Stores IS (Hist Sect)'!O105</f>
        <v>1084.2</v>
      </c>
      <c r="E7" s="41">
        <f>'Exh 5 Stores IS (Hist Sect)'!P105</f>
        <v>1372.7356021552964</v>
      </c>
      <c r="F7" s="41">
        <f>'Exh 5 Stores IS (Hist Sect)'!Q105</f>
        <v>1959.0221481414276</v>
      </c>
      <c r="G7" s="41">
        <f>'Exh 5 Stores IS (Hist Sect)'!R105</f>
        <v>2631.4200407611061</v>
      </c>
      <c r="H7" s="41">
        <f>'Exh 5 Stores IS (Hist Sect)'!S105</f>
        <v>2559.1777021600155</v>
      </c>
      <c r="I7" s="41">
        <f>'Exh 5 Stores IS (Hist Sect)'!T105</f>
        <v>2177.8538516526123</v>
      </c>
      <c r="J7" s="41">
        <f>'Exh 5 Stores IS (Hist Sect)'!U105</f>
        <v>1827.7951063576149</v>
      </c>
    </row>
    <row r="8" spans="1:10" ht="15" customHeight="1">
      <c r="B8" t="s">
        <v>9</v>
      </c>
      <c r="C8" s="36">
        <v>-9320</v>
      </c>
      <c r="D8" s="41">
        <f>'Exh 5 Stores IS (Hist Sect)'!O106</f>
        <v>10560.970220794239</v>
      </c>
      <c r="E8" s="41">
        <f>'Exh 5 Stores IS (Hist Sect)'!P106</f>
        <v>11548.32114153216</v>
      </c>
      <c r="F8" s="41">
        <f>'Exh 5 Stores IS (Hist Sect)'!Q106</f>
        <v>12306.803417283201</v>
      </c>
      <c r="G8" s="41">
        <f>'Exh 5 Stores IS (Hist Sect)'!R106</f>
        <v>13031.936505294849</v>
      </c>
      <c r="H8" s="41">
        <f>'Exh 5 Stores IS (Hist Sect)'!S106</f>
        <v>13229.7591787008</v>
      </c>
      <c r="I8" s="41">
        <f>'Exh 5 Stores IS (Hist Sect)'!T106</f>
        <v>13497.223507540482</v>
      </c>
      <c r="J8" s="41">
        <f>'Exh 5 Stores IS (Hist Sect)'!U106</f>
        <v>13894.757533624703</v>
      </c>
    </row>
    <row r="9" spans="1:10" ht="15" customHeight="1">
      <c r="B9" t="s">
        <v>23</v>
      </c>
      <c r="C9" s="36">
        <v>-7410.8943379691937</v>
      </c>
      <c r="D9" s="41">
        <f>-D3*$C$17</f>
        <v>-7888.0983776973853</v>
      </c>
      <c r="E9" s="41">
        <f t="shared" ref="E9:J9" si="0">-E3*$C$17</f>
        <v>-8290.8816357471551</v>
      </c>
      <c r="F9" s="41">
        <f t="shared" si="0"/>
        <v>-8710.4234962017381</v>
      </c>
      <c r="G9" s="41">
        <f t="shared" si="0"/>
        <v>-9135.0448921341685</v>
      </c>
      <c r="H9" s="41">
        <f t="shared" si="0"/>
        <v>-9391.7485634456898</v>
      </c>
      <c r="I9" s="41">
        <f t="shared" si="0"/>
        <v>-9655.66585829633</v>
      </c>
      <c r="J9" s="41">
        <f t="shared" si="0"/>
        <v>-9926.9994865433291</v>
      </c>
    </row>
    <row r="10" spans="1:10" s="14" customFormat="1" ht="15" customHeight="1">
      <c r="B10" s="14" t="s">
        <v>20</v>
      </c>
      <c r="C10" s="7">
        <v>-14434.250264812337</v>
      </c>
      <c r="D10" s="41">
        <f>-(D3-SUM(D4:D8)+D9)*$C$16</f>
        <v>-15627.132838906191</v>
      </c>
      <c r="E10" s="41">
        <f t="shared" ref="E10:J10" si="1">-(E3-SUM(E4:E8)+E9)*$C$16</f>
        <v>-16437.319410617209</v>
      </c>
      <c r="F10" s="41">
        <f t="shared" si="1"/>
        <v>-17092.213856741175</v>
      </c>
      <c r="G10" s="41">
        <f t="shared" si="1"/>
        <v>-17889.258015501178</v>
      </c>
      <c r="H10" s="41">
        <f t="shared" si="1"/>
        <v>-19149.754579382552</v>
      </c>
      <c r="I10" s="41">
        <f t="shared" si="1"/>
        <v>-20401.251476662153</v>
      </c>
      <c r="J10" s="41">
        <f t="shared" si="1"/>
        <v>-21469.879161306064</v>
      </c>
    </row>
    <row r="11" spans="1:10" s="14" customFormat="1" ht="15" customHeight="1">
      <c r="B11" s="14" t="s">
        <v>21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ht="15" customHeight="1">
      <c r="B12" s="4" t="s">
        <v>5</v>
      </c>
      <c r="C12" s="11">
        <v>-14434.250264812337</v>
      </c>
      <c r="D12" s="35">
        <f>D10</f>
        <v>-15627.132838906191</v>
      </c>
      <c r="E12" s="35">
        <f t="shared" ref="E12:J12" si="2">E10</f>
        <v>-16437.319410617209</v>
      </c>
      <c r="F12" s="35">
        <f t="shared" si="2"/>
        <v>-17092.213856741175</v>
      </c>
      <c r="G12" s="35">
        <f t="shared" si="2"/>
        <v>-17889.258015501178</v>
      </c>
      <c r="H12" s="35">
        <f t="shared" si="2"/>
        <v>-19149.754579382552</v>
      </c>
      <c r="I12" s="35">
        <f t="shared" si="2"/>
        <v>-20401.251476662153</v>
      </c>
      <c r="J12" s="35">
        <f t="shared" si="2"/>
        <v>-21469.879161306064</v>
      </c>
    </row>
    <row r="13" spans="1:10" ht="15" customHeight="1">
      <c r="B13" t="s">
        <v>22</v>
      </c>
      <c r="C13" s="7">
        <f>SUM(C3:C9)+C12</f>
        <v>21651.375397218504</v>
      </c>
      <c r="D13" s="7">
        <f>D3-SUM(D4:D8)+D9+D10</f>
        <v>23440.699258359287</v>
      </c>
      <c r="E13" s="7">
        <f t="shared" ref="E13:J13" si="3">E3-SUM(E4:E8)+E9+E10</f>
        <v>24655.979115925809</v>
      </c>
      <c r="F13" s="7">
        <f t="shared" si="3"/>
        <v>25638.320785111762</v>
      </c>
      <c r="G13" s="7">
        <f t="shared" si="3"/>
        <v>26833.887023251762</v>
      </c>
      <c r="H13" s="7">
        <f t="shared" si="3"/>
        <v>28724.631869073823</v>
      </c>
      <c r="I13" s="7">
        <f t="shared" si="3"/>
        <v>30601.877214993227</v>
      </c>
      <c r="J13" s="7">
        <f t="shared" si="3"/>
        <v>32204.818741959094</v>
      </c>
    </row>
    <row r="14" spans="1:10" ht="15" customHeight="1"/>
    <row r="15" spans="1:10" ht="15" customHeight="1">
      <c r="A15" s="20" t="s">
        <v>6</v>
      </c>
      <c r="C15" s="40"/>
      <c r="D15" s="40"/>
      <c r="E15" s="40"/>
      <c r="F15" s="40"/>
      <c r="G15" s="40"/>
      <c r="H15" s="40"/>
      <c r="I15" s="40"/>
      <c r="J15" s="40"/>
    </row>
    <row r="16" spans="1:10" ht="15" customHeight="1">
      <c r="B16" t="s">
        <v>69</v>
      </c>
      <c r="C16" s="42">
        <f>'Exh 10 Forecast Parameters'!B13</f>
        <v>0.4</v>
      </c>
      <c r="D16" s="6"/>
    </row>
    <row r="17" spans="2:10" ht="15" customHeight="1">
      <c r="B17" t="s">
        <v>68</v>
      </c>
      <c r="C17" s="42">
        <f>'Exh 10 Forecast Parameters'!B14</f>
        <v>0.05</v>
      </c>
      <c r="D17" s="6"/>
    </row>
    <row r="18" spans="2:10">
      <c r="C18" s="32"/>
      <c r="D18" s="32"/>
      <c r="E18" s="32"/>
      <c r="F18" s="32"/>
      <c r="G18" s="32"/>
      <c r="H18" s="32"/>
      <c r="I18" s="32"/>
      <c r="J18" s="45"/>
    </row>
    <row r="19" spans="2:10">
      <c r="C19" s="75"/>
      <c r="D19" s="6"/>
      <c r="E19" s="6"/>
      <c r="F19" s="6"/>
      <c r="G19" s="6"/>
      <c r="H19" s="6"/>
      <c r="I19" s="6"/>
      <c r="J19" s="6"/>
    </row>
    <row r="20" spans="2:10">
      <c r="C20" s="75"/>
      <c r="D20" s="6"/>
      <c r="E20" s="6"/>
      <c r="F20" s="6"/>
      <c r="G20" s="6"/>
      <c r="H20" s="6"/>
      <c r="I20" s="6"/>
      <c r="J20" s="6"/>
    </row>
    <row r="21" spans="2:10">
      <c r="C21" s="75"/>
      <c r="D21" s="6"/>
      <c r="E21" s="6"/>
      <c r="F21" s="6"/>
      <c r="G21" s="6"/>
      <c r="H21" s="6"/>
      <c r="I21" s="6"/>
      <c r="J21" s="6"/>
    </row>
    <row r="22" spans="2:10">
      <c r="C22" s="75"/>
      <c r="D22" s="6"/>
      <c r="E22" s="6"/>
      <c r="F22" s="6"/>
      <c r="G22" s="6"/>
      <c r="H22" s="6"/>
      <c r="I22" s="6"/>
      <c r="J22" s="6"/>
    </row>
    <row r="23" spans="2:10">
      <c r="C23" s="75"/>
      <c r="D23" s="6"/>
      <c r="E23" s="6"/>
      <c r="F23" s="6"/>
      <c r="G23" s="6"/>
      <c r="H23" s="6"/>
      <c r="I23" s="6"/>
      <c r="J23" s="6"/>
    </row>
    <row r="24" spans="2:10">
      <c r="C24" s="75"/>
      <c r="D24" s="6"/>
      <c r="E24" s="6"/>
      <c r="F24" s="6"/>
      <c r="G24" s="6"/>
      <c r="H24" s="6"/>
      <c r="I24" s="6"/>
      <c r="J24" s="6"/>
    </row>
    <row r="25" spans="2:10">
      <c r="C25" s="75"/>
      <c r="D25" s="6"/>
      <c r="E25" s="6"/>
      <c r="F25" s="6"/>
      <c r="G25" s="6"/>
      <c r="H25" s="6"/>
      <c r="I25" s="6"/>
      <c r="J25" s="6"/>
    </row>
    <row r="26" spans="2:10">
      <c r="C26" s="75"/>
      <c r="D26" s="6"/>
      <c r="E26" s="6"/>
      <c r="F26" s="6"/>
      <c r="G26" s="6"/>
      <c r="H26" s="6"/>
      <c r="I26" s="6"/>
      <c r="J26" s="6"/>
    </row>
    <row r="27" spans="2:10">
      <c r="C27" s="75"/>
      <c r="D27" s="6"/>
      <c r="E27" s="6"/>
      <c r="F27" s="6"/>
      <c r="G27" s="6"/>
      <c r="H27" s="6"/>
      <c r="I27" s="6"/>
      <c r="J27" s="6"/>
    </row>
    <row r="28" spans="2:10">
      <c r="C28" s="3"/>
      <c r="D28" s="3"/>
      <c r="E28" s="6"/>
      <c r="F28" s="3"/>
      <c r="G28" s="3"/>
      <c r="H28" s="3"/>
      <c r="I28" s="3"/>
      <c r="J28" s="3"/>
    </row>
    <row r="29" spans="2:10">
      <c r="C29" s="6"/>
      <c r="D29" s="6"/>
      <c r="E29" s="6"/>
      <c r="F29" s="6"/>
      <c r="G29" s="6"/>
      <c r="H29" s="6"/>
      <c r="I29" s="6"/>
      <c r="J29" s="6"/>
    </row>
    <row r="30" spans="2:10">
      <c r="C30" s="75"/>
      <c r="D30" s="6"/>
      <c r="E30" s="6"/>
      <c r="F30" s="6"/>
      <c r="G30" s="6"/>
      <c r="H30" s="6"/>
      <c r="I30" s="6"/>
      <c r="J30" s="6"/>
    </row>
    <row r="31" spans="2:10">
      <c r="C31" s="75"/>
      <c r="D31" s="6"/>
      <c r="E31" s="6"/>
      <c r="F31" s="6"/>
      <c r="G31" s="6"/>
      <c r="H31" s="6"/>
      <c r="I31" s="6"/>
      <c r="J31" s="6"/>
    </row>
    <row r="32" spans="2:10">
      <c r="C32" s="75"/>
    </row>
    <row r="33" spans="3:3">
      <c r="C33" s="75"/>
    </row>
  </sheetData>
  <pageMargins left="0.7" right="0.7" top="0.75" bottom="0.75" header="0.3" footer="0.3"/>
  <pageSetup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5859-E2DE-424E-AA23-3A4907AFEF08}">
  <sheetPr>
    <tabColor theme="8" tint="0.39997558519241921"/>
    <pageSetUpPr fitToPage="1"/>
  </sheetPr>
  <dimension ref="A1:M33"/>
  <sheetViews>
    <sheetView zoomScale="140" zoomScaleNormal="140" workbookViewId="0">
      <selection activeCell="D11" sqref="D11"/>
    </sheetView>
  </sheetViews>
  <sheetFormatPr defaultColWidth="8.81640625" defaultRowHeight="14.5"/>
  <cols>
    <col min="1" max="1" width="5.6328125" customWidth="1"/>
    <col min="2" max="2" width="25.6328125" customWidth="1"/>
    <col min="3" max="9" width="9.1796875" customWidth="1"/>
    <col min="13" max="13" width="10.1796875" bestFit="1" customWidth="1"/>
  </cols>
  <sheetData>
    <row r="1" spans="1:13" ht="18.5">
      <c r="A1" s="10" t="s">
        <v>96</v>
      </c>
    </row>
    <row r="2" spans="1:13" ht="15" customHeight="1">
      <c r="C2" s="4">
        <v>2012</v>
      </c>
      <c r="D2" s="9">
        <v>2013</v>
      </c>
      <c r="E2" s="9">
        <v>2014</v>
      </c>
      <c r="F2" s="9">
        <v>2015</v>
      </c>
      <c r="G2" s="9">
        <v>2016</v>
      </c>
      <c r="H2" s="9">
        <v>2017</v>
      </c>
      <c r="I2" s="9">
        <v>2018</v>
      </c>
    </row>
    <row r="3" spans="1:13" ht="15" customHeight="1">
      <c r="A3" s="28" t="s">
        <v>28</v>
      </c>
      <c r="D3" s="27"/>
      <c r="E3" s="27"/>
      <c r="F3" s="27"/>
      <c r="G3" s="27"/>
      <c r="H3" s="27"/>
      <c r="I3" s="27"/>
      <c r="M3" s="20"/>
    </row>
    <row r="4" spans="1:13" ht="15" customHeight="1">
      <c r="B4" t="s">
        <v>11</v>
      </c>
      <c r="C4" s="36">
        <v>48199.959146758287</v>
      </c>
      <c r="D4" s="99">
        <f>'Exh 5 Stores IS (Hist Sect)'!O101*'Exh 9 Capital Forecasting'!$C$12</f>
        <v>51173.462807127675</v>
      </c>
      <c r="E4" s="99">
        <f>'Exh 5 Stores IS (Hist Sect)'!P101*'Exh 9 Capital Forecasting'!$C$12</f>
        <v>53786.489811636253</v>
      </c>
      <c r="F4" s="99">
        <f>'Exh 5 Stores IS (Hist Sect)'!Q101*'Exh 9 Capital Forecasting'!$C$12</f>
        <v>56508.237026745519</v>
      </c>
      <c r="G4" s="99">
        <f>'Exh 5 Stores IS (Hist Sect)'!R101*'Exh 9 Capital Forecasting'!$C$12</f>
        <v>59262.937357727176</v>
      </c>
      <c r="H4" s="99">
        <f>'Exh 5 Stores IS (Hist Sect)'!S101*'Exh 9 Capital Forecasting'!$C$12</f>
        <v>60928.283699432912</v>
      </c>
      <c r="I4" s="99">
        <f>'Exh 5 Stores IS (Hist Sect)'!T101*'Exh 9 Capital Forecasting'!$C$12</f>
        <v>62640.427897631846</v>
      </c>
      <c r="M4" s="1"/>
    </row>
    <row r="5" spans="1:13" ht="15" customHeight="1">
      <c r="B5" t="s">
        <v>12</v>
      </c>
      <c r="C5" s="37">
        <v>33342.956637222087</v>
      </c>
      <c r="D5" s="123">
        <f>'Exh 5 Stores IS (Hist Sect)'!O102*'Exh 9 Capital Forecasting'!$C$12</f>
        <v>21225.856545174061</v>
      </c>
      <c r="E5" s="99">
        <f>'Exh 5 Stores IS (Hist Sect)'!P102*'Exh 9 Capital Forecasting'!$C$12</f>
        <v>22132.465040977328</v>
      </c>
      <c r="F5" s="99">
        <f>'Exh 5 Stores IS (Hist Sect)'!Q102*'Exh 9 Capital Forecasting'!$C$12</f>
        <v>23187.621289023646</v>
      </c>
      <c r="G5" s="99">
        <f>'Exh 5 Stores IS (Hist Sect)'!R102*'Exh 9 Capital Forecasting'!$C$12</f>
        <v>24162.933838549252</v>
      </c>
      <c r="H5" s="99">
        <f>'Exh 5 Stores IS (Hist Sect)'!S102*'Exh 9 Capital Forecasting'!$C$12</f>
        <v>24444.104201667833</v>
      </c>
      <c r="I5" s="99">
        <f>'Exh 5 Stores IS (Hist Sect)'!T102*'Exh 9 Capital Forecasting'!$C$12</f>
        <v>24816.610730563414</v>
      </c>
    </row>
    <row r="6" spans="1:13" ht="15" customHeight="1">
      <c r="A6" t="s">
        <v>30</v>
      </c>
      <c r="C6" s="36">
        <v>81542.915783980367</v>
      </c>
      <c r="D6" s="99">
        <f>SUM(D4:D5)</f>
        <v>72399.31935230174</v>
      </c>
      <c r="E6" s="99">
        <f t="shared" ref="E6:I6" si="0">SUM(E4:E5)</f>
        <v>75918.954852613577</v>
      </c>
      <c r="F6" s="99">
        <f t="shared" si="0"/>
        <v>79695.858315769161</v>
      </c>
      <c r="G6" s="99">
        <f t="shared" si="0"/>
        <v>83425.871196276421</v>
      </c>
      <c r="H6" s="99">
        <f t="shared" si="0"/>
        <v>85372.387901100738</v>
      </c>
      <c r="I6" s="99">
        <f t="shared" si="0"/>
        <v>87457.038628195267</v>
      </c>
    </row>
    <row r="7" spans="1:13" ht="15" customHeight="1">
      <c r="B7" t="s">
        <v>110</v>
      </c>
      <c r="C7" s="37">
        <v>3920.119999999999</v>
      </c>
      <c r="D7" s="90">
        <f>C7+'Exh 6 Stores BS'!O95-'Ex 11 Teuer IS Pro Forma (HS)'!D7</f>
        <v>5202.5980107764817</v>
      </c>
      <c r="E7" s="90">
        <f>D7+'Exh 6 Stores BS'!P95-'Ex 11 Teuer IS Pro Forma (HS)'!E7</f>
        <v>7155.2951385518409</v>
      </c>
      <c r="F7" s="90">
        <f>E7+'Exh 6 Stores BS'!Q95-'Ex 11 Teuer IS Pro Forma (HS)'!F7</f>
        <v>9310.2624535088053</v>
      </c>
      <c r="G7" s="90">
        <f>F7+'Exh 6 Stores BS'!R95-'Ex 11 Teuer IS Pro Forma (HS)'!G7</f>
        <v>7440.0307197422462</v>
      </c>
      <c r="H7" s="90">
        <f>G7+'Exh 6 Stores BS'!S95-'Ex 11 Teuer IS Pro Forma (HS)'!H7</f>
        <v>5202.8337650452131</v>
      </c>
      <c r="I7" s="90">
        <f>H7+'Exh 6 Stores BS'!T95-'Ex 11 Teuer IS Pro Forma (HS)'!I7</f>
        <v>3641.3641976940971</v>
      </c>
    </row>
    <row r="8" spans="1:13" ht="15" customHeight="1">
      <c r="A8" t="s">
        <v>31</v>
      </c>
      <c r="C8" s="38">
        <v>85463.035783980362</v>
      </c>
      <c r="D8" s="38">
        <f>D6+D7</f>
        <v>77601.917363078217</v>
      </c>
      <c r="E8" s="38">
        <f t="shared" ref="E8:I8" si="1">E6+E7</f>
        <v>83074.249991165416</v>
      </c>
      <c r="F8" s="38">
        <f t="shared" si="1"/>
        <v>89006.120769277972</v>
      </c>
      <c r="G8" s="38">
        <f t="shared" si="1"/>
        <v>90865.901916018673</v>
      </c>
      <c r="H8" s="38">
        <f t="shared" si="1"/>
        <v>90575.221666145953</v>
      </c>
      <c r="I8" s="38">
        <f t="shared" si="1"/>
        <v>91098.402825889367</v>
      </c>
    </row>
    <row r="9" spans="1:13" ht="15" customHeight="1">
      <c r="C9" s="38"/>
      <c r="D9" s="7"/>
      <c r="E9" s="38"/>
      <c r="F9" s="38"/>
      <c r="G9" s="38"/>
      <c r="H9" s="38"/>
      <c r="I9" s="38"/>
    </row>
    <row r="10" spans="1:13" ht="15" customHeight="1">
      <c r="A10" s="20" t="s">
        <v>29</v>
      </c>
      <c r="C10" s="39"/>
      <c r="D10" s="39"/>
      <c r="E10" s="39"/>
      <c r="F10" s="39"/>
      <c r="G10" s="39"/>
      <c r="H10" s="39"/>
      <c r="I10" s="39"/>
    </row>
    <row r="11" spans="1:13" ht="15" customHeight="1">
      <c r="B11" t="s">
        <v>13</v>
      </c>
      <c r="C11" s="36">
        <v>11363.545963450968</v>
      </c>
      <c r="D11" s="99">
        <f>'Ex 11 Teuer IS Pro Forma (HS)'!D4*'Exh 9 Capital Forecasting'!$C$36</f>
        <v>10687.276459721381</v>
      </c>
      <c r="E11" s="99">
        <f>'Ex 11 Teuer IS Pro Forma (HS)'!E4*'Exh 9 Capital Forecasting'!$C$36</f>
        <v>11143.756301406949</v>
      </c>
      <c r="F11" s="99">
        <f>'Ex 11 Teuer IS Pro Forma (HS)'!F4*'Exh 9 Capital Forecasting'!$C$36</f>
        <v>11675.030340081126</v>
      </c>
      <c r="G11" s="99">
        <f>'Ex 11 Teuer IS Pro Forma (HS)'!G4*'Exh 9 Capital Forecasting'!$C$36</f>
        <v>12166.10285954493</v>
      </c>
      <c r="H11" s="99">
        <f>'Ex 11 Teuer IS Pro Forma (HS)'!H4*'Exh 9 Capital Forecasting'!$C$36</f>
        <v>12307.672901561054</v>
      </c>
      <c r="I11" s="99">
        <f>'Ex 11 Teuer IS Pro Forma (HS)'!I4*'Exh 9 Capital Forecasting'!$C$36</f>
        <v>12495.230951286187</v>
      </c>
    </row>
    <row r="12" spans="1:13" ht="15" customHeight="1">
      <c r="B12" t="s">
        <v>14</v>
      </c>
      <c r="C12" s="111">
        <v>1682.2551123017518</v>
      </c>
      <c r="D12" s="99">
        <f>SUM('Ex 11 Teuer IS Pro Forma (HS)'!D5:D6)*'Exh 9 Capital Forecasting'!$C$48</f>
        <v>1620.7624345784284</v>
      </c>
      <c r="E12" s="99">
        <f>SUM('Ex 11 Teuer IS Pro Forma (HS)'!E5:E6)*'Exh 9 Capital Forecasting'!$C$48</f>
        <v>1695.5700924223554</v>
      </c>
      <c r="F12" s="99">
        <f>SUM('Ex 11 Teuer IS Pro Forma (HS)'!F5:F6)*'Exh 9 Capital Forecasting'!$C$48</f>
        <v>1779.0191486181177</v>
      </c>
      <c r="G12" s="99">
        <f>SUM('Ex 11 Teuer IS Pro Forma (HS)'!G5:G6)*'Exh 9 Capital Forecasting'!$C$48</f>
        <v>1859.3214395240143</v>
      </c>
      <c r="H12" s="99">
        <f>SUM('Ex 11 Teuer IS Pro Forma (HS)'!H5:H6)*'Exh 9 Capital Forecasting'!$C$48</f>
        <v>1894.584341604261</v>
      </c>
      <c r="I12" s="99">
        <f>SUM('Ex 11 Teuer IS Pro Forma (HS)'!I5:I6)*'Exh 9 Capital Forecasting'!$C$48</f>
        <v>1935.490354561013</v>
      </c>
    </row>
    <row r="13" spans="1:13" ht="15" customHeight="1">
      <c r="A13" t="s">
        <v>32</v>
      </c>
      <c r="C13" s="112">
        <v>13045.801075752719</v>
      </c>
      <c r="D13" s="113">
        <f>SUM(D11:D12)</f>
        <v>12308.038894299809</v>
      </c>
      <c r="E13" s="113">
        <f t="shared" ref="E13:I13" si="2">SUM(E11:E12)</f>
        <v>12839.326393829304</v>
      </c>
      <c r="F13" s="113">
        <f t="shared" si="2"/>
        <v>13454.049488699244</v>
      </c>
      <c r="G13" s="113">
        <f t="shared" si="2"/>
        <v>14025.424299068944</v>
      </c>
      <c r="H13" s="113">
        <f t="shared" si="2"/>
        <v>14202.257243165315</v>
      </c>
      <c r="I13" s="113">
        <f t="shared" si="2"/>
        <v>14430.721305847199</v>
      </c>
    </row>
    <row r="14" spans="1:13" ht="15" customHeight="1">
      <c r="B14" t="s">
        <v>33</v>
      </c>
      <c r="C14" s="36">
        <v>0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</row>
    <row r="15" spans="1:13" ht="15" customHeight="1">
      <c r="B15" t="s">
        <v>34</v>
      </c>
      <c r="C15" s="37">
        <v>72417.234708227654</v>
      </c>
      <c r="D15" s="100">
        <f>D8-D13-D14</f>
        <v>65293.878468778406</v>
      </c>
      <c r="E15" s="100">
        <f t="shared" ref="E15:I15" si="3">E8-E13-E14</f>
        <v>70234.923597336106</v>
      </c>
      <c r="F15" s="100">
        <f t="shared" si="3"/>
        <v>75552.071280578733</v>
      </c>
      <c r="G15" s="100">
        <f t="shared" si="3"/>
        <v>76840.477616949735</v>
      </c>
      <c r="H15" s="100">
        <f t="shared" si="3"/>
        <v>76372.964422980644</v>
      </c>
      <c r="I15" s="100">
        <f t="shared" si="3"/>
        <v>76667.68152004217</v>
      </c>
    </row>
    <row r="16" spans="1:13" ht="15" customHeight="1">
      <c r="A16" t="s">
        <v>35</v>
      </c>
      <c r="C16" s="38">
        <v>85463.035783980376</v>
      </c>
      <c r="D16" s="7">
        <f>D13+D15</f>
        <v>77601.917363078217</v>
      </c>
      <c r="E16" s="7">
        <f t="shared" ref="E16:I16" si="4">E13+E15</f>
        <v>83074.249991165416</v>
      </c>
      <c r="F16" s="7">
        <f t="shared" si="4"/>
        <v>89006.120769277972</v>
      </c>
      <c r="G16" s="7">
        <f t="shared" si="4"/>
        <v>90865.901916018673</v>
      </c>
      <c r="H16" s="7">
        <f t="shared" si="4"/>
        <v>90575.221666145953</v>
      </c>
      <c r="I16" s="7">
        <f t="shared" si="4"/>
        <v>91098.402825889367</v>
      </c>
    </row>
    <row r="17" spans="1:9" ht="15" customHeight="1">
      <c r="C17" s="7"/>
      <c r="D17" s="7"/>
      <c r="E17" s="7"/>
      <c r="F17" s="7"/>
      <c r="G17" s="7"/>
      <c r="H17" s="7"/>
      <c r="I17" s="7"/>
    </row>
    <row r="18" spans="1:9" ht="15" customHeight="1">
      <c r="B18" s="27" t="s">
        <v>41</v>
      </c>
      <c r="C18" s="7">
        <f>C16-C8</f>
        <v>0</v>
      </c>
      <c r="D18" s="7">
        <f t="shared" ref="D18:I18" si="5">D16-D8</f>
        <v>0</v>
      </c>
      <c r="E18" s="7">
        <f t="shared" si="5"/>
        <v>0</v>
      </c>
      <c r="F18" s="7">
        <f t="shared" si="5"/>
        <v>0</v>
      </c>
      <c r="G18" s="7">
        <f t="shared" si="5"/>
        <v>0</v>
      </c>
      <c r="H18" s="7">
        <f t="shared" si="5"/>
        <v>0</v>
      </c>
      <c r="I18" s="7">
        <f t="shared" si="5"/>
        <v>0</v>
      </c>
    </row>
    <row r="19" spans="1:9" ht="15" customHeight="1">
      <c r="C19" s="6"/>
      <c r="D19" s="6"/>
      <c r="E19" s="6"/>
      <c r="F19" s="6"/>
      <c r="G19" s="6"/>
      <c r="H19" s="6"/>
      <c r="I19" s="6"/>
    </row>
    <row r="20" spans="1:9" ht="15" customHeight="1">
      <c r="A20" s="20"/>
      <c r="C20" s="8"/>
      <c r="D20" s="8"/>
      <c r="E20" s="8"/>
      <c r="F20" s="8"/>
      <c r="G20" s="8"/>
      <c r="H20" s="8"/>
      <c r="I20" s="8"/>
    </row>
    <row r="21" spans="1:9" ht="15" customHeight="1">
      <c r="C21" s="6"/>
      <c r="D21" s="40"/>
      <c r="E21" s="6"/>
      <c r="F21" s="6"/>
      <c r="G21" s="6"/>
      <c r="H21" s="6"/>
      <c r="I21" s="6"/>
    </row>
    <row r="22" spans="1:9" ht="15" customHeight="1">
      <c r="B22" s="20"/>
      <c r="C22" s="6"/>
      <c r="D22" s="6"/>
      <c r="E22" s="6"/>
      <c r="F22" s="6"/>
      <c r="G22" s="6"/>
      <c r="H22" s="6"/>
      <c r="I22" s="6"/>
    </row>
    <row r="23" spans="1:9" ht="15" customHeight="1">
      <c r="C23" s="6"/>
    </row>
    <row r="24" spans="1:9" ht="15" customHeight="1">
      <c r="C24" s="6"/>
    </row>
    <row r="25" spans="1:9" ht="15" customHeight="1">
      <c r="C25" s="6"/>
    </row>
    <row r="26" spans="1:9" ht="15" customHeight="1">
      <c r="C26" s="6"/>
    </row>
    <row r="27" spans="1:9" ht="15" customHeight="1">
      <c r="C27" s="6"/>
    </row>
    <row r="28" spans="1:9" ht="15" customHeight="1">
      <c r="C28" s="6"/>
    </row>
    <row r="29" spans="1:9">
      <c r="C29" s="6"/>
    </row>
    <row r="30" spans="1:9">
      <c r="C30" s="6"/>
    </row>
    <row r="31" spans="1:9">
      <c r="C31" s="6"/>
    </row>
    <row r="32" spans="1:9">
      <c r="C32" s="6"/>
    </row>
    <row r="33" spans="3:3">
      <c r="C33" s="6"/>
    </row>
  </sheetData>
  <pageMargins left="0.7" right="0.7" top="0.75" bottom="0.75" header="0.3" footer="0.3"/>
  <pageSetup fitToHeight="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Exh 1 Stores</vt:lpstr>
      <vt:lpstr>Exh 2 Econ Indicators</vt:lpstr>
      <vt:lpstr>Exh 3 Teuer IS</vt:lpstr>
      <vt:lpstr>Exh 4 Teuer BS</vt:lpstr>
      <vt:lpstr>Exh 7 Teuer CFA</vt:lpstr>
      <vt:lpstr>Exh 8 Sales Forecasting</vt:lpstr>
      <vt:lpstr>Exh 5 Stores IS (Hist Sect)</vt:lpstr>
      <vt:lpstr>Ex 11 Teuer IS Pro Forma (HS)</vt:lpstr>
      <vt:lpstr>Ex 12 Teuer BS Pro Forma (HS)</vt:lpstr>
      <vt:lpstr>Ex 13 Teuer CFA Pro Forma (HS)</vt:lpstr>
      <vt:lpstr>Exh 5 Stores IS (Forecast Sect)</vt:lpstr>
      <vt:lpstr>Ex 11 Teuer IS Pro Forma (FS)</vt:lpstr>
      <vt:lpstr>Ex 12 Teuer BS Pro Forma (FS)</vt:lpstr>
      <vt:lpstr>Ex 13 Teuer CFA Pro Forma (FS)</vt:lpstr>
      <vt:lpstr>Exh 5 Stores IS (Hist Teuer)</vt:lpstr>
      <vt:lpstr>Ex 11 Teuer IS Pro Forma (HT)</vt:lpstr>
      <vt:lpstr>Ex 12 Teuer BS Pro Forma (HT)</vt:lpstr>
      <vt:lpstr>Ex 13 Teuer CFA Pro Forma (HT)</vt:lpstr>
      <vt:lpstr>Exh 9 Capital Forecasting</vt:lpstr>
      <vt:lpstr>Exh 6 Stores BS</vt:lpstr>
      <vt:lpstr>Exh 10 Forecast Parameters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Petersen</dc:creator>
  <cp:lastModifiedBy>Yu-Pei T.</cp:lastModifiedBy>
  <cp:lastPrinted>2013-11-05T01:31:03Z</cp:lastPrinted>
  <dcterms:created xsi:type="dcterms:W3CDTF">2013-08-13T19:54:49Z</dcterms:created>
  <dcterms:modified xsi:type="dcterms:W3CDTF">2025-03-04T14:44:33Z</dcterms:modified>
</cp:coreProperties>
</file>