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ade9\Documents\Jade\Portfolio\"/>
    </mc:Choice>
  </mc:AlternateContent>
  <xr:revisionPtr revIDLastSave="0" documentId="13_ncr:1_{EAE129C6-9BB1-4401-9784-6FE03CB86B88}" xr6:coauthVersionLast="47" xr6:coauthVersionMax="47" xr10:uidLastSave="{00000000-0000-0000-0000-000000000000}"/>
  <bookViews>
    <workbookView xWindow="-120" yWindow="-120" windowWidth="29040" windowHeight="15840" firstSheet="5" xr2:uid="{26D4546B-D2A1-4444-8EAF-A6228F96F0C1}"/>
  </bookViews>
  <sheets>
    <sheet name="India Staff" sheetId="2" r:id="rId1"/>
    <sheet name="NZ Staff" sheetId="3" r:id="rId2"/>
    <sheet name="All Staff" sheetId="5" r:id="rId3"/>
    <sheet name="Info Finder" sheetId="6" r:id="rId4"/>
    <sheet name="Salary Spread" sheetId="9" r:id="rId5"/>
    <sheet name="Male vs. Female" sheetId="7" r:id="rId6"/>
    <sheet name="Salary Rating" sheetId="10" r:id="rId7"/>
    <sheet name="Mapping" sheetId="11" r:id="rId8"/>
    <sheet name="Growing Trend" sheetId="12" r:id="rId9"/>
    <sheet name="Mapping2" sheetId="14" r:id="rId10"/>
    <sheet name="Dashboard" sheetId="13" r:id="rId11"/>
  </sheets>
  <definedNames>
    <definedName name="_xlnm._FilterDatabase" localSheetId="0" hidden="1">'India Staff'!$B$2:$H$114</definedName>
    <definedName name="_xlchart.v1.0" hidden="1">'All Staff'!$H$4:$H$186</definedName>
    <definedName name="_xlchart.v1.1" hidden="1">'All Staff'!$H$4:$H$186</definedName>
    <definedName name="_xlcn.WorksheetConnection_blankdatafile1.xlsxstaff1" hidden="1">staff[]</definedName>
    <definedName name="ExternalData_1" localSheetId="2" hidden="1">'All Staff'!$B$3:$I$186</definedName>
    <definedName name="Slicer_Country">#N/A</definedName>
  </definedNames>
  <calcPr calcId="191029"/>
  <pivotCaches>
    <pivotCache cacheId="176" r:id="rId12"/>
    <pivotCache cacheId="180" r:id="rId13"/>
    <pivotCache cacheId="216" r:id="rId14"/>
    <pivotCache cacheId="237" r:id="rId15"/>
    <pivotCache cacheId="240" r:id="rId16"/>
  </pivotCaches>
  <extLst>
    <ext xmlns:x14="http://schemas.microsoft.com/office/spreadsheetml/2009/9/main" uri="{876F7934-8845-4945-9796-88D515C7AA90}">
      <x14:pivotCaches>
        <pivotCache cacheId="179"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 (1).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3" l="1"/>
  <c r="L3" i="13" s="1"/>
  <c r="N3" i="13"/>
  <c r="E3" i="13"/>
  <c r="G3" i="13"/>
  <c r="C3" i="13"/>
  <c r="P4" i="12" a="1"/>
  <c r="P4" i="12" s="1"/>
  <c r="Q4" i="12" s="1" a="1"/>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C8" i="6"/>
  <c r="P11" i="5"/>
  <c r="P8" i="5"/>
  <c r="J4" i="5"/>
  <c r="K4" i="5" s="1"/>
  <c r="J5" i="5"/>
  <c r="K5" i="5" s="1"/>
  <c r="J6" i="5"/>
  <c r="K6" i="5" s="1"/>
  <c r="J7" i="5"/>
  <c r="K7" i="5" s="1"/>
  <c r="J8" i="5"/>
  <c r="K8" i="5" s="1"/>
  <c r="J9" i="5"/>
  <c r="K9" i="5" s="1"/>
  <c r="J10" i="5"/>
  <c r="K10" i="5" s="1"/>
  <c r="J11" i="5"/>
  <c r="K11" i="5" s="1"/>
  <c r="J12" i="5"/>
  <c r="K12" i="5" s="1"/>
  <c r="J13" i="5"/>
  <c r="K13" i="5" s="1"/>
  <c r="J14" i="5"/>
  <c r="K14" i="5" s="1"/>
  <c r="J15" i="5"/>
  <c r="K15" i="5" s="1"/>
  <c r="J16" i="5"/>
  <c r="K16" i="5" s="1"/>
  <c r="J17" i="5"/>
  <c r="K17" i="5" s="1"/>
  <c r="J18" i="5"/>
  <c r="K18" i="5" s="1"/>
  <c r="J19" i="5"/>
  <c r="K19" i="5" s="1"/>
  <c r="J20" i="5"/>
  <c r="K20" i="5" s="1"/>
  <c r="J21" i="5"/>
  <c r="K21" i="5" s="1"/>
  <c r="J22" i="5"/>
  <c r="K22" i="5" s="1"/>
  <c r="J23" i="5"/>
  <c r="K23" i="5" s="1"/>
  <c r="J24" i="5"/>
  <c r="K24" i="5" s="1"/>
  <c r="J25" i="5"/>
  <c r="K25" i="5" s="1"/>
  <c r="J26" i="5"/>
  <c r="K26" i="5" s="1"/>
  <c r="J27" i="5"/>
  <c r="K27" i="5" s="1"/>
  <c r="J28" i="5"/>
  <c r="K28" i="5" s="1"/>
  <c r="J29" i="5"/>
  <c r="K29" i="5" s="1"/>
  <c r="J30" i="5"/>
  <c r="K30" i="5" s="1"/>
  <c r="J31" i="5"/>
  <c r="K31" i="5" s="1"/>
  <c r="J32" i="5"/>
  <c r="K32" i="5" s="1"/>
  <c r="J33" i="5"/>
  <c r="K33" i="5" s="1"/>
  <c r="J34" i="5"/>
  <c r="K34" i="5" s="1"/>
  <c r="J35" i="5"/>
  <c r="K35" i="5" s="1"/>
  <c r="J36" i="5"/>
  <c r="K36" i="5" s="1"/>
  <c r="J37" i="5"/>
  <c r="K37" i="5" s="1"/>
  <c r="J38" i="5"/>
  <c r="K38" i="5" s="1"/>
  <c r="J39" i="5"/>
  <c r="K39" i="5" s="1"/>
  <c r="J40" i="5"/>
  <c r="K40" i="5" s="1"/>
  <c r="J41" i="5"/>
  <c r="K41" i="5" s="1"/>
  <c r="J42" i="5"/>
  <c r="K42" i="5" s="1"/>
  <c r="J43" i="5"/>
  <c r="K43" i="5" s="1"/>
  <c r="J44" i="5"/>
  <c r="K44" i="5" s="1"/>
  <c r="J45" i="5"/>
  <c r="K45" i="5" s="1"/>
  <c r="J46" i="5"/>
  <c r="K46" i="5" s="1"/>
  <c r="J47" i="5"/>
  <c r="K47" i="5" s="1"/>
  <c r="J48" i="5"/>
  <c r="K48" i="5" s="1"/>
  <c r="J49" i="5"/>
  <c r="K49" i="5" s="1"/>
  <c r="J50" i="5"/>
  <c r="K50" i="5" s="1"/>
  <c r="J51" i="5"/>
  <c r="K51" i="5" s="1"/>
  <c r="J52" i="5"/>
  <c r="K52" i="5" s="1"/>
  <c r="J53" i="5"/>
  <c r="K53" i="5" s="1"/>
  <c r="J54" i="5"/>
  <c r="K54" i="5" s="1"/>
  <c r="J55" i="5"/>
  <c r="K55" i="5" s="1"/>
  <c r="J56" i="5"/>
  <c r="K56" i="5" s="1"/>
  <c r="J57" i="5"/>
  <c r="K57" i="5" s="1"/>
  <c r="J58" i="5"/>
  <c r="K58" i="5" s="1"/>
  <c r="J59" i="5"/>
  <c r="K59" i="5" s="1"/>
  <c r="J60" i="5"/>
  <c r="K60" i="5" s="1"/>
  <c r="J61" i="5"/>
  <c r="K61" i="5" s="1"/>
  <c r="J62" i="5"/>
  <c r="K62" i="5" s="1"/>
  <c r="J63" i="5"/>
  <c r="K63" i="5" s="1"/>
  <c r="J64" i="5"/>
  <c r="K64" i="5" s="1"/>
  <c r="J65" i="5"/>
  <c r="K65" i="5" s="1"/>
  <c r="J66" i="5"/>
  <c r="K66" i="5" s="1"/>
  <c r="J67" i="5"/>
  <c r="K67" i="5" s="1"/>
  <c r="J68" i="5"/>
  <c r="K68" i="5" s="1"/>
  <c r="J69" i="5"/>
  <c r="K69" i="5" s="1"/>
  <c r="J70" i="5"/>
  <c r="K70" i="5" s="1"/>
  <c r="J71" i="5"/>
  <c r="K71" i="5" s="1"/>
  <c r="J72" i="5"/>
  <c r="K72" i="5" s="1"/>
  <c r="J73" i="5"/>
  <c r="K73" i="5" s="1"/>
  <c r="J74" i="5"/>
  <c r="K74" i="5" s="1"/>
  <c r="J75" i="5"/>
  <c r="K75" i="5" s="1"/>
  <c r="J76" i="5"/>
  <c r="K76" i="5" s="1"/>
  <c r="J77" i="5"/>
  <c r="K77" i="5" s="1"/>
  <c r="J78" i="5"/>
  <c r="K78" i="5" s="1"/>
  <c r="J79" i="5"/>
  <c r="K79" i="5" s="1"/>
  <c r="J80" i="5"/>
  <c r="K80" i="5" s="1"/>
  <c r="J81" i="5"/>
  <c r="K81" i="5" s="1"/>
  <c r="J82" i="5"/>
  <c r="K82" i="5" s="1"/>
  <c r="J83" i="5"/>
  <c r="K83" i="5" s="1"/>
  <c r="J84" i="5"/>
  <c r="K84" i="5" s="1"/>
  <c r="J85" i="5"/>
  <c r="K85" i="5" s="1"/>
  <c r="J86" i="5"/>
  <c r="K86" i="5" s="1"/>
  <c r="J87" i="5"/>
  <c r="K87" i="5" s="1"/>
  <c r="J88" i="5"/>
  <c r="K88" i="5" s="1"/>
  <c r="J89" i="5"/>
  <c r="K89" i="5" s="1"/>
  <c r="J90" i="5"/>
  <c r="K90" i="5" s="1"/>
  <c r="J91" i="5"/>
  <c r="K91" i="5" s="1"/>
  <c r="J92" i="5"/>
  <c r="K92" i="5" s="1"/>
  <c r="J93" i="5"/>
  <c r="K93" i="5" s="1"/>
  <c r="J94" i="5"/>
  <c r="K94" i="5" s="1"/>
  <c r="J95" i="5"/>
  <c r="K95" i="5" s="1"/>
  <c r="J96" i="5"/>
  <c r="K96" i="5" s="1"/>
  <c r="J97" i="5"/>
  <c r="K97" i="5" s="1"/>
  <c r="J98" i="5"/>
  <c r="K98" i="5" s="1"/>
  <c r="J99" i="5"/>
  <c r="K99" i="5" s="1"/>
  <c r="J100" i="5"/>
  <c r="K100" i="5" s="1"/>
  <c r="J101" i="5"/>
  <c r="K101" i="5" s="1"/>
  <c r="J102" i="5"/>
  <c r="K102" i="5" s="1"/>
  <c r="J103" i="5"/>
  <c r="K103" i="5" s="1"/>
  <c r="J104" i="5"/>
  <c r="K104" i="5" s="1"/>
  <c r="J105" i="5"/>
  <c r="K105" i="5" s="1"/>
  <c r="J106" i="5"/>
  <c r="K106" i="5" s="1"/>
  <c r="J107" i="5"/>
  <c r="K107" i="5" s="1"/>
  <c r="J108" i="5"/>
  <c r="K108" i="5" s="1"/>
  <c r="J109" i="5"/>
  <c r="K109" i="5" s="1"/>
  <c r="J110" i="5"/>
  <c r="K110" i="5" s="1"/>
  <c r="J111" i="5"/>
  <c r="K111" i="5" s="1"/>
  <c r="J112" i="5"/>
  <c r="K112" i="5" s="1"/>
  <c r="J113" i="5"/>
  <c r="K113" i="5" s="1"/>
  <c r="J114" i="5"/>
  <c r="K114" i="5" s="1"/>
  <c r="J115" i="5"/>
  <c r="K115" i="5" s="1"/>
  <c r="J116" i="5"/>
  <c r="K116" i="5" s="1"/>
  <c r="J117" i="5"/>
  <c r="K117" i="5" s="1"/>
  <c r="J118" i="5"/>
  <c r="K118" i="5" s="1"/>
  <c r="J119" i="5"/>
  <c r="K119" i="5" s="1"/>
  <c r="J120" i="5"/>
  <c r="K120" i="5" s="1"/>
  <c r="J121" i="5"/>
  <c r="P18" i="5" s="1" a="1"/>
  <c r="P18" i="5" s="1"/>
  <c r="J122" i="5"/>
  <c r="K122" i="5" s="1"/>
  <c r="J123" i="5"/>
  <c r="K123" i="5" s="1"/>
  <c r="J124" i="5"/>
  <c r="K124" i="5" s="1"/>
  <c r="J125" i="5"/>
  <c r="K125" i="5" s="1"/>
  <c r="J126" i="5"/>
  <c r="K126" i="5" s="1"/>
  <c r="J127" i="5"/>
  <c r="K127" i="5" s="1"/>
  <c r="J128" i="5"/>
  <c r="K128" i="5" s="1"/>
  <c r="J129" i="5"/>
  <c r="K129" i="5" s="1"/>
  <c r="J130" i="5"/>
  <c r="K130" i="5" s="1"/>
  <c r="J131" i="5"/>
  <c r="K131" i="5" s="1"/>
  <c r="J132" i="5"/>
  <c r="K132" i="5" s="1"/>
  <c r="J133" i="5"/>
  <c r="K133" i="5" s="1"/>
  <c r="J134" i="5"/>
  <c r="K134" i="5" s="1"/>
  <c r="J135" i="5"/>
  <c r="K135" i="5" s="1"/>
  <c r="J136" i="5"/>
  <c r="K136" i="5" s="1"/>
  <c r="J137" i="5"/>
  <c r="K137" i="5" s="1"/>
  <c r="J138" i="5"/>
  <c r="K138" i="5" s="1"/>
  <c r="J139" i="5"/>
  <c r="K139" i="5" s="1"/>
  <c r="J140" i="5"/>
  <c r="K140" i="5" s="1"/>
  <c r="J141" i="5"/>
  <c r="K141" i="5" s="1"/>
  <c r="J142" i="5"/>
  <c r="K142" i="5" s="1"/>
  <c r="J143" i="5"/>
  <c r="K143" i="5" s="1"/>
  <c r="J144" i="5"/>
  <c r="K144" i="5" s="1"/>
  <c r="J145" i="5"/>
  <c r="K145" i="5" s="1"/>
  <c r="J146" i="5"/>
  <c r="K146" i="5" s="1"/>
  <c r="J147" i="5"/>
  <c r="K147" i="5" s="1"/>
  <c r="J148" i="5"/>
  <c r="K148" i="5" s="1"/>
  <c r="J149" i="5"/>
  <c r="K149" i="5" s="1"/>
  <c r="J150" i="5"/>
  <c r="K150" i="5" s="1"/>
  <c r="J151" i="5"/>
  <c r="K151" i="5" s="1"/>
  <c r="J152" i="5"/>
  <c r="K152" i="5" s="1"/>
  <c r="J153" i="5"/>
  <c r="K153" i="5" s="1"/>
  <c r="J154" i="5"/>
  <c r="K154" i="5" s="1"/>
  <c r="J155" i="5"/>
  <c r="K155" i="5" s="1"/>
  <c r="J156" i="5"/>
  <c r="K156" i="5" s="1"/>
  <c r="J157" i="5"/>
  <c r="K157" i="5" s="1"/>
  <c r="J158" i="5"/>
  <c r="K158" i="5" s="1"/>
  <c r="J159" i="5"/>
  <c r="K159" i="5" s="1"/>
  <c r="J160" i="5"/>
  <c r="K160" i="5" s="1"/>
  <c r="J161" i="5"/>
  <c r="K161" i="5" s="1"/>
  <c r="J162" i="5"/>
  <c r="K162" i="5" s="1"/>
  <c r="J163" i="5"/>
  <c r="K163" i="5" s="1"/>
  <c r="J164" i="5"/>
  <c r="K164" i="5" s="1"/>
  <c r="J165" i="5"/>
  <c r="K165" i="5" s="1"/>
  <c r="J166" i="5"/>
  <c r="K166" i="5" s="1"/>
  <c r="J167" i="5"/>
  <c r="K167" i="5" s="1"/>
  <c r="J168" i="5"/>
  <c r="K168" i="5" s="1"/>
  <c r="J169" i="5"/>
  <c r="K169" i="5" s="1"/>
  <c r="J170" i="5"/>
  <c r="K170" i="5" s="1"/>
  <c r="J171" i="5"/>
  <c r="K171" i="5" s="1"/>
  <c r="J172" i="5"/>
  <c r="K172" i="5" s="1"/>
  <c r="J173" i="5"/>
  <c r="K173" i="5" s="1"/>
  <c r="J174" i="5"/>
  <c r="K174" i="5" s="1"/>
  <c r="J175" i="5"/>
  <c r="K175" i="5" s="1"/>
  <c r="J176" i="5"/>
  <c r="K176" i="5" s="1"/>
  <c r="J177" i="5"/>
  <c r="K177" i="5" s="1"/>
  <c r="J178" i="5"/>
  <c r="K178" i="5" s="1"/>
  <c r="J179" i="5"/>
  <c r="K179" i="5" s="1"/>
  <c r="J180" i="5"/>
  <c r="K180" i="5" s="1"/>
  <c r="J181" i="5"/>
  <c r="K181" i="5" s="1"/>
  <c r="J182" i="5"/>
  <c r="K182" i="5" s="1"/>
  <c r="J183" i="5"/>
  <c r="K183" i="5" s="1"/>
  <c r="J184" i="5"/>
  <c r="K184" i="5" s="1"/>
  <c r="J185" i="5"/>
  <c r="K185" i="5" s="1"/>
  <c r="J186" i="5"/>
  <c r="K186" i="5" s="1"/>
  <c r="Q5" i="5"/>
  <c r="Q4" i="5"/>
  <c r="P5" i="5"/>
  <c r="P4" i="5"/>
  <c r="P3" i="5"/>
  <c r="E104" i="3"/>
  <c r="G104" i="3"/>
  <c r="H104" i="3"/>
  <c r="Q4" i="12" l="1"/>
  <c r="R4" i="12" s="1"/>
  <c r="R11" i="12"/>
  <c r="R19" i="12"/>
  <c r="R27" i="12"/>
  <c r="R35" i="12"/>
  <c r="R12" i="12"/>
  <c r="R20" i="12"/>
  <c r="R28" i="12"/>
  <c r="R36" i="12"/>
  <c r="R5" i="12"/>
  <c r="R13" i="12"/>
  <c r="R21" i="12"/>
  <c r="R29" i="12"/>
  <c r="R37" i="12"/>
  <c r="R6" i="12"/>
  <c r="R14" i="12"/>
  <c r="R22" i="12"/>
  <c r="R30" i="12"/>
  <c r="R38" i="12"/>
  <c r="R7" i="12"/>
  <c r="R15" i="12"/>
  <c r="R23" i="12"/>
  <c r="R31" i="12"/>
  <c r="R39" i="12"/>
  <c r="R8" i="12"/>
  <c r="R16" i="12"/>
  <c r="R24" i="12"/>
  <c r="R32" i="12"/>
  <c r="R9" i="12"/>
  <c r="R17" i="12"/>
  <c r="R25" i="12"/>
  <c r="R33" i="12"/>
  <c r="R10" i="12"/>
  <c r="R18" i="12"/>
  <c r="R26" i="12"/>
  <c r="R34" i="12"/>
  <c r="K121" i="5"/>
  <c r="B12" i="6" a="1"/>
  <c r="B12" i="6" s="1"/>
  <c r="P7" i="5"/>
  <c r="P10" i="5"/>
  <c r="P6" i="5"/>
  <c r="S8" i="12" l="1"/>
  <c r="S16" i="12"/>
  <c r="S24" i="12"/>
  <c r="S32" i="12"/>
  <c r="S4" i="12"/>
  <c r="S9" i="12"/>
  <c r="S17" i="12"/>
  <c r="S25" i="12"/>
  <c r="S33" i="12"/>
  <c r="S10" i="12"/>
  <c r="S18" i="12"/>
  <c r="S26" i="12"/>
  <c r="S34" i="12"/>
  <c r="S11" i="12"/>
  <c r="S19" i="12"/>
  <c r="S27" i="12"/>
  <c r="S35" i="12"/>
  <c r="S12" i="12"/>
  <c r="S20" i="12"/>
  <c r="S28" i="12"/>
  <c r="S36" i="12"/>
  <c r="S5" i="12"/>
  <c r="S13" i="12"/>
  <c r="S21" i="12"/>
  <c r="S29" i="12"/>
  <c r="S37" i="12"/>
  <c r="S15" i="12"/>
  <c r="S39" i="12"/>
  <c r="S6" i="12"/>
  <c r="S14" i="12"/>
  <c r="S22" i="12"/>
  <c r="S30" i="12"/>
  <c r="S38" i="12"/>
  <c r="S7" i="12"/>
  <c r="S23" i="12"/>
  <c r="S31"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44AD54-169D-4B66-8C47-24D42EFDFEFC}"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67A58EFB-AEED-48D4-8664-341348EC23C1}"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9C049E98-C46F-4D72-9868-D182FB56A2E2}"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98371D79-C2BC-4757-B17D-F2E2368161D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CD73B515-FA03-4E05-8C65-8973160DB88A}" name="WorksheetConnection_blank-data-file (1).xlsx!staff" type="102" refreshedVersion="8" minRefreshableVersion="5">
    <extLst>
      <ext xmlns:x15="http://schemas.microsoft.com/office/spreadsheetml/2010/11/main" uri="{DE250136-89BD-433C-8126-D09CA5730AF9}">
        <x15:connection id="staff" autoDelete="1">
          <x15:rangePr sourceName="_xlcn.WorksheetConnection_blankdatafile1.xlsx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<sst xmlns="http://schemas.openxmlformats.org/spreadsheetml/2006/main" count="1889" uniqueCount="257">
  <si>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</si>
  <si>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</si>
  <si>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</si>
  <si>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</si>
  <si>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</si>
  <si>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</si>
  <si>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</si>
  <si>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</si>
  <si>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</si>
  <si>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</si>
  <si>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</si>
  <si>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</si>
  <si>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</si>
  <si>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</si>
  <si>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</si>
  <si>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</si>
  <si>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</si>
  <si>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</si>
  <si>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</si>
  <si>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</si>
  <si>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</si>
  <si>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</si>
  <si>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</si>
  <si>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</si>
  <si>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</si>
  <si>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</si>
  <si>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</si>
  <si>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</si>
  <si>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</si>
  <si>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</si>
  <si>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</si>
  <si>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</si>
  <si>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</si>
  <si>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</si>
  <si>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</si>
  <si>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</si>
  <si>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</si>
  <si>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</si>
  <si>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</si>
  <si>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</si>
  <si>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</si>
  <si>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</si>
  <si>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</si>
  <si>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</si>
  <si>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</si>
  <si>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</si>
  <si>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</si>
  <si>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</si>
  <si>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</si>
  <si>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</si>
  <si>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</si>
  <si>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</si>
  <si>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</si>
  <si>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</si>
  <si>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</si>
  <si>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</si>
  <si>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</si>
  <si>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</si>
  <si>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</si>
  <si>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</si>
  <si>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</si>
  <si>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</si>
  <si>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</si>
  <si>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</si>
  <si>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</si>
  <si>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</si>
  <si>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</si>
  <si>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</si>
  <si>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</si>
  <si>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</si>
  <si>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</si>
  <si>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</si>
  <si>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</si>
  <si>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</si>
  <si>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</si>
  <si>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</si>
  <si>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</si>
  <si>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</si>
  <si>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</si>
  <si>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</si>
  <si>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</si>
  <si>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</si>
  <si>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</si>
  <si>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</si>
  <si>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</si>
  <si>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</si>
  <si>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</si>
  <si>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</si>
  <si>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</si>
  <si>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</si>
  <si>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</si>
  <si>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</si>
  <si>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</si>
  <si>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</si>
  <si>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</si>
  <si>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</si>
  <si>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</si>
  <si>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</si>
  <si>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</si>
  <si>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</si>
  <si>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</si>
  <si>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</si>
  <si>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</si>
  <si>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</si>
  <si>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</si>
  <si>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</si>
  <si>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</si>
  <si>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</si>
  <si>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</si>
  <si>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</si>
  <si>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</si>
  <si>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</si>
  <si>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</si>
  <si>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</si>
  <si>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</si>
  <si>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</si>
  <si>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</si>
  <si>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</si>
  <si>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</si>
  <si>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</si>
  <si>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</si>
  <si>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</si>
  <si>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</si>
  <si>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</si>
  <si>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</si>
  <si>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</si>
  <si>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</si>
  <si>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</si>
  <si>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</si>
  <si>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</si>
  <si>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</si>
  <si>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</si>
  <si>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</si>
  <si>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</si>
  <si>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</si>
  <si>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</si>
  <si>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</si>
  <si>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</si>
  <si>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</si>
  <si>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</si>
  <si>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</si>
  <si>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</si>
  <si>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</si>
  <si>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</si>
  <si>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</si>
  <si>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</si>
  <si>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</si>
  <si>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</si>
  <si>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</si>
  <si>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</si>
  <si>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</si>
  <si>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</si>
  <si>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</si>
  <si>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</si>
  <si>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</si>
  <si>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</si>
  <si>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</si>
  <si>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</si>
  <si>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</si>
  <si>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</si>
  <si>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</si>
  <si>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</si>
  <si>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</si>
  <si>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</si>
  <si>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</si>
  <si>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</si>
  <si>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</si>
  <si>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</si>
  <si>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</si>
  <si>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</si>
  <si>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</si>
  <si>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</si>
  <si>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</si>
  <si>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</si>
  <si>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</si>
  <si>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</si>
  <si>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</si>
  <si>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</si>
  <si>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</si>
  <si>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</si>
  <si>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</si>
  <si>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</si>
  <si>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</si>
  <si>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</si>
  <si>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</si>
  <si>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</si>
  <si>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</si>
  <si>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</si>
  <si>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</si>
  <si>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</si>
  <si>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</si>
  <si>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</si>
  <si>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</si>
  <si>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</si>
  <si>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</si>
  <si>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</si>
  <si>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</si>
  <si>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</si>
  <si>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</si>
  <si>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</si>
  <si>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</si>
  <si>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</si>
  <si>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</si>
  <si>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Column1</t>
  </si>
  <si>
    <t>Country</t>
  </si>
  <si>
    <t>IND</t>
  </si>
  <si>
    <t>Other</t>
  </si>
  <si>
    <t>NZ</t>
  </si>
  <si>
    <t>Count of employees</t>
  </si>
  <si>
    <t>Average Salary</t>
  </si>
  <si>
    <t>Average Age</t>
  </si>
  <si>
    <t>Avagerage Tenure</t>
  </si>
  <si>
    <t>Famale Ratio%</t>
  </si>
  <si>
    <t>Tenure</t>
  </si>
  <si>
    <t>Female Count</t>
  </si>
  <si>
    <t>Ratio of $90,000&gt;</t>
  </si>
  <si>
    <t>Count of $90,000&gt;</t>
  </si>
  <si>
    <t>Sountry</t>
  </si>
  <si>
    <t>Information Finder</t>
  </si>
  <si>
    <t>Department Name</t>
  </si>
  <si>
    <t>Number of People</t>
  </si>
  <si>
    <t xml:space="preserve"> </t>
  </si>
  <si>
    <t>Male vs. Female</t>
  </si>
  <si>
    <t>Row Labels</t>
  </si>
  <si>
    <t>Grand Total</t>
  </si>
  <si>
    <t>Column Labels</t>
  </si>
  <si>
    <t>Count of Name</t>
  </si>
  <si>
    <t>Average of Age</t>
  </si>
  <si>
    <t>Values</t>
  </si>
  <si>
    <t>Average of Salary</t>
  </si>
  <si>
    <t>Average of Tenure</t>
  </si>
  <si>
    <t>Bonus</t>
  </si>
  <si>
    <t>Rating as No.</t>
  </si>
  <si>
    <t>2020</t>
  </si>
  <si>
    <t>May</t>
  </si>
  <si>
    <t>Jun</t>
  </si>
  <si>
    <t>Jul</t>
  </si>
  <si>
    <t>Aug</t>
  </si>
  <si>
    <t>Sep</t>
  </si>
  <si>
    <t>Oct</t>
  </si>
  <si>
    <t>Nov</t>
  </si>
  <si>
    <t>Dec</t>
  </si>
  <si>
    <t>2021</t>
  </si>
  <si>
    <t>Jan</t>
  </si>
  <si>
    <t>Feb</t>
  </si>
  <si>
    <t>Mar</t>
  </si>
  <si>
    <t>Apr</t>
  </si>
  <si>
    <t>2022</t>
  </si>
  <si>
    <t>2023</t>
  </si>
  <si>
    <t>Month</t>
  </si>
  <si>
    <t>Running Total</t>
  </si>
  <si>
    <t>Headcount</t>
  </si>
  <si>
    <t>end</t>
  </si>
  <si>
    <t>Headcount by Department</t>
  </si>
  <si>
    <t>New Zealand</t>
  </si>
  <si>
    <t>India</t>
  </si>
  <si>
    <t>XLOOKUP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</si>
</sst>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70" formatCode="0.0"/>
    <numFmt numFmtId="172" formatCode="&quot;$&quot;#,##0"/>
  </numFmts>
  <fonts count="12" x14ac:knownFonts="1">
    <font>
      <sz val="11"/>
      <color theme="1"/>
      <name val="Calibri"/>
      <family val="2"/>
      <scheme val="minor"/>
    </font>
    <font>
      <b/>
      <sz val="16"/>
      <color theme="0"/>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b/>
      <sz val="12"/>
      <color theme="0"/>
      <name val="Calibri"/>
      <family val="2"/>
      <scheme val="minor"/>
    </font>
    <font>
      <sz val="16"/>
      <color theme="1"/>
      <name val="Calibri"/>
      <family val="2"/>
      <scheme val="minor"/>
    </font>
    <font>
      <b/>
      <sz val="48"/>
      <color theme="0"/>
      <name val="Arial Black"/>
      <family val="2"/>
    </font>
    <font>
      <b/>
      <sz val="28"/>
      <color theme="0" tint="-4.9989318521683403E-2"/>
      <name val="Arial Black"/>
      <family val="2"/>
    </font>
    <font>
      <b/>
      <sz val="22"/>
      <color theme="0" tint="-4.9989318521683403E-2"/>
      <name val="Calibri"/>
      <family val="2"/>
      <scheme val="minor"/>
    </font>
    <font>
      <sz val="26"/>
      <color theme="1"/>
      <name val="Calibri"/>
      <family val="2"/>
      <scheme val="minor"/>
    </font>
    <font>
      <sz val="28"/>
      <color theme="1"/>
      <name val="Calibri"/>
      <family val="2"/>
      <scheme val="minor"/>
    </font>
  </fonts>
  <fills count="10">
    <fill>
      <patternFill patternType="none"/>
    </fill>
    <fill>
      <patternFill patternType="gray125"/>
    </fill>
    <fill>
      <patternFill patternType="solid">
        <fgColor rgb="FF00206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4" tint="-0.499984740745262"/>
        <bgColor indexed="64"/>
      </patternFill>
    </fill>
    <fill>
      <patternFill patternType="solid">
        <fgColor theme="3" tint="-0.249977111117893"/>
        <bgColor indexed="64"/>
      </patternFill>
    </fill>
    <fill>
      <patternFill patternType="solid">
        <fgColor theme="5" tint="-0.499984740745262"/>
        <bgColor indexed="64"/>
      </patternFill>
    </fill>
    <fill>
      <patternFill patternType="solid">
        <fgColor theme="0" tint="-4.9989318521683403E-2"/>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9">
    <xf numFmtId="0" fontId="0" fillId="0" borderId="0" xfId="0"/>
    <xf numFmtId="15" fontId="0" fillId="0" borderId="0" xfId="0" applyNumberFormat="1"/>
    <xf numFmtId="8" fontId="0" fillId="0" borderId="0" xfId="0" applyNumberFormat="1"/>
    <xf numFmtId="0" fontId="0" fillId="0" borderId="0" xfId="0" applyNumberFormat="1"/>
    <xf numFmtId="14" fontId="0" fillId="0" borderId="0" xfId="0" applyNumberFormat="1"/>
    <xf numFmtId="2" fontId="0" fillId="0" borderId="0" xfId="0" applyNumberFormat="1"/>
    <xf numFmtId="9" fontId="0" fillId="0" borderId="0" xfId="0" applyNumberFormat="1"/>
    <xf numFmtId="0" fontId="1" fillId="2" borderId="0" xfId="0" applyFont="1" applyFill="1" applyAlignment="1">
      <alignment horizontal="center"/>
    </xf>
    <xf numFmtId="0" fontId="3" fillId="3" borderId="0" xfId="0" applyFont="1" applyFill="1"/>
    <xf numFmtId="0" fontId="0" fillId="0" borderId="0" xfId="0" applyAlignment="1">
      <alignment horizontal="left"/>
    </xf>
    <xf numFmtId="0" fontId="0" fillId="0" borderId="1" xfId="0" applyBorder="1"/>
    <xf numFmtId="0" fontId="4" fillId="0" borderId="1" xfId="0" applyFont="1" applyBorder="1"/>
    <xf numFmtId="0" fontId="4" fillId="0" borderId="1" xfId="0" applyFont="1" applyBorder="1" applyAlignment="1">
      <alignment horizontal="left"/>
    </xf>
    <xf numFmtId="15" fontId="4" fillId="0" borderId="1" xfId="0" applyNumberFormat="1" applyFont="1" applyBorder="1" applyAlignment="1">
      <alignment horizontal="left"/>
    </xf>
    <xf numFmtId="0" fontId="2" fillId="0" borderId="1" xfId="0" applyFont="1" applyBorder="1"/>
    <xf numFmtId="0" fontId="4" fillId="4" borderId="1" xfId="0" applyFont="1" applyFill="1" applyBorder="1" applyAlignment="1">
      <alignment horizontal="center"/>
    </xf>
    <xf numFmtId="0" fontId="4" fillId="4" borderId="1" xfId="0" applyFont="1" applyFill="1" applyBorder="1"/>
    <xf numFmtId="0" fontId="0" fillId="0" borderId="0" xfId="0" pivotButton="1"/>
    <xf numFmtId="170" fontId="0" fillId="0" borderId="0" xfId="0" applyNumberFormat="1"/>
    <xf numFmtId="1" fontId="0" fillId="0" borderId="0" xfId="0" applyNumberFormat="1"/>
    <xf numFmtId="0" fontId="0" fillId="0" borderId="0" xfId="0" applyAlignment="1">
      <alignment horizontal="left" indent="1"/>
    </xf>
    <xf numFmtId="0" fontId="1" fillId="5" borderId="0" xfId="0" applyFont="1" applyFill="1" applyAlignment="1">
      <alignment horizontal="center"/>
    </xf>
    <xf numFmtId="6" fontId="0" fillId="0" borderId="0" xfId="0" applyNumberFormat="1"/>
    <xf numFmtId="0" fontId="0" fillId="0" borderId="0" xfId="0" applyNumberFormat="1" applyBorder="1"/>
    <xf numFmtId="0" fontId="6" fillId="0" borderId="0" xfId="0" applyFont="1" applyAlignment="1">
      <alignment horizontal="left"/>
    </xf>
    <xf numFmtId="0" fontId="6" fillId="0" borderId="0" xfId="0" applyNumberFormat="1" applyFont="1"/>
    <xf numFmtId="172" fontId="6" fillId="0" borderId="0" xfId="0" applyNumberFormat="1" applyFont="1"/>
    <xf numFmtId="0" fontId="6" fillId="0" borderId="0" xfId="0" pivotButton="1" applyFont="1"/>
    <xf numFmtId="0" fontId="6" fillId="0" borderId="0" xfId="0" applyFont="1"/>
    <xf numFmtId="17" fontId="0" fillId="0" borderId="0" xfId="0" applyNumberFormat="1"/>
    <xf numFmtId="0" fontId="5" fillId="6" borderId="0" xfId="0" applyFont="1" applyFill="1" applyAlignment="1">
      <alignment horizontal="center"/>
    </xf>
    <xf numFmtId="0" fontId="0" fillId="6" borderId="0" xfId="0" applyFill="1"/>
    <xf numFmtId="0" fontId="0" fillId="8" borderId="2" xfId="0" applyFill="1" applyBorder="1"/>
    <xf numFmtId="0" fontId="0" fillId="8" borderId="3" xfId="0" applyFill="1" applyBorder="1"/>
    <xf numFmtId="0" fontId="0" fillId="8" borderId="4" xfId="0" applyFill="1" applyBorder="1"/>
    <xf numFmtId="0" fontId="0" fillId="8" borderId="5" xfId="0" applyFill="1" applyBorder="1"/>
    <xf numFmtId="0" fontId="0" fillId="8" borderId="0" xfId="0" applyFill="1" applyBorder="1"/>
    <xf numFmtId="0" fontId="0" fillId="8" borderId="6" xfId="0" applyFill="1" applyBorder="1"/>
    <xf numFmtId="0" fontId="0" fillId="8" borderId="7" xfId="0" applyFill="1" applyBorder="1"/>
    <xf numFmtId="0" fontId="0" fillId="8" borderId="8" xfId="0" applyFill="1" applyBorder="1"/>
    <xf numFmtId="0" fontId="0" fillId="8" borderId="9" xfId="0" applyFill="1" applyBorder="1"/>
    <xf numFmtId="0" fontId="7" fillId="5" borderId="0" xfId="0" applyFont="1" applyFill="1" applyAlignment="1">
      <alignment horizontal="center" vertical="center"/>
    </xf>
    <xf numFmtId="9" fontId="8" fillId="5" borderId="0" xfId="0" applyNumberFormat="1" applyFont="1" applyFill="1" applyAlignment="1">
      <alignment horizontal="center" vertical="center"/>
    </xf>
    <xf numFmtId="6" fontId="9" fillId="5" borderId="0" xfId="0" applyNumberFormat="1" applyFont="1" applyFill="1" applyAlignment="1">
      <alignment horizontal="center" vertical="center"/>
    </xf>
    <xf numFmtId="0" fontId="7" fillId="7" borderId="0" xfId="0" applyFont="1" applyFill="1" applyAlignment="1">
      <alignment horizontal="center" vertical="center"/>
    </xf>
    <xf numFmtId="9" fontId="8" fillId="7" borderId="0" xfId="0" applyNumberFormat="1" applyFont="1" applyFill="1" applyAlignment="1">
      <alignment horizontal="center" vertical="center"/>
    </xf>
    <xf numFmtId="6" fontId="9" fillId="7" borderId="0" xfId="0" applyNumberFormat="1" applyFont="1" applyFill="1" applyAlignment="1">
      <alignment horizontal="center" vertical="center"/>
    </xf>
    <xf numFmtId="0" fontId="10" fillId="9" borderId="0" xfId="0" applyFont="1" applyFill="1" applyAlignment="1">
      <alignment horizontal="center"/>
    </xf>
    <xf numFmtId="0" fontId="11" fillId="0" borderId="0" xfId="0" applyFont="1" applyAlignment="1">
      <alignment horizontal="center" vertical="center"/>
    </xf>
  </cellXfs>
  <cellStyles count="1">
    <cellStyle name="Normal" xfId="0" builtinId="0"/>
  </cellStyles>
  <dxfs count="26">
    <dxf>
      <font>
        <color rgb="FF9C0006"/>
      </font>
      <fill>
        <patternFill>
          <bgColor rgb="FFFFC7CE"/>
        </patternFill>
      </fill>
    </dxf>
    <dxf>
      <border>
        <left/>
        <right/>
        <top/>
        <bottom/>
      </border>
    </dxf>
    <dxf>
      <border>
        <left/>
        <right/>
        <top/>
        <bottom/>
      </border>
    </dxf>
    <dxf>
      <font>
        <sz val="16"/>
      </font>
    </dxf>
    <dxf>
      <font>
        <sz val="16"/>
      </font>
    </dxf>
    <dxf>
      <font>
        <sz val="16"/>
      </font>
    </dxf>
    <dxf>
      <font>
        <sz val="16"/>
      </font>
    </dxf>
    <dxf>
      <font>
        <sz val="16"/>
      </font>
    </dxf>
    <dxf>
      <numFmt numFmtId="1" formatCode="0"/>
    </dxf>
    <dxf>
      <numFmt numFmtId="2" formatCode="0.00"/>
    </dxf>
    <dxf>
      <numFmt numFmtId="10" formatCode="&quot;$&quot;#,##0_);[Red]\(&quot;$&quot;#,##0\)"/>
    </dxf>
    <dxf>
      <numFmt numFmtId="0" formatCode="General"/>
    </dxf>
    <dxf>
      <numFmt numFmtId="1" formatCode="0"/>
    </dxf>
    <dxf>
      <numFmt numFmtId="1" formatCode="0"/>
    </dxf>
    <dxf>
      <numFmt numFmtId="1" formatCode="0"/>
    </dxf>
    <dxf>
      <numFmt numFmtId="170" formatCode="0.0"/>
    </dxf>
    <dxf>
      <numFmt numFmtId="170" formatCode="0.0"/>
    </dxf>
    <dxf>
      <numFmt numFmtId="170" formatCode="0.0"/>
    </dxf>
    <dxf>
      <numFmt numFmtId="170" formatCode="0.0"/>
    </dxf>
    <dxf>
      <numFmt numFmtId="2" formatCode="0.00"/>
    </dxf>
    <dxf>
      <numFmt numFmtId="19" formatCode="m/d/yyyy"/>
    </dxf>
    <dxf>
      <numFmt numFmtId="0" formatCode="General"/>
    </dxf>
    <dxf>
      <numFmt numFmtId="0" formatCode="General"/>
    </dxf>
    <dxf>
      <numFmt numFmtId="12" formatCode="&quot;$&quot;#,##0.00_);[Red]\(&quot;$&quot;#,##0.00\)"/>
    </dxf>
    <dxf>
      <numFmt numFmtId="12" formatCode="&quot;$&quot;#,##0.00_);[Red]\(&quot;$&quot;#,##0.00\)"/>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Staff'!$H$4:$H$186</c:f>
              <c:numCache>
                <c:formatCode>"$"#,##0_);[Red]\("$"#,##0\)</c:formatCode>
                <c:ptCount val="183"/>
                <c:pt idx="0">
                  <c:v>112650</c:v>
                </c:pt>
                <c:pt idx="1">
                  <c:v>43840</c:v>
                </c:pt>
                <c:pt idx="2">
                  <c:v>103550</c:v>
                </c:pt>
                <c:pt idx="3">
                  <c:v>45510</c:v>
                </c:pt>
                <c:pt idx="4">
                  <c:v>115440</c:v>
                </c:pt>
                <c:pt idx="5">
                  <c:v>56870</c:v>
                </c:pt>
                <c:pt idx="6">
                  <c:v>92700</c:v>
                </c:pt>
                <c:pt idx="7">
                  <c:v>91310</c:v>
                </c:pt>
                <c:pt idx="8">
                  <c:v>74550</c:v>
                </c:pt>
                <c:pt idx="9">
                  <c:v>109190</c:v>
                </c:pt>
                <c:pt idx="10">
                  <c:v>104410</c:v>
                </c:pt>
                <c:pt idx="11">
                  <c:v>96800</c:v>
                </c:pt>
                <c:pt idx="12">
                  <c:v>48170</c:v>
                </c:pt>
                <c:pt idx="13">
                  <c:v>37920</c:v>
                </c:pt>
                <c:pt idx="14">
                  <c:v>112650</c:v>
                </c:pt>
                <c:pt idx="15">
                  <c:v>49630</c:v>
                </c:pt>
                <c:pt idx="16">
                  <c:v>118840</c:v>
                </c:pt>
                <c:pt idx="17">
                  <c:v>69710</c:v>
                </c:pt>
                <c:pt idx="18">
                  <c:v>79570</c:v>
                </c:pt>
                <c:pt idx="19">
                  <c:v>76900</c:v>
                </c:pt>
                <c:pt idx="20">
                  <c:v>54970</c:v>
                </c:pt>
                <c:pt idx="21">
                  <c:v>88050</c:v>
                </c:pt>
                <c:pt idx="22">
                  <c:v>36040</c:v>
                </c:pt>
                <c:pt idx="23">
                  <c:v>75000</c:v>
                </c:pt>
                <c:pt idx="24">
                  <c:v>40400</c:v>
                </c:pt>
                <c:pt idx="25">
                  <c:v>100420</c:v>
                </c:pt>
                <c:pt idx="26">
                  <c:v>58100</c:v>
                </c:pt>
                <c:pt idx="27">
                  <c:v>114870</c:v>
                </c:pt>
                <c:pt idx="28">
                  <c:v>41570</c:v>
                </c:pt>
                <c:pt idx="29">
                  <c:v>112570</c:v>
                </c:pt>
                <c:pt idx="30">
                  <c:v>47360</c:v>
                </c:pt>
                <c:pt idx="31">
                  <c:v>65920</c:v>
                </c:pt>
                <c:pt idx="32">
                  <c:v>99970</c:v>
                </c:pt>
                <c:pt idx="33">
                  <c:v>80700</c:v>
                </c:pt>
                <c:pt idx="34">
                  <c:v>52610</c:v>
                </c:pt>
                <c:pt idx="35">
                  <c:v>112110</c:v>
                </c:pt>
                <c:pt idx="36">
                  <c:v>119110</c:v>
                </c:pt>
                <c:pt idx="37">
                  <c:v>112780</c:v>
                </c:pt>
                <c:pt idx="38">
                  <c:v>114890</c:v>
                </c:pt>
                <c:pt idx="39">
                  <c:v>48980</c:v>
                </c:pt>
                <c:pt idx="40">
                  <c:v>75880</c:v>
                </c:pt>
                <c:pt idx="41">
                  <c:v>53240</c:v>
                </c:pt>
                <c:pt idx="42">
                  <c:v>85000</c:v>
                </c:pt>
                <c:pt idx="43">
                  <c:v>33920</c:v>
                </c:pt>
                <c:pt idx="44">
                  <c:v>75280</c:v>
                </c:pt>
                <c:pt idx="45">
                  <c:v>58940</c:v>
                </c:pt>
                <c:pt idx="46">
                  <c:v>104770</c:v>
                </c:pt>
                <c:pt idx="47">
                  <c:v>57090</c:v>
                </c:pt>
                <c:pt idx="48">
                  <c:v>91650</c:v>
                </c:pt>
                <c:pt idx="49">
                  <c:v>70270</c:v>
                </c:pt>
                <c:pt idx="50">
                  <c:v>75970</c:v>
                </c:pt>
                <c:pt idx="51">
                  <c:v>90700</c:v>
                </c:pt>
                <c:pt idx="52">
                  <c:v>60570</c:v>
                </c:pt>
                <c:pt idx="53">
                  <c:v>115920</c:v>
                </c:pt>
                <c:pt idx="54">
                  <c:v>65360</c:v>
                </c:pt>
                <c:pt idx="55">
                  <c:v>64000</c:v>
                </c:pt>
                <c:pt idx="56">
                  <c:v>92450</c:v>
                </c:pt>
                <c:pt idx="57">
                  <c:v>48950</c:v>
                </c:pt>
                <c:pt idx="58">
                  <c:v>83750</c:v>
                </c:pt>
                <c:pt idx="59">
                  <c:v>87620</c:v>
                </c:pt>
                <c:pt idx="60">
                  <c:v>68900</c:v>
                </c:pt>
                <c:pt idx="61">
                  <c:v>53540</c:v>
                </c:pt>
                <c:pt idx="62">
                  <c:v>43510</c:v>
                </c:pt>
                <c:pt idx="63">
                  <c:v>109160</c:v>
                </c:pt>
                <c:pt idx="64">
                  <c:v>99750</c:v>
                </c:pt>
                <c:pt idx="65">
                  <c:v>41980</c:v>
                </c:pt>
                <c:pt idx="66">
                  <c:v>71380</c:v>
                </c:pt>
                <c:pt idx="67">
                  <c:v>113280</c:v>
                </c:pt>
                <c:pt idx="68">
                  <c:v>86570</c:v>
                </c:pt>
                <c:pt idx="69">
                  <c:v>53540</c:v>
                </c:pt>
                <c:pt idx="70">
                  <c:v>69070</c:v>
                </c:pt>
                <c:pt idx="71">
                  <c:v>67910</c:v>
                </c:pt>
                <c:pt idx="72">
                  <c:v>69120</c:v>
                </c:pt>
                <c:pt idx="73">
                  <c:v>60130</c:v>
                </c:pt>
                <c:pt idx="74">
                  <c:v>106460</c:v>
                </c:pt>
                <c:pt idx="75">
                  <c:v>118100</c:v>
                </c:pt>
                <c:pt idx="76">
                  <c:v>78390</c:v>
                </c:pt>
                <c:pt idx="77">
                  <c:v>114180</c:v>
                </c:pt>
                <c:pt idx="78">
                  <c:v>104120</c:v>
                </c:pt>
                <c:pt idx="79">
                  <c:v>67950</c:v>
                </c:pt>
                <c:pt idx="80">
                  <c:v>34980</c:v>
                </c:pt>
                <c:pt idx="81">
                  <c:v>62780</c:v>
                </c:pt>
                <c:pt idx="82">
                  <c:v>107700</c:v>
                </c:pt>
                <c:pt idx="83">
                  <c:v>65700</c:v>
                </c:pt>
                <c:pt idx="84">
                  <c:v>75480</c:v>
                </c:pt>
                <c:pt idx="85">
                  <c:v>53870</c:v>
                </c:pt>
                <c:pt idx="86">
                  <c:v>78540</c:v>
                </c:pt>
                <c:pt idx="87">
                  <c:v>58960</c:v>
                </c:pt>
                <c:pt idx="88">
                  <c:v>70610</c:v>
                </c:pt>
                <c:pt idx="89">
                  <c:v>59430</c:v>
                </c:pt>
                <c:pt idx="90">
                  <c:v>48530</c:v>
                </c:pt>
                <c:pt idx="91">
                  <c:v>96140</c:v>
                </c:pt>
                <c:pt idx="92">
                  <c:v>112780</c:v>
                </c:pt>
                <c:pt idx="93">
                  <c:v>70610</c:v>
                </c:pt>
                <c:pt idx="94">
                  <c:v>53240</c:v>
                </c:pt>
                <c:pt idx="95">
                  <c:v>115440</c:v>
                </c:pt>
                <c:pt idx="96">
                  <c:v>53540</c:v>
                </c:pt>
                <c:pt idx="97">
                  <c:v>112570</c:v>
                </c:pt>
                <c:pt idx="98">
                  <c:v>48530</c:v>
                </c:pt>
                <c:pt idx="99">
                  <c:v>62780</c:v>
                </c:pt>
                <c:pt idx="100">
                  <c:v>53870</c:v>
                </c:pt>
                <c:pt idx="101">
                  <c:v>119110</c:v>
                </c:pt>
                <c:pt idx="102">
                  <c:v>112110</c:v>
                </c:pt>
                <c:pt idx="103">
                  <c:v>65700</c:v>
                </c:pt>
                <c:pt idx="104">
                  <c:v>69070</c:v>
                </c:pt>
                <c:pt idx="105">
                  <c:v>107700</c:v>
                </c:pt>
                <c:pt idx="106">
                  <c:v>43840</c:v>
                </c:pt>
                <c:pt idx="107">
                  <c:v>99750</c:v>
                </c:pt>
                <c:pt idx="108">
                  <c:v>37920</c:v>
                </c:pt>
                <c:pt idx="109">
                  <c:v>57090</c:v>
                </c:pt>
                <c:pt idx="110">
                  <c:v>41980</c:v>
                </c:pt>
                <c:pt idx="111">
                  <c:v>75880</c:v>
                </c:pt>
                <c:pt idx="112">
                  <c:v>58940</c:v>
                </c:pt>
                <c:pt idx="113">
                  <c:v>67910</c:v>
                </c:pt>
                <c:pt idx="114">
                  <c:v>58100</c:v>
                </c:pt>
                <c:pt idx="115">
                  <c:v>48980</c:v>
                </c:pt>
                <c:pt idx="116">
                  <c:v>64000</c:v>
                </c:pt>
                <c:pt idx="117">
                  <c:v>75000</c:v>
                </c:pt>
                <c:pt idx="118">
                  <c:v>87620</c:v>
                </c:pt>
                <c:pt idx="119">
                  <c:v>34980</c:v>
                </c:pt>
                <c:pt idx="120">
                  <c:v>75970</c:v>
                </c:pt>
                <c:pt idx="121">
                  <c:v>60130</c:v>
                </c:pt>
                <c:pt idx="122">
                  <c:v>75480</c:v>
                </c:pt>
                <c:pt idx="123">
                  <c:v>115920</c:v>
                </c:pt>
                <c:pt idx="124">
                  <c:v>78540</c:v>
                </c:pt>
                <c:pt idx="125">
                  <c:v>109190</c:v>
                </c:pt>
                <c:pt idx="126">
                  <c:v>49630</c:v>
                </c:pt>
                <c:pt idx="127">
                  <c:v>99970</c:v>
                </c:pt>
                <c:pt idx="128">
                  <c:v>96140</c:v>
                </c:pt>
                <c:pt idx="129">
                  <c:v>103550</c:v>
                </c:pt>
                <c:pt idx="130">
                  <c:v>48950</c:v>
                </c:pt>
                <c:pt idx="131">
                  <c:v>52610</c:v>
                </c:pt>
                <c:pt idx="132">
                  <c:v>78390</c:v>
                </c:pt>
                <c:pt idx="133">
                  <c:v>86570</c:v>
                </c:pt>
                <c:pt idx="134">
                  <c:v>83750</c:v>
                </c:pt>
                <c:pt idx="135">
                  <c:v>92450</c:v>
                </c:pt>
                <c:pt idx="136">
                  <c:v>112650</c:v>
                </c:pt>
                <c:pt idx="137">
                  <c:v>79570</c:v>
                </c:pt>
                <c:pt idx="138">
                  <c:v>68900</c:v>
                </c:pt>
                <c:pt idx="139">
                  <c:v>80700</c:v>
                </c:pt>
                <c:pt idx="140">
                  <c:v>58960</c:v>
                </c:pt>
                <c:pt idx="141">
                  <c:v>118840</c:v>
                </c:pt>
                <c:pt idx="142">
                  <c:v>48170</c:v>
                </c:pt>
                <c:pt idx="143">
                  <c:v>45510</c:v>
                </c:pt>
                <c:pt idx="144">
                  <c:v>114890</c:v>
                </c:pt>
                <c:pt idx="145">
                  <c:v>69710</c:v>
                </c:pt>
                <c:pt idx="146">
                  <c:v>71380</c:v>
                </c:pt>
                <c:pt idx="147">
                  <c:v>109160</c:v>
                </c:pt>
                <c:pt idx="148">
                  <c:v>113280</c:v>
                </c:pt>
                <c:pt idx="149">
                  <c:v>69120</c:v>
                </c:pt>
                <c:pt idx="150">
                  <c:v>118100</c:v>
                </c:pt>
                <c:pt idx="151">
                  <c:v>76900</c:v>
                </c:pt>
                <c:pt idx="152">
                  <c:v>114870</c:v>
                </c:pt>
                <c:pt idx="153">
                  <c:v>91310</c:v>
                </c:pt>
                <c:pt idx="154">
                  <c:v>104770</c:v>
                </c:pt>
                <c:pt idx="155">
                  <c:v>54970</c:v>
                </c:pt>
                <c:pt idx="156">
                  <c:v>90700</c:v>
                </c:pt>
                <c:pt idx="157">
                  <c:v>56870</c:v>
                </c:pt>
                <c:pt idx="158">
                  <c:v>92700</c:v>
                </c:pt>
                <c:pt idx="159">
                  <c:v>65920</c:v>
                </c:pt>
                <c:pt idx="160">
                  <c:v>47360</c:v>
                </c:pt>
                <c:pt idx="161">
                  <c:v>60570</c:v>
                </c:pt>
                <c:pt idx="162">
                  <c:v>104120</c:v>
                </c:pt>
                <c:pt idx="163">
                  <c:v>88050</c:v>
                </c:pt>
                <c:pt idx="164">
                  <c:v>100420</c:v>
                </c:pt>
                <c:pt idx="165">
                  <c:v>114180</c:v>
                </c:pt>
                <c:pt idx="166">
                  <c:v>33920</c:v>
                </c:pt>
                <c:pt idx="167">
                  <c:v>106460</c:v>
                </c:pt>
                <c:pt idx="168">
                  <c:v>40400</c:v>
                </c:pt>
                <c:pt idx="169">
                  <c:v>91650</c:v>
                </c:pt>
                <c:pt idx="170">
                  <c:v>36040</c:v>
                </c:pt>
                <c:pt idx="171">
                  <c:v>104410</c:v>
                </c:pt>
                <c:pt idx="172">
                  <c:v>96800</c:v>
                </c:pt>
                <c:pt idx="173">
                  <c:v>85000</c:v>
                </c:pt>
                <c:pt idx="174">
                  <c:v>43510</c:v>
                </c:pt>
                <c:pt idx="175">
                  <c:v>59430</c:v>
                </c:pt>
                <c:pt idx="176">
                  <c:v>65360</c:v>
                </c:pt>
                <c:pt idx="177">
                  <c:v>41570</c:v>
                </c:pt>
                <c:pt idx="178">
                  <c:v>75280</c:v>
                </c:pt>
                <c:pt idx="179">
                  <c:v>74550</c:v>
                </c:pt>
                <c:pt idx="180">
                  <c:v>67950</c:v>
                </c:pt>
                <c:pt idx="181">
                  <c:v>70270</c:v>
                </c:pt>
                <c:pt idx="182">
                  <c:v>53540</c:v>
                </c:pt>
              </c:numCache>
            </c:numRef>
          </c:xVal>
          <c:yVal>
            <c:numRef>
              <c:f>'All Staff'!$L$4:$L$186</c:f>
              <c:numCache>
                <c:formatCode>0</c:formatCode>
                <c:ptCount val="183"/>
                <c:pt idx="0">
                  <c:v>3</c:v>
                </c:pt>
                <c:pt idx="1">
                  <c:v>4</c:v>
                </c:pt>
                <c:pt idx="2">
                  <c:v>3</c:v>
                </c:pt>
                <c:pt idx="3">
                  <c:v>3</c:v>
                </c:pt>
                <c:pt idx="4">
                  <c:v>2</c:v>
                </c:pt>
                <c:pt idx="5">
                  <c:v>4</c:v>
                </c:pt>
                <c:pt idx="6">
                  <c:v>3</c:v>
                </c:pt>
                <c:pt idx="7">
                  <c:v>3</c:v>
                </c:pt>
                <c:pt idx="8">
                  <c:v>3</c:v>
                </c:pt>
                <c:pt idx="9">
                  <c:v>4</c:v>
                </c:pt>
                <c:pt idx="10">
                  <c:v>3</c:v>
                </c:pt>
                <c:pt idx="11">
                  <c:v>3</c:v>
                </c:pt>
                <c:pt idx="12">
                  <c:v>4</c:v>
                </c:pt>
                <c:pt idx="13">
                  <c:v>3</c:v>
                </c:pt>
                <c:pt idx="14">
                  <c:v>3</c:v>
                </c:pt>
                <c:pt idx="15">
                  <c:v>2</c:v>
                </c:pt>
                <c:pt idx="16">
                  <c:v>3</c:v>
                </c:pt>
                <c:pt idx="17">
                  <c:v>3</c:v>
                </c:pt>
                <c:pt idx="18">
                  <c:v>3</c:v>
                </c:pt>
                <c:pt idx="19">
                  <c:v>4</c:v>
                </c:pt>
                <c:pt idx="20">
                  <c:v>3</c:v>
                </c:pt>
                <c:pt idx="21">
                  <c:v>2</c:v>
                </c:pt>
                <c:pt idx="22">
                  <c:v>3</c:v>
                </c:pt>
                <c:pt idx="23">
                  <c:v>5</c:v>
                </c:pt>
                <c:pt idx="24">
                  <c:v>3</c:v>
                </c:pt>
                <c:pt idx="25">
                  <c:v>3</c:v>
                </c:pt>
                <c:pt idx="26">
                  <c:v>3</c:v>
                </c:pt>
                <c:pt idx="27">
                  <c:v>3</c:v>
                </c:pt>
                <c:pt idx="28">
                  <c:v>3</c:v>
                </c:pt>
                <c:pt idx="29">
                  <c:v>3</c:v>
                </c:pt>
                <c:pt idx="30">
                  <c:v>3</c:v>
                </c:pt>
                <c:pt idx="31">
                  <c:v>3</c:v>
                </c:pt>
                <c:pt idx="32">
                  <c:v>3</c:v>
                </c:pt>
                <c:pt idx="33">
                  <c:v>4</c:v>
                </c:pt>
                <c:pt idx="34">
                  <c:v>2</c:v>
                </c:pt>
                <c:pt idx="35">
                  <c:v>2</c:v>
                </c:pt>
                <c:pt idx="36">
                  <c:v>3</c:v>
                </c:pt>
                <c:pt idx="37">
                  <c:v>4</c:v>
                </c:pt>
                <c:pt idx="38">
                  <c:v>3</c:v>
                </c:pt>
                <c:pt idx="39">
                  <c:v>3</c:v>
                </c:pt>
                <c:pt idx="40">
                  <c:v>3</c:v>
                </c:pt>
                <c:pt idx="41">
                  <c:v>3</c:v>
                </c:pt>
                <c:pt idx="42">
                  <c:v>3</c:v>
                </c:pt>
                <c:pt idx="43">
                  <c:v>3</c:v>
                </c:pt>
                <c:pt idx="44">
                  <c:v>3</c:v>
                </c:pt>
                <c:pt idx="45">
                  <c:v>3</c:v>
                </c:pt>
                <c:pt idx="46">
                  <c:v>3</c:v>
                </c:pt>
                <c:pt idx="47">
                  <c:v>3</c:v>
                </c:pt>
                <c:pt idx="48">
                  <c:v>4</c:v>
                </c:pt>
                <c:pt idx="49">
                  <c:v>2</c:v>
                </c:pt>
                <c:pt idx="50">
                  <c:v>3</c:v>
                </c:pt>
                <c:pt idx="51">
                  <c:v>4</c:v>
                </c:pt>
                <c:pt idx="52">
                  <c:v>3</c:v>
                </c:pt>
                <c:pt idx="53">
                  <c:v>3</c:v>
                </c:pt>
                <c:pt idx="54">
                  <c:v>3</c:v>
                </c:pt>
                <c:pt idx="55">
                  <c:v>3</c:v>
                </c:pt>
                <c:pt idx="56">
                  <c:v>3</c:v>
                </c:pt>
                <c:pt idx="57">
                  <c:v>3</c:v>
                </c:pt>
                <c:pt idx="58">
                  <c:v>3</c:v>
                </c:pt>
                <c:pt idx="59">
                  <c:v>3</c:v>
                </c:pt>
                <c:pt idx="60">
                  <c:v>2</c:v>
                </c:pt>
                <c:pt idx="61">
                  <c:v>3</c:v>
                </c:pt>
                <c:pt idx="62">
                  <c:v>1</c:v>
                </c:pt>
                <c:pt idx="63">
                  <c:v>5</c:v>
                </c:pt>
                <c:pt idx="64">
                  <c:v>3</c:v>
                </c:pt>
                <c:pt idx="65">
                  <c:v>3</c:v>
                </c:pt>
                <c:pt idx="66">
                  <c:v>3</c:v>
                </c:pt>
                <c:pt idx="67">
                  <c:v>1</c:v>
                </c:pt>
                <c:pt idx="68">
                  <c:v>3</c:v>
                </c:pt>
                <c:pt idx="69">
                  <c:v>3</c:v>
                </c:pt>
                <c:pt idx="70">
                  <c:v>3</c:v>
                </c:pt>
                <c:pt idx="71">
                  <c:v>2</c:v>
                </c:pt>
                <c:pt idx="72">
                  <c:v>3</c:v>
                </c:pt>
                <c:pt idx="73">
                  <c:v>3</c:v>
                </c:pt>
                <c:pt idx="74">
                  <c:v>3</c:v>
                </c:pt>
                <c:pt idx="75">
                  <c:v>3</c:v>
                </c:pt>
                <c:pt idx="76">
                  <c:v>3</c:v>
                </c:pt>
                <c:pt idx="77">
                  <c:v>3</c:v>
                </c:pt>
                <c:pt idx="78">
                  <c:v>3</c:v>
                </c:pt>
                <c:pt idx="79">
                  <c:v>3</c:v>
                </c:pt>
                <c:pt idx="80">
                  <c:v>3</c:v>
                </c:pt>
                <c:pt idx="81">
                  <c:v>3</c:v>
                </c:pt>
                <c:pt idx="82">
                  <c:v>3</c:v>
                </c:pt>
                <c:pt idx="83">
                  <c:v>3</c:v>
                </c:pt>
                <c:pt idx="84">
                  <c:v>1</c:v>
                </c:pt>
                <c:pt idx="85">
                  <c:v>3</c:v>
                </c:pt>
                <c:pt idx="86">
                  <c:v>3</c:v>
                </c:pt>
                <c:pt idx="87">
                  <c:v>3</c:v>
                </c:pt>
                <c:pt idx="88">
                  <c:v>3</c:v>
                </c:pt>
                <c:pt idx="89">
                  <c:v>3</c:v>
                </c:pt>
                <c:pt idx="90">
                  <c:v>4</c:v>
                </c:pt>
                <c:pt idx="91">
                  <c:v>3</c:v>
                </c:pt>
                <c:pt idx="92">
                  <c:v>4</c:v>
                </c:pt>
                <c:pt idx="93">
                  <c:v>3</c:v>
                </c:pt>
                <c:pt idx="94">
                  <c:v>3</c:v>
                </c:pt>
                <c:pt idx="95">
                  <c:v>2</c:v>
                </c:pt>
                <c:pt idx="96">
                  <c:v>3</c:v>
                </c:pt>
                <c:pt idx="97">
                  <c:v>3</c:v>
                </c:pt>
                <c:pt idx="98">
                  <c:v>4</c:v>
                </c:pt>
                <c:pt idx="99">
                  <c:v>3</c:v>
                </c:pt>
                <c:pt idx="100">
                  <c:v>3</c:v>
                </c:pt>
                <c:pt idx="101">
                  <c:v>3</c:v>
                </c:pt>
                <c:pt idx="102">
                  <c:v>2</c:v>
                </c:pt>
                <c:pt idx="103">
                  <c:v>3</c:v>
                </c:pt>
                <c:pt idx="104">
                  <c:v>3</c:v>
                </c:pt>
                <c:pt idx="105">
                  <c:v>3</c:v>
                </c:pt>
                <c:pt idx="106">
                  <c:v>4</c:v>
                </c:pt>
                <c:pt idx="107">
                  <c:v>3</c:v>
                </c:pt>
                <c:pt idx="108">
                  <c:v>3</c:v>
                </c:pt>
                <c:pt idx="109">
                  <c:v>3</c:v>
                </c:pt>
                <c:pt idx="110">
                  <c:v>3</c:v>
                </c:pt>
                <c:pt idx="111">
                  <c:v>3</c:v>
                </c:pt>
                <c:pt idx="112">
                  <c:v>3</c:v>
                </c:pt>
                <c:pt idx="113">
                  <c:v>2</c:v>
                </c:pt>
                <c:pt idx="114">
                  <c:v>3</c:v>
                </c:pt>
                <c:pt idx="115">
                  <c:v>3</c:v>
                </c:pt>
                <c:pt idx="116">
                  <c:v>3</c:v>
                </c:pt>
                <c:pt idx="117">
                  <c:v>5</c:v>
                </c:pt>
                <c:pt idx="118">
                  <c:v>3</c:v>
                </c:pt>
                <c:pt idx="119">
                  <c:v>3</c:v>
                </c:pt>
                <c:pt idx="120">
                  <c:v>3</c:v>
                </c:pt>
                <c:pt idx="121">
                  <c:v>3</c:v>
                </c:pt>
                <c:pt idx="122">
                  <c:v>1</c:v>
                </c:pt>
                <c:pt idx="123">
                  <c:v>3</c:v>
                </c:pt>
                <c:pt idx="124">
                  <c:v>3</c:v>
                </c:pt>
                <c:pt idx="125">
                  <c:v>4</c:v>
                </c:pt>
                <c:pt idx="126">
                  <c:v>2</c:v>
                </c:pt>
                <c:pt idx="127">
                  <c:v>3</c:v>
                </c:pt>
                <c:pt idx="128">
                  <c:v>3</c:v>
                </c:pt>
                <c:pt idx="129">
                  <c:v>3</c:v>
                </c:pt>
                <c:pt idx="130">
                  <c:v>3</c:v>
                </c:pt>
                <c:pt idx="131">
                  <c:v>2</c:v>
                </c:pt>
                <c:pt idx="132">
                  <c:v>3</c:v>
                </c:pt>
                <c:pt idx="133">
                  <c:v>3</c:v>
                </c:pt>
                <c:pt idx="134">
                  <c:v>3</c:v>
                </c:pt>
                <c:pt idx="135">
                  <c:v>3</c:v>
                </c:pt>
                <c:pt idx="136">
                  <c:v>3</c:v>
                </c:pt>
                <c:pt idx="137">
                  <c:v>3</c:v>
                </c:pt>
                <c:pt idx="138">
                  <c:v>2</c:v>
                </c:pt>
                <c:pt idx="139">
                  <c:v>4</c:v>
                </c:pt>
                <c:pt idx="140">
                  <c:v>3</c:v>
                </c:pt>
                <c:pt idx="141">
                  <c:v>3</c:v>
                </c:pt>
                <c:pt idx="142">
                  <c:v>4</c:v>
                </c:pt>
                <c:pt idx="143">
                  <c:v>3</c:v>
                </c:pt>
                <c:pt idx="144">
                  <c:v>3</c:v>
                </c:pt>
                <c:pt idx="145">
                  <c:v>3</c:v>
                </c:pt>
                <c:pt idx="146">
                  <c:v>3</c:v>
                </c:pt>
                <c:pt idx="147">
                  <c:v>5</c:v>
                </c:pt>
                <c:pt idx="148">
                  <c:v>1</c:v>
                </c:pt>
                <c:pt idx="149">
                  <c:v>3</c:v>
                </c:pt>
                <c:pt idx="150">
                  <c:v>3</c:v>
                </c:pt>
                <c:pt idx="151">
                  <c:v>4</c:v>
                </c:pt>
                <c:pt idx="152">
                  <c:v>3</c:v>
                </c:pt>
                <c:pt idx="153">
                  <c:v>3</c:v>
                </c:pt>
                <c:pt idx="154">
                  <c:v>3</c:v>
                </c:pt>
                <c:pt idx="155">
                  <c:v>3</c:v>
                </c:pt>
                <c:pt idx="156">
                  <c:v>4</c:v>
                </c:pt>
                <c:pt idx="157">
                  <c:v>4</c:v>
                </c:pt>
                <c:pt idx="158">
                  <c:v>3</c:v>
                </c:pt>
                <c:pt idx="159">
                  <c:v>3</c:v>
                </c:pt>
                <c:pt idx="160">
                  <c:v>3</c:v>
                </c:pt>
                <c:pt idx="161">
                  <c:v>3</c:v>
                </c:pt>
                <c:pt idx="162">
                  <c:v>3</c:v>
                </c:pt>
                <c:pt idx="163">
                  <c:v>2</c:v>
                </c:pt>
                <c:pt idx="164">
                  <c:v>3</c:v>
                </c:pt>
                <c:pt idx="165">
                  <c:v>3</c:v>
                </c:pt>
                <c:pt idx="166">
                  <c:v>3</c:v>
                </c:pt>
                <c:pt idx="167">
                  <c:v>3</c:v>
                </c:pt>
                <c:pt idx="168">
                  <c:v>3</c:v>
                </c:pt>
                <c:pt idx="169">
                  <c:v>4</c:v>
                </c:pt>
                <c:pt idx="170">
                  <c:v>3</c:v>
                </c:pt>
                <c:pt idx="171">
                  <c:v>3</c:v>
                </c:pt>
                <c:pt idx="172">
                  <c:v>3</c:v>
                </c:pt>
                <c:pt idx="173">
                  <c:v>3</c:v>
                </c:pt>
                <c:pt idx="174">
                  <c:v>1</c:v>
                </c:pt>
                <c:pt idx="175">
                  <c:v>3</c:v>
                </c:pt>
                <c:pt idx="176">
                  <c:v>3</c:v>
                </c:pt>
                <c:pt idx="177">
                  <c:v>3</c:v>
                </c:pt>
                <c:pt idx="178">
                  <c:v>3</c:v>
                </c:pt>
                <c:pt idx="179">
                  <c:v>3</c:v>
                </c:pt>
                <c:pt idx="180">
                  <c:v>3</c:v>
                </c:pt>
                <c:pt idx="181">
                  <c:v>2</c:v>
                </c:pt>
                <c:pt idx="182">
                  <c:v>3</c:v>
                </c:pt>
              </c:numCache>
            </c:numRef>
          </c:yVal>
          <c:smooth val="0"/>
          <c:extLst>
            <c:ext xmlns:c16="http://schemas.microsoft.com/office/drawing/2014/chart" uri="{C3380CC4-5D6E-409C-BE32-E72D297353CC}">
              <c16:uniqueId val="{00000000-EEBB-4B9F-B329-28D2206BA2AA}"/>
            </c:ext>
          </c:extLst>
        </c:ser>
        <c:dLbls>
          <c:showLegendKey val="0"/>
          <c:showVal val="0"/>
          <c:showCatName val="0"/>
          <c:showSerName val="0"/>
          <c:showPercent val="0"/>
          <c:showBubbleSize val="0"/>
        </c:dLbls>
        <c:axId val="1121529728"/>
        <c:axId val="1121530448"/>
      </c:scatterChart>
      <c:valAx>
        <c:axId val="112152972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530448"/>
        <c:crosses val="autoZero"/>
        <c:crossBetween val="midCat"/>
      </c:valAx>
      <c:valAx>
        <c:axId val="11215304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5297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 Analyze and Presnet Data with Excel.xlsx]Growing Trend!PivotTable5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Company Growing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'Growing Trend'!$B$3</c:f>
              <c:strCache>
                <c:ptCount val="1"/>
                <c:pt idx="0">
                  <c:v>Total</c:v>
                </c:pt>
              </c:strCache>
            </c:strRef>
          </c:tx>
          <c:spPr>
            <a:ln w="28575" cap="rnd">
              <a:solidFill>
                <a:schemeClr val="accent1"/>
              </a:solidFill>
              <a:round/>
            </a:ln>
            <a:effectLst/>
          </c:spPr>
          <c:marker>
            <c:symbol val="none"/>
          </c:marker>
          <c:cat>
            <c:multiLvlStrRef>
              <c:f>'Growing Trend'!$A$4:$A$38</c:f>
              <c:multiLvlStrCache>
                <c:ptCount val="31"/>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lvl>
                <c:lvl>
                  <c:pt idx="0">
                    <c:v>2020</c:v>
                  </c:pt>
                  <c:pt idx="8">
                    <c:v>2021</c:v>
                  </c:pt>
                  <c:pt idx="20">
                    <c:v>2022</c:v>
                  </c:pt>
                  <c:pt idx="30">
                    <c:v>2023</c:v>
                  </c:pt>
                </c:lvl>
              </c:multiLvlStrCache>
            </c:multiLvlStrRef>
          </c:cat>
          <c:val>
            <c:numRef>
              <c:f>'Growing Trend'!$B$4:$B$38</c:f>
              <c:numCache>
                <c:formatCode>General</c:formatCode>
                <c:ptCount val="31"/>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#N/A</c:v>
                </c:pt>
              </c:numCache>
            </c:numRef>
          </c:val>
          <c:smooth val="0"/>
          <c:extLst>
            <c:ext xmlns:c16="http://schemas.microsoft.com/office/drawing/2014/chart" uri="{C3380CC4-5D6E-409C-BE32-E72D297353CC}">
              <c16:uniqueId val="{00000000-59BB-43E5-895E-58E1FEB3F9A9}"/>
            </c:ext>
          </c:extLst>
        </c:ser>
        <c:dLbls>
          <c:showLegendKey val="0"/>
          <c:showVal val="0"/>
          <c:showCatName val="0"/>
          <c:showSerName val="0"/>
          <c:showPercent val="0"/>
          <c:showBubbleSize val="0"/>
        </c:dLbls>
        <c:smooth val="0"/>
        <c:axId val="1111833576"/>
        <c:axId val="1359765016"/>
      </c:lineChart>
      <c:catAx>
        <c:axId val="1111833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9765016"/>
        <c:crosses val="autoZero"/>
        <c:auto val="1"/>
        <c:lblAlgn val="ctr"/>
        <c:lblOffset val="100"/>
        <c:noMultiLvlLbl val="0"/>
      </c:catAx>
      <c:valAx>
        <c:axId val="1359765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833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Running</a:t>
            </a:r>
            <a:r>
              <a:rPr lang="en-US" b="1" baseline="0"/>
              <a:t> Total</a:t>
            </a:r>
          </a:p>
          <a:p>
            <a:pPr>
              <a:defRPr/>
            </a:pPr>
            <a:endParaRPr lang="en-US"/>
          </a:p>
        </c:rich>
      </c:tx>
      <c:layout>
        <c:manualLayout>
          <c:xMode val="edge"/>
          <c:yMode val="edge"/>
          <c:x val="0.40671522309711289"/>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'Growing Trend'!$Q$4:$Q$39</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'Growing Trend'!$S$4:$S$39</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B9BE-467E-8F9F-A57D84453F8F}"/>
            </c:ext>
          </c:extLst>
        </c:ser>
        <c:dLbls>
          <c:showLegendKey val="0"/>
          <c:showVal val="0"/>
          <c:showCatName val="0"/>
          <c:showSerName val="0"/>
          <c:showPercent val="0"/>
          <c:showBubbleSize val="0"/>
        </c:dLbls>
        <c:marker val="1"/>
        <c:smooth val="0"/>
        <c:axId val="1366037528"/>
        <c:axId val="1366039328"/>
      </c:lineChart>
      <c:dateAx>
        <c:axId val="1366037528"/>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039328"/>
        <c:crosses val="autoZero"/>
        <c:auto val="1"/>
        <c:lblOffset val="100"/>
        <c:baseTimeUnit val="months"/>
      </c:dateAx>
      <c:valAx>
        <c:axId val="1366039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037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 Analyze and Presnet Data with Excel.xlsx]Mapping2!PivotTable6</c:name>
    <c:fmtId val="5"/>
  </c:pivotSource>
  <c:chart>
    <c:autoTitleDeleted val="1"/>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Mapping2!$C$4</c:f>
              <c:strCache>
                <c:ptCount val="1"/>
                <c:pt idx="0">
                  <c:v>Total</c:v>
                </c:pt>
              </c:strCache>
            </c:strRef>
          </c:tx>
          <c:spPr>
            <a:solidFill>
              <a:schemeClr val="accent2">
                <a:lumMod val="75000"/>
              </a:schemeClr>
            </a:solidFill>
            <a:ln>
              <a:noFill/>
            </a:ln>
            <a:effectLst/>
          </c:spPr>
          <c:invertIfNegative val="0"/>
          <c:cat>
            <c:strRef>
              <c:f>Mapping2!$B$5:$B$10</c:f>
              <c:strCache>
                <c:ptCount val="5"/>
                <c:pt idx="0">
                  <c:v>Procurement</c:v>
                </c:pt>
                <c:pt idx="1">
                  <c:v>Website</c:v>
                </c:pt>
                <c:pt idx="2">
                  <c:v>Finance</c:v>
                </c:pt>
                <c:pt idx="3">
                  <c:v>Sales</c:v>
                </c:pt>
                <c:pt idx="4">
                  <c:v>HR</c:v>
                </c:pt>
              </c:strCache>
            </c:strRef>
          </c:cat>
          <c:val>
            <c:numRef>
              <c:f>Mapping2!$C$5:$C$10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671F-4C8D-9758-3AA15CDAB854}"/>
            </c:ext>
          </c:extLst>
        </c:ser>
        <c:dLbls>
          <c:showLegendKey val="0"/>
          <c:showVal val="0"/>
          <c:showCatName val="0"/>
          <c:showSerName val="0"/>
          <c:showPercent val="0"/>
          <c:showBubbleSize val="0"/>
        </c:dLbls>
        <c:gapWidth val="25"/>
        <c:axId val="1355216880"/>
        <c:axId val="1355217240"/>
      </c:barChart>
      <c:catAx>
        <c:axId val="135521688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217240"/>
        <c:crosses val="autoZero"/>
        <c:auto val="1"/>
        <c:lblAlgn val="ctr"/>
        <c:lblOffset val="100"/>
        <c:noMultiLvlLbl val="0"/>
      </c:catAx>
      <c:valAx>
        <c:axId val="135521724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216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 Analyze and Presnet Data with Excel.xlsx]Mapping2!PivotTable7</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Mapping2!$G$4</c:f>
              <c:strCache>
                <c:ptCount val="1"/>
                <c:pt idx="0">
                  <c:v>Total</c:v>
                </c:pt>
              </c:strCache>
            </c:strRef>
          </c:tx>
          <c:spPr>
            <a:solidFill>
              <a:schemeClr val="accent1"/>
            </a:solidFill>
            <a:ln>
              <a:noFill/>
            </a:ln>
            <a:effectLst/>
          </c:spPr>
          <c:invertIfNegative val="0"/>
          <c:cat>
            <c:strRef>
              <c:f>Mapping2!$F$5:$F$10</c:f>
              <c:strCache>
                <c:ptCount val="5"/>
                <c:pt idx="0">
                  <c:v>Website</c:v>
                </c:pt>
                <c:pt idx="1">
                  <c:v>Procurement</c:v>
                </c:pt>
                <c:pt idx="2">
                  <c:v>Finance</c:v>
                </c:pt>
                <c:pt idx="3">
                  <c:v>Sales</c:v>
                </c:pt>
                <c:pt idx="4">
                  <c:v>HR</c:v>
                </c:pt>
              </c:strCache>
            </c:strRef>
          </c:cat>
          <c:val>
            <c:numRef>
              <c:f>Mapping2!$G$5:$G$10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2D58-421E-9A9B-3EC61B35D504}"/>
            </c:ext>
          </c:extLst>
        </c:ser>
        <c:dLbls>
          <c:showLegendKey val="0"/>
          <c:showVal val="0"/>
          <c:showCatName val="0"/>
          <c:showSerName val="0"/>
          <c:showPercent val="0"/>
          <c:showBubbleSize val="0"/>
        </c:dLbls>
        <c:gapWidth val="25"/>
        <c:axId val="1357089112"/>
        <c:axId val="1357090912"/>
      </c:barChart>
      <c:catAx>
        <c:axId val="13570891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090912"/>
        <c:crosses val="autoZero"/>
        <c:auto val="1"/>
        <c:lblAlgn val="ctr"/>
        <c:lblOffset val="100"/>
        <c:noMultiLvlLbl val="0"/>
      </c:catAx>
      <c:valAx>
        <c:axId val="135709091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089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9A3F6DDE-3E40-419A-84A3-2FF9488BFF4F}">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Salary Spread</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CA6CC5AF-5281-4891-8094-CAE71B77821A}">
          <cx:dataId val="0"/>
          <cx:layoutPr>
            <cx:visibility meanLine="0" meanMarker="1" nonoutliers="0" outliers="1"/>
            <cx:statistics quartileMethod="exclusive"/>
          </cx:layoutPr>
        </cx:series>
      </cx:plotAreaRegion>
      <cx:axis id="0">
        <cx:catScaling gapWidth="1"/>
        <cx:tickLabels/>
      </cx:axis>
      <cx:axis id="1">
        <cx:valScaling min="20000"/>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190499</xdr:rowOff>
    </xdr:from>
    <xdr:to>
      <xdr:col>11</xdr:col>
      <xdr:colOff>438150</xdr:colOff>
      <xdr:row>20</xdr:row>
      <xdr:rowOff>66674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71D4C77-5391-4300-82A9-694EB92165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380999"/>
              <a:ext cx="6534150" cy="34956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0</xdr:colOff>
      <xdr:row>1</xdr:row>
      <xdr:rowOff>190499</xdr:rowOff>
    </xdr:from>
    <xdr:to>
      <xdr:col>20</xdr:col>
      <xdr:colOff>304800</xdr:colOff>
      <xdr:row>27</xdr:row>
      <xdr:rowOff>28574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7450D97-5B4D-462F-8628-0E5CD0854C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924800" y="380999"/>
              <a:ext cx="4572000" cy="47910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781050</xdr:colOff>
      <xdr:row>6</xdr:row>
      <xdr:rowOff>9525</xdr:rowOff>
    </xdr:from>
    <xdr:to>
      <xdr:col>6</xdr:col>
      <xdr:colOff>1009650</xdr:colOff>
      <xdr:row>11</xdr:row>
      <xdr:rowOff>57150</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9BB51B34-8544-EAB4-D1D9-9C8E74660C0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048125" y="1228725"/>
              <a:ext cx="1828800" cy="1000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2</xdr:row>
      <xdr:rowOff>0</xdr:rowOff>
    </xdr:from>
    <xdr:to>
      <xdr:col>13</xdr:col>
      <xdr:colOff>304800</xdr:colOff>
      <xdr:row>16</xdr:row>
      <xdr:rowOff>76200</xdr:rowOff>
    </xdr:to>
    <xdr:graphicFrame macro="">
      <xdr:nvGraphicFramePr>
        <xdr:cNvPr id="2" name="Chart 1">
          <a:extLst>
            <a:ext uri="{FF2B5EF4-FFF2-40B4-BE49-F238E27FC236}">
              <a16:creationId xmlns:a16="http://schemas.microsoft.com/office/drawing/2014/main" id="{E005F284-F872-438D-8795-D8568E4083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561975</xdr:colOff>
      <xdr:row>1</xdr:row>
      <xdr:rowOff>180974</xdr:rowOff>
    </xdr:from>
    <xdr:to>
      <xdr:col>14</xdr:col>
      <xdr:colOff>19051</xdr:colOff>
      <xdr:row>19</xdr:row>
      <xdr:rowOff>152399</xdr:rowOff>
    </xdr:to>
    <xdr:graphicFrame macro="">
      <xdr:nvGraphicFramePr>
        <xdr:cNvPr id="2" name="Chart 1">
          <a:extLst>
            <a:ext uri="{FF2B5EF4-FFF2-40B4-BE49-F238E27FC236}">
              <a16:creationId xmlns:a16="http://schemas.microsoft.com/office/drawing/2014/main" id="{7EF200DA-CBC8-5FE9-0C35-116172E9FC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9524</xdr:colOff>
      <xdr:row>21</xdr:row>
      <xdr:rowOff>171450</xdr:rowOff>
    </xdr:from>
    <xdr:to>
      <xdr:col>13</xdr:col>
      <xdr:colOff>38099</xdr:colOff>
      <xdr:row>36</xdr:row>
      <xdr:rowOff>57150</xdr:rowOff>
    </xdr:to>
    <xdr:graphicFrame macro="">
      <xdr:nvGraphicFramePr>
        <xdr:cNvPr id="4" name="Chart 3">
          <a:extLst>
            <a:ext uri="{FF2B5EF4-FFF2-40B4-BE49-F238E27FC236}">
              <a16:creationId xmlns:a16="http://schemas.microsoft.com/office/drawing/2014/main" id="{4CCD883E-B921-F28F-9EFB-982C2E044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581024</xdr:colOff>
      <xdr:row>6</xdr:row>
      <xdr:rowOff>171450</xdr:rowOff>
    </xdr:from>
    <xdr:to>
      <xdr:col>14</xdr:col>
      <xdr:colOff>0</xdr:colOff>
      <xdr:row>24</xdr:row>
      <xdr:rowOff>57150</xdr:rowOff>
    </xdr:to>
    <xdr:graphicFrame macro="">
      <xdr:nvGraphicFramePr>
        <xdr:cNvPr id="2" name="Chart 1">
          <a:extLst>
            <a:ext uri="{FF2B5EF4-FFF2-40B4-BE49-F238E27FC236}">
              <a16:creationId xmlns:a16="http://schemas.microsoft.com/office/drawing/2014/main" id="{5CEE2558-0291-4CC9-9C8C-CFD378A2A0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552450</xdr:colOff>
      <xdr:row>6</xdr:row>
      <xdr:rowOff>161925</xdr:rowOff>
    </xdr:from>
    <xdr:to>
      <xdr:col>7</xdr:col>
      <xdr:colOff>0</xdr:colOff>
      <xdr:row>24</xdr:row>
      <xdr:rowOff>47625</xdr:rowOff>
    </xdr:to>
    <xdr:graphicFrame macro="">
      <xdr:nvGraphicFramePr>
        <xdr:cNvPr id="3" name="Chart 2">
          <a:extLst>
            <a:ext uri="{FF2B5EF4-FFF2-40B4-BE49-F238E27FC236}">
              <a16:creationId xmlns:a16="http://schemas.microsoft.com/office/drawing/2014/main" id="{C72D9539-B748-4DB8-A7A2-559767C3EA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571500</xdr:colOff>
      <xdr:row>1</xdr:row>
      <xdr:rowOff>247650</xdr:rowOff>
    </xdr:from>
    <xdr:to>
      <xdr:col>7</xdr:col>
      <xdr:colOff>571500</xdr:colOff>
      <xdr:row>27</xdr:row>
      <xdr:rowOff>66675</xdr:rowOff>
    </xdr:to>
    <xdr:cxnSp macro="">
      <xdr:nvCxnSpPr>
        <xdr:cNvPr id="5" name="Straight Connector 4">
          <a:extLst>
            <a:ext uri="{FF2B5EF4-FFF2-40B4-BE49-F238E27FC236}">
              <a16:creationId xmlns:a16="http://schemas.microsoft.com/office/drawing/2014/main" id="{4E173365-B11E-7EFA-E09F-88E93BB16896}"/>
            </a:ext>
          </a:extLst>
        </xdr:cNvPr>
        <xdr:cNvCxnSpPr/>
      </xdr:nvCxnSpPr>
      <xdr:spPr>
        <a:xfrm>
          <a:off x="5857875" y="438150"/>
          <a:ext cx="0" cy="6410325"/>
        </a:xfrm>
        <a:prstGeom prst="line">
          <a:avLst/>
        </a:prstGeom>
        <a:ln w="952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de D." refreshedDate="45161.902988194444" backgroundQuery="1" createdVersion="8" refreshedVersion="8" minRefreshableVersion="3" recordCount="0" supportSubquery="1" supportAdvancedDrill="1" xr:uid="{1A41A84F-C5AB-4DEC-99CF-F36C8023B2B2}">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de D." refreshedDate="45161.902990046299" backgroundQuery="1" createdVersion="8" refreshedVersion="8" minRefreshableVersion="3" recordCount="0" supportSubquery="1" supportAdvancedDrill="1" xr:uid="{53E422B7-E2E6-4993-BD29-2E448554D05D}">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de D." refreshedDate="45161.914216898149" backgroundQuery="1" createdVersion="8" refreshedVersion="8" minRefreshableVersion="3" recordCount="0" supportSubquery="1" supportAdvancedDrill="1" xr:uid="{23C830E7-4F37-4FA7-BF53-749CC3C9BE94}">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2"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de D." refreshedDate="45162.811191435183" backgroundQuery="1" createdVersion="8" refreshedVersion="8" minRefreshableVersion="3" recordCount="0" supportSubquery="1" supportAdvancedDrill="1" xr:uid="{16F8A82B-54D1-4660-B857-D2ED6C09E76F}">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de D." refreshedDate="45162.811263657408" backgroundQuery="1" createdVersion="8" refreshedVersion="8" minRefreshableVersion="3" recordCount="0" supportSubquery="1" supportAdvancedDrill="1" xr:uid="{7C32B4FD-4B62-4985-9081-91A3BC0A7F82}">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de D." refreshedDate="45161.902989004629" backgroundQuery="1" createdVersion="3" refreshedVersion="8" minRefreshableVersion="3" recordCount="0" supportSubquery="1" supportAdvancedDrill="1" xr:uid="{6FA8EA12-BB1D-4819-B2E8-80488BB6E654}">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58868828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672B23-F96E-4ADC-B8E3-C1329A29DE8E}" name="PivotTable1" cacheId="18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70"/>
    <dataField name="Average of Salary" fld="3" subtotal="average" baseField="0" baseItem="0" numFmtId="170"/>
    <dataField name="Average of Tenure" fld="4" subtotal="average" baseField="0" baseItem="0"/>
  </dataFields>
  <formats count="7">
    <format dxfId="18">
      <pivotArea collapsedLevelsAreSubtotals="1" fieldPosition="0">
        <references count="2">
          <reference field="4294967294" count="1">
            <x v="3"/>
          </reference>
          <reference field="0" count="1" selected="0">
            <x v="0"/>
          </reference>
        </references>
      </pivotArea>
    </format>
    <format dxfId="17">
      <pivotArea outline="0" fieldPosition="0">
        <references count="1">
          <reference field="4294967294" count="1">
            <x v="2"/>
          </reference>
        </references>
      </pivotArea>
    </format>
    <format dxfId="16">
      <pivotArea collapsedLevelsAreSubtotals="1" fieldPosition="0">
        <references count="2">
          <reference field="4294967294" count="1">
            <x v="3"/>
          </reference>
          <reference field="0" count="1" selected="0">
            <x v="1"/>
          </reference>
        </references>
      </pivotArea>
    </format>
    <format dxfId="15">
      <pivotArea field="0" grandCol="1" collapsedLevelsAreSubtotals="1" axis="axisCol" fieldPosition="0">
        <references count="1">
          <reference field="4294967294" count="1">
            <x v="3"/>
          </reference>
        </references>
      </pivotArea>
    </format>
    <format dxfId="14">
      <pivotArea collapsedLevelsAreSubtotals="1" fieldPosition="0">
        <references count="2">
          <reference field="4294967294" count="1">
            <x v="2"/>
          </reference>
          <reference field="0" count="1" selected="0">
            <x v="0"/>
          </reference>
        </references>
      </pivotArea>
    </format>
    <format dxfId="13">
      <pivotArea collapsedLevelsAreSubtotals="1" fieldPosition="0">
        <references count="2">
          <reference field="4294967294" count="1">
            <x v="2"/>
          </reference>
          <reference field="0" count="1" selected="0">
            <x v="1"/>
          </reference>
        </references>
      </pivotArea>
    </format>
    <format dxfId="12">
      <pivotArea field="0" grandCol="1" collapsedLevelsAreSubtotals="1" axis="axisCol" fieldPosition="0">
        <references count="1">
          <reference field="4294967294" count="1">
            <x v="2"/>
          </reference>
        </references>
      </pivotArea>
    </format>
  </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 (1).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F2A054-5FD3-48C0-A6E2-96DFB2EA346F}" name="PivotTable4" cacheId="17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72"/>
  </dataFields>
  <formats count="5">
    <format dxfId="7">
      <pivotArea outline="0" collapsedLevelsAreSubtotals="1" fieldPosition="0"/>
    </format>
    <format dxfId="6">
      <pivotArea dataOnly="0" labelOnly="1" fieldPosition="0">
        <references count="1">
          <reference field="0" count="0"/>
        </references>
      </pivotArea>
    </format>
    <format dxfId="5">
      <pivotArea dataOnly="0" labelOnly="1" grandRow="1" outline="0" fieldPosition="0"/>
    </format>
    <format dxfId="4">
      <pivotArea field="0" type="button" dataOnly="0" labelOnly="1" outline="0" axis="axisRow" fieldPosition="0"/>
    </format>
    <format dxfId="3">
      <pivotArea dataOnly="0" labelOnly="1" outline="0" fieldPosition="0">
        <references count="1">
          <reference field="4294967294" count="2">
            <x v="0"/>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8EDD29-99FC-405C-AC33-8F86F1EC86E4}" name="PivotTable5" cacheId="2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38"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e="0"/>
      </items>
    </pivotField>
    <pivotField dataField="1" subtotalTop="0" showAll="0" defaultSubtotal="0"/>
  </pivotFields>
  <rowFields count="2">
    <field x="1"/>
    <field x="0"/>
  </rowFields>
  <rowItems count="35">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9D458A7-C5F8-4DAE-8170-618F1E6D0EB9}" name="PivotTable7" cacheId="2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formats count="1">
    <format dxfId="1">
      <pivotArea collapsedLevelsAreSubtotals="1" fieldPosition="0">
        <references count="1">
          <reference field="0" count="0"/>
        </references>
      </pivotArea>
    </format>
  </formats>
  <chartFormats count="1">
    <chartFormat chart="5"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B74240-53B7-4C30-A3DD-961D8FDA6356}" name="PivotTable6" cacheId="2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formats count="1">
    <format dxfId="2">
      <pivotArea collapsedLevelsAreSubtotals="1" fieldPosition="0">
        <references count="1">
          <reference field="0" count="0"/>
        </references>
      </pivotArea>
    </format>
  </formats>
  <chartFormats count="1">
    <chartFormat chart="5" format="2"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FB4F518A-D03A-4DE2-8212-231B8DC1C8D0}" autoFormatId="16" applyNumberFormats="0" applyBorderFormats="0" applyFontFormats="0" applyPatternFormats="0" applyAlignmentFormats="0" applyWidthHeightFormats="0">
  <queryTableRefresh nextId="13"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845AB3A-72A7-442C-98ED-35DEFA98AC22}" sourceName="[staff].[Country]">
  <pivotTables>
    <pivotTable tabId="7" name="PivotTable1"/>
  </pivotTables>
  <data>
    <olap pivotCacheId="1588688280">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I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59F8DD6-A00E-4C51-B457-ED011F681AB0}" cache="Slicer_Country" caption="Country" level="1" rowHeight="241300"/>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C26851-3231-44A5-8628-3537B3D261FE}" name="India_Staff" displayName="India_Staff" ref="B2:H114" totalsRowShown="0">
  <autoFilter ref="B2:H114" xr:uid="{DEC26851-3231-44A5-8628-3537B3D261FE}"/>
  <tableColumns count="7">
    <tableColumn id="1" xr3:uid="{B915BA21-812D-40F6-AF87-B3FBD763C7F5}" name="Name"/>
    <tableColumn id="2" xr3:uid="{53A95B58-67C2-4741-9C1B-89BDE4C4A094}" name="Gender"/>
    <tableColumn id="3" xr3:uid="{0FB53D8C-3328-4A81-A31E-B587F94AC83D}" name="Age"/>
    <tableColumn id="4" xr3:uid="{B2BDBB9D-2D58-4675-BAF8-98F53F6FEF6A}" name="Rating"/>
    <tableColumn id="5" xr3:uid="{3B04D2F6-BCEE-402B-946C-E4ACFFF4619D}" name="Date Joined" dataDxfId="25"/>
    <tableColumn id="6" xr3:uid="{63615631-94DA-4E7C-BFBC-CFC7718590D0}" name="Department"/>
    <tableColumn id="7" xr3:uid="{CD972200-52E5-4FF9-8B09-ACD13B5BF8CB}" name="Salary"/>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27DEEC-59B1-425F-9220-C711E1E117F9}" name="nz_staff" displayName="nz_staff" ref="B3:H104" totalsRowCount="1">
  <autoFilter ref="B3:H103" xr:uid="{AD27DEEC-59B1-425F-9220-C711E1E117F9}"/>
  <tableColumns count="7">
    <tableColumn id="1" xr3:uid="{081F25DC-AFC5-417B-8E11-294E9B537EC9}" name="Name" totalsRowLabel="Total"/>
    <tableColumn id="2" xr3:uid="{B155646E-AF9E-41BA-B45C-28FF7694DF57}" name="Gender"/>
    <tableColumn id="3" xr3:uid="{FEB21AC4-8E9F-4C71-88E4-567D192775D0}" name="Department"/>
    <tableColumn id="4" xr3:uid="{F8FEC159-DFEF-4FCE-A774-7B33BE1BF95E}" name="Age" totalsRowFunction="average"/>
    <tableColumn id="5" xr3:uid="{B233DDF5-DAB4-4A67-AF71-4DC6E3231C03}" name="Date Joined"/>
    <tableColumn id="6" xr3:uid="{27C93512-2114-4FB7-A345-704671C4859A}" name="Salary" totalsRowFunction="average" dataDxfId="24" totalsRowDxfId="23"/>
    <tableColumn id="7" xr3:uid="{668784F1-95B8-4E39-8876-93333E29231B}" name="Rating" totalsRowFunction="cou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1ABF0E7-B2E1-4BC9-AB92-84078A89D8CD}" name="Table3" displayName="Table3" ref="A36:A37" insertRow="1" totalsRowShown="0">
  <autoFilter ref="A36:A37" xr:uid="{91ABF0E7-B2E1-4BC9-AB92-84078A89D8CD}"/>
  <tableColumns count="1">
    <tableColumn id="1" xr3:uid="{D5794A80-4E79-4FD8-9627-1D86C54D741D}" name="Column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DA51A31-1B26-48E0-8C7F-00FFABDF3841}" name="staff" displayName="staff" ref="B3:L186" tableType="queryTable" totalsRowShown="0">
  <autoFilter ref="B3:L186" xr:uid="{BDA51A31-1B26-48E0-8C7F-00FFABDF3841}"/>
  <tableColumns count="11">
    <tableColumn id="1" xr3:uid="{105B65D6-F02F-4912-B72A-E07A9EC92E17}" uniqueName="1" name="Name" queryTableFieldId="1" dataDxfId="22"/>
    <tableColumn id="2" xr3:uid="{AF24FC4D-D57E-4A3A-9FC9-20CF40D0C7A5}" uniqueName="2" name="Gender" queryTableFieldId="2" dataDxfId="21"/>
    <tableColumn id="3" xr3:uid="{3298E98D-BCCC-4BFB-9232-D9B7411DEA3C}" uniqueName="3" name="Age" queryTableFieldId="3"/>
    <tableColumn id="4" xr3:uid="{A80A90A2-174F-411F-9587-4FD2C5A05D0D}" uniqueName="4" name="Rating" queryTableFieldId="4"/>
    <tableColumn id="5" xr3:uid="{B32D412D-562D-49FB-A3DE-0FB832E0222D}" uniqueName="5" name="Date Joined" queryTableFieldId="5" dataDxfId="20"/>
    <tableColumn id="6" xr3:uid="{6E43E4C0-610A-45B3-8DEE-5FA5135F60F3}" uniqueName="6" name="Department" queryTableFieldId="6" dataDxfId="11"/>
    <tableColumn id="7" xr3:uid="{F5162E73-2E6E-4FAB-B521-59A846F2AFE3}" uniqueName="7" name="Salary" queryTableFieldId="7" dataDxfId="10"/>
    <tableColumn id="8" xr3:uid="{D4F5ABC3-36F2-493A-BAF9-5D3827174B1F}" uniqueName="8" name="Country" queryTableFieldId="8"/>
    <tableColumn id="9" xr3:uid="{C3590E0D-E01C-4237-BB45-71D78B61CD24}" uniqueName="9" name="Tenure" queryTableFieldId="9" dataDxfId="19">
      <calculatedColumnFormula>(TODAY()-staff[[#This Row],[Date Joined]])/365</calculatedColumnFormula>
    </tableColumn>
    <tableColumn id="10" xr3:uid="{BFDC44EF-BDBA-4237-9621-3AA61DF06DAF}" uniqueName="10" name="Bonus" queryTableFieldId="10" dataDxfId="9">
      <calculatedColumnFormula>ROUNDUP(IF(staff[[#This Row],[Tenure]]&gt;2, 3%, 2%)*staff[[#This Row],[Salary]], 0)</calculatedColumnFormula>
    </tableColumn>
    <tableColumn id="12" xr3:uid="{2EE23289-2D5B-45EA-9477-61A4CC208E40}" uniqueName="12" name="Rating as No." queryTableFieldId="12" dataDxfId="8">
      <calculatedColumnFormula>_xlfn.XLOOKUP(staff[[#This Row],[Rating]],Mapping!$B$2:$B$6, 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sheetPr>
    <tabColor theme="5" tint="-0.249977111117893"/>
  </sheetPr>
  <dimension ref="B2:H114"/>
  <sheetViews>
    <sheetView tabSelected="1" topLeftCell="A2" workbookViewId="0">
      <selection activeCell="E9" sqref="E9"/>
    </sheetView>
  </sheetViews>
  <sheetFormatPr defaultRowHeight="15" x14ac:dyDescent="0.25"/>
  <cols>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8.5703125" bestFit="1" customWidth="1"/>
  </cols>
  <sheetData>
    <row r="2" spans="2:8" x14ac:dyDescent="0.25">
      <c r="B2" t="s">
        <v>0</v>
      </c>
      <c r="C2" t="s">
        <v>1</v>
      </c>
      <c r="D2" t="s">
        <v>3</v>
      </c>
      <c r="E2" t="s">
        <v>6</v>
      </c>
      <c r="F2" t="s">
        <v>4</v>
      </c>
      <c r="G2" t="s">
        <v>2</v>
      </c>
      <c r="H2" t="s">
        <v>5</v>
      </c>
    </row>
    <row r="3" spans="2:8" x14ac:dyDescent="0.25">
      <c r="B3" t="s">
        <v>155</v>
      </c>
      <c r="C3" t="s">
        <v>15</v>
      </c>
      <c r="D3">
        <v>20</v>
      </c>
      <c r="E3" t="s">
        <v>16</v>
      </c>
      <c r="F3" s="1">
        <v>44122</v>
      </c>
      <c r="G3" t="s">
        <v>12</v>
      </c>
      <c r="H3">
        <v>112650</v>
      </c>
    </row>
    <row r="4" spans="2:8" x14ac:dyDescent="0.25">
      <c r="B4" t="s">
        <v>175</v>
      </c>
      <c r="C4" t="s">
        <v>8</v>
      </c>
      <c r="D4">
        <v>32</v>
      </c>
      <c r="E4" t="s">
        <v>13</v>
      </c>
      <c r="F4" s="1">
        <v>44293</v>
      </c>
      <c r="G4" t="s">
        <v>12</v>
      </c>
      <c r="H4">
        <v>43840</v>
      </c>
    </row>
    <row r="5" spans="2:8" x14ac:dyDescent="0.25">
      <c r="B5" t="s">
        <v>142</v>
      </c>
      <c r="C5" t="s">
        <v>15</v>
      </c>
      <c r="D5">
        <v>31</v>
      </c>
      <c r="E5" t="s">
        <v>16</v>
      </c>
      <c r="F5" s="1">
        <v>44663</v>
      </c>
      <c r="G5" t="s">
        <v>9</v>
      </c>
      <c r="H5">
        <v>103550</v>
      </c>
    </row>
    <row r="6" spans="2:8" x14ac:dyDescent="0.25">
      <c r="B6" t="s">
        <v>200</v>
      </c>
      <c r="C6" t="s">
        <v>8</v>
      </c>
      <c r="D6">
        <v>32</v>
      </c>
      <c r="E6" t="s">
        <v>16</v>
      </c>
      <c r="F6" s="1">
        <v>44339</v>
      </c>
      <c r="G6" t="s">
        <v>56</v>
      </c>
      <c r="H6">
        <v>45510</v>
      </c>
    </row>
    <row r="7" spans="2:8" x14ac:dyDescent="0.25">
      <c r="B7" t="s">
        <v>141</v>
      </c>
      <c r="D7">
        <v>37</v>
      </c>
      <c r="E7" t="s">
        <v>24</v>
      </c>
      <c r="F7" s="1">
        <v>44085</v>
      </c>
      <c r="G7" t="s">
        <v>21</v>
      </c>
      <c r="H7">
        <v>115440</v>
      </c>
    </row>
    <row r="8" spans="2:8" x14ac:dyDescent="0.25">
      <c r="B8" t="s">
        <v>201</v>
      </c>
      <c r="C8" t="s">
        <v>8</v>
      </c>
      <c r="D8">
        <v>38</v>
      </c>
      <c r="E8" t="s">
        <v>13</v>
      </c>
      <c r="F8" s="1">
        <v>44268</v>
      </c>
      <c r="G8" t="s">
        <v>19</v>
      </c>
      <c r="H8">
        <v>56870</v>
      </c>
    </row>
    <row r="9" spans="2:8" x14ac:dyDescent="0.25">
      <c r="B9" t="s">
        <v>168</v>
      </c>
      <c r="C9" t="s">
        <v>8</v>
      </c>
      <c r="D9">
        <v>25</v>
      </c>
      <c r="E9" t="s">
        <v>16</v>
      </c>
      <c r="F9" s="1">
        <v>44144</v>
      </c>
      <c r="G9" t="s">
        <v>19</v>
      </c>
      <c r="H9">
        <v>92700</v>
      </c>
    </row>
    <row r="10" spans="2:8" x14ac:dyDescent="0.25">
      <c r="B10" t="s">
        <v>144</v>
      </c>
      <c r="D10">
        <v>32</v>
      </c>
      <c r="E10" t="s">
        <v>16</v>
      </c>
      <c r="F10" s="1">
        <v>44713</v>
      </c>
      <c r="G10" t="s">
        <v>12</v>
      </c>
      <c r="H10">
        <v>91310</v>
      </c>
    </row>
    <row r="11" spans="2:8" x14ac:dyDescent="0.25">
      <c r="B11" t="s">
        <v>114</v>
      </c>
      <c r="C11" t="s">
        <v>15</v>
      </c>
      <c r="D11">
        <v>33</v>
      </c>
      <c r="E11" t="s">
        <v>16</v>
      </c>
      <c r="F11" s="1">
        <v>44324</v>
      </c>
      <c r="G11" t="s">
        <v>19</v>
      </c>
      <c r="H11">
        <v>74550</v>
      </c>
    </row>
    <row r="12" spans="2:8" x14ac:dyDescent="0.25">
      <c r="B12" t="s">
        <v>127</v>
      </c>
      <c r="C12" t="s">
        <v>15</v>
      </c>
      <c r="D12">
        <v>25</v>
      </c>
      <c r="E12" t="s">
        <v>13</v>
      </c>
      <c r="F12" s="1">
        <v>44665</v>
      </c>
      <c r="G12" t="s">
        <v>9</v>
      </c>
      <c r="H12">
        <v>109190</v>
      </c>
    </row>
    <row r="13" spans="2:8" x14ac:dyDescent="0.25">
      <c r="B13" t="s">
        <v>193</v>
      </c>
      <c r="C13" t="s">
        <v>8</v>
      </c>
      <c r="D13">
        <v>40</v>
      </c>
      <c r="E13" t="s">
        <v>16</v>
      </c>
      <c r="F13" s="1">
        <v>44320</v>
      </c>
      <c r="G13" t="s">
        <v>12</v>
      </c>
      <c r="H13">
        <v>104410</v>
      </c>
    </row>
    <row r="14" spans="2:8" x14ac:dyDescent="0.25">
      <c r="B14" t="s">
        <v>176</v>
      </c>
      <c r="C14" t="s">
        <v>15</v>
      </c>
      <c r="D14">
        <v>30</v>
      </c>
      <c r="E14" t="s">
        <v>16</v>
      </c>
      <c r="F14" s="1">
        <v>44544</v>
      </c>
      <c r="G14" t="s">
        <v>21</v>
      </c>
      <c r="H14">
        <v>96800</v>
      </c>
    </row>
    <row r="15" spans="2:8" x14ac:dyDescent="0.25">
      <c r="B15" t="s">
        <v>122</v>
      </c>
      <c r="C15" t="s">
        <v>15</v>
      </c>
      <c r="D15">
        <v>28</v>
      </c>
      <c r="E15" t="s">
        <v>13</v>
      </c>
      <c r="F15" s="1">
        <v>43980</v>
      </c>
      <c r="G15" t="s">
        <v>21</v>
      </c>
      <c r="H15">
        <v>48170</v>
      </c>
    </row>
    <row r="16" spans="2:8" x14ac:dyDescent="0.25">
      <c r="B16" t="s">
        <v>139</v>
      </c>
      <c r="C16" t="s">
        <v>15</v>
      </c>
      <c r="D16">
        <v>21</v>
      </c>
      <c r="E16" t="s">
        <v>16</v>
      </c>
      <c r="F16" s="1">
        <v>44042</v>
      </c>
      <c r="G16" t="s">
        <v>9</v>
      </c>
      <c r="H16">
        <v>37920</v>
      </c>
    </row>
    <row r="17" spans="2:8" x14ac:dyDescent="0.25">
      <c r="B17" t="s">
        <v>177</v>
      </c>
      <c r="C17" t="s">
        <v>15</v>
      </c>
      <c r="D17">
        <v>34</v>
      </c>
      <c r="E17" t="s">
        <v>16</v>
      </c>
      <c r="F17" s="1">
        <v>44642</v>
      </c>
      <c r="G17" t="s">
        <v>9</v>
      </c>
      <c r="H17">
        <v>112650</v>
      </c>
    </row>
    <row r="18" spans="2:8" x14ac:dyDescent="0.25">
      <c r="B18" t="s">
        <v>164</v>
      </c>
      <c r="C18" t="s">
        <v>8</v>
      </c>
      <c r="D18">
        <v>34</v>
      </c>
      <c r="E18" t="s">
        <v>24</v>
      </c>
      <c r="F18" s="1">
        <v>44660</v>
      </c>
      <c r="G18" t="s">
        <v>19</v>
      </c>
      <c r="H18">
        <v>49630</v>
      </c>
    </row>
    <row r="19" spans="2:8" x14ac:dyDescent="0.25">
      <c r="B19" t="s">
        <v>198</v>
      </c>
      <c r="C19" t="s">
        <v>15</v>
      </c>
      <c r="D19">
        <v>36</v>
      </c>
      <c r="E19" t="s">
        <v>16</v>
      </c>
      <c r="F19" s="1">
        <v>43958</v>
      </c>
      <c r="G19" t="s">
        <v>12</v>
      </c>
      <c r="H19">
        <v>118840</v>
      </c>
    </row>
    <row r="20" spans="2:8" x14ac:dyDescent="0.25">
      <c r="B20" t="s">
        <v>158</v>
      </c>
      <c r="C20" t="s">
        <v>15</v>
      </c>
      <c r="D20">
        <v>30</v>
      </c>
      <c r="E20" t="s">
        <v>16</v>
      </c>
      <c r="F20" s="1">
        <v>44789</v>
      </c>
      <c r="G20" t="s">
        <v>12</v>
      </c>
      <c r="H20">
        <v>69710</v>
      </c>
    </row>
    <row r="21" spans="2:8" x14ac:dyDescent="0.25">
      <c r="B21" t="s">
        <v>196</v>
      </c>
      <c r="C21" t="s">
        <v>15</v>
      </c>
      <c r="D21">
        <v>20</v>
      </c>
      <c r="E21" t="s">
        <v>16</v>
      </c>
      <c r="F21" s="1">
        <v>44683</v>
      </c>
      <c r="G21" t="s">
        <v>9</v>
      </c>
      <c r="H21">
        <v>79570</v>
      </c>
    </row>
    <row r="22" spans="2:8" x14ac:dyDescent="0.25">
      <c r="B22" t="s">
        <v>153</v>
      </c>
      <c r="C22" t="s">
        <v>8</v>
      </c>
      <c r="D22">
        <v>22</v>
      </c>
      <c r="E22" t="s">
        <v>13</v>
      </c>
      <c r="F22" s="1">
        <v>44388</v>
      </c>
      <c r="G22" t="s">
        <v>9</v>
      </c>
      <c r="H22">
        <v>76900</v>
      </c>
    </row>
    <row r="23" spans="2:8" x14ac:dyDescent="0.25">
      <c r="B23" t="s">
        <v>181</v>
      </c>
      <c r="C23" t="s">
        <v>15</v>
      </c>
      <c r="D23">
        <v>27</v>
      </c>
      <c r="E23" t="s">
        <v>16</v>
      </c>
      <c r="F23" s="1">
        <v>44073</v>
      </c>
      <c r="G23" t="s">
        <v>19</v>
      </c>
      <c r="H23">
        <v>54970</v>
      </c>
    </row>
    <row r="24" spans="2:8" x14ac:dyDescent="0.25">
      <c r="B24" t="s">
        <v>117</v>
      </c>
      <c r="C24" t="s">
        <v>15</v>
      </c>
      <c r="D24">
        <v>37</v>
      </c>
      <c r="E24" t="s">
        <v>24</v>
      </c>
      <c r="F24" s="1">
        <v>44277</v>
      </c>
      <c r="G24" t="s">
        <v>12</v>
      </c>
      <c r="H24">
        <v>88050</v>
      </c>
    </row>
    <row r="25" spans="2:8" x14ac:dyDescent="0.25">
      <c r="B25" t="s">
        <v>191</v>
      </c>
      <c r="C25" t="s">
        <v>15</v>
      </c>
      <c r="D25">
        <v>43</v>
      </c>
      <c r="E25" t="s">
        <v>16</v>
      </c>
      <c r="F25" s="1">
        <v>44558</v>
      </c>
      <c r="G25" t="s">
        <v>19</v>
      </c>
      <c r="H25">
        <v>36040</v>
      </c>
    </row>
    <row r="26" spans="2:8" x14ac:dyDescent="0.25">
      <c r="B26" t="s">
        <v>110</v>
      </c>
      <c r="C26" t="s">
        <v>8</v>
      </c>
      <c r="D26">
        <v>42</v>
      </c>
      <c r="E26" t="s">
        <v>10</v>
      </c>
      <c r="F26" s="1">
        <v>44718</v>
      </c>
      <c r="G26" t="s">
        <v>9</v>
      </c>
      <c r="H26">
        <v>75000</v>
      </c>
    </row>
    <row r="27" spans="2:8" x14ac:dyDescent="0.25">
      <c r="B27" t="s">
        <v>148</v>
      </c>
      <c r="C27" t="s">
        <v>15</v>
      </c>
      <c r="D27">
        <v>35</v>
      </c>
      <c r="E27" t="s">
        <v>16</v>
      </c>
      <c r="F27" s="1">
        <v>44666</v>
      </c>
      <c r="G27" t="s">
        <v>9</v>
      </c>
      <c r="H27">
        <v>40400</v>
      </c>
    </row>
    <row r="28" spans="2:8" x14ac:dyDescent="0.25">
      <c r="B28" t="s">
        <v>195</v>
      </c>
      <c r="C28" t="s">
        <v>15</v>
      </c>
      <c r="D28">
        <v>24</v>
      </c>
      <c r="E28" t="s">
        <v>16</v>
      </c>
      <c r="F28" s="1">
        <v>44625</v>
      </c>
      <c r="G28" t="s">
        <v>12</v>
      </c>
      <c r="H28">
        <v>100420</v>
      </c>
    </row>
    <row r="29" spans="2:8" x14ac:dyDescent="0.25">
      <c r="B29" t="s">
        <v>119</v>
      </c>
      <c r="C29" t="s">
        <v>8</v>
      </c>
      <c r="D29">
        <v>31</v>
      </c>
      <c r="E29" t="s">
        <v>16</v>
      </c>
      <c r="F29" s="1">
        <v>44604</v>
      </c>
      <c r="G29" t="s">
        <v>12</v>
      </c>
      <c r="H29">
        <v>58100</v>
      </c>
    </row>
    <row r="30" spans="2:8" x14ac:dyDescent="0.25">
      <c r="B30" t="s">
        <v>113</v>
      </c>
      <c r="C30" t="s">
        <v>8</v>
      </c>
      <c r="D30">
        <v>44</v>
      </c>
      <c r="E30" t="s">
        <v>16</v>
      </c>
      <c r="F30" s="1">
        <v>44985</v>
      </c>
      <c r="G30" t="s">
        <v>12</v>
      </c>
      <c r="H30">
        <v>114870</v>
      </c>
    </row>
    <row r="31" spans="2:8" x14ac:dyDescent="0.25">
      <c r="B31" t="s">
        <v>157</v>
      </c>
      <c r="C31" t="s">
        <v>8</v>
      </c>
      <c r="D31">
        <v>32</v>
      </c>
      <c r="E31" t="s">
        <v>16</v>
      </c>
      <c r="F31" s="1">
        <v>44549</v>
      </c>
      <c r="G31" t="s">
        <v>9</v>
      </c>
      <c r="H31">
        <v>41570</v>
      </c>
    </row>
    <row r="32" spans="2:8" x14ac:dyDescent="0.25">
      <c r="B32" t="s">
        <v>172</v>
      </c>
      <c r="C32" t="s">
        <v>8</v>
      </c>
      <c r="D32">
        <v>30</v>
      </c>
      <c r="E32" t="s">
        <v>16</v>
      </c>
      <c r="F32" s="1">
        <v>44800</v>
      </c>
      <c r="G32" t="s">
        <v>9</v>
      </c>
      <c r="H32">
        <v>112570</v>
      </c>
    </row>
    <row r="33" spans="2:8" x14ac:dyDescent="0.25">
      <c r="B33" t="s">
        <v>150</v>
      </c>
      <c r="C33" t="s">
        <v>15</v>
      </c>
      <c r="D33">
        <v>26</v>
      </c>
      <c r="E33" t="s">
        <v>16</v>
      </c>
      <c r="F33" s="1">
        <v>44164</v>
      </c>
      <c r="G33" t="s">
        <v>9</v>
      </c>
      <c r="H33">
        <v>47360</v>
      </c>
    </row>
    <row r="34" spans="2:8" x14ac:dyDescent="0.25">
      <c r="B34" t="s">
        <v>125</v>
      </c>
      <c r="C34" t="s">
        <v>8</v>
      </c>
      <c r="D34">
        <v>21</v>
      </c>
      <c r="E34" t="s">
        <v>16</v>
      </c>
      <c r="F34" s="1">
        <v>44256</v>
      </c>
      <c r="G34" t="s">
        <v>21</v>
      </c>
      <c r="H34">
        <v>65920</v>
      </c>
    </row>
    <row r="35" spans="2:8" x14ac:dyDescent="0.25">
      <c r="B35" t="s">
        <v>199</v>
      </c>
      <c r="C35" t="s">
        <v>8</v>
      </c>
      <c r="D35">
        <v>28</v>
      </c>
      <c r="E35" t="s">
        <v>16</v>
      </c>
      <c r="F35" s="1">
        <v>44571</v>
      </c>
      <c r="G35" t="s">
        <v>9</v>
      </c>
      <c r="H35">
        <v>99970</v>
      </c>
    </row>
    <row r="36" spans="2:8" x14ac:dyDescent="0.25">
      <c r="B36" t="s">
        <v>132</v>
      </c>
      <c r="C36" t="s">
        <v>8</v>
      </c>
      <c r="D36">
        <v>25</v>
      </c>
      <c r="E36" t="s">
        <v>13</v>
      </c>
      <c r="F36" s="1">
        <v>44633</v>
      </c>
      <c r="G36" t="s">
        <v>12</v>
      </c>
      <c r="H36">
        <v>80700</v>
      </c>
    </row>
    <row r="37" spans="2:8" x14ac:dyDescent="0.25">
      <c r="B37" t="s">
        <v>154</v>
      </c>
      <c r="C37" t="s">
        <v>15</v>
      </c>
      <c r="D37">
        <v>24</v>
      </c>
      <c r="E37" t="s">
        <v>24</v>
      </c>
      <c r="F37" s="1">
        <v>44375</v>
      </c>
      <c r="G37" t="s">
        <v>21</v>
      </c>
      <c r="H37">
        <v>52610</v>
      </c>
    </row>
    <row r="38" spans="2:8" x14ac:dyDescent="0.25">
      <c r="B38" t="s">
        <v>179</v>
      </c>
      <c r="C38" t="s">
        <v>15</v>
      </c>
      <c r="D38">
        <v>29</v>
      </c>
      <c r="E38" t="s">
        <v>24</v>
      </c>
      <c r="F38" s="1">
        <v>44119</v>
      </c>
      <c r="G38" t="s">
        <v>12</v>
      </c>
      <c r="H38">
        <v>112110</v>
      </c>
    </row>
    <row r="39" spans="2:8" x14ac:dyDescent="0.25">
      <c r="B39" t="s">
        <v>151</v>
      </c>
      <c r="C39" t="s">
        <v>8</v>
      </c>
      <c r="D39">
        <v>27</v>
      </c>
      <c r="E39" t="s">
        <v>16</v>
      </c>
      <c r="F39" s="1">
        <v>44061</v>
      </c>
      <c r="G39" t="s">
        <v>56</v>
      </c>
      <c r="H39">
        <v>119110</v>
      </c>
    </row>
    <row r="40" spans="2:8" x14ac:dyDescent="0.25">
      <c r="B40" t="s">
        <v>149</v>
      </c>
      <c r="C40" t="s">
        <v>15</v>
      </c>
      <c r="D40">
        <v>22</v>
      </c>
      <c r="E40" t="s">
        <v>13</v>
      </c>
      <c r="F40" s="1">
        <v>44384</v>
      </c>
      <c r="G40" t="s">
        <v>19</v>
      </c>
      <c r="H40">
        <v>112780</v>
      </c>
    </row>
    <row r="41" spans="2:8" x14ac:dyDescent="0.25">
      <c r="B41" t="s">
        <v>174</v>
      </c>
      <c r="C41" t="s">
        <v>8</v>
      </c>
      <c r="D41">
        <v>36</v>
      </c>
      <c r="E41" t="s">
        <v>16</v>
      </c>
      <c r="F41" s="1">
        <v>44023</v>
      </c>
      <c r="G41" t="s">
        <v>9</v>
      </c>
      <c r="H41">
        <v>114890</v>
      </c>
    </row>
    <row r="42" spans="2:8" x14ac:dyDescent="0.25">
      <c r="B42" t="s">
        <v>145</v>
      </c>
      <c r="C42" t="s">
        <v>15</v>
      </c>
      <c r="D42">
        <v>27</v>
      </c>
      <c r="E42" t="s">
        <v>16</v>
      </c>
      <c r="F42" s="1">
        <v>44506</v>
      </c>
      <c r="G42" t="s">
        <v>21</v>
      </c>
      <c r="H42">
        <v>48980</v>
      </c>
    </row>
    <row r="43" spans="2:8" x14ac:dyDescent="0.25">
      <c r="B43" t="s">
        <v>169</v>
      </c>
      <c r="C43" t="s">
        <v>15</v>
      </c>
      <c r="D43">
        <v>21</v>
      </c>
      <c r="E43" t="s">
        <v>16</v>
      </c>
      <c r="F43" s="1">
        <v>44180</v>
      </c>
      <c r="G43" t="s">
        <v>56</v>
      </c>
      <c r="H43">
        <v>75880</v>
      </c>
    </row>
    <row r="44" spans="2:8" x14ac:dyDescent="0.25">
      <c r="B44" t="s">
        <v>166</v>
      </c>
      <c r="C44" t="s">
        <v>8</v>
      </c>
      <c r="D44">
        <v>28</v>
      </c>
      <c r="E44" t="s">
        <v>16</v>
      </c>
      <c r="F44" s="1">
        <v>44296</v>
      </c>
      <c r="G44" t="s">
        <v>19</v>
      </c>
      <c r="H44">
        <v>53240</v>
      </c>
    </row>
    <row r="45" spans="2:8" x14ac:dyDescent="0.25">
      <c r="B45" t="s">
        <v>121</v>
      </c>
      <c r="C45" t="s">
        <v>8</v>
      </c>
      <c r="D45">
        <v>34</v>
      </c>
      <c r="E45" t="s">
        <v>16</v>
      </c>
      <c r="F45" s="1">
        <v>44397</v>
      </c>
      <c r="G45" t="s">
        <v>21</v>
      </c>
      <c r="H45">
        <v>85000</v>
      </c>
    </row>
    <row r="46" spans="2:8" x14ac:dyDescent="0.25">
      <c r="B46" t="s">
        <v>178</v>
      </c>
      <c r="C46" t="s">
        <v>8</v>
      </c>
      <c r="D46">
        <v>21</v>
      </c>
      <c r="E46" t="s">
        <v>16</v>
      </c>
      <c r="F46" s="1">
        <v>44619</v>
      </c>
      <c r="G46" t="s">
        <v>12</v>
      </c>
      <c r="H46">
        <v>33920</v>
      </c>
    </row>
    <row r="47" spans="2:8" x14ac:dyDescent="0.25">
      <c r="B47" t="s">
        <v>187</v>
      </c>
      <c r="C47" t="s">
        <v>8</v>
      </c>
      <c r="D47">
        <v>33</v>
      </c>
      <c r="E47" t="s">
        <v>16</v>
      </c>
      <c r="F47" s="1">
        <v>44253</v>
      </c>
      <c r="G47" t="s">
        <v>12</v>
      </c>
      <c r="H47">
        <v>75280</v>
      </c>
    </row>
    <row r="48" spans="2:8" x14ac:dyDescent="0.25">
      <c r="B48" t="s">
        <v>129</v>
      </c>
      <c r="C48" t="s">
        <v>8</v>
      </c>
      <c r="D48">
        <v>34</v>
      </c>
      <c r="E48" t="s">
        <v>16</v>
      </c>
      <c r="F48" s="1">
        <v>44594</v>
      </c>
      <c r="G48" t="s">
        <v>21</v>
      </c>
      <c r="H48">
        <v>58940</v>
      </c>
    </row>
    <row r="49" spans="2:8" x14ac:dyDescent="0.25">
      <c r="B49" t="s">
        <v>135</v>
      </c>
      <c r="C49" t="s">
        <v>8</v>
      </c>
      <c r="D49">
        <v>28</v>
      </c>
      <c r="E49" t="s">
        <v>16</v>
      </c>
      <c r="F49" s="1">
        <v>44425</v>
      </c>
      <c r="G49" t="s">
        <v>9</v>
      </c>
      <c r="H49">
        <v>104770</v>
      </c>
    </row>
    <row r="50" spans="2:8" x14ac:dyDescent="0.25">
      <c r="B50" t="s">
        <v>124</v>
      </c>
      <c r="C50" t="s">
        <v>15</v>
      </c>
      <c r="D50">
        <v>21</v>
      </c>
      <c r="E50" t="s">
        <v>16</v>
      </c>
      <c r="F50" s="1">
        <v>44701</v>
      </c>
      <c r="G50" t="s">
        <v>9</v>
      </c>
      <c r="H50">
        <v>57090</v>
      </c>
    </row>
    <row r="51" spans="2:8" x14ac:dyDescent="0.25">
      <c r="B51" t="s">
        <v>159</v>
      </c>
      <c r="C51" t="s">
        <v>15</v>
      </c>
      <c r="D51">
        <v>27</v>
      </c>
      <c r="E51" t="s">
        <v>13</v>
      </c>
      <c r="F51" s="1">
        <v>44174</v>
      </c>
      <c r="G51" t="s">
        <v>21</v>
      </c>
      <c r="H51">
        <v>91650</v>
      </c>
    </row>
    <row r="52" spans="2:8" x14ac:dyDescent="0.25">
      <c r="B52" t="s">
        <v>182</v>
      </c>
      <c r="C52" t="s">
        <v>15</v>
      </c>
      <c r="D52">
        <v>42</v>
      </c>
      <c r="E52" t="s">
        <v>24</v>
      </c>
      <c r="F52" s="1">
        <v>44670</v>
      </c>
      <c r="G52" t="s">
        <v>21</v>
      </c>
      <c r="H52">
        <v>70270</v>
      </c>
    </row>
    <row r="53" spans="2:8" x14ac:dyDescent="0.25">
      <c r="B53" t="s">
        <v>128</v>
      </c>
      <c r="C53" t="s">
        <v>8</v>
      </c>
      <c r="D53">
        <v>28</v>
      </c>
      <c r="E53" t="s">
        <v>16</v>
      </c>
      <c r="F53" s="1">
        <v>44124</v>
      </c>
      <c r="G53" t="s">
        <v>21</v>
      </c>
      <c r="H53">
        <v>75970</v>
      </c>
    </row>
    <row r="54" spans="2:8" x14ac:dyDescent="0.25">
      <c r="B54" t="s">
        <v>111</v>
      </c>
      <c r="D54">
        <v>27</v>
      </c>
      <c r="E54" t="s">
        <v>13</v>
      </c>
      <c r="F54" s="1">
        <v>44212</v>
      </c>
      <c r="G54" t="s">
        <v>12</v>
      </c>
      <c r="H54">
        <v>90700</v>
      </c>
    </row>
    <row r="55" spans="2:8" x14ac:dyDescent="0.25">
      <c r="B55" t="s">
        <v>130</v>
      </c>
      <c r="C55" t="s">
        <v>15</v>
      </c>
      <c r="D55">
        <v>30</v>
      </c>
      <c r="E55" t="s">
        <v>16</v>
      </c>
      <c r="F55" s="1">
        <v>44607</v>
      </c>
      <c r="G55" t="s">
        <v>9</v>
      </c>
      <c r="H55">
        <v>60570</v>
      </c>
    </row>
    <row r="56" spans="2:8" x14ac:dyDescent="0.25">
      <c r="B56" t="s">
        <v>133</v>
      </c>
      <c r="C56" t="s">
        <v>15</v>
      </c>
      <c r="D56">
        <v>33</v>
      </c>
      <c r="E56" t="s">
        <v>16</v>
      </c>
      <c r="F56" s="1">
        <v>44103</v>
      </c>
      <c r="G56" t="s">
        <v>9</v>
      </c>
      <c r="H56">
        <v>115920</v>
      </c>
    </row>
    <row r="57" spans="2:8" x14ac:dyDescent="0.25">
      <c r="B57" t="s">
        <v>185</v>
      </c>
      <c r="C57" t="s">
        <v>8</v>
      </c>
      <c r="D57">
        <v>33</v>
      </c>
      <c r="E57" t="s">
        <v>16</v>
      </c>
      <c r="F57" s="1">
        <v>44006</v>
      </c>
      <c r="G57" t="s">
        <v>21</v>
      </c>
      <c r="H57">
        <v>65360</v>
      </c>
    </row>
    <row r="58" spans="2:8" x14ac:dyDescent="0.25">
      <c r="B58" t="s">
        <v>115</v>
      </c>
      <c r="D58">
        <v>30</v>
      </c>
      <c r="E58" t="s">
        <v>16</v>
      </c>
      <c r="F58" s="1">
        <v>44535</v>
      </c>
      <c r="G58" t="s">
        <v>21</v>
      </c>
      <c r="H58">
        <v>64000</v>
      </c>
    </row>
    <row r="59" spans="2:8" x14ac:dyDescent="0.25">
      <c r="B59" t="s">
        <v>194</v>
      </c>
      <c r="C59" t="s">
        <v>8</v>
      </c>
      <c r="D59">
        <v>34</v>
      </c>
      <c r="E59" t="s">
        <v>16</v>
      </c>
      <c r="F59" s="1">
        <v>44383</v>
      </c>
      <c r="G59" t="s">
        <v>21</v>
      </c>
      <c r="H59">
        <v>92450</v>
      </c>
    </row>
    <row r="60" spans="2:8" x14ac:dyDescent="0.25">
      <c r="B60" t="s">
        <v>112</v>
      </c>
      <c r="C60" t="s">
        <v>15</v>
      </c>
      <c r="D60">
        <v>31</v>
      </c>
      <c r="E60" t="s">
        <v>16</v>
      </c>
      <c r="F60" s="1">
        <v>44450</v>
      </c>
      <c r="G60" t="s">
        <v>12</v>
      </c>
      <c r="H60">
        <v>48950</v>
      </c>
    </row>
    <row r="61" spans="2:8" x14ac:dyDescent="0.25">
      <c r="B61" t="s">
        <v>184</v>
      </c>
      <c r="C61" t="s">
        <v>8</v>
      </c>
      <c r="D61">
        <v>27</v>
      </c>
      <c r="E61" t="s">
        <v>16</v>
      </c>
      <c r="F61" s="1">
        <v>44625</v>
      </c>
      <c r="G61" t="s">
        <v>12</v>
      </c>
      <c r="H61">
        <v>83750</v>
      </c>
    </row>
    <row r="62" spans="2:8" x14ac:dyDescent="0.25">
      <c r="B62" t="s">
        <v>165</v>
      </c>
      <c r="C62" t="s">
        <v>8</v>
      </c>
      <c r="D62">
        <v>40</v>
      </c>
      <c r="E62" t="s">
        <v>16</v>
      </c>
      <c r="F62" s="1">
        <v>44276</v>
      </c>
      <c r="G62" t="s">
        <v>12</v>
      </c>
      <c r="H62">
        <v>87620</v>
      </c>
    </row>
    <row r="63" spans="2:8" x14ac:dyDescent="0.25">
      <c r="B63" t="s">
        <v>183</v>
      </c>
      <c r="C63" t="s">
        <v>8</v>
      </c>
      <c r="D63">
        <v>20</v>
      </c>
      <c r="E63" t="s">
        <v>24</v>
      </c>
      <c r="F63" s="1">
        <v>44476</v>
      </c>
      <c r="G63" t="s">
        <v>19</v>
      </c>
      <c r="H63">
        <v>68900</v>
      </c>
    </row>
    <row r="64" spans="2:8" x14ac:dyDescent="0.25">
      <c r="B64" t="s">
        <v>156</v>
      </c>
      <c r="C64" t="s">
        <v>15</v>
      </c>
      <c r="D64">
        <v>32</v>
      </c>
      <c r="E64" t="s">
        <v>16</v>
      </c>
      <c r="F64" s="1">
        <v>44403</v>
      </c>
      <c r="G64" t="s">
        <v>19</v>
      </c>
      <c r="H64">
        <v>53540</v>
      </c>
    </row>
    <row r="65" spans="2:8" x14ac:dyDescent="0.25">
      <c r="B65" t="s">
        <v>171</v>
      </c>
      <c r="C65" t="s">
        <v>15</v>
      </c>
      <c r="D65">
        <v>28</v>
      </c>
      <c r="E65" t="s">
        <v>42</v>
      </c>
      <c r="F65" s="1">
        <v>44758</v>
      </c>
      <c r="G65" t="s">
        <v>19</v>
      </c>
      <c r="H65">
        <v>43510</v>
      </c>
    </row>
    <row r="66" spans="2:8" x14ac:dyDescent="0.25">
      <c r="B66" t="s">
        <v>126</v>
      </c>
      <c r="C66" t="s">
        <v>8</v>
      </c>
      <c r="D66">
        <v>38</v>
      </c>
      <c r="E66" t="s">
        <v>10</v>
      </c>
      <c r="F66" s="1">
        <v>44316</v>
      </c>
      <c r="G66" t="s">
        <v>19</v>
      </c>
      <c r="H66">
        <v>109160</v>
      </c>
    </row>
    <row r="67" spans="2:8" x14ac:dyDescent="0.25">
      <c r="B67" t="s">
        <v>197</v>
      </c>
      <c r="C67" t="s">
        <v>15</v>
      </c>
      <c r="D67">
        <v>40</v>
      </c>
      <c r="E67" t="s">
        <v>16</v>
      </c>
      <c r="F67" s="1">
        <v>44204</v>
      </c>
      <c r="G67" t="s">
        <v>9</v>
      </c>
      <c r="H67">
        <v>99750</v>
      </c>
    </row>
    <row r="68" spans="2:8" x14ac:dyDescent="0.25">
      <c r="B68" t="s">
        <v>123</v>
      </c>
      <c r="C68" t="s">
        <v>8</v>
      </c>
      <c r="D68">
        <v>31</v>
      </c>
      <c r="E68" t="s">
        <v>16</v>
      </c>
      <c r="F68" s="1">
        <v>44084</v>
      </c>
      <c r="G68" t="s">
        <v>12</v>
      </c>
      <c r="H68">
        <v>41980</v>
      </c>
    </row>
    <row r="69" spans="2:8" x14ac:dyDescent="0.25">
      <c r="B69" t="s">
        <v>186</v>
      </c>
      <c r="C69" t="s">
        <v>15</v>
      </c>
      <c r="D69">
        <v>36</v>
      </c>
      <c r="E69" t="s">
        <v>16</v>
      </c>
      <c r="F69" s="1">
        <v>44272</v>
      </c>
      <c r="G69" t="s">
        <v>21</v>
      </c>
      <c r="H69">
        <v>71380</v>
      </c>
    </row>
    <row r="70" spans="2:8" x14ac:dyDescent="0.25">
      <c r="B70" t="s">
        <v>190</v>
      </c>
      <c r="C70" t="s">
        <v>15</v>
      </c>
      <c r="D70">
        <v>27</v>
      </c>
      <c r="E70" t="s">
        <v>42</v>
      </c>
      <c r="F70" s="1">
        <v>44547</v>
      </c>
      <c r="G70" t="s">
        <v>9</v>
      </c>
      <c r="H70">
        <v>113280</v>
      </c>
    </row>
    <row r="71" spans="2:8" x14ac:dyDescent="0.25">
      <c r="B71" t="s">
        <v>180</v>
      </c>
      <c r="C71" t="s">
        <v>8</v>
      </c>
      <c r="D71">
        <v>33</v>
      </c>
      <c r="E71" t="s">
        <v>16</v>
      </c>
      <c r="F71" s="1">
        <v>44747</v>
      </c>
      <c r="G71" t="s">
        <v>21</v>
      </c>
      <c r="H71">
        <v>86570</v>
      </c>
    </row>
    <row r="72" spans="2:8" x14ac:dyDescent="0.25">
      <c r="B72" t="s">
        <v>138</v>
      </c>
      <c r="C72" t="s">
        <v>15</v>
      </c>
      <c r="D72">
        <v>26</v>
      </c>
      <c r="E72" t="s">
        <v>16</v>
      </c>
      <c r="F72" s="1">
        <v>44350</v>
      </c>
      <c r="G72" t="s">
        <v>9</v>
      </c>
      <c r="H72">
        <v>53540</v>
      </c>
    </row>
    <row r="73" spans="2:8" x14ac:dyDescent="0.25">
      <c r="B73" t="s">
        <v>189</v>
      </c>
      <c r="C73" t="s">
        <v>15</v>
      </c>
      <c r="D73">
        <v>37</v>
      </c>
      <c r="E73" t="s">
        <v>16</v>
      </c>
      <c r="F73" s="1">
        <v>44640</v>
      </c>
      <c r="G73" t="s">
        <v>12</v>
      </c>
      <c r="H73">
        <v>69070</v>
      </c>
    </row>
    <row r="74" spans="2:8" x14ac:dyDescent="0.25">
      <c r="B74" t="s">
        <v>120</v>
      </c>
      <c r="C74" t="s">
        <v>8</v>
      </c>
      <c r="D74">
        <v>30</v>
      </c>
      <c r="E74" t="s">
        <v>24</v>
      </c>
      <c r="F74" s="1">
        <v>44328</v>
      </c>
      <c r="G74" t="s">
        <v>21</v>
      </c>
      <c r="H74">
        <v>67910</v>
      </c>
    </row>
    <row r="75" spans="2:8" x14ac:dyDescent="0.25">
      <c r="B75" t="s">
        <v>118</v>
      </c>
      <c r="C75" t="s">
        <v>15</v>
      </c>
      <c r="D75">
        <v>30</v>
      </c>
      <c r="E75" t="s">
        <v>16</v>
      </c>
      <c r="F75" s="1">
        <v>44214</v>
      </c>
      <c r="G75" t="s">
        <v>12</v>
      </c>
      <c r="H75">
        <v>69120</v>
      </c>
    </row>
    <row r="76" spans="2:8" x14ac:dyDescent="0.25">
      <c r="B76" t="s">
        <v>131</v>
      </c>
      <c r="C76" t="s">
        <v>8</v>
      </c>
      <c r="D76">
        <v>34</v>
      </c>
      <c r="E76" t="s">
        <v>16</v>
      </c>
      <c r="F76" s="1">
        <v>44550</v>
      </c>
      <c r="G76" t="s">
        <v>21</v>
      </c>
      <c r="H76">
        <v>60130</v>
      </c>
    </row>
    <row r="77" spans="2:8" x14ac:dyDescent="0.25">
      <c r="B77" t="s">
        <v>160</v>
      </c>
      <c r="C77" t="s">
        <v>15</v>
      </c>
      <c r="D77">
        <v>23</v>
      </c>
      <c r="E77" t="s">
        <v>16</v>
      </c>
      <c r="F77" s="1">
        <v>44378</v>
      </c>
      <c r="G77" t="s">
        <v>9</v>
      </c>
      <c r="H77">
        <v>106460</v>
      </c>
    </row>
    <row r="78" spans="2:8" x14ac:dyDescent="0.25">
      <c r="B78" t="s">
        <v>147</v>
      </c>
      <c r="C78" t="s">
        <v>8</v>
      </c>
      <c r="D78">
        <v>37</v>
      </c>
      <c r="E78" t="s">
        <v>16</v>
      </c>
      <c r="F78" s="1">
        <v>44389</v>
      </c>
      <c r="G78" t="s">
        <v>56</v>
      </c>
      <c r="H78">
        <v>118100</v>
      </c>
    </row>
    <row r="79" spans="2:8" x14ac:dyDescent="0.25">
      <c r="B79" t="s">
        <v>163</v>
      </c>
      <c r="C79" t="s">
        <v>8</v>
      </c>
      <c r="D79">
        <v>36</v>
      </c>
      <c r="E79" t="s">
        <v>16</v>
      </c>
      <c r="F79" s="1">
        <v>44468</v>
      </c>
      <c r="G79" t="s">
        <v>9</v>
      </c>
      <c r="H79">
        <v>78390</v>
      </c>
    </row>
    <row r="80" spans="2:8" x14ac:dyDescent="0.25">
      <c r="B80" t="s">
        <v>146</v>
      </c>
      <c r="C80" t="s">
        <v>8</v>
      </c>
      <c r="D80">
        <v>30</v>
      </c>
      <c r="E80" t="s">
        <v>16</v>
      </c>
      <c r="F80" s="1">
        <v>44789</v>
      </c>
      <c r="G80" t="s">
        <v>9</v>
      </c>
      <c r="H80">
        <v>114180</v>
      </c>
    </row>
    <row r="81" spans="2:8" x14ac:dyDescent="0.25">
      <c r="B81" t="s">
        <v>188</v>
      </c>
      <c r="C81" t="s">
        <v>8</v>
      </c>
      <c r="D81">
        <v>28</v>
      </c>
      <c r="E81" t="s">
        <v>16</v>
      </c>
      <c r="F81" s="1">
        <v>44590</v>
      </c>
      <c r="G81" t="s">
        <v>9</v>
      </c>
      <c r="H81">
        <v>104120</v>
      </c>
    </row>
    <row r="82" spans="2:8" x14ac:dyDescent="0.25">
      <c r="B82" t="s">
        <v>137</v>
      </c>
      <c r="C82" t="s">
        <v>15</v>
      </c>
      <c r="D82">
        <v>30</v>
      </c>
      <c r="E82" t="s">
        <v>16</v>
      </c>
      <c r="F82" s="1">
        <v>44640</v>
      </c>
      <c r="G82" t="s">
        <v>9</v>
      </c>
      <c r="H82">
        <v>67950</v>
      </c>
    </row>
    <row r="83" spans="2:8" x14ac:dyDescent="0.25">
      <c r="B83" t="s">
        <v>136</v>
      </c>
      <c r="C83" t="s">
        <v>8</v>
      </c>
      <c r="D83">
        <v>29</v>
      </c>
      <c r="E83" t="s">
        <v>16</v>
      </c>
      <c r="F83" s="1">
        <v>43962</v>
      </c>
      <c r="G83" t="s">
        <v>12</v>
      </c>
      <c r="H83">
        <v>34980</v>
      </c>
    </row>
    <row r="84" spans="2:8" x14ac:dyDescent="0.25">
      <c r="B84" t="s">
        <v>152</v>
      </c>
      <c r="C84" t="s">
        <v>8</v>
      </c>
      <c r="D84">
        <v>24</v>
      </c>
      <c r="E84" t="s">
        <v>16</v>
      </c>
      <c r="F84" s="1">
        <v>44087</v>
      </c>
      <c r="G84" t="s">
        <v>12</v>
      </c>
      <c r="H84">
        <v>62780</v>
      </c>
    </row>
    <row r="85" spans="2:8" x14ac:dyDescent="0.25">
      <c r="B85" t="s">
        <v>116</v>
      </c>
      <c r="C85" t="s">
        <v>15</v>
      </c>
      <c r="D85">
        <v>20</v>
      </c>
      <c r="E85" t="s">
        <v>16</v>
      </c>
      <c r="F85" s="1">
        <v>44397</v>
      </c>
      <c r="G85" t="s">
        <v>12</v>
      </c>
      <c r="H85">
        <v>107700</v>
      </c>
    </row>
    <row r="86" spans="2:8" x14ac:dyDescent="0.25">
      <c r="B86" t="s">
        <v>167</v>
      </c>
      <c r="C86" t="s">
        <v>15</v>
      </c>
      <c r="D86">
        <v>25</v>
      </c>
      <c r="E86" t="s">
        <v>16</v>
      </c>
      <c r="F86" s="1">
        <v>44322</v>
      </c>
      <c r="G86" t="s">
        <v>19</v>
      </c>
      <c r="H86">
        <v>65700</v>
      </c>
    </row>
    <row r="87" spans="2:8" x14ac:dyDescent="0.25">
      <c r="B87" t="s">
        <v>134</v>
      </c>
      <c r="C87" t="s">
        <v>8</v>
      </c>
      <c r="D87">
        <v>33</v>
      </c>
      <c r="E87" t="s">
        <v>42</v>
      </c>
      <c r="F87" s="1">
        <v>44313</v>
      </c>
      <c r="G87" t="s">
        <v>12</v>
      </c>
      <c r="H87">
        <v>75480</v>
      </c>
    </row>
    <row r="88" spans="2:8" x14ac:dyDescent="0.25">
      <c r="B88" t="s">
        <v>173</v>
      </c>
      <c r="C88" t="s">
        <v>15</v>
      </c>
      <c r="D88">
        <v>33</v>
      </c>
      <c r="E88" t="s">
        <v>16</v>
      </c>
      <c r="F88" s="1">
        <v>44448</v>
      </c>
      <c r="G88" t="s">
        <v>12</v>
      </c>
      <c r="H88">
        <v>53870</v>
      </c>
    </row>
    <row r="89" spans="2:8" x14ac:dyDescent="0.25">
      <c r="B89" t="s">
        <v>140</v>
      </c>
      <c r="C89" t="s">
        <v>8</v>
      </c>
      <c r="D89">
        <v>36</v>
      </c>
      <c r="E89" t="s">
        <v>16</v>
      </c>
      <c r="F89" s="1">
        <v>44433</v>
      </c>
      <c r="G89" t="s">
        <v>19</v>
      </c>
      <c r="H89">
        <v>78540</v>
      </c>
    </row>
    <row r="90" spans="2:8" x14ac:dyDescent="0.25">
      <c r="B90" t="s">
        <v>192</v>
      </c>
      <c r="C90" t="s">
        <v>15</v>
      </c>
      <c r="D90">
        <v>19</v>
      </c>
      <c r="E90" t="s">
        <v>16</v>
      </c>
      <c r="F90" s="1">
        <v>44218</v>
      </c>
      <c r="G90" t="s">
        <v>9</v>
      </c>
      <c r="H90">
        <v>58960</v>
      </c>
    </row>
    <row r="91" spans="2:8" x14ac:dyDescent="0.25">
      <c r="B91" t="s">
        <v>161</v>
      </c>
      <c r="C91" t="s">
        <v>15</v>
      </c>
      <c r="D91">
        <v>46</v>
      </c>
      <c r="E91" t="s">
        <v>16</v>
      </c>
      <c r="F91" s="1">
        <v>44697</v>
      </c>
      <c r="G91" t="s">
        <v>9</v>
      </c>
      <c r="H91">
        <v>70610</v>
      </c>
    </row>
    <row r="92" spans="2:8" x14ac:dyDescent="0.25">
      <c r="B92" t="s">
        <v>170</v>
      </c>
      <c r="C92" t="s">
        <v>15</v>
      </c>
      <c r="D92">
        <v>33</v>
      </c>
      <c r="E92" t="s">
        <v>16</v>
      </c>
      <c r="F92" s="1">
        <v>44181</v>
      </c>
      <c r="G92" t="s">
        <v>21</v>
      </c>
      <c r="H92">
        <v>59430</v>
      </c>
    </row>
    <row r="93" spans="2:8" x14ac:dyDescent="0.25">
      <c r="B93" t="s">
        <v>143</v>
      </c>
      <c r="C93" t="s">
        <v>15</v>
      </c>
      <c r="D93">
        <v>33</v>
      </c>
      <c r="E93" t="s">
        <v>13</v>
      </c>
      <c r="F93" s="1">
        <v>44640</v>
      </c>
      <c r="G93" t="s">
        <v>9</v>
      </c>
      <c r="H93">
        <v>48530</v>
      </c>
    </row>
    <row r="94" spans="2:8" x14ac:dyDescent="0.25">
      <c r="B94" t="s">
        <v>162</v>
      </c>
      <c r="C94" t="s">
        <v>8</v>
      </c>
      <c r="D94">
        <v>33</v>
      </c>
      <c r="E94" t="s">
        <v>16</v>
      </c>
      <c r="F94" s="1">
        <v>44129</v>
      </c>
      <c r="G94" t="s">
        <v>12</v>
      </c>
      <c r="H94">
        <v>96140</v>
      </c>
    </row>
    <row r="95" spans="2:8" x14ac:dyDescent="0.25">
      <c r="B95" t="s">
        <v>155</v>
      </c>
      <c r="C95" t="s">
        <v>15</v>
      </c>
      <c r="D95">
        <v>20</v>
      </c>
      <c r="E95" t="s">
        <v>16</v>
      </c>
      <c r="F95" s="1">
        <v>44122</v>
      </c>
      <c r="G95" t="s">
        <v>12</v>
      </c>
      <c r="H95">
        <v>112650</v>
      </c>
    </row>
    <row r="96" spans="2:8" x14ac:dyDescent="0.25">
      <c r="B96" t="s">
        <v>175</v>
      </c>
      <c r="C96" t="s">
        <v>8</v>
      </c>
      <c r="D96">
        <v>32</v>
      </c>
      <c r="E96" t="s">
        <v>13</v>
      </c>
      <c r="F96" s="1">
        <v>44293</v>
      </c>
      <c r="G96" t="s">
        <v>12</v>
      </c>
      <c r="H96">
        <v>43840</v>
      </c>
    </row>
    <row r="97" spans="2:8" x14ac:dyDescent="0.25">
      <c r="B97" t="s">
        <v>142</v>
      </c>
      <c r="C97" t="s">
        <v>15</v>
      </c>
      <c r="D97">
        <v>31</v>
      </c>
      <c r="E97" t="s">
        <v>16</v>
      </c>
      <c r="F97" s="1">
        <v>44663</v>
      </c>
      <c r="G97" t="s">
        <v>9</v>
      </c>
      <c r="H97">
        <v>103550</v>
      </c>
    </row>
    <row r="98" spans="2:8" x14ac:dyDescent="0.25">
      <c r="B98" t="s">
        <v>200</v>
      </c>
      <c r="C98" t="s">
        <v>8</v>
      </c>
      <c r="D98">
        <v>32</v>
      </c>
      <c r="E98" t="s">
        <v>16</v>
      </c>
      <c r="F98" s="1">
        <v>44339</v>
      </c>
      <c r="G98" t="s">
        <v>56</v>
      </c>
      <c r="H98">
        <v>45510</v>
      </c>
    </row>
    <row r="99" spans="2:8" x14ac:dyDescent="0.25">
      <c r="B99" t="s">
        <v>141</v>
      </c>
      <c r="D99">
        <v>37</v>
      </c>
      <c r="E99" t="s">
        <v>24</v>
      </c>
      <c r="F99" s="1">
        <v>44085</v>
      </c>
      <c r="G99" t="s">
        <v>21</v>
      </c>
      <c r="H99">
        <v>115440</v>
      </c>
    </row>
    <row r="100" spans="2:8" x14ac:dyDescent="0.25">
      <c r="B100" t="s">
        <v>201</v>
      </c>
      <c r="C100" t="s">
        <v>8</v>
      </c>
      <c r="D100">
        <v>38</v>
      </c>
      <c r="E100" t="s">
        <v>13</v>
      </c>
      <c r="F100" s="1">
        <v>44268</v>
      </c>
      <c r="G100" t="s">
        <v>19</v>
      </c>
      <c r="H100">
        <v>56870</v>
      </c>
    </row>
    <row r="101" spans="2:8" x14ac:dyDescent="0.25">
      <c r="B101" t="s">
        <v>168</v>
      </c>
      <c r="C101" t="s">
        <v>8</v>
      </c>
      <c r="D101">
        <v>25</v>
      </c>
      <c r="E101" t="s">
        <v>16</v>
      </c>
      <c r="F101" s="1">
        <v>44144</v>
      </c>
      <c r="G101" t="s">
        <v>19</v>
      </c>
      <c r="H101">
        <v>92700</v>
      </c>
    </row>
    <row r="102" spans="2:8" x14ac:dyDescent="0.25">
      <c r="B102" t="s">
        <v>144</v>
      </c>
      <c r="D102">
        <v>32</v>
      </c>
      <c r="E102" t="s">
        <v>16</v>
      </c>
      <c r="F102" s="1">
        <v>44713</v>
      </c>
      <c r="G102" t="s">
        <v>12</v>
      </c>
      <c r="H102">
        <v>91310</v>
      </c>
    </row>
    <row r="103" spans="2:8" x14ac:dyDescent="0.25">
      <c r="B103" t="s">
        <v>114</v>
      </c>
      <c r="C103" t="s">
        <v>15</v>
      </c>
      <c r="D103">
        <v>33</v>
      </c>
      <c r="E103" t="s">
        <v>16</v>
      </c>
      <c r="F103" s="1">
        <v>44324</v>
      </c>
      <c r="G103" t="s">
        <v>19</v>
      </c>
      <c r="H103">
        <v>74550</v>
      </c>
    </row>
    <row r="104" spans="2:8" x14ac:dyDescent="0.25">
      <c r="B104" t="s">
        <v>127</v>
      </c>
      <c r="C104" t="s">
        <v>15</v>
      </c>
      <c r="D104">
        <v>25</v>
      </c>
      <c r="E104" t="s">
        <v>13</v>
      </c>
      <c r="F104" s="1">
        <v>44665</v>
      </c>
      <c r="G104" t="s">
        <v>9</v>
      </c>
      <c r="H104">
        <v>109190</v>
      </c>
    </row>
    <row r="105" spans="2:8" x14ac:dyDescent="0.25">
      <c r="B105" t="s">
        <v>193</v>
      </c>
      <c r="C105" t="s">
        <v>8</v>
      </c>
      <c r="D105">
        <v>40</v>
      </c>
      <c r="E105" t="s">
        <v>16</v>
      </c>
      <c r="F105" s="1">
        <v>44320</v>
      </c>
      <c r="G105" t="s">
        <v>12</v>
      </c>
      <c r="H105">
        <v>104410</v>
      </c>
    </row>
    <row r="106" spans="2:8" x14ac:dyDescent="0.25">
      <c r="B106" t="s">
        <v>176</v>
      </c>
      <c r="C106" t="s">
        <v>15</v>
      </c>
      <c r="D106">
        <v>30</v>
      </c>
      <c r="E106" t="s">
        <v>16</v>
      </c>
      <c r="F106" s="1">
        <v>44544</v>
      </c>
      <c r="G106" t="s">
        <v>21</v>
      </c>
      <c r="H106">
        <v>96800</v>
      </c>
    </row>
    <row r="107" spans="2:8" x14ac:dyDescent="0.25">
      <c r="B107" t="s">
        <v>122</v>
      </c>
      <c r="C107" t="s">
        <v>15</v>
      </c>
      <c r="D107">
        <v>28</v>
      </c>
      <c r="E107" t="s">
        <v>13</v>
      </c>
      <c r="F107" s="1">
        <v>43980</v>
      </c>
      <c r="G107" t="s">
        <v>21</v>
      </c>
      <c r="H107">
        <v>48170</v>
      </c>
    </row>
    <row r="108" spans="2:8" x14ac:dyDescent="0.25">
      <c r="B108" t="s">
        <v>139</v>
      </c>
      <c r="C108" t="s">
        <v>15</v>
      </c>
      <c r="D108">
        <v>21</v>
      </c>
      <c r="E108" t="s">
        <v>16</v>
      </c>
      <c r="F108" s="1">
        <v>44042</v>
      </c>
      <c r="G108" t="s">
        <v>9</v>
      </c>
      <c r="H108">
        <v>37920</v>
      </c>
    </row>
    <row r="109" spans="2:8" x14ac:dyDescent="0.25">
      <c r="B109" t="s">
        <v>177</v>
      </c>
      <c r="C109" t="s">
        <v>15</v>
      </c>
      <c r="D109">
        <v>34</v>
      </c>
      <c r="E109" t="s">
        <v>16</v>
      </c>
      <c r="F109" s="1">
        <v>44642</v>
      </c>
      <c r="G109" t="s">
        <v>9</v>
      </c>
      <c r="H109">
        <v>112650</v>
      </c>
    </row>
    <row r="110" spans="2:8" x14ac:dyDescent="0.25">
      <c r="B110" t="s">
        <v>164</v>
      </c>
      <c r="C110" t="s">
        <v>8</v>
      </c>
      <c r="D110">
        <v>34</v>
      </c>
      <c r="E110" t="s">
        <v>24</v>
      </c>
      <c r="F110" s="1">
        <v>44660</v>
      </c>
      <c r="G110" t="s">
        <v>19</v>
      </c>
      <c r="H110">
        <v>49630</v>
      </c>
    </row>
    <row r="111" spans="2:8" x14ac:dyDescent="0.25">
      <c r="B111" t="s">
        <v>198</v>
      </c>
      <c r="C111" t="s">
        <v>15</v>
      </c>
      <c r="D111">
        <v>36</v>
      </c>
      <c r="E111" t="s">
        <v>16</v>
      </c>
      <c r="F111" s="1">
        <v>43958</v>
      </c>
      <c r="G111" t="s">
        <v>12</v>
      </c>
      <c r="H111">
        <v>118840</v>
      </c>
    </row>
    <row r="112" spans="2:8" x14ac:dyDescent="0.25">
      <c r="B112" t="s">
        <v>158</v>
      </c>
      <c r="C112" t="s">
        <v>15</v>
      </c>
      <c r="D112">
        <v>30</v>
      </c>
      <c r="E112" t="s">
        <v>16</v>
      </c>
      <c r="F112" s="1">
        <v>44789</v>
      </c>
      <c r="G112" t="s">
        <v>12</v>
      </c>
      <c r="H112">
        <v>69710</v>
      </c>
    </row>
    <row r="113" spans="2:8" x14ac:dyDescent="0.25">
      <c r="B113" t="s">
        <v>196</v>
      </c>
      <c r="C113" t="s">
        <v>15</v>
      </c>
      <c r="D113">
        <v>20</v>
      </c>
      <c r="E113" t="s">
        <v>16</v>
      </c>
      <c r="F113" s="1">
        <v>44683</v>
      </c>
      <c r="G113" t="s">
        <v>9</v>
      </c>
      <c r="H113">
        <v>79570</v>
      </c>
    </row>
    <row r="114" spans="2:8" x14ac:dyDescent="0.25">
      <c r="B114" t="s">
        <v>153</v>
      </c>
      <c r="C114" t="s">
        <v>8</v>
      </c>
      <c r="D114">
        <v>22</v>
      </c>
      <c r="E114" t="s">
        <v>13</v>
      </c>
      <c r="F114" s="1">
        <v>44388</v>
      </c>
      <c r="G114" t="s">
        <v>9</v>
      </c>
      <c r="H114">
        <v>76900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D969A-4CF3-4492-A735-87976549D79F}">
  <sheetPr>
    <tabColor theme="4" tint="-0.249977111117893"/>
  </sheetPr>
  <dimension ref="A3:H104"/>
  <sheetViews>
    <sheetView topLeftCell="A16" workbookViewId="0">
      <selection activeCell="D8" sqref="D8"/>
    </sheetView>
  </sheetViews>
  <sheetFormatPr defaultRowHeight="15" x14ac:dyDescent="0.25"/>
  <cols>
    <col min="1" max="1" width="11" customWidth="1"/>
    <col min="2" max="2" width="21.42578125" bestFit="1" customWidth="1"/>
    <col min="3" max="3" width="10" bestFit="1" customWidth="1"/>
    <col min="4" max="4" width="14" bestFit="1" customWidth="1"/>
    <col min="5" max="5" width="6.7109375" bestFit="1" customWidth="1"/>
    <col min="6" max="6" width="13.7109375" bestFit="1" customWidth="1"/>
    <col min="7" max="7" width="11.85546875" bestFit="1" customWidth="1"/>
    <col min="8" max="8" width="14.28515625" bestFit="1" customWidth="1"/>
  </cols>
  <sheetData>
    <row r="3" spans="2:8" x14ac:dyDescent="0.25">
      <c r="B3" t="s">
        <v>0</v>
      </c>
      <c r="C3" t="s">
        <v>1</v>
      </c>
      <c r="D3" t="s">
        <v>2</v>
      </c>
      <c r="E3" t="s">
        <v>3</v>
      </c>
      <c r="F3" s="1" t="s">
        <v>4</v>
      </c>
      <c r="G3" t="s">
        <v>5</v>
      </c>
      <c r="H3" t="s">
        <v>6</v>
      </c>
    </row>
    <row r="4" spans="2:8" x14ac:dyDescent="0.25">
      <c r="B4" t="s">
        <v>58</v>
      </c>
      <c r="C4" t="s">
        <v>15</v>
      </c>
      <c r="D4" t="s">
        <v>19</v>
      </c>
      <c r="E4">
        <v>22</v>
      </c>
      <c r="F4" s="1">
        <v>44446</v>
      </c>
      <c r="G4" s="2">
        <v>112780</v>
      </c>
      <c r="H4" t="s">
        <v>13</v>
      </c>
    </row>
    <row r="5" spans="2:8" x14ac:dyDescent="0.25">
      <c r="B5" t="s">
        <v>70</v>
      </c>
      <c r="C5" t="s">
        <v>15</v>
      </c>
      <c r="D5" t="s">
        <v>9</v>
      </c>
      <c r="E5">
        <v>46</v>
      </c>
      <c r="F5" s="1">
        <v>44758</v>
      </c>
      <c r="G5" s="2">
        <v>70610</v>
      </c>
      <c r="H5" t="s">
        <v>16</v>
      </c>
    </row>
    <row r="6" spans="2:8" x14ac:dyDescent="0.25">
      <c r="B6" t="s">
        <v>75</v>
      </c>
      <c r="C6" t="s">
        <v>8</v>
      </c>
      <c r="D6" t="s">
        <v>19</v>
      </c>
      <c r="E6">
        <v>28</v>
      </c>
      <c r="F6" s="1">
        <v>44357</v>
      </c>
      <c r="G6" s="2">
        <v>53240</v>
      </c>
      <c r="H6" t="s">
        <v>16</v>
      </c>
    </row>
    <row r="7" spans="2:8" x14ac:dyDescent="0.25">
      <c r="B7" t="s">
        <v>49</v>
      </c>
      <c r="D7" t="s">
        <v>21</v>
      </c>
      <c r="E7">
        <v>37</v>
      </c>
      <c r="F7" s="1">
        <v>44146</v>
      </c>
      <c r="G7" s="2">
        <v>115440</v>
      </c>
      <c r="H7" t="s">
        <v>24</v>
      </c>
    </row>
    <row r="8" spans="2:8" x14ac:dyDescent="0.25">
      <c r="B8" t="s">
        <v>65</v>
      </c>
      <c r="C8" t="s">
        <v>15</v>
      </c>
      <c r="D8" t="s">
        <v>19</v>
      </c>
      <c r="E8">
        <v>32</v>
      </c>
      <c r="F8" s="1">
        <v>44465</v>
      </c>
      <c r="G8" s="2">
        <v>53540</v>
      </c>
      <c r="H8" t="s">
        <v>16</v>
      </c>
    </row>
    <row r="9" spans="2:8" x14ac:dyDescent="0.25">
      <c r="B9" t="s">
        <v>81</v>
      </c>
      <c r="C9" t="s">
        <v>8</v>
      </c>
      <c r="D9" t="s">
        <v>9</v>
      </c>
      <c r="E9">
        <v>30</v>
      </c>
      <c r="F9" s="1">
        <v>44861</v>
      </c>
      <c r="G9" s="2">
        <v>112570</v>
      </c>
      <c r="H9" t="s">
        <v>16</v>
      </c>
    </row>
    <row r="10" spans="2:8" x14ac:dyDescent="0.25">
      <c r="B10" t="s">
        <v>51</v>
      </c>
      <c r="C10" t="s">
        <v>15</v>
      </c>
      <c r="D10" t="s">
        <v>9</v>
      </c>
      <c r="E10">
        <v>33</v>
      </c>
      <c r="F10" s="1">
        <v>44701</v>
      </c>
      <c r="G10" s="2">
        <v>48530</v>
      </c>
      <c r="H10" t="s">
        <v>13</v>
      </c>
    </row>
    <row r="11" spans="2:8" x14ac:dyDescent="0.25">
      <c r="B11" t="s">
        <v>61</v>
      </c>
      <c r="C11" t="s">
        <v>8</v>
      </c>
      <c r="D11" t="s">
        <v>12</v>
      </c>
      <c r="E11">
        <v>24</v>
      </c>
      <c r="F11" s="1">
        <v>44148</v>
      </c>
      <c r="G11" s="2">
        <v>62780</v>
      </c>
      <c r="H11" t="s">
        <v>16</v>
      </c>
    </row>
    <row r="12" spans="2:8" x14ac:dyDescent="0.25">
      <c r="B12" t="s">
        <v>82</v>
      </c>
      <c r="C12" t="s">
        <v>15</v>
      </c>
      <c r="D12" t="s">
        <v>12</v>
      </c>
      <c r="E12">
        <v>33</v>
      </c>
      <c r="F12" s="1">
        <v>44509</v>
      </c>
      <c r="G12" s="2">
        <v>53870</v>
      </c>
      <c r="H12" t="s">
        <v>16</v>
      </c>
    </row>
    <row r="13" spans="2:8" x14ac:dyDescent="0.25">
      <c r="B13" t="s">
        <v>60</v>
      </c>
      <c r="C13" t="s">
        <v>8</v>
      </c>
      <c r="D13" t="s">
        <v>56</v>
      </c>
      <c r="E13">
        <v>27</v>
      </c>
      <c r="F13" s="1">
        <v>44122</v>
      </c>
      <c r="G13" s="2">
        <v>119110</v>
      </c>
      <c r="H13" t="s">
        <v>16</v>
      </c>
    </row>
    <row r="14" spans="2:8" x14ac:dyDescent="0.25">
      <c r="B14" t="s">
        <v>87</v>
      </c>
      <c r="C14" t="s">
        <v>15</v>
      </c>
      <c r="D14" t="s">
        <v>12</v>
      </c>
      <c r="E14">
        <v>29</v>
      </c>
      <c r="F14" s="1">
        <v>44180</v>
      </c>
      <c r="G14" s="2">
        <v>112110</v>
      </c>
      <c r="H14" t="s">
        <v>24</v>
      </c>
    </row>
    <row r="15" spans="2:8" x14ac:dyDescent="0.25">
      <c r="B15" t="s">
        <v>76</v>
      </c>
      <c r="C15" t="s">
        <v>15</v>
      </c>
      <c r="D15" t="s">
        <v>19</v>
      </c>
      <c r="E15">
        <v>25</v>
      </c>
      <c r="F15" s="1">
        <v>44383</v>
      </c>
      <c r="G15" s="2">
        <v>65700</v>
      </c>
      <c r="H15" t="s">
        <v>16</v>
      </c>
    </row>
    <row r="16" spans="2:8" x14ac:dyDescent="0.25">
      <c r="B16" t="s">
        <v>97</v>
      </c>
      <c r="C16" t="s">
        <v>15</v>
      </c>
      <c r="D16" t="s">
        <v>12</v>
      </c>
      <c r="E16">
        <v>37</v>
      </c>
      <c r="F16" s="1">
        <v>44701</v>
      </c>
      <c r="G16" s="2">
        <v>69070</v>
      </c>
      <c r="H16" t="s">
        <v>16</v>
      </c>
    </row>
    <row r="17" spans="2:8" x14ac:dyDescent="0.25">
      <c r="B17" t="s">
        <v>22</v>
      </c>
      <c r="C17" t="s">
        <v>15</v>
      </c>
      <c r="D17" t="s">
        <v>12</v>
      </c>
      <c r="E17">
        <v>20</v>
      </c>
      <c r="F17" s="1">
        <v>44459</v>
      </c>
      <c r="G17" s="2">
        <v>107700</v>
      </c>
      <c r="H17" t="s">
        <v>16</v>
      </c>
    </row>
    <row r="18" spans="2:8" x14ac:dyDescent="0.25">
      <c r="B18" t="s">
        <v>84</v>
      </c>
      <c r="C18" t="s">
        <v>8</v>
      </c>
      <c r="D18" t="s">
        <v>12</v>
      </c>
      <c r="E18">
        <v>32</v>
      </c>
      <c r="F18" s="1">
        <v>44354</v>
      </c>
      <c r="G18" s="2">
        <v>43840</v>
      </c>
      <c r="H18" t="s">
        <v>13</v>
      </c>
    </row>
    <row r="19" spans="2:8" x14ac:dyDescent="0.25">
      <c r="B19" t="s">
        <v>105</v>
      </c>
      <c r="C19" t="s">
        <v>15</v>
      </c>
      <c r="D19" t="s">
        <v>9</v>
      </c>
      <c r="E19">
        <v>40</v>
      </c>
      <c r="F19" s="1">
        <v>44263</v>
      </c>
      <c r="G19" s="2">
        <v>99750</v>
      </c>
      <c r="H19" t="s">
        <v>16</v>
      </c>
    </row>
    <row r="20" spans="2:8" x14ac:dyDescent="0.25">
      <c r="B20" t="s">
        <v>47</v>
      </c>
      <c r="C20" t="s">
        <v>15</v>
      </c>
      <c r="D20" t="s">
        <v>9</v>
      </c>
      <c r="E20">
        <v>21</v>
      </c>
      <c r="F20" s="1">
        <v>44104</v>
      </c>
      <c r="G20" s="2">
        <v>37920</v>
      </c>
      <c r="H20" t="s">
        <v>16</v>
      </c>
    </row>
    <row r="21" spans="2:8" x14ac:dyDescent="0.25">
      <c r="B21" t="s">
        <v>31</v>
      </c>
      <c r="C21" t="s">
        <v>15</v>
      </c>
      <c r="D21" t="s">
        <v>9</v>
      </c>
      <c r="E21">
        <v>21</v>
      </c>
      <c r="F21" s="1">
        <v>44762</v>
      </c>
      <c r="G21" s="2">
        <v>57090</v>
      </c>
      <c r="H21" t="s">
        <v>16</v>
      </c>
    </row>
    <row r="22" spans="2:8" x14ac:dyDescent="0.25">
      <c r="B22" t="s">
        <v>30</v>
      </c>
      <c r="C22" t="s">
        <v>8</v>
      </c>
      <c r="D22" t="s">
        <v>12</v>
      </c>
      <c r="E22">
        <v>31</v>
      </c>
      <c r="F22" s="1">
        <v>44145</v>
      </c>
      <c r="G22" s="2">
        <v>41980</v>
      </c>
      <c r="H22" t="s">
        <v>16</v>
      </c>
    </row>
    <row r="23" spans="2:8" x14ac:dyDescent="0.25">
      <c r="B23" t="s">
        <v>78</v>
      </c>
      <c r="C23" t="s">
        <v>15</v>
      </c>
      <c r="D23" t="s">
        <v>56</v>
      </c>
      <c r="E23">
        <v>21</v>
      </c>
      <c r="F23" s="1">
        <v>44242</v>
      </c>
      <c r="G23" s="2">
        <v>75880</v>
      </c>
      <c r="H23" t="s">
        <v>16</v>
      </c>
    </row>
    <row r="24" spans="2:8" x14ac:dyDescent="0.25">
      <c r="B24" t="s">
        <v>36</v>
      </c>
      <c r="C24" t="s">
        <v>8</v>
      </c>
      <c r="D24" t="s">
        <v>21</v>
      </c>
      <c r="E24">
        <v>34</v>
      </c>
      <c r="F24" s="1">
        <v>44653</v>
      </c>
      <c r="G24" s="2">
        <v>58940</v>
      </c>
      <c r="H24" t="s">
        <v>16</v>
      </c>
    </row>
    <row r="25" spans="2:8" x14ac:dyDescent="0.25">
      <c r="B25" t="s">
        <v>27</v>
      </c>
      <c r="C25" t="s">
        <v>8</v>
      </c>
      <c r="D25" t="s">
        <v>21</v>
      </c>
      <c r="E25">
        <v>30</v>
      </c>
      <c r="F25" s="1">
        <v>44389</v>
      </c>
      <c r="G25" s="2">
        <v>67910</v>
      </c>
      <c r="H25" t="s">
        <v>24</v>
      </c>
    </row>
    <row r="26" spans="2:8" x14ac:dyDescent="0.25">
      <c r="B26" t="s">
        <v>26</v>
      </c>
      <c r="C26" t="s">
        <v>8</v>
      </c>
      <c r="D26" t="s">
        <v>12</v>
      </c>
      <c r="E26">
        <v>31</v>
      </c>
      <c r="F26" s="1">
        <v>44663</v>
      </c>
      <c r="G26" s="2">
        <v>58100</v>
      </c>
      <c r="H26" t="s">
        <v>16</v>
      </c>
    </row>
    <row r="27" spans="2:8" x14ac:dyDescent="0.25">
      <c r="B27" t="s">
        <v>53</v>
      </c>
      <c r="C27" t="s">
        <v>15</v>
      </c>
      <c r="D27" t="s">
        <v>21</v>
      </c>
      <c r="E27">
        <v>27</v>
      </c>
      <c r="F27" s="1">
        <v>44567</v>
      </c>
      <c r="G27" s="2">
        <v>48980</v>
      </c>
      <c r="H27" t="s">
        <v>16</v>
      </c>
    </row>
    <row r="28" spans="2:8" x14ac:dyDescent="0.25">
      <c r="B28" t="s">
        <v>20</v>
      </c>
      <c r="D28" t="s">
        <v>21</v>
      </c>
      <c r="E28">
        <v>30</v>
      </c>
      <c r="F28" s="1">
        <v>44597</v>
      </c>
      <c r="G28" s="2">
        <v>64000</v>
      </c>
      <c r="H28" t="s">
        <v>16</v>
      </c>
    </row>
    <row r="29" spans="2:8" x14ac:dyDescent="0.25">
      <c r="B29" t="s">
        <v>7</v>
      </c>
      <c r="C29" t="s">
        <v>8</v>
      </c>
      <c r="D29" t="s">
        <v>9</v>
      </c>
      <c r="E29">
        <v>42</v>
      </c>
      <c r="F29" s="1">
        <v>44779</v>
      </c>
      <c r="G29" s="2">
        <v>75000</v>
      </c>
      <c r="H29" t="s">
        <v>10</v>
      </c>
    </row>
    <row r="30" spans="2:8" x14ac:dyDescent="0.25">
      <c r="B30" t="s">
        <v>74</v>
      </c>
      <c r="C30" t="s">
        <v>8</v>
      </c>
      <c r="D30" t="s">
        <v>12</v>
      </c>
      <c r="E30">
        <v>40</v>
      </c>
      <c r="F30" s="1">
        <v>44337</v>
      </c>
      <c r="G30" s="2">
        <v>87620</v>
      </c>
      <c r="H30" t="s">
        <v>16</v>
      </c>
    </row>
    <row r="31" spans="2:8" x14ac:dyDescent="0.25">
      <c r="B31" t="s">
        <v>44</v>
      </c>
      <c r="C31" t="s">
        <v>8</v>
      </c>
      <c r="D31" t="s">
        <v>12</v>
      </c>
      <c r="E31">
        <v>29</v>
      </c>
      <c r="F31" s="1">
        <v>44023</v>
      </c>
      <c r="G31" s="2">
        <v>34980</v>
      </c>
      <c r="H31" t="s">
        <v>16</v>
      </c>
    </row>
    <row r="32" spans="2:8" x14ac:dyDescent="0.25">
      <c r="B32" t="s">
        <v>35</v>
      </c>
      <c r="C32" t="s">
        <v>8</v>
      </c>
      <c r="D32" t="s">
        <v>21</v>
      </c>
      <c r="E32">
        <v>28</v>
      </c>
      <c r="F32" s="1">
        <v>44185</v>
      </c>
      <c r="G32" s="2">
        <v>75970</v>
      </c>
      <c r="H32" t="s">
        <v>16</v>
      </c>
    </row>
    <row r="33" spans="1:8" x14ac:dyDescent="0.25">
      <c r="B33" t="s">
        <v>38</v>
      </c>
      <c r="C33" t="s">
        <v>8</v>
      </c>
      <c r="D33" t="s">
        <v>21</v>
      </c>
      <c r="E33">
        <v>34</v>
      </c>
      <c r="F33" s="1">
        <v>44612</v>
      </c>
      <c r="G33" s="2">
        <v>60130</v>
      </c>
      <c r="H33" t="s">
        <v>16</v>
      </c>
    </row>
    <row r="34" spans="1:8" x14ac:dyDescent="0.25">
      <c r="B34" t="s">
        <v>41</v>
      </c>
      <c r="C34" t="s">
        <v>8</v>
      </c>
      <c r="D34" t="s">
        <v>12</v>
      </c>
      <c r="E34">
        <v>33</v>
      </c>
      <c r="F34" s="1">
        <v>44374</v>
      </c>
      <c r="G34" s="2">
        <v>75480</v>
      </c>
      <c r="H34" t="s">
        <v>42</v>
      </c>
    </row>
    <row r="35" spans="1:8" x14ac:dyDescent="0.25">
      <c r="B35" t="s">
        <v>40</v>
      </c>
      <c r="C35" t="s">
        <v>15</v>
      </c>
      <c r="D35" t="s">
        <v>9</v>
      </c>
      <c r="E35">
        <v>33</v>
      </c>
      <c r="F35" s="1">
        <v>44164</v>
      </c>
      <c r="G35" s="2">
        <v>115920</v>
      </c>
      <c r="H35" t="s">
        <v>16</v>
      </c>
    </row>
    <row r="36" spans="1:8" x14ac:dyDescent="0.25">
      <c r="A36" t="s">
        <v>203</v>
      </c>
      <c r="B36" t="s">
        <v>48</v>
      </c>
      <c r="C36" t="s">
        <v>8</v>
      </c>
      <c r="D36" t="s">
        <v>19</v>
      </c>
      <c r="E36">
        <v>36</v>
      </c>
      <c r="F36" s="1">
        <v>44494</v>
      </c>
      <c r="G36" s="2">
        <v>78540</v>
      </c>
      <c r="H36" t="s">
        <v>16</v>
      </c>
    </row>
    <row r="37" spans="1:8" x14ac:dyDescent="0.25">
      <c r="B37" t="s">
        <v>34</v>
      </c>
      <c r="C37" t="s">
        <v>15</v>
      </c>
      <c r="D37" t="s">
        <v>9</v>
      </c>
      <c r="E37">
        <v>25</v>
      </c>
      <c r="F37" s="1">
        <v>44726</v>
      </c>
      <c r="G37" s="2">
        <v>109190</v>
      </c>
      <c r="H37" t="s">
        <v>13</v>
      </c>
    </row>
    <row r="38" spans="1:8" x14ac:dyDescent="0.25">
      <c r="B38" t="s">
        <v>73</v>
      </c>
      <c r="C38" t="s">
        <v>8</v>
      </c>
      <c r="D38" t="s">
        <v>19</v>
      </c>
      <c r="E38">
        <v>34</v>
      </c>
      <c r="F38" s="1">
        <v>44721</v>
      </c>
      <c r="G38" s="2">
        <v>49630</v>
      </c>
      <c r="H38" t="s">
        <v>24</v>
      </c>
    </row>
    <row r="39" spans="1:8" x14ac:dyDescent="0.25">
      <c r="B39" t="s">
        <v>107</v>
      </c>
      <c r="C39" t="s">
        <v>8</v>
      </c>
      <c r="D39" t="s">
        <v>9</v>
      </c>
      <c r="E39">
        <v>28</v>
      </c>
      <c r="F39" s="1">
        <v>44630</v>
      </c>
      <c r="G39" s="2">
        <v>99970</v>
      </c>
      <c r="H39" t="s">
        <v>16</v>
      </c>
    </row>
    <row r="40" spans="1:8" x14ac:dyDescent="0.25">
      <c r="B40" t="s">
        <v>71</v>
      </c>
      <c r="C40" t="s">
        <v>8</v>
      </c>
      <c r="D40" t="s">
        <v>12</v>
      </c>
      <c r="E40">
        <v>33</v>
      </c>
      <c r="F40" s="1">
        <v>44190</v>
      </c>
      <c r="G40" s="2">
        <v>96140</v>
      </c>
      <c r="H40" t="s">
        <v>16</v>
      </c>
    </row>
    <row r="41" spans="1:8" x14ac:dyDescent="0.25">
      <c r="B41" t="s">
        <v>50</v>
      </c>
      <c r="C41" t="s">
        <v>15</v>
      </c>
      <c r="D41" t="s">
        <v>9</v>
      </c>
      <c r="E41">
        <v>31</v>
      </c>
      <c r="F41" s="1">
        <v>44724</v>
      </c>
      <c r="G41" s="2">
        <v>103550</v>
      </c>
      <c r="H41" t="s">
        <v>16</v>
      </c>
    </row>
    <row r="42" spans="1:8" x14ac:dyDescent="0.25">
      <c r="B42" t="s">
        <v>14</v>
      </c>
      <c r="C42" t="s">
        <v>15</v>
      </c>
      <c r="D42" t="s">
        <v>12</v>
      </c>
      <c r="E42">
        <v>31</v>
      </c>
      <c r="F42" s="1">
        <v>44511</v>
      </c>
      <c r="G42" s="2">
        <v>48950</v>
      </c>
      <c r="H42" t="s">
        <v>16</v>
      </c>
    </row>
    <row r="43" spans="1:8" x14ac:dyDescent="0.25">
      <c r="B43" t="s">
        <v>63</v>
      </c>
      <c r="C43" t="s">
        <v>15</v>
      </c>
      <c r="D43" t="s">
        <v>21</v>
      </c>
      <c r="E43">
        <v>24</v>
      </c>
      <c r="F43" s="1">
        <v>44436</v>
      </c>
      <c r="G43" s="2">
        <v>52610</v>
      </c>
      <c r="H43" t="s">
        <v>24</v>
      </c>
    </row>
    <row r="44" spans="1:8" x14ac:dyDescent="0.25">
      <c r="B44" t="s">
        <v>72</v>
      </c>
      <c r="C44" t="s">
        <v>8</v>
      </c>
      <c r="D44" t="s">
        <v>9</v>
      </c>
      <c r="E44">
        <v>36</v>
      </c>
      <c r="F44" s="1">
        <v>44529</v>
      </c>
      <c r="G44" s="2">
        <v>78390</v>
      </c>
      <c r="H44" t="s">
        <v>16</v>
      </c>
    </row>
    <row r="45" spans="1:8" x14ac:dyDescent="0.25">
      <c r="B45" t="s">
        <v>88</v>
      </c>
      <c r="C45" t="s">
        <v>8</v>
      </c>
      <c r="D45" t="s">
        <v>21</v>
      </c>
      <c r="E45">
        <v>33</v>
      </c>
      <c r="F45" s="1">
        <v>44809</v>
      </c>
      <c r="G45" s="2">
        <v>86570</v>
      </c>
      <c r="H45" t="s">
        <v>16</v>
      </c>
    </row>
    <row r="46" spans="1:8" x14ac:dyDescent="0.25">
      <c r="B46" t="s">
        <v>92</v>
      </c>
      <c r="C46" t="s">
        <v>8</v>
      </c>
      <c r="D46" t="s">
        <v>12</v>
      </c>
      <c r="E46">
        <v>27</v>
      </c>
      <c r="F46" s="1">
        <v>44686</v>
      </c>
      <c r="G46" s="2">
        <v>83750</v>
      </c>
      <c r="H46" t="s">
        <v>16</v>
      </c>
    </row>
    <row r="47" spans="1:8" x14ac:dyDescent="0.25">
      <c r="B47" t="s">
        <v>102</v>
      </c>
      <c r="C47" t="s">
        <v>8</v>
      </c>
      <c r="D47" t="s">
        <v>21</v>
      </c>
      <c r="E47">
        <v>34</v>
      </c>
      <c r="F47" s="1">
        <v>44445</v>
      </c>
      <c r="G47" s="2">
        <v>92450</v>
      </c>
      <c r="H47" t="s">
        <v>16</v>
      </c>
    </row>
    <row r="48" spans="1:8" x14ac:dyDescent="0.25">
      <c r="B48" t="s">
        <v>64</v>
      </c>
      <c r="C48" t="s">
        <v>15</v>
      </c>
      <c r="D48" t="s">
        <v>12</v>
      </c>
      <c r="E48">
        <v>20</v>
      </c>
      <c r="F48" s="1">
        <v>44183</v>
      </c>
      <c r="G48" s="2">
        <v>112650</v>
      </c>
      <c r="H48" t="s">
        <v>16</v>
      </c>
    </row>
    <row r="49" spans="2:8" x14ac:dyDescent="0.25">
      <c r="B49" t="s">
        <v>104</v>
      </c>
      <c r="C49" t="s">
        <v>15</v>
      </c>
      <c r="D49" t="s">
        <v>9</v>
      </c>
      <c r="E49">
        <v>20</v>
      </c>
      <c r="F49" s="1">
        <v>44744</v>
      </c>
      <c r="G49" s="2">
        <v>79570</v>
      </c>
      <c r="H49" t="s">
        <v>16</v>
      </c>
    </row>
    <row r="50" spans="2:8" x14ac:dyDescent="0.25">
      <c r="B50" t="s">
        <v>91</v>
      </c>
      <c r="C50" t="s">
        <v>8</v>
      </c>
      <c r="D50" t="s">
        <v>19</v>
      </c>
      <c r="E50">
        <v>20</v>
      </c>
      <c r="F50" s="1">
        <v>44537</v>
      </c>
      <c r="G50" s="2">
        <v>68900</v>
      </c>
      <c r="H50" t="s">
        <v>24</v>
      </c>
    </row>
    <row r="51" spans="2:8" x14ac:dyDescent="0.25">
      <c r="B51" t="s">
        <v>39</v>
      </c>
      <c r="C51" t="s">
        <v>8</v>
      </c>
      <c r="D51" t="s">
        <v>12</v>
      </c>
      <c r="E51">
        <v>25</v>
      </c>
      <c r="F51" s="1">
        <v>44694</v>
      </c>
      <c r="G51" s="2">
        <v>80700</v>
      </c>
      <c r="H51" t="s">
        <v>13</v>
      </c>
    </row>
    <row r="52" spans="2:8" x14ac:dyDescent="0.25">
      <c r="B52" t="s">
        <v>100</v>
      </c>
      <c r="C52" t="s">
        <v>15</v>
      </c>
      <c r="D52" t="s">
        <v>9</v>
      </c>
      <c r="E52">
        <v>19</v>
      </c>
      <c r="F52" s="1">
        <v>44277</v>
      </c>
      <c r="G52" s="2">
        <v>58960</v>
      </c>
      <c r="H52" t="s">
        <v>16</v>
      </c>
    </row>
    <row r="53" spans="2:8" x14ac:dyDescent="0.25">
      <c r="B53" t="s">
        <v>106</v>
      </c>
      <c r="C53" t="s">
        <v>15</v>
      </c>
      <c r="D53" t="s">
        <v>12</v>
      </c>
      <c r="E53">
        <v>36</v>
      </c>
      <c r="F53" s="1">
        <v>44019</v>
      </c>
      <c r="G53" s="2">
        <v>118840</v>
      </c>
      <c r="H53" t="s">
        <v>16</v>
      </c>
    </row>
    <row r="54" spans="2:8" x14ac:dyDescent="0.25">
      <c r="B54" t="s">
        <v>29</v>
      </c>
      <c r="C54" t="s">
        <v>15</v>
      </c>
      <c r="D54" t="s">
        <v>21</v>
      </c>
      <c r="E54">
        <v>28</v>
      </c>
      <c r="F54" s="1">
        <v>44041</v>
      </c>
      <c r="G54" s="2">
        <v>48170</v>
      </c>
      <c r="H54" t="s">
        <v>13</v>
      </c>
    </row>
    <row r="55" spans="2:8" x14ac:dyDescent="0.25">
      <c r="B55" t="s">
        <v>108</v>
      </c>
      <c r="C55" t="s">
        <v>8</v>
      </c>
      <c r="D55" t="s">
        <v>56</v>
      </c>
      <c r="E55">
        <v>32</v>
      </c>
      <c r="F55" s="1">
        <v>44400</v>
      </c>
      <c r="G55" s="2">
        <v>45510</v>
      </c>
      <c r="H55" t="s">
        <v>16</v>
      </c>
    </row>
    <row r="56" spans="2:8" x14ac:dyDescent="0.25">
      <c r="B56" t="s">
        <v>64</v>
      </c>
      <c r="C56" t="s">
        <v>15</v>
      </c>
      <c r="D56" t="s">
        <v>9</v>
      </c>
      <c r="E56">
        <v>34</v>
      </c>
      <c r="F56" s="1">
        <v>44703</v>
      </c>
      <c r="G56" s="2">
        <v>112650</v>
      </c>
      <c r="H56" t="s">
        <v>16</v>
      </c>
    </row>
    <row r="57" spans="2:8" x14ac:dyDescent="0.25">
      <c r="B57" t="s">
        <v>83</v>
      </c>
      <c r="C57" t="s">
        <v>8</v>
      </c>
      <c r="D57" t="s">
        <v>9</v>
      </c>
      <c r="E57">
        <v>36</v>
      </c>
      <c r="F57" s="1">
        <v>44085</v>
      </c>
      <c r="G57" s="2">
        <v>114890</v>
      </c>
      <c r="H57" t="s">
        <v>16</v>
      </c>
    </row>
    <row r="58" spans="2:8" x14ac:dyDescent="0.25">
      <c r="B58" t="s">
        <v>67</v>
      </c>
      <c r="C58" t="s">
        <v>15</v>
      </c>
      <c r="D58" t="s">
        <v>12</v>
      </c>
      <c r="E58">
        <v>30</v>
      </c>
      <c r="F58" s="1">
        <v>44850</v>
      </c>
      <c r="G58" s="2">
        <v>69710</v>
      </c>
      <c r="H58" t="s">
        <v>16</v>
      </c>
    </row>
    <row r="59" spans="2:8" x14ac:dyDescent="0.25">
      <c r="B59" t="s">
        <v>94</v>
      </c>
      <c r="C59" t="s">
        <v>15</v>
      </c>
      <c r="D59" t="s">
        <v>21</v>
      </c>
      <c r="E59">
        <v>36</v>
      </c>
      <c r="F59" s="1">
        <v>44333</v>
      </c>
      <c r="G59" s="2">
        <v>71380</v>
      </c>
      <c r="H59" t="s">
        <v>16</v>
      </c>
    </row>
    <row r="60" spans="2:8" x14ac:dyDescent="0.25">
      <c r="B60" t="s">
        <v>33</v>
      </c>
      <c r="C60" t="s">
        <v>8</v>
      </c>
      <c r="D60" t="s">
        <v>19</v>
      </c>
      <c r="E60">
        <v>38</v>
      </c>
      <c r="F60" s="1">
        <v>44377</v>
      </c>
      <c r="G60" s="2">
        <v>109160</v>
      </c>
      <c r="H60" t="s">
        <v>10</v>
      </c>
    </row>
    <row r="61" spans="2:8" x14ac:dyDescent="0.25">
      <c r="B61" t="s">
        <v>98</v>
      </c>
      <c r="C61" t="s">
        <v>15</v>
      </c>
      <c r="D61" t="s">
        <v>9</v>
      </c>
      <c r="E61">
        <v>27</v>
      </c>
      <c r="F61" s="1">
        <v>44609</v>
      </c>
      <c r="G61" s="2">
        <v>113280</v>
      </c>
      <c r="H61" t="s">
        <v>42</v>
      </c>
    </row>
    <row r="62" spans="2:8" x14ac:dyDescent="0.25">
      <c r="B62" t="s">
        <v>25</v>
      </c>
      <c r="C62" t="s">
        <v>15</v>
      </c>
      <c r="D62" t="s">
        <v>12</v>
      </c>
      <c r="E62">
        <v>30</v>
      </c>
      <c r="F62" s="1">
        <v>44273</v>
      </c>
      <c r="G62" s="2">
        <v>69120</v>
      </c>
      <c r="H62" t="s">
        <v>16</v>
      </c>
    </row>
    <row r="63" spans="2:8" x14ac:dyDescent="0.25">
      <c r="B63" t="s">
        <v>55</v>
      </c>
      <c r="C63" t="s">
        <v>8</v>
      </c>
      <c r="D63" t="s">
        <v>56</v>
      </c>
      <c r="E63">
        <v>37</v>
      </c>
      <c r="F63" s="1">
        <v>44451</v>
      </c>
      <c r="G63" s="2">
        <v>118100</v>
      </c>
      <c r="H63" t="s">
        <v>16</v>
      </c>
    </row>
    <row r="64" spans="2:8" x14ac:dyDescent="0.25">
      <c r="B64" t="s">
        <v>62</v>
      </c>
      <c r="C64" t="s">
        <v>8</v>
      </c>
      <c r="D64" t="s">
        <v>9</v>
      </c>
      <c r="E64">
        <v>22</v>
      </c>
      <c r="F64" s="1">
        <v>44450</v>
      </c>
      <c r="G64" s="2">
        <v>76900</v>
      </c>
      <c r="H64" t="s">
        <v>13</v>
      </c>
    </row>
    <row r="65" spans="2:8" x14ac:dyDescent="0.25">
      <c r="B65" t="s">
        <v>17</v>
      </c>
      <c r="C65" t="s">
        <v>8</v>
      </c>
      <c r="D65" t="s">
        <v>12</v>
      </c>
      <c r="E65">
        <v>43</v>
      </c>
      <c r="F65" s="1">
        <v>45045</v>
      </c>
      <c r="G65" s="2">
        <v>114870</v>
      </c>
      <c r="H65" t="s">
        <v>16</v>
      </c>
    </row>
    <row r="66" spans="2:8" x14ac:dyDescent="0.25">
      <c r="B66" t="s">
        <v>52</v>
      </c>
      <c r="D66" t="s">
        <v>12</v>
      </c>
      <c r="E66">
        <v>32</v>
      </c>
      <c r="F66" s="1">
        <v>44774</v>
      </c>
      <c r="G66" s="2">
        <v>91310</v>
      </c>
      <c r="H66" t="s">
        <v>16</v>
      </c>
    </row>
    <row r="67" spans="2:8" x14ac:dyDescent="0.25">
      <c r="B67" t="s">
        <v>43</v>
      </c>
      <c r="C67" t="s">
        <v>8</v>
      </c>
      <c r="D67" t="s">
        <v>9</v>
      </c>
      <c r="E67">
        <v>28</v>
      </c>
      <c r="F67" s="1">
        <v>44486</v>
      </c>
      <c r="G67" s="2">
        <v>104770</v>
      </c>
      <c r="H67" t="s">
        <v>16</v>
      </c>
    </row>
    <row r="68" spans="2:8" x14ac:dyDescent="0.25">
      <c r="B68" t="s">
        <v>89</v>
      </c>
      <c r="C68" t="s">
        <v>15</v>
      </c>
      <c r="D68" t="s">
        <v>19</v>
      </c>
      <c r="E68">
        <v>27</v>
      </c>
      <c r="F68" s="1">
        <v>44134</v>
      </c>
      <c r="G68" s="2">
        <v>54970</v>
      </c>
      <c r="H68" t="s">
        <v>16</v>
      </c>
    </row>
    <row r="69" spans="2:8" x14ac:dyDescent="0.25">
      <c r="B69" t="s">
        <v>11</v>
      </c>
      <c r="D69" t="s">
        <v>12</v>
      </c>
      <c r="E69">
        <v>26</v>
      </c>
      <c r="F69" s="1">
        <v>44271</v>
      </c>
      <c r="G69" s="2">
        <v>90700</v>
      </c>
      <c r="H69" t="s">
        <v>13</v>
      </c>
    </row>
    <row r="70" spans="2:8" x14ac:dyDescent="0.25">
      <c r="B70" t="s">
        <v>109</v>
      </c>
      <c r="C70" t="s">
        <v>8</v>
      </c>
      <c r="D70" t="s">
        <v>19</v>
      </c>
      <c r="E70">
        <v>38</v>
      </c>
      <c r="F70" s="1">
        <v>44329</v>
      </c>
      <c r="G70" s="2">
        <v>56870</v>
      </c>
      <c r="H70" t="s">
        <v>13</v>
      </c>
    </row>
    <row r="71" spans="2:8" x14ac:dyDescent="0.25">
      <c r="B71" t="s">
        <v>77</v>
      </c>
      <c r="C71" t="s">
        <v>8</v>
      </c>
      <c r="D71" t="s">
        <v>19</v>
      </c>
      <c r="E71">
        <v>25</v>
      </c>
      <c r="F71" s="1">
        <v>44205</v>
      </c>
      <c r="G71" s="2">
        <v>92700</v>
      </c>
      <c r="H71" t="s">
        <v>16</v>
      </c>
    </row>
    <row r="72" spans="2:8" x14ac:dyDescent="0.25">
      <c r="B72" t="s">
        <v>32</v>
      </c>
      <c r="C72" t="s">
        <v>8</v>
      </c>
      <c r="D72" t="s">
        <v>21</v>
      </c>
      <c r="E72">
        <v>21</v>
      </c>
      <c r="F72" s="1">
        <v>44317</v>
      </c>
      <c r="G72" s="2">
        <v>65920</v>
      </c>
      <c r="H72" t="s">
        <v>16</v>
      </c>
    </row>
    <row r="73" spans="2:8" x14ac:dyDescent="0.25">
      <c r="B73" t="s">
        <v>59</v>
      </c>
      <c r="C73" t="s">
        <v>15</v>
      </c>
      <c r="D73" t="s">
        <v>9</v>
      </c>
      <c r="E73">
        <v>26</v>
      </c>
      <c r="F73" s="1">
        <v>44225</v>
      </c>
      <c r="G73" s="2">
        <v>47360</v>
      </c>
      <c r="H73" t="s">
        <v>16</v>
      </c>
    </row>
    <row r="74" spans="2:8" x14ac:dyDescent="0.25">
      <c r="B74" t="s">
        <v>37</v>
      </c>
      <c r="C74" t="s">
        <v>15</v>
      </c>
      <c r="D74" t="s">
        <v>9</v>
      </c>
      <c r="E74">
        <v>30</v>
      </c>
      <c r="F74" s="1">
        <v>44666</v>
      </c>
      <c r="G74" s="2">
        <v>60570</v>
      </c>
      <c r="H74" t="s">
        <v>16</v>
      </c>
    </row>
    <row r="75" spans="2:8" x14ac:dyDescent="0.25">
      <c r="B75" t="s">
        <v>96</v>
      </c>
      <c r="C75" t="s">
        <v>8</v>
      </c>
      <c r="D75" t="s">
        <v>9</v>
      </c>
      <c r="E75">
        <v>28</v>
      </c>
      <c r="F75" s="1">
        <v>44649</v>
      </c>
      <c r="G75" s="2">
        <v>104120</v>
      </c>
      <c r="H75" t="s">
        <v>16</v>
      </c>
    </row>
    <row r="76" spans="2:8" x14ac:dyDescent="0.25">
      <c r="B76" t="s">
        <v>23</v>
      </c>
      <c r="C76" t="s">
        <v>15</v>
      </c>
      <c r="D76" t="s">
        <v>12</v>
      </c>
      <c r="E76">
        <v>37</v>
      </c>
      <c r="F76" s="1">
        <v>44338</v>
      </c>
      <c r="G76" s="2">
        <v>88050</v>
      </c>
      <c r="H76" t="s">
        <v>24</v>
      </c>
    </row>
    <row r="77" spans="2:8" x14ac:dyDescent="0.25">
      <c r="B77" t="s">
        <v>103</v>
      </c>
      <c r="C77" t="s">
        <v>15</v>
      </c>
      <c r="D77" t="s">
        <v>12</v>
      </c>
      <c r="E77">
        <v>24</v>
      </c>
      <c r="F77" s="1">
        <v>44686</v>
      </c>
      <c r="G77" s="2">
        <v>100420</v>
      </c>
      <c r="H77" t="s">
        <v>16</v>
      </c>
    </row>
    <row r="78" spans="2:8" x14ac:dyDescent="0.25">
      <c r="B78" t="s">
        <v>54</v>
      </c>
      <c r="C78" t="s">
        <v>8</v>
      </c>
      <c r="D78" t="s">
        <v>9</v>
      </c>
      <c r="E78">
        <v>30</v>
      </c>
      <c r="F78" s="1">
        <v>44850</v>
      </c>
      <c r="G78" s="2">
        <v>114180</v>
      </c>
      <c r="H78" t="s">
        <v>16</v>
      </c>
    </row>
    <row r="79" spans="2:8" x14ac:dyDescent="0.25">
      <c r="B79" t="s">
        <v>86</v>
      </c>
      <c r="C79" t="s">
        <v>8</v>
      </c>
      <c r="D79" t="s">
        <v>12</v>
      </c>
      <c r="E79">
        <v>21</v>
      </c>
      <c r="F79" s="1">
        <v>44678</v>
      </c>
      <c r="G79" s="2">
        <v>33920</v>
      </c>
      <c r="H79" t="s">
        <v>16</v>
      </c>
    </row>
    <row r="80" spans="2:8" x14ac:dyDescent="0.25">
      <c r="B80" t="s">
        <v>69</v>
      </c>
      <c r="C80" t="s">
        <v>15</v>
      </c>
      <c r="D80" t="s">
        <v>9</v>
      </c>
      <c r="E80">
        <v>23</v>
      </c>
      <c r="F80" s="1">
        <v>44440</v>
      </c>
      <c r="G80" s="2">
        <v>106460</v>
      </c>
      <c r="H80" t="s">
        <v>16</v>
      </c>
    </row>
    <row r="81" spans="2:8" x14ac:dyDescent="0.25">
      <c r="B81" t="s">
        <v>57</v>
      </c>
      <c r="C81" t="s">
        <v>15</v>
      </c>
      <c r="D81" t="s">
        <v>9</v>
      </c>
      <c r="E81">
        <v>35</v>
      </c>
      <c r="F81" s="1">
        <v>44727</v>
      </c>
      <c r="G81" s="2">
        <v>40400</v>
      </c>
      <c r="H81" t="s">
        <v>16</v>
      </c>
    </row>
    <row r="82" spans="2:8" x14ac:dyDescent="0.25">
      <c r="B82" t="s">
        <v>68</v>
      </c>
      <c r="C82" t="s">
        <v>15</v>
      </c>
      <c r="D82" t="s">
        <v>21</v>
      </c>
      <c r="E82">
        <v>27</v>
      </c>
      <c r="F82" s="1">
        <v>44236</v>
      </c>
      <c r="G82" s="2">
        <v>91650</v>
      </c>
      <c r="H82" t="s">
        <v>13</v>
      </c>
    </row>
    <row r="83" spans="2:8" x14ac:dyDescent="0.25">
      <c r="B83" t="s">
        <v>99</v>
      </c>
      <c r="C83" t="s">
        <v>15</v>
      </c>
      <c r="D83" t="s">
        <v>19</v>
      </c>
      <c r="E83">
        <v>43</v>
      </c>
      <c r="F83" s="1">
        <v>44620</v>
      </c>
      <c r="G83" s="2">
        <v>36040</v>
      </c>
      <c r="H83" t="s">
        <v>16</v>
      </c>
    </row>
    <row r="84" spans="2:8" x14ac:dyDescent="0.25">
      <c r="B84" t="s">
        <v>101</v>
      </c>
      <c r="C84" t="s">
        <v>8</v>
      </c>
      <c r="D84" t="s">
        <v>12</v>
      </c>
      <c r="E84">
        <v>40</v>
      </c>
      <c r="F84" s="1">
        <v>44381</v>
      </c>
      <c r="G84" s="2">
        <v>104410</v>
      </c>
      <c r="H84" t="s">
        <v>16</v>
      </c>
    </row>
    <row r="85" spans="2:8" x14ac:dyDescent="0.25">
      <c r="B85" t="s">
        <v>85</v>
      </c>
      <c r="C85" t="s">
        <v>15</v>
      </c>
      <c r="D85" t="s">
        <v>21</v>
      </c>
      <c r="E85">
        <v>30</v>
      </c>
      <c r="F85" s="1">
        <v>44606</v>
      </c>
      <c r="G85" s="2">
        <v>96800</v>
      </c>
      <c r="H85" t="s">
        <v>16</v>
      </c>
    </row>
    <row r="86" spans="2:8" x14ac:dyDescent="0.25">
      <c r="B86" t="s">
        <v>28</v>
      </c>
      <c r="C86" t="s">
        <v>8</v>
      </c>
      <c r="D86" t="s">
        <v>21</v>
      </c>
      <c r="E86">
        <v>34</v>
      </c>
      <c r="F86" s="1">
        <v>44459</v>
      </c>
      <c r="G86" s="2">
        <v>85000</v>
      </c>
      <c r="H86" t="s">
        <v>16</v>
      </c>
    </row>
    <row r="87" spans="2:8" x14ac:dyDescent="0.25">
      <c r="B87" t="s">
        <v>80</v>
      </c>
      <c r="C87" t="s">
        <v>15</v>
      </c>
      <c r="D87" t="s">
        <v>19</v>
      </c>
      <c r="E87">
        <v>28</v>
      </c>
      <c r="F87" s="1">
        <v>44820</v>
      </c>
      <c r="G87" s="2">
        <v>43510</v>
      </c>
      <c r="H87" t="s">
        <v>42</v>
      </c>
    </row>
    <row r="88" spans="2:8" x14ac:dyDescent="0.25">
      <c r="B88" t="s">
        <v>79</v>
      </c>
      <c r="C88" t="s">
        <v>15</v>
      </c>
      <c r="D88" t="s">
        <v>21</v>
      </c>
      <c r="E88">
        <v>33</v>
      </c>
      <c r="F88" s="1">
        <v>44243</v>
      </c>
      <c r="G88" s="2">
        <v>59430</v>
      </c>
      <c r="H88" t="s">
        <v>16</v>
      </c>
    </row>
    <row r="89" spans="2:8" x14ac:dyDescent="0.25">
      <c r="B89" t="s">
        <v>93</v>
      </c>
      <c r="C89" t="s">
        <v>8</v>
      </c>
      <c r="D89" t="s">
        <v>21</v>
      </c>
      <c r="E89">
        <v>33</v>
      </c>
      <c r="F89" s="1">
        <v>44067</v>
      </c>
      <c r="G89" s="2">
        <v>65360</v>
      </c>
      <c r="H89" t="s">
        <v>16</v>
      </c>
    </row>
    <row r="90" spans="2:8" x14ac:dyDescent="0.25">
      <c r="B90" t="s">
        <v>66</v>
      </c>
      <c r="C90" t="s">
        <v>8</v>
      </c>
      <c r="D90" t="s">
        <v>9</v>
      </c>
      <c r="E90">
        <v>32</v>
      </c>
      <c r="F90" s="1">
        <v>44611</v>
      </c>
      <c r="G90" s="2">
        <v>41570</v>
      </c>
      <c r="H90" t="s">
        <v>16</v>
      </c>
    </row>
    <row r="91" spans="2:8" x14ac:dyDescent="0.25">
      <c r="B91" t="s">
        <v>95</v>
      </c>
      <c r="C91" t="s">
        <v>8</v>
      </c>
      <c r="D91" t="s">
        <v>12</v>
      </c>
      <c r="E91">
        <v>33</v>
      </c>
      <c r="F91" s="1">
        <v>44312</v>
      </c>
      <c r="G91" s="2">
        <v>75280</v>
      </c>
      <c r="H91" t="s">
        <v>16</v>
      </c>
    </row>
    <row r="92" spans="2:8" x14ac:dyDescent="0.25">
      <c r="B92" t="s">
        <v>18</v>
      </c>
      <c r="C92" t="s">
        <v>15</v>
      </c>
      <c r="D92" t="s">
        <v>19</v>
      </c>
      <c r="E92">
        <v>33</v>
      </c>
      <c r="F92" s="1">
        <v>44385</v>
      </c>
      <c r="G92" s="2">
        <v>74550</v>
      </c>
      <c r="H92" t="s">
        <v>16</v>
      </c>
    </row>
    <row r="93" spans="2:8" x14ac:dyDescent="0.25">
      <c r="B93" t="s">
        <v>45</v>
      </c>
      <c r="C93" t="s">
        <v>15</v>
      </c>
      <c r="D93" t="s">
        <v>9</v>
      </c>
      <c r="E93">
        <v>30</v>
      </c>
      <c r="F93" s="1">
        <v>44701</v>
      </c>
      <c r="G93" s="2">
        <v>67950</v>
      </c>
      <c r="H93" t="s">
        <v>16</v>
      </c>
    </row>
    <row r="94" spans="2:8" x14ac:dyDescent="0.25">
      <c r="B94" t="s">
        <v>90</v>
      </c>
      <c r="C94" t="s">
        <v>15</v>
      </c>
      <c r="D94" t="s">
        <v>21</v>
      </c>
      <c r="E94">
        <v>42</v>
      </c>
      <c r="F94" s="1">
        <v>44731</v>
      </c>
      <c r="G94" s="2">
        <v>70270</v>
      </c>
      <c r="H94" t="s">
        <v>24</v>
      </c>
    </row>
    <row r="95" spans="2:8" x14ac:dyDescent="0.25">
      <c r="B95" t="s">
        <v>46</v>
      </c>
      <c r="C95" t="s">
        <v>15</v>
      </c>
      <c r="D95" t="s">
        <v>9</v>
      </c>
      <c r="E95">
        <v>26</v>
      </c>
      <c r="F95" s="1">
        <v>44411</v>
      </c>
      <c r="G95" s="2">
        <v>53540</v>
      </c>
      <c r="H95" t="s">
        <v>16</v>
      </c>
    </row>
    <row r="96" spans="2:8" x14ac:dyDescent="0.25">
      <c r="B96" t="s">
        <v>58</v>
      </c>
      <c r="C96" t="s">
        <v>15</v>
      </c>
      <c r="D96" t="s">
        <v>19</v>
      </c>
      <c r="E96">
        <v>22</v>
      </c>
      <c r="F96" s="1">
        <v>44446</v>
      </c>
      <c r="G96" s="2">
        <v>112780</v>
      </c>
      <c r="H96" t="s">
        <v>13</v>
      </c>
    </row>
    <row r="97" spans="2:8" x14ac:dyDescent="0.25">
      <c r="B97" t="s">
        <v>70</v>
      </c>
      <c r="C97" t="s">
        <v>15</v>
      </c>
      <c r="D97" t="s">
        <v>9</v>
      </c>
      <c r="E97">
        <v>46</v>
      </c>
      <c r="F97" s="1">
        <v>44758</v>
      </c>
      <c r="G97" s="2">
        <v>70610</v>
      </c>
      <c r="H97" t="s">
        <v>16</v>
      </c>
    </row>
    <row r="98" spans="2:8" x14ac:dyDescent="0.25">
      <c r="B98" t="s">
        <v>75</v>
      </c>
      <c r="C98" t="s">
        <v>8</v>
      </c>
      <c r="D98" t="s">
        <v>19</v>
      </c>
      <c r="E98">
        <v>28</v>
      </c>
      <c r="F98" s="1">
        <v>44357</v>
      </c>
      <c r="G98" s="2">
        <v>53240</v>
      </c>
      <c r="H98" t="s">
        <v>16</v>
      </c>
    </row>
    <row r="99" spans="2:8" x14ac:dyDescent="0.25">
      <c r="B99" t="s">
        <v>49</v>
      </c>
      <c r="D99" t="s">
        <v>21</v>
      </c>
      <c r="E99">
        <v>37</v>
      </c>
      <c r="F99" s="1">
        <v>44146</v>
      </c>
      <c r="G99" s="2">
        <v>115440</v>
      </c>
      <c r="H99" t="s">
        <v>24</v>
      </c>
    </row>
    <row r="100" spans="2:8" x14ac:dyDescent="0.25">
      <c r="B100" t="s">
        <v>65</v>
      </c>
      <c r="C100" t="s">
        <v>15</v>
      </c>
      <c r="D100" t="s">
        <v>19</v>
      </c>
      <c r="E100">
        <v>32</v>
      </c>
      <c r="F100" s="1">
        <v>44465</v>
      </c>
      <c r="G100" s="2">
        <v>53540</v>
      </c>
      <c r="H100" t="s">
        <v>16</v>
      </c>
    </row>
    <row r="101" spans="2:8" x14ac:dyDescent="0.25">
      <c r="B101" t="s">
        <v>81</v>
      </c>
      <c r="C101" t="s">
        <v>8</v>
      </c>
      <c r="D101" t="s">
        <v>9</v>
      </c>
      <c r="E101">
        <v>30</v>
      </c>
      <c r="F101" s="1">
        <v>44861</v>
      </c>
      <c r="G101" s="2">
        <v>112570</v>
      </c>
      <c r="H101" t="s">
        <v>16</v>
      </c>
    </row>
    <row r="102" spans="2:8" x14ac:dyDescent="0.25">
      <c r="B102" t="s">
        <v>51</v>
      </c>
      <c r="C102" t="s">
        <v>15</v>
      </c>
      <c r="D102" t="s">
        <v>9</v>
      </c>
      <c r="E102">
        <v>33</v>
      </c>
      <c r="F102" s="1">
        <v>44701</v>
      </c>
      <c r="G102" s="2">
        <v>48530</v>
      </c>
      <c r="H102" t="s">
        <v>13</v>
      </c>
    </row>
    <row r="103" spans="2:8" x14ac:dyDescent="0.25">
      <c r="B103" t="s">
        <v>61</v>
      </c>
      <c r="C103" t="s">
        <v>8</v>
      </c>
      <c r="D103" t="s">
        <v>12</v>
      </c>
      <c r="E103">
        <v>24</v>
      </c>
      <c r="F103" s="1">
        <v>44148</v>
      </c>
      <c r="G103" s="2">
        <v>62780</v>
      </c>
      <c r="H103" t="s">
        <v>16</v>
      </c>
    </row>
    <row r="104" spans="2:8" x14ac:dyDescent="0.25">
      <c r="B104" t="s">
        <v>202</v>
      </c>
      <c r="E104">
        <f>SUBTOTAL(101,nz_staff[Age])</f>
        <v>30.52</v>
      </c>
      <c r="G104" s="2">
        <f>SUBTOTAL(101,nz_staff[Salary])</f>
        <v>77472.100000000006</v>
      </c>
      <c r="H104">
        <f>SUBTOTAL(103,nz_staff[Rating])</f>
        <v>100</v>
      </c>
    </row>
  </sheetData>
  <conditionalFormatting sqref="B4:B103">
    <cfRule type="duplicateValues" dxfId="0" priority="1"/>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4BFCB-6188-4974-9876-64982FADD400}">
  <sheetPr>
    <tabColor rgb="FFFFFF00"/>
  </sheetPr>
  <dimension ref="B3:Q186"/>
  <sheetViews>
    <sheetView topLeftCell="C1" workbookViewId="0">
      <selection activeCell="S18" sqref="S18"/>
    </sheetView>
  </sheetViews>
  <sheetFormatPr defaultRowHeight="15" x14ac:dyDescent="0.25"/>
  <cols>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11.85546875" bestFit="1" customWidth="1"/>
    <col min="9" max="9" width="10.28515625" bestFit="1" customWidth="1"/>
    <col min="10" max="10" width="9.7109375" bestFit="1" customWidth="1"/>
    <col min="11" max="11" width="9.7109375" customWidth="1"/>
    <col min="12" max="12" width="14.28515625" customWidth="1"/>
    <col min="13" max="13" width="9.7109375" customWidth="1"/>
    <col min="15" max="15" width="23.42578125" customWidth="1"/>
    <col min="16" max="16" width="16.85546875" customWidth="1"/>
  </cols>
  <sheetData>
    <row r="3" spans="2:17" ht="21" x14ac:dyDescent="0.35">
      <c r="B3" t="s">
        <v>0</v>
      </c>
      <c r="C3" t="s">
        <v>1</v>
      </c>
      <c r="D3" t="s">
        <v>3</v>
      </c>
      <c r="E3" t="s">
        <v>6</v>
      </c>
      <c r="F3" t="s">
        <v>4</v>
      </c>
      <c r="G3" t="s">
        <v>2</v>
      </c>
      <c r="H3" t="s">
        <v>5</v>
      </c>
      <c r="I3" t="s">
        <v>204</v>
      </c>
      <c r="J3" s="3" t="s">
        <v>213</v>
      </c>
      <c r="K3" s="3" t="s">
        <v>231</v>
      </c>
      <c r="L3" s="3" t="s">
        <v>232</v>
      </c>
      <c r="M3" s="3"/>
      <c r="N3" s="7">
        <v>1</v>
      </c>
      <c r="O3" t="s">
        <v>208</v>
      </c>
      <c r="P3">
        <f>COUNTA(staff[Name])</f>
        <v>183</v>
      </c>
    </row>
    <row r="4" spans="2:17" x14ac:dyDescent="0.25">
      <c r="B4" s="3" t="s">
        <v>155</v>
      </c>
      <c r="C4" s="3" t="s">
        <v>15</v>
      </c>
      <c r="D4">
        <v>20</v>
      </c>
      <c r="E4" t="s">
        <v>16</v>
      </c>
      <c r="F4" s="4">
        <v>44122</v>
      </c>
      <c r="G4" s="3" t="s">
        <v>12</v>
      </c>
      <c r="H4" s="22">
        <v>112650</v>
      </c>
      <c r="I4" t="s">
        <v>205</v>
      </c>
      <c r="J4" s="5">
        <f ca="1">(TODAY()-staff[[#This Row],[Date Joined]])/365</f>
        <v>2.8493150684931505</v>
      </c>
      <c r="K4" s="19">
        <f ca="1">ROUNDUP(IF(staff[[#This Row],[Tenure]]&gt;2, 3%, 2%)*staff[[#This Row],[Salary]], 0)</f>
        <v>3380</v>
      </c>
      <c r="L4" s="19">
        <f>_xlfn.XLOOKUP(staff[[#This Row],[Rating]],Mapping!$B$2:$B$6, Mapping!$C$2:$C$6)</f>
        <v>3</v>
      </c>
      <c r="M4" s="5"/>
      <c r="O4" t="s">
        <v>209</v>
      </c>
      <c r="P4">
        <f>AVERAGE(staff[Salary])</f>
        <v>77173.715846994543</v>
      </c>
      <c r="Q4">
        <f>MEDIAN(staff[Salary])</f>
        <v>75000</v>
      </c>
    </row>
    <row r="5" spans="2:17" x14ac:dyDescent="0.25">
      <c r="B5" s="3" t="s">
        <v>175</v>
      </c>
      <c r="C5" s="3" t="s">
        <v>8</v>
      </c>
      <c r="D5">
        <v>32</v>
      </c>
      <c r="E5" t="s">
        <v>13</v>
      </c>
      <c r="F5" s="4">
        <v>44293</v>
      </c>
      <c r="G5" s="3" t="s">
        <v>12</v>
      </c>
      <c r="H5" s="22">
        <v>43840</v>
      </c>
      <c r="I5" t="s">
        <v>205</v>
      </c>
      <c r="J5" s="5">
        <f ca="1">(TODAY()-staff[[#This Row],[Date Joined]])/365</f>
        <v>2.3808219178082193</v>
      </c>
      <c r="K5" s="19">
        <f ca="1">ROUNDUP(IF(staff[[#This Row],[Tenure]]&gt;2, 3%, 2%)*staff[[#This Row],[Salary]], 0)</f>
        <v>1316</v>
      </c>
      <c r="L5" s="19">
        <f>_xlfn.XLOOKUP(staff[[#This Row],[Rating]],Mapping!$B$2:$B$6, Mapping!$C$2:$C$6)</f>
        <v>4</v>
      </c>
      <c r="M5" s="5"/>
      <c r="O5" t="s">
        <v>210</v>
      </c>
      <c r="P5">
        <f>AVERAGE(staff[Age])</f>
        <v>30.42622950819672</v>
      </c>
      <c r="Q5">
        <f>MEDIAN(staff[Age])</f>
        <v>30</v>
      </c>
    </row>
    <row r="6" spans="2:17" x14ac:dyDescent="0.25">
      <c r="B6" s="3" t="s">
        <v>142</v>
      </c>
      <c r="C6" s="3" t="s">
        <v>15</v>
      </c>
      <c r="D6">
        <v>31</v>
      </c>
      <c r="E6" t="s">
        <v>16</v>
      </c>
      <c r="F6" s="4">
        <v>44663</v>
      </c>
      <c r="G6" s="3" t="s">
        <v>9</v>
      </c>
      <c r="H6" s="22">
        <v>103550</v>
      </c>
      <c r="I6" t="s">
        <v>205</v>
      </c>
      <c r="J6" s="5">
        <f ca="1">(TODAY()-staff[[#This Row],[Date Joined]])/365</f>
        <v>1.3671232876712329</v>
      </c>
      <c r="K6" s="19">
        <f ca="1">ROUNDUP(IF(staff[[#This Row],[Tenure]]&gt;2, 3%, 2%)*staff[[#This Row],[Salary]], 0)</f>
        <v>2071</v>
      </c>
      <c r="L6" s="19">
        <f>_xlfn.XLOOKUP(staff[[#This Row],[Rating]],Mapping!$B$2:$B$6, Mapping!$C$2:$C$6)</f>
        <v>3</v>
      </c>
      <c r="M6" s="5"/>
      <c r="O6" t="s">
        <v>211</v>
      </c>
      <c r="P6">
        <f ca="1">AVERAGE(staff[Tenure])</f>
        <v>1.9971704468897371</v>
      </c>
    </row>
    <row r="7" spans="2:17" x14ac:dyDescent="0.25">
      <c r="B7" s="3" t="s">
        <v>200</v>
      </c>
      <c r="C7" s="3" t="s">
        <v>8</v>
      </c>
      <c r="D7">
        <v>32</v>
      </c>
      <c r="E7" t="s">
        <v>16</v>
      </c>
      <c r="F7" s="4">
        <v>44339</v>
      </c>
      <c r="G7" s="3" t="s">
        <v>56</v>
      </c>
      <c r="H7" s="22">
        <v>45510</v>
      </c>
      <c r="I7" t="s">
        <v>205</v>
      </c>
      <c r="J7" s="5">
        <f ca="1">(TODAY()-staff[[#This Row],[Date Joined]])/365</f>
        <v>2.2547945205479452</v>
      </c>
      <c r="K7" s="19">
        <f ca="1">ROUNDUP(IF(staff[[#This Row],[Tenure]]&gt;2, 3%, 2%)*staff[[#This Row],[Salary]], 0)</f>
        <v>1366</v>
      </c>
      <c r="L7" s="19">
        <f>_xlfn.XLOOKUP(staff[[#This Row],[Rating]],Mapping!$B$2:$B$6, Mapping!$C$2:$C$6)</f>
        <v>3</v>
      </c>
      <c r="M7" s="5"/>
      <c r="O7" t="s">
        <v>212</v>
      </c>
      <c r="P7" s="6">
        <f>P8/P3</f>
        <v>0.46994535519125685</v>
      </c>
    </row>
    <row r="8" spans="2:17" x14ac:dyDescent="0.25">
      <c r="B8" s="3" t="s">
        <v>141</v>
      </c>
      <c r="C8" s="3" t="s">
        <v>206</v>
      </c>
      <c r="D8">
        <v>37</v>
      </c>
      <c r="E8" t="s">
        <v>24</v>
      </c>
      <c r="F8" s="4">
        <v>44085</v>
      </c>
      <c r="G8" s="3" t="s">
        <v>21</v>
      </c>
      <c r="H8" s="22">
        <v>115440</v>
      </c>
      <c r="I8" t="s">
        <v>205</v>
      </c>
      <c r="J8" s="5">
        <f ca="1">(TODAY()-staff[[#This Row],[Date Joined]])/365</f>
        <v>2.9506849315068493</v>
      </c>
      <c r="K8" s="19">
        <f ca="1">ROUNDUP(IF(staff[[#This Row],[Tenure]]&gt;2, 3%, 2%)*staff[[#This Row],[Salary]], 0)</f>
        <v>3464</v>
      </c>
      <c r="L8" s="19">
        <f>_xlfn.XLOOKUP(staff[[#This Row],[Rating]],Mapping!$B$2:$B$6, Mapping!$C$2:$C$6)</f>
        <v>2</v>
      </c>
      <c r="M8" s="5"/>
      <c r="O8" t="s">
        <v>214</v>
      </c>
      <c r="P8">
        <f>COUNTIFS(staff[Gender], "Female")</f>
        <v>86</v>
      </c>
    </row>
    <row r="9" spans="2:17" x14ac:dyDescent="0.25">
      <c r="B9" s="3" t="s">
        <v>201</v>
      </c>
      <c r="C9" s="3" t="s">
        <v>8</v>
      </c>
      <c r="D9">
        <v>38</v>
      </c>
      <c r="E9" t="s">
        <v>13</v>
      </c>
      <c r="F9" s="4">
        <v>44268</v>
      </c>
      <c r="G9" s="3" t="s">
        <v>19</v>
      </c>
      <c r="H9" s="22">
        <v>56870</v>
      </c>
      <c r="I9" t="s">
        <v>205</v>
      </c>
      <c r="J9" s="5">
        <f ca="1">(TODAY()-staff[[#This Row],[Date Joined]])/365</f>
        <v>2.4493150684931506</v>
      </c>
      <c r="K9" s="19">
        <f ca="1">ROUNDUP(IF(staff[[#This Row],[Tenure]]&gt;2, 3%, 2%)*staff[[#This Row],[Salary]], 0)</f>
        <v>1707</v>
      </c>
      <c r="L9" s="19">
        <f>_xlfn.XLOOKUP(staff[[#This Row],[Rating]],Mapping!$B$2:$B$6, Mapping!$C$2:$C$6)</f>
        <v>4</v>
      </c>
      <c r="M9" s="5"/>
    </row>
    <row r="10" spans="2:17" x14ac:dyDescent="0.25">
      <c r="B10" s="3" t="s">
        <v>168</v>
      </c>
      <c r="C10" s="3" t="s">
        <v>8</v>
      </c>
      <c r="D10">
        <v>25</v>
      </c>
      <c r="E10" t="s">
        <v>16</v>
      </c>
      <c r="F10" s="4">
        <v>44144</v>
      </c>
      <c r="G10" s="3" t="s">
        <v>19</v>
      </c>
      <c r="H10" s="22">
        <v>92700</v>
      </c>
      <c r="I10" t="s">
        <v>205</v>
      </c>
      <c r="J10" s="5">
        <f ca="1">(TODAY()-staff[[#This Row],[Date Joined]])/365</f>
        <v>2.7890410958904108</v>
      </c>
      <c r="K10" s="19">
        <f ca="1">ROUNDUP(IF(staff[[#This Row],[Tenure]]&gt;2, 3%, 2%)*staff[[#This Row],[Salary]], 0)</f>
        <v>2781</v>
      </c>
      <c r="L10" s="19">
        <f>_xlfn.XLOOKUP(staff[[#This Row],[Rating]],Mapping!$B$2:$B$6, Mapping!$C$2:$C$6)</f>
        <v>3</v>
      </c>
      <c r="M10" s="5"/>
      <c r="O10" t="s">
        <v>215</v>
      </c>
      <c r="P10" s="6">
        <f>P11/P3</f>
        <v>0.34426229508196721</v>
      </c>
    </row>
    <row r="11" spans="2:17" x14ac:dyDescent="0.25">
      <c r="B11" s="3" t="s">
        <v>144</v>
      </c>
      <c r="C11" s="3" t="s">
        <v>206</v>
      </c>
      <c r="D11">
        <v>32</v>
      </c>
      <c r="E11" t="s">
        <v>16</v>
      </c>
      <c r="F11" s="4">
        <v>44713</v>
      </c>
      <c r="G11" s="3" t="s">
        <v>12</v>
      </c>
      <c r="H11" s="22">
        <v>91310</v>
      </c>
      <c r="I11" t="s">
        <v>205</v>
      </c>
      <c r="J11" s="5">
        <f ca="1">(TODAY()-staff[[#This Row],[Date Joined]])/365</f>
        <v>1.2301369863013698</v>
      </c>
      <c r="K11" s="19">
        <f ca="1">ROUNDUP(IF(staff[[#This Row],[Tenure]]&gt;2, 3%, 2%)*staff[[#This Row],[Salary]], 0)</f>
        <v>1827</v>
      </c>
      <c r="L11" s="19">
        <f>_xlfn.XLOOKUP(staff[[#This Row],[Rating]],Mapping!$B$2:$B$6, Mapping!$C$2:$C$6)</f>
        <v>3</v>
      </c>
      <c r="M11" s="5"/>
      <c r="O11" t="s">
        <v>216</v>
      </c>
      <c r="P11">
        <f>COUNTIFS(staff[Salary], "&gt;90000")</f>
        <v>63</v>
      </c>
    </row>
    <row r="12" spans="2:17" x14ac:dyDescent="0.25">
      <c r="B12" s="3" t="s">
        <v>114</v>
      </c>
      <c r="C12" s="3" t="s">
        <v>15</v>
      </c>
      <c r="D12">
        <v>33</v>
      </c>
      <c r="E12" t="s">
        <v>16</v>
      </c>
      <c r="F12" s="4">
        <v>44324</v>
      </c>
      <c r="G12" s="3" t="s">
        <v>19</v>
      </c>
      <c r="H12" s="22">
        <v>74550</v>
      </c>
      <c r="I12" t="s">
        <v>205</v>
      </c>
      <c r="J12" s="5">
        <f ca="1">(TODAY()-staff[[#This Row],[Date Joined]])/365</f>
        <v>2.2958904109589042</v>
      </c>
      <c r="K12" s="19">
        <f ca="1">ROUNDUP(IF(staff[[#This Row],[Tenure]]&gt;2, 3%, 2%)*staff[[#This Row],[Salary]], 0)</f>
        <v>2237</v>
      </c>
      <c r="L12" s="19">
        <f>_xlfn.XLOOKUP(staff[[#This Row],[Rating]],Mapping!$B$2:$B$6, Mapping!$C$2:$C$6)</f>
        <v>3</v>
      </c>
      <c r="M12" s="5"/>
    </row>
    <row r="13" spans="2:17" ht="21" x14ac:dyDescent="0.35">
      <c r="B13" s="3" t="s">
        <v>127</v>
      </c>
      <c r="C13" s="3" t="s">
        <v>15</v>
      </c>
      <c r="D13">
        <v>25</v>
      </c>
      <c r="E13" t="s">
        <v>13</v>
      </c>
      <c r="F13" s="4">
        <v>44665</v>
      </c>
      <c r="G13" s="3" t="s">
        <v>9</v>
      </c>
      <c r="H13" s="22">
        <v>109190</v>
      </c>
      <c r="I13" t="s">
        <v>205</v>
      </c>
      <c r="J13" s="5">
        <f ca="1">(TODAY()-staff[[#This Row],[Date Joined]])/365</f>
        <v>1.3616438356164384</v>
      </c>
      <c r="K13" s="19">
        <f ca="1">ROUNDUP(IF(staff[[#This Row],[Tenure]]&gt;2, 3%, 2%)*staff[[#This Row],[Salary]], 0)</f>
        <v>2184</v>
      </c>
      <c r="L13" s="19">
        <f>_xlfn.XLOOKUP(staff[[#This Row],[Rating]],Mapping!$B$2:$B$6, Mapping!$C$2:$C$6)</f>
        <v>4</v>
      </c>
      <c r="M13" s="5"/>
      <c r="N13" s="7">
        <v>2</v>
      </c>
    </row>
    <row r="14" spans="2:17" ht="18.75" x14ac:dyDescent="0.3">
      <c r="B14" s="3" t="s">
        <v>193</v>
      </c>
      <c r="C14" s="3" t="s">
        <v>8</v>
      </c>
      <c r="D14">
        <v>40</v>
      </c>
      <c r="E14" t="s">
        <v>16</v>
      </c>
      <c r="F14" s="4">
        <v>44320</v>
      </c>
      <c r="G14" s="3" t="s">
        <v>12</v>
      </c>
      <c r="H14" s="22">
        <v>104410</v>
      </c>
      <c r="I14" t="s">
        <v>205</v>
      </c>
      <c r="J14" s="5">
        <f ca="1">(TODAY()-staff[[#This Row],[Date Joined]])/365</f>
        <v>2.3068493150684932</v>
      </c>
      <c r="K14" s="19">
        <f ca="1">ROUNDUP(IF(staff[[#This Row],[Tenure]]&gt;2, 3%, 2%)*staff[[#This Row],[Salary]], 0)</f>
        <v>3133</v>
      </c>
      <c r="L14" s="19">
        <f>_xlfn.XLOOKUP(staff[[#This Row],[Rating]],Mapping!$B$2:$B$6, Mapping!$C$2:$C$6)</f>
        <v>3</v>
      </c>
      <c r="M14" s="5"/>
      <c r="O14" s="8" t="s">
        <v>7</v>
      </c>
    </row>
    <row r="15" spans="2:17" x14ac:dyDescent="0.25">
      <c r="B15" s="3" t="s">
        <v>176</v>
      </c>
      <c r="C15" s="3" t="s">
        <v>15</v>
      </c>
      <c r="D15">
        <v>30</v>
      </c>
      <c r="E15" t="s">
        <v>16</v>
      </c>
      <c r="F15" s="4">
        <v>44544</v>
      </c>
      <c r="G15" s="3" t="s">
        <v>21</v>
      </c>
      <c r="H15" s="22">
        <v>96800</v>
      </c>
      <c r="I15" t="s">
        <v>205</v>
      </c>
      <c r="J15" s="5">
        <f ca="1">(TODAY()-staff[[#This Row],[Date Joined]])/365</f>
        <v>1.6931506849315068</v>
      </c>
      <c r="K15" s="19">
        <f ca="1">ROUNDUP(IF(staff[[#This Row],[Tenure]]&gt;2, 3%, 2%)*staff[[#This Row],[Salary]], 0)</f>
        <v>1936</v>
      </c>
      <c r="L15" s="19">
        <f>_xlfn.XLOOKUP(staff[[#This Row],[Rating]],Mapping!$B$2:$B$6, Mapping!$C$2:$C$6)</f>
        <v>3</v>
      </c>
      <c r="M15" s="5"/>
    </row>
    <row r="16" spans="2:17" x14ac:dyDescent="0.25">
      <c r="B16" s="3" t="s">
        <v>122</v>
      </c>
      <c r="C16" s="3" t="s">
        <v>15</v>
      </c>
      <c r="D16">
        <v>28</v>
      </c>
      <c r="E16" t="s">
        <v>13</v>
      </c>
      <c r="F16" s="4">
        <v>43980</v>
      </c>
      <c r="G16" s="3" t="s">
        <v>21</v>
      </c>
      <c r="H16" s="22">
        <v>48170</v>
      </c>
      <c r="I16" t="s">
        <v>205</v>
      </c>
      <c r="J16" s="5">
        <f ca="1">(TODAY()-staff[[#This Row],[Date Joined]])/365</f>
        <v>3.2383561643835614</v>
      </c>
      <c r="K16" s="19">
        <f ca="1">ROUNDUP(IF(staff[[#This Row],[Tenure]]&gt;2, 3%, 2%)*staff[[#This Row],[Salary]], 0)</f>
        <v>1446</v>
      </c>
      <c r="L16" s="19">
        <f>_xlfn.XLOOKUP(staff[[#This Row],[Rating]],Mapping!$B$2:$B$6, Mapping!$C$2:$C$6)</f>
        <v>4</v>
      </c>
      <c r="M16" s="5"/>
      <c r="O16" t="s">
        <v>256</v>
      </c>
    </row>
    <row r="17" spans="2:16" x14ac:dyDescent="0.25">
      <c r="B17" s="3" t="s">
        <v>139</v>
      </c>
      <c r="C17" s="3" t="s">
        <v>15</v>
      </c>
      <c r="D17">
        <v>21</v>
      </c>
      <c r="E17" t="s">
        <v>16</v>
      </c>
      <c r="F17" s="4">
        <v>44042</v>
      </c>
      <c r="G17" s="3" t="s">
        <v>9</v>
      </c>
      <c r="H17" s="22">
        <v>37920</v>
      </c>
      <c r="I17" t="s">
        <v>205</v>
      </c>
      <c r="J17" s="5">
        <f ca="1">(TODAY()-staff[[#This Row],[Date Joined]])/365</f>
        <v>3.0684931506849313</v>
      </c>
      <c r="K17" s="19">
        <f ca="1">ROUNDUP(IF(staff[[#This Row],[Tenure]]&gt;2, 3%, 2%)*staff[[#This Row],[Salary]], 0)</f>
        <v>1138</v>
      </c>
      <c r="L17" s="19">
        <f>_xlfn.XLOOKUP(staff[[#This Row],[Rating]],Mapping!$B$2:$B$6, Mapping!$C$2:$C$6)</f>
        <v>3</v>
      </c>
      <c r="M17" s="5"/>
    </row>
    <row r="18" spans="2:16" ht="15.75" x14ac:dyDescent="0.25">
      <c r="B18" s="3" t="s">
        <v>177</v>
      </c>
      <c r="C18" s="3" t="s">
        <v>15</v>
      </c>
      <c r="D18">
        <v>34</v>
      </c>
      <c r="E18" t="s">
        <v>16</v>
      </c>
      <c r="F18" s="4">
        <v>44642</v>
      </c>
      <c r="G18" s="3" t="s">
        <v>9</v>
      </c>
      <c r="H18" s="22">
        <v>112650</v>
      </c>
      <c r="I18" t="s">
        <v>205</v>
      </c>
      <c r="J18" s="5">
        <f ca="1">(TODAY()-staff[[#This Row],[Date Joined]])/365</f>
        <v>1.4246575342465753</v>
      </c>
      <c r="K18" s="19">
        <f ca="1">ROUNDUP(IF(staff[[#This Row],[Tenure]]&gt;2, 3%, 2%)*staff[[#This Row],[Salary]], 0)</f>
        <v>2253</v>
      </c>
      <c r="L18" s="19">
        <f>_xlfn.XLOOKUP(staff[[#This Row],[Rating]],Mapping!$B$2:$B$6, Mapping!$C$2:$C$6)</f>
        <v>3</v>
      </c>
      <c r="M18" s="5"/>
      <c r="O18" s="11" t="s">
        <v>1</v>
      </c>
      <c r="P18" s="12" t="str" cm="1">
        <f t="array" aca="1" ref="P18:P25" ca="1">TRANSPOSE(_xlfn.XLOOKUP(O14, staff[Name], staff[[Gender]:[Tenure]]))</f>
        <v>Female</v>
      </c>
    </row>
    <row r="19" spans="2:16" ht="15.75" x14ac:dyDescent="0.25">
      <c r="B19" s="3" t="s">
        <v>164</v>
      </c>
      <c r="C19" s="3" t="s">
        <v>8</v>
      </c>
      <c r="D19">
        <v>34</v>
      </c>
      <c r="E19" t="s">
        <v>24</v>
      </c>
      <c r="F19" s="4">
        <v>44660</v>
      </c>
      <c r="G19" s="3" t="s">
        <v>19</v>
      </c>
      <c r="H19" s="22">
        <v>49630</v>
      </c>
      <c r="I19" t="s">
        <v>205</v>
      </c>
      <c r="J19" s="5">
        <f ca="1">(TODAY()-staff[[#This Row],[Date Joined]])/365</f>
        <v>1.3753424657534246</v>
      </c>
      <c r="K19" s="19">
        <f ca="1">ROUNDUP(IF(staff[[#This Row],[Tenure]]&gt;2, 3%, 2%)*staff[[#This Row],[Salary]], 0)</f>
        <v>993</v>
      </c>
      <c r="L19" s="19">
        <f>_xlfn.XLOOKUP(staff[[#This Row],[Rating]],Mapping!$B$2:$B$6, Mapping!$C$2:$C$6)</f>
        <v>2</v>
      </c>
      <c r="M19" s="5"/>
      <c r="O19" s="11" t="s">
        <v>3</v>
      </c>
      <c r="P19" s="12">
        <f ca="1"/>
        <v>42</v>
      </c>
    </row>
    <row r="20" spans="2:16" ht="15.75" x14ac:dyDescent="0.25">
      <c r="B20" s="3" t="s">
        <v>198</v>
      </c>
      <c r="C20" s="3" t="s">
        <v>15</v>
      </c>
      <c r="D20">
        <v>36</v>
      </c>
      <c r="E20" t="s">
        <v>16</v>
      </c>
      <c r="F20" s="4">
        <v>43958</v>
      </c>
      <c r="G20" s="3" t="s">
        <v>12</v>
      </c>
      <c r="H20" s="22">
        <v>118840</v>
      </c>
      <c r="I20" t="s">
        <v>205</v>
      </c>
      <c r="J20" s="5">
        <f ca="1">(TODAY()-staff[[#This Row],[Date Joined]])/365</f>
        <v>3.2986301369863016</v>
      </c>
      <c r="K20" s="19">
        <f ca="1">ROUNDUP(IF(staff[[#This Row],[Tenure]]&gt;2, 3%, 2%)*staff[[#This Row],[Salary]], 0)</f>
        <v>3566</v>
      </c>
      <c r="L20" s="19">
        <f>_xlfn.XLOOKUP(staff[[#This Row],[Rating]],Mapping!$B$2:$B$6, Mapping!$C$2:$C$6)</f>
        <v>3</v>
      </c>
      <c r="M20" s="5"/>
      <c r="O20" s="11" t="s">
        <v>6</v>
      </c>
      <c r="P20" s="12" t="str">
        <f ca="1"/>
        <v>Exceptional</v>
      </c>
    </row>
    <row r="21" spans="2:16" ht="15.75" x14ac:dyDescent="0.25">
      <c r="B21" s="3" t="s">
        <v>158</v>
      </c>
      <c r="C21" s="3" t="s">
        <v>15</v>
      </c>
      <c r="D21">
        <v>30</v>
      </c>
      <c r="E21" t="s">
        <v>16</v>
      </c>
      <c r="F21" s="4">
        <v>44789</v>
      </c>
      <c r="G21" s="3" t="s">
        <v>12</v>
      </c>
      <c r="H21" s="22">
        <v>69710</v>
      </c>
      <c r="I21" t="s">
        <v>205</v>
      </c>
      <c r="J21" s="5">
        <f ca="1">(TODAY()-staff[[#This Row],[Date Joined]])/365</f>
        <v>1.021917808219178</v>
      </c>
      <c r="K21" s="19">
        <f ca="1">ROUNDUP(IF(staff[[#This Row],[Tenure]]&gt;2, 3%, 2%)*staff[[#This Row],[Salary]], 0)</f>
        <v>1395</v>
      </c>
      <c r="L21" s="19">
        <f>_xlfn.XLOOKUP(staff[[#This Row],[Rating]],Mapping!$B$2:$B$6, Mapping!$C$2:$C$6)</f>
        <v>3</v>
      </c>
      <c r="M21" s="5"/>
      <c r="O21" s="11" t="s">
        <v>4</v>
      </c>
      <c r="P21" s="13">
        <f ca="1"/>
        <v>44779</v>
      </c>
    </row>
    <row r="22" spans="2:16" ht="15.75" x14ac:dyDescent="0.25">
      <c r="B22" s="3" t="s">
        <v>196</v>
      </c>
      <c r="C22" s="3" t="s">
        <v>15</v>
      </c>
      <c r="D22">
        <v>20</v>
      </c>
      <c r="E22" t="s">
        <v>16</v>
      </c>
      <c r="F22" s="4">
        <v>44683</v>
      </c>
      <c r="G22" s="3" t="s">
        <v>9</v>
      </c>
      <c r="H22" s="22">
        <v>79570</v>
      </c>
      <c r="I22" t="s">
        <v>205</v>
      </c>
      <c r="J22" s="5">
        <f ca="1">(TODAY()-staff[[#This Row],[Date Joined]])/365</f>
        <v>1.3123287671232877</v>
      </c>
      <c r="K22" s="19">
        <f ca="1">ROUNDUP(IF(staff[[#This Row],[Tenure]]&gt;2, 3%, 2%)*staff[[#This Row],[Salary]], 0)</f>
        <v>1592</v>
      </c>
      <c r="L22" s="19">
        <f>_xlfn.XLOOKUP(staff[[#This Row],[Rating]],Mapping!$B$2:$B$6, Mapping!$C$2:$C$6)</f>
        <v>3</v>
      </c>
      <c r="M22" s="5"/>
      <c r="O22" s="11" t="s">
        <v>2</v>
      </c>
      <c r="P22" s="12" t="str">
        <f ca="1"/>
        <v>Procurement</v>
      </c>
    </row>
    <row r="23" spans="2:16" ht="15.75" x14ac:dyDescent="0.25">
      <c r="B23" s="3" t="s">
        <v>153</v>
      </c>
      <c r="C23" s="3" t="s">
        <v>8</v>
      </c>
      <c r="D23">
        <v>22</v>
      </c>
      <c r="E23" t="s">
        <v>13</v>
      </c>
      <c r="F23" s="4">
        <v>44388</v>
      </c>
      <c r="G23" s="3" t="s">
        <v>9</v>
      </c>
      <c r="H23" s="22">
        <v>76900</v>
      </c>
      <c r="I23" t="s">
        <v>205</v>
      </c>
      <c r="J23" s="5">
        <f ca="1">(TODAY()-staff[[#This Row],[Date Joined]])/365</f>
        <v>2.1205479452054794</v>
      </c>
      <c r="K23" s="19">
        <f ca="1">ROUNDUP(IF(staff[[#This Row],[Tenure]]&gt;2, 3%, 2%)*staff[[#This Row],[Salary]], 0)</f>
        <v>2307</v>
      </c>
      <c r="L23" s="19">
        <f>_xlfn.XLOOKUP(staff[[#This Row],[Rating]],Mapping!$B$2:$B$6, Mapping!$C$2:$C$6)</f>
        <v>4</v>
      </c>
      <c r="M23" s="5"/>
      <c r="O23" s="11" t="s">
        <v>5</v>
      </c>
      <c r="P23" s="12">
        <f ca="1"/>
        <v>75000</v>
      </c>
    </row>
    <row r="24" spans="2:16" ht="15.75" x14ac:dyDescent="0.25">
      <c r="B24" s="3" t="s">
        <v>181</v>
      </c>
      <c r="C24" s="3" t="s">
        <v>15</v>
      </c>
      <c r="D24">
        <v>27</v>
      </c>
      <c r="E24" t="s">
        <v>16</v>
      </c>
      <c r="F24" s="4">
        <v>44073</v>
      </c>
      <c r="G24" s="3" t="s">
        <v>19</v>
      </c>
      <c r="H24" s="22">
        <v>54970</v>
      </c>
      <c r="I24" t="s">
        <v>205</v>
      </c>
      <c r="J24" s="5">
        <f ca="1">(TODAY()-staff[[#This Row],[Date Joined]])/365</f>
        <v>2.9835616438356163</v>
      </c>
      <c r="K24" s="19">
        <f ca="1">ROUNDUP(IF(staff[[#This Row],[Tenure]]&gt;2, 3%, 2%)*staff[[#This Row],[Salary]], 0)</f>
        <v>1650</v>
      </c>
      <c r="L24" s="19">
        <f>_xlfn.XLOOKUP(staff[[#This Row],[Rating]],Mapping!$B$2:$B$6, Mapping!$C$2:$C$6)</f>
        <v>3</v>
      </c>
      <c r="M24" s="5"/>
      <c r="O24" s="11" t="s">
        <v>217</v>
      </c>
      <c r="P24" s="12" t="str">
        <f ca="1"/>
        <v>NZ</v>
      </c>
    </row>
    <row r="25" spans="2:16" ht="15.75" x14ac:dyDescent="0.25">
      <c r="B25" s="3" t="s">
        <v>117</v>
      </c>
      <c r="C25" s="3" t="s">
        <v>15</v>
      </c>
      <c r="D25">
        <v>37</v>
      </c>
      <c r="E25" t="s">
        <v>24</v>
      </c>
      <c r="F25" s="4">
        <v>44277</v>
      </c>
      <c r="G25" s="3" t="s">
        <v>12</v>
      </c>
      <c r="H25" s="22">
        <v>88050</v>
      </c>
      <c r="I25" t="s">
        <v>205</v>
      </c>
      <c r="J25" s="5">
        <f ca="1">(TODAY()-staff[[#This Row],[Date Joined]])/365</f>
        <v>2.4246575342465753</v>
      </c>
      <c r="K25" s="19">
        <f ca="1">ROUNDUP(IF(staff[[#This Row],[Tenure]]&gt;2, 3%, 2%)*staff[[#This Row],[Salary]], 0)</f>
        <v>2642</v>
      </c>
      <c r="L25" s="19">
        <f>_xlfn.XLOOKUP(staff[[#This Row],[Rating]],Mapping!$B$2:$B$6, Mapping!$C$2:$C$6)</f>
        <v>2</v>
      </c>
      <c r="M25" s="5"/>
      <c r="O25" s="11" t="s">
        <v>213</v>
      </c>
      <c r="P25" s="12">
        <f ca="1"/>
        <v>1.0493150684931507</v>
      </c>
    </row>
    <row r="26" spans="2:16" x14ac:dyDescent="0.25">
      <c r="B26" s="3" t="s">
        <v>191</v>
      </c>
      <c r="C26" s="3" t="s">
        <v>15</v>
      </c>
      <c r="D26">
        <v>43</v>
      </c>
      <c r="E26" t="s">
        <v>16</v>
      </c>
      <c r="F26" s="4">
        <v>44558</v>
      </c>
      <c r="G26" s="3" t="s">
        <v>19</v>
      </c>
      <c r="H26" s="22">
        <v>36040</v>
      </c>
      <c r="I26" t="s">
        <v>205</v>
      </c>
      <c r="J26" s="5">
        <f ca="1">(TODAY()-staff[[#This Row],[Date Joined]])/365</f>
        <v>1.6547945205479453</v>
      </c>
      <c r="K26" s="19">
        <f ca="1">ROUNDUP(IF(staff[[#This Row],[Tenure]]&gt;2, 3%, 2%)*staff[[#This Row],[Salary]], 0)</f>
        <v>721</v>
      </c>
      <c r="L26" s="19">
        <f>_xlfn.XLOOKUP(staff[[#This Row],[Rating]],Mapping!$B$2:$B$6, Mapping!$C$2:$C$6)</f>
        <v>3</v>
      </c>
      <c r="M26" s="5"/>
    </row>
    <row r="27" spans="2:16" x14ac:dyDescent="0.25">
      <c r="B27" s="3" t="s">
        <v>110</v>
      </c>
      <c r="C27" s="3" t="s">
        <v>8</v>
      </c>
      <c r="D27">
        <v>42</v>
      </c>
      <c r="E27" t="s">
        <v>10</v>
      </c>
      <c r="F27" s="4">
        <v>44718</v>
      </c>
      <c r="G27" s="3" t="s">
        <v>9</v>
      </c>
      <c r="H27" s="22">
        <v>75000</v>
      </c>
      <c r="I27" t="s">
        <v>205</v>
      </c>
      <c r="J27" s="5">
        <f ca="1">(TODAY()-staff[[#This Row],[Date Joined]])/365</f>
        <v>1.2164383561643837</v>
      </c>
      <c r="K27" s="19">
        <f ca="1">ROUNDUP(IF(staff[[#This Row],[Tenure]]&gt;2, 3%, 2%)*staff[[#This Row],[Salary]], 0)</f>
        <v>1500</v>
      </c>
      <c r="L27" s="19">
        <f>_xlfn.XLOOKUP(staff[[#This Row],[Rating]],Mapping!$B$2:$B$6, Mapping!$C$2:$C$6)</f>
        <v>5</v>
      </c>
      <c r="M27" s="5"/>
    </row>
    <row r="28" spans="2:16" x14ac:dyDescent="0.25">
      <c r="B28" s="3" t="s">
        <v>148</v>
      </c>
      <c r="C28" s="3" t="s">
        <v>15</v>
      </c>
      <c r="D28">
        <v>35</v>
      </c>
      <c r="E28" t="s">
        <v>16</v>
      </c>
      <c r="F28" s="4">
        <v>44666</v>
      </c>
      <c r="G28" s="3" t="s">
        <v>9</v>
      </c>
      <c r="H28" s="22">
        <v>40400</v>
      </c>
      <c r="I28" t="s">
        <v>205</v>
      </c>
      <c r="J28" s="5">
        <f ca="1">(TODAY()-staff[[#This Row],[Date Joined]])/365</f>
        <v>1.3589041095890411</v>
      </c>
      <c r="K28" s="19">
        <f ca="1">ROUNDUP(IF(staff[[#This Row],[Tenure]]&gt;2, 3%, 2%)*staff[[#This Row],[Salary]], 0)</f>
        <v>808</v>
      </c>
      <c r="L28" s="19">
        <f>_xlfn.XLOOKUP(staff[[#This Row],[Rating]],Mapping!$B$2:$B$6, Mapping!$C$2:$C$6)</f>
        <v>3</v>
      </c>
      <c r="M28" s="5"/>
    </row>
    <row r="29" spans="2:16" x14ac:dyDescent="0.25">
      <c r="B29" s="3" t="s">
        <v>195</v>
      </c>
      <c r="C29" s="3" t="s">
        <v>15</v>
      </c>
      <c r="D29">
        <v>24</v>
      </c>
      <c r="E29" t="s">
        <v>16</v>
      </c>
      <c r="F29" s="4">
        <v>44625</v>
      </c>
      <c r="G29" s="3" t="s">
        <v>12</v>
      </c>
      <c r="H29" s="22">
        <v>100420</v>
      </c>
      <c r="I29" t="s">
        <v>205</v>
      </c>
      <c r="J29" s="5">
        <f ca="1">(TODAY()-staff[[#This Row],[Date Joined]])/365</f>
        <v>1.4712328767123288</v>
      </c>
      <c r="K29" s="19">
        <f ca="1">ROUNDUP(IF(staff[[#This Row],[Tenure]]&gt;2, 3%, 2%)*staff[[#This Row],[Salary]], 0)</f>
        <v>2009</v>
      </c>
      <c r="L29" s="19">
        <f>_xlfn.XLOOKUP(staff[[#This Row],[Rating]],Mapping!$B$2:$B$6, Mapping!$C$2:$C$6)</f>
        <v>3</v>
      </c>
      <c r="M29" s="5"/>
    </row>
    <row r="30" spans="2:16" x14ac:dyDescent="0.25">
      <c r="B30" s="3" t="s">
        <v>119</v>
      </c>
      <c r="C30" s="3" t="s">
        <v>8</v>
      </c>
      <c r="D30">
        <v>31</v>
      </c>
      <c r="E30" t="s">
        <v>16</v>
      </c>
      <c r="F30" s="4">
        <v>44604</v>
      </c>
      <c r="G30" s="3" t="s">
        <v>12</v>
      </c>
      <c r="H30" s="22">
        <v>58100</v>
      </c>
      <c r="I30" t="s">
        <v>205</v>
      </c>
      <c r="J30" s="5">
        <f ca="1">(TODAY()-staff[[#This Row],[Date Joined]])/365</f>
        <v>1.5287671232876712</v>
      </c>
      <c r="K30" s="19">
        <f ca="1">ROUNDUP(IF(staff[[#This Row],[Tenure]]&gt;2, 3%, 2%)*staff[[#This Row],[Salary]], 0)</f>
        <v>1162</v>
      </c>
      <c r="L30" s="19">
        <f>_xlfn.XLOOKUP(staff[[#This Row],[Rating]],Mapping!$B$2:$B$6, Mapping!$C$2:$C$6)</f>
        <v>3</v>
      </c>
      <c r="M30" s="5"/>
    </row>
    <row r="31" spans="2:16" x14ac:dyDescent="0.25">
      <c r="B31" s="3" t="s">
        <v>113</v>
      </c>
      <c r="C31" s="3" t="s">
        <v>8</v>
      </c>
      <c r="D31">
        <v>44</v>
      </c>
      <c r="E31" t="s">
        <v>16</v>
      </c>
      <c r="F31" s="4">
        <v>44985</v>
      </c>
      <c r="G31" s="3" t="s">
        <v>12</v>
      </c>
      <c r="H31" s="22">
        <v>114870</v>
      </c>
      <c r="I31" t="s">
        <v>205</v>
      </c>
      <c r="J31" s="5">
        <f ca="1">(TODAY()-staff[[#This Row],[Date Joined]])/365</f>
        <v>0.48493150684931507</v>
      </c>
      <c r="K31" s="19">
        <f ca="1">ROUNDUP(IF(staff[[#This Row],[Tenure]]&gt;2, 3%, 2%)*staff[[#This Row],[Salary]], 0)</f>
        <v>2298</v>
      </c>
      <c r="L31" s="19">
        <f>_xlfn.XLOOKUP(staff[[#This Row],[Rating]],Mapping!$B$2:$B$6, Mapping!$C$2:$C$6)</f>
        <v>3</v>
      </c>
      <c r="M31" s="5"/>
    </row>
    <row r="32" spans="2:16" x14ac:dyDescent="0.25">
      <c r="B32" s="3" t="s">
        <v>157</v>
      </c>
      <c r="C32" s="3" t="s">
        <v>8</v>
      </c>
      <c r="D32">
        <v>32</v>
      </c>
      <c r="E32" t="s">
        <v>16</v>
      </c>
      <c r="F32" s="4">
        <v>44549</v>
      </c>
      <c r="G32" s="3" t="s">
        <v>9</v>
      </c>
      <c r="H32" s="22">
        <v>41570</v>
      </c>
      <c r="I32" t="s">
        <v>205</v>
      </c>
      <c r="J32" s="5">
        <f ca="1">(TODAY()-staff[[#This Row],[Date Joined]])/365</f>
        <v>1.6794520547945206</v>
      </c>
      <c r="K32" s="19">
        <f ca="1">ROUNDUP(IF(staff[[#This Row],[Tenure]]&gt;2, 3%, 2%)*staff[[#This Row],[Salary]], 0)</f>
        <v>832</v>
      </c>
      <c r="L32" s="19">
        <f>_xlfn.XLOOKUP(staff[[#This Row],[Rating]],Mapping!$B$2:$B$6, Mapping!$C$2:$C$6)</f>
        <v>3</v>
      </c>
      <c r="M32" s="5"/>
    </row>
    <row r="33" spans="2:13" x14ac:dyDescent="0.25">
      <c r="B33" s="3" t="s">
        <v>172</v>
      </c>
      <c r="C33" s="3" t="s">
        <v>8</v>
      </c>
      <c r="D33">
        <v>30</v>
      </c>
      <c r="E33" t="s">
        <v>16</v>
      </c>
      <c r="F33" s="4">
        <v>44800</v>
      </c>
      <c r="G33" s="3" t="s">
        <v>9</v>
      </c>
      <c r="H33" s="22">
        <v>112570</v>
      </c>
      <c r="I33" t="s">
        <v>205</v>
      </c>
      <c r="J33" s="5">
        <f ca="1">(TODAY()-staff[[#This Row],[Date Joined]])/365</f>
        <v>0.99178082191780825</v>
      </c>
      <c r="K33" s="19">
        <f ca="1">ROUNDUP(IF(staff[[#This Row],[Tenure]]&gt;2, 3%, 2%)*staff[[#This Row],[Salary]], 0)</f>
        <v>2252</v>
      </c>
      <c r="L33" s="19">
        <f>_xlfn.XLOOKUP(staff[[#This Row],[Rating]],Mapping!$B$2:$B$6, Mapping!$C$2:$C$6)</f>
        <v>3</v>
      </c>
      <c r="M33" s="5"/>
    </row>
    <row r="34" spans="2:13" x14ac:dyDescent="0.25">
      <c r="B34" s="3" t="s">
        <v>150</v>
      </c>
      <c r="C34" s="3" t="s">
        <v>15</v>
      </c>
      <c r="D34">
        <v>26</v>
      </c>
      <c r="E34" t="s">
        <v>16</v>
      </c>
      <c r="F34" s="4">
        <v>44164</v>
      </c>
      <c r="G34" s="3" t="s">
        <v>9</v>
      </c>
      <c r="H34" s="22">
        <v>47360</v>
      </c>
      <c r="I34" t="s">
        <v>205</v>
      </c>
      <c r="J34" s="5">
        <f ca="1">(TODAY()-staff[[#This Row],[Date Joined]])/365</f>
        <v>2.7342465753424658</v>
      </c>
      <c r="K34" s="19">
        <f ca="1">ROUNDUP(IF(staff[[#This Row],[Tenure]]&gt;2, 3%, 2%)*staff[[#This Row],[Salary]], 0)</f>
        <v>1421</v>
      </c>
      <c r="L34" s="19">
        <f>_xlfn.XLOOKUP(staff[[#This Row],[Rating]],Mapping!$B$2:$B$6, Mapping!$C$2:$C$6)</f>
        <v>3</v>
      </c>
      <c r="M34" s="5"/>
    </row>
    <row r="35" spans="2:13" x14ac:dyDescent="0.25">
      <c r="B35" s="3" t="s">
        <v>125</v>
      </c>
      <c r="C35" s="3" t="s">
        <v>8</v>
      </c>
      <c r="D35">
        <v>21</v>
      </c>
      <c r="E35" t="s">
        <v>16</v>
      </c>
      <c r="F35" s="4">
        <v>44256</v>
      </c>
      <c r="G35" s="3" t="s">
        <v>21</v>
      </c>
      <c r="H35" s="22">
        <v>65920</v>
      </c>
      <c r="I35" t="s">
        <v>205</v>
      </c>
      <c r="J35" s="5">
        <f ca="1">(TODAY()-staff[[#This Row],[Date Joined]])/365</f>
        <v>2.4821917808219176</v>
      </c>
      <c r="K35" s="19">
        <f ca="1">ROUNDUP(IF(staff[[#This Row],[Tenure]]&gt;2, 3%, 2%)*staff[[#This Row],[Salary]], 0)</f>
        <v>1978</v>
      </c>
      <c r="L35" s="19">
        <f>_xlfn.XLOOKUP(staff[[#This Row],[Rating]],Mapping!$B$2:$B$6, Mapping!$C$2:$C$6)</f>
        <v>3</v>
      </c>
      <c r="M35" s="5"/>
    </row>
    <row r="36" spans="2:13" x14ac:dyDescent="0.25">
      <c r="B36" s="3" t="s">
        <v>199</v>
      </c>
      <c r="C36" s="3" t="s">
        <v>8</v>
      </c>
      <c r="D36">
        <v>28</v>
      </c>
      <c r="E36" t="s">
        <v>16</v>
      </c>
      <c r="F36" s="4">
        <v>44571</v>
      </c>
      <c r="G36" s="3" t="s">
        <v>9</v>
      </c>
      <c r="H36" s="22">
        <v>99970</v>
      </c>
      <c r="I36" t="s">
        <v>205</v>
      </c>
      <c r="J36" s="5">
        <f ca="1">(TODAY()-staff[[#This Row],[Date Joined]])/365</f>
        <v>1.6191780821917807</v>
      </c>
      <c r="K36" s="19">
        <f ca="1">ROUNDUP(IF(staff[[#This Row],[Tenure]]&gt;2, 3%, 2%)*staff[[#This Row],[Salary]], 0)</f>
        <v>2000</v>
      </c>
      <c r="L36" s="19">
        <f>_xlfn.XLOOKUP(staff[[#This Row],[Rating]],Mapping!$B$2:$B$6, Mapping!$C$2:$C$6)</f>
        <v>3</v>
      </c>
      <c r="M36" s="5"/>
    </row>
    <row r="37" spans="2:13" x14ac:dyDescent="0.25">
      <c r="B37" s="3" t="s">
        <v>132</v>
      </c>
      <c r="C37" s="3" t="s">
        <v>8</v>
      </c>
      <c r="D37">
        <v>25</v>
      </c>
      <c r="E37" t="s">
        <v>13</v>
      </c>
      <c r="F37" s="4">
        <v>44633</v>
      </c>
      <c r="G37" s="3" t="s">
        <v>12</v>
      </c>
      <c r="H37" s="22">
        <v>80700</v>
      </c>
      <c r="I37" t="s">
        <v>205</v>
      </c>
      <c r="J37" s="5">
        <f ca="1">(TODAY()-staff[[#This Row],[Date Joined]])/365</f>
        <v>1.4493150684931506</v>
      </c>
      <c r="K37" s="19">
        <f ca="1">ROUNDUP(IF(staff[[#This Row],[Tenure]]&gt;2, 3%, 2%)*staff[[#This Row],[Salary]], 0)</f>
        <v>1614</v>
      </c>
      <c r="L37" s="19">
        <f>_xlfn.XLOOKUP(staff[[#This Row],[Rating]],Mapping!$B$2:$B$6, Mapping!$C$2:$C$6)</f>
        <v>4</v>
      </c>
      <c r="M37" s="5"/>
    </row>
    <row r="38" spans="2:13" x14ac:dyDescent="0.25">
      <c r="B38" s="3" t="s">
        <v>154</v>
      </c>
      <c r="C38" s="3" t="s">
        <v>15</v>
      </c>
      <c r="D38">
        <v>24</v>
      </c>
      <c r="E38" t="s">
        <v>24</v>
      </c>
      <c r="F38" s="4">
        <v>44375</v>
      </c>
      <c r="G38" s="3" t="s">
        <v>21</v>
      </c>
      <c r="H38" s="22">
        <v>52610</v>
      </c>
      <c r="I38" t="s">
        <v>205</v>
      </c>
      <c r="J38" s="5">
        <f ca="1">(TODAY()-staff[[#This Row],[Date Joined]])/365</f>
        <v>2.1561643835616437</v>
      </c>
      <c r="K38" s="19">
        <f ca="1">ROUNDUP(IF(staff[[#This Row],[Tenure]]&gt;2, 3%, 2%)*staff[[#This Row],[Salary]], 0)</f>
        <v>1579</v>
      </c>
      <c r="L38" s="19">
        <f>_xlfn.XLOOKUP(staff[[#This Row],[Rating]],Mapping!$B$2:$B$6, Mapping!$C$2:$C$6)</f>
        <v>2</v>
      </c>
      <c r="M38" s="5"/>
    </row>
    <row r="39" spans="2:13" x14ac:dyDescent="0.25">
      <c r="B39" s="3" t="s">
        <v>179</v>
      </c>
      <c r="C39" s="3" t="s">
        <v>15</v>
      </c>
      <c r="D39">
        <v>29</v>
      </c>
      <c r="E39" t="s">
        <v>24</v>
      </c>
      <c r="F39" s="4">
        <v>44119</v>
      </c>
      <c r="G39" s="3" t="s">
        <v>12</v>
      </c>
      <c r="H39" s="22">
        <v>112110</v>
      </c>
      <c r="I39" t="s">
        <v>205</v>
      </c>
      <c r="J39" s="5">
        <f ca="1">(TODAY()-staff[[#This Row],[Date Joined]])/365</f>
        <v>2.8575342465753426</v>
      </c>
      <c r="K39" s="19">
        <f ca="1">ROUNDUP(IF(staff[[#This Row],[Tenure]]&gt;2, 3%, 2%)*staff[[#This Row],[Salary]], 0)</f>
        <v>3364</v>
      </c>
      <c r="L39" s="19">
        <f>_xlfn.XLOOKUP(staff[[#This Row],[Rating]],Mapping!$B$2:$B$6, Mapping!$C$2:$C$6)</f>
        <v>2</v>
      </c>
      <c r="M39" s="5"/>
    </row>
    <row r="40" spans="2:13" x14ac:dyDescent="0.25">
      <c r="B40" s="3" t="s">
        <v>151</v>
      </c>
      <c r="C40" s="3" t="s">
        <v>8</v>
      </c>
      <c r="D40">
        <v>27</v>
      </c>
      <c r="E40" t="s">
        <v>16</v>
      </c>
      <c r="F40" s="4">
        <v>44061</v>
      </c>
      <c r="G40" s="3" t="s">
        <v>56</v>
      </c>
      <c r="H40" s="22">
        <v>119110</v>
      </c>
      <c r="I40" t="s">
        <v>205</v>
      </c>
      <c r="J40" s="5">
        <f ca="1">(TODAY()-staff[[#This Row],[Date Joined]])/365</f>
        <v>3.0164383561643837</v>
      </c>
      <c r="K40" s="19">
        <f ca="1">ROUNDUP(IF(staff[[#This Row],[Tenure]]&gt;2, 3%, 2%)*staff[[#This Row],[Salary]], 0)</f>
        <v>3574</v>
      </c>
      <c r="L40" s="19">
        <f>_xlfn.XLOOKUP(staff[[#This Row],[Rating]],Mapping!$B$2:$B$6, Mapping!$C$2:$C$6)</f>
        <v>3</v>
      </c>
      <c r="M40" s="5"/>
    </row>
    <row r="41" spans="2:13" x14ac:dyDescent="0.25">
      <c r="B41" s="3" t="s">
        <v>149</v>
      </c>
      <c r="C41" s="3" t="s">
        <v>15</v>
      </c>
      <c r="D41">
        <v>22</v>
      </c>
      <c r="E41" t="s">
        <v>13</v>
      </c>
      <c r="F41" s="4">
        <v>44384</v>
      </c>
      <c r="G41" s="3" t="s">
        <v>19</v>
      </c>
      <c r="H41" s="22">
        <v>112780</v>
      </c>
      <c r="I41" t="s">
        <v>205</v>
      </c>
      <c r="J41" s="5">
        <f ca="1">(TODAY()-staff[[#This Row],[Date Joined]])/365</f>
        <v>2.1315068493150684</v>
      </c>
      <c r="K41" s="19">
        <f ca="1">ROUNDUP(IF(staff[[#This Row],[Tenure]]&gt;2, 3%, 2%)*staff[[#This Row],[Salary]], 0)</f>
        <v>3384</v>
      </c>
      <c r="L41" s="19">
        <f>_xlfn.XLOOKUP(staff[[#This Row],[Rating]],Mapping!$B$2:$B$6, Mapping!$C$2:$C$6)</f>
        <v>4</v>
      </c>
      <c r="M41" s="5"/>
    </row>
    <row r="42" spans="2:13" x14ac:dyDescent="0.25">
      <c r="B42" s="3" t="s">
        <v>174</v>
      </c>
      <c r="C42" s="3" t="s">
        <v>8</v>
      </c>
      <c r="D42">
        <v>36</v>
      </c>
      <c r="E42" t="s">
        <v>16</v>
      </c>
      <c r="F42" s="4">
        <v>44023</v>
      </c>
      <c r="G42" s="3" t="s">
        <v>9</v>
      </c>
      <c r="H42" s="22">
        <v>114890</v>
      </c>
      <c r="I42" t="s">
        <v>205</v>
      </c>
      <c r="J42" s="5">
        <f ca="1">(TODAY()-staff[[#This Row],[Date Joined]])/365</f>
        <v>3.1205479452054794</v>
      </c>
      <c r="K42" s="19">
        <f ca="1">ROUNDUP(IF(staff[[#This Row],[Tenure]]&gt;2, 3%, 2%)*staff[[#This Row],[Salary]], 0)</f>
        <v>3447</v>
      </c>
      <c r="L42" s="19">
        <f>_xlfn.XLOOKUP(staff[[#This Row],[Rating]],Mapping!$B$2:$B$6, Mapping!$C$2:$C$6)</f>
        <v>3</v>
      </c>
      <c r="M42" s="5"/>
    </row>
    <row r="43" spans="2:13" x14ac:dyDescent="0.25">
      <c r="B43" s="3" t="s">
        <v>145</v>
      </c>
      <c r="C43" s="3" t="s">
        <v>15</v>
      </c>
      <c r="D43">
        <v>27</v>
      </c>
      <c r="E43" t="s">
        <v>16</v>
      </c>
      <c r="F43" s="4">
        <v>44506</v>
      </c>
      <c r="G43" s="3" t="s">
        <v>21</v>
      </c>
      <c r="H43" s="22">
        <v>48980</v>
      </c>
      <c r="I43" t="s">
        <v>205</v>
      </c>
      <c r="J43" s="5">
        <f ca="1">(TODAY()-staff[[#This Row],[Date Joined]])/365</f>
        <v>1.7972602739726027</v>
      </c>
      <c r="K43" s="19">
        <f ca="1">ROUNDUP(IF(staff[[#This Row],[Tenure]]&gt;2, 3%, 2%)*staff[[#This Row],[Salary]], 0)</f>
        <v>980</v>
      </c>
      <c r="L43" s="19">
        <f>_xlfn.XLOOKUP(staff[[#This Row],[Rating]],Mapping!$B$2:$B$6, Mapping!$C$2:$C$6)</f>
        <v>3</v>
      </c>
      <c r="M43" s="5"/>
    </row>
    <row r="44" spans="2:13" x14ac:dyDescent="0.25">
      <c r="B44" s="3" t="s">
        <v>169</v>
      </c>
      <c r="C44" s="3" t="s">
        <v>15</v>
      </c>
      <c r="D44">
        <v>21</v>
      </c>
      <c r="E44" t="s">
        <v>16</v>
      </c>
      <c r="F44" s="4">
        <v>44180</v>
      </c>
      <c r="G44" s="3" t="s">
        <v>56</v>
      </c>
      <c r="H44" s="22">
        <v>75880</v>
      </c>
      <c r="I44" t="s">
        <v>205</v>
      </c>
      <c r="J44" s="5">
        <f ca="1">(TODAY()-staff[[#This Row],[Date Joined]])/365</f>
        <v>2.6904109589041094</v>
      </c>
      <c r="K44" s="19">
        <f ca="1">ROUNDUP(IF(staff[[#This Row],[Tenure]]&gt;2, 3%, 2%)*staff[[#This Row],[Salary]], 0)</f>
        <v>2277</v>
      </c>
      <c r="L44" s="19">
        <f>_xlfn.XLOOKUP(staff[[#This Row],[Rating]],Mapping!$B$2:$B$6, Mapping!$C$2:$C$6)</f>
        <v>3</v>
      </c>
      <c r="M44" s="5"/>
    </row>
    <row r="45" spans="2:13" x14ac:dyDescent="0.25">
      <c r="B45" s="3" t="s">
        <v>166</v>
      </c>
      <c r="C45" s="3" t="s">
        <v>8</v>
      </c>
      <c r="D45">
        <v>28</v>
      </c>
      <c r="E45" t="s">
        <v>16</v>
      </c>
      <c r="F45" s="4">
        <v>44296</v>
      </c>
      <c r="G45" s="3" t="s">
        <v>19</v>
      </c>
      <c r="H45" s="22">
        <v>53240</v>
      </c>
      <c r="I45" t="s">
        <v>205</v>
      </c>
      <c r="J45" s="5">
        <f ca="1">(TODAY()-staff[[#This Row],[Date Joined]])/365</f>
        <v>2.3726027397260272</v>
      </c>
      <c r="K45" s="19">
        <f ca="1">ROUNDUP(IF(staff[[#This Row],[Tenure]]&gt;2, 3%, 2%)*staff[[#This Row],[Salary]], 0)</f>
        <v>1598</v>
      </c>
      <c r="L45" s="19">
        <f>_xlfn.XLOOKUP(staff[[#This Row],[Rating]],Mapping!$B$2:$B$6, Mapping!$C$2:$C$6)</f>
        <v>3</v>
      </c>
      <c r="M45" s="5"/>
    </row>
    <row r="46" spans="2:13" x14ac:dyDescent="0.25">
      <c r="B46" s="3" t="s">
        <v>121</v>
      </c>
      <c r="C46" s="3" t="s">
        <v>8</v>
      </c>
      <c r="D46">
        <v>34</v>
      </c>
      <c r="E46" t="s">
        <v>16</v>
      </c>
      <c r="F46" s="4">
        <v>44397</v>
      </c>
      <c r="G46" s="3" t="s">
        <v>21</v>
      </c>
      <c r="H46" s="22">
        <v>85000</v>
      </c>
      <c r="I46" t="s">
        <v>205</v>
      </c>
      <c r="J46" s="5">
        <f ca="1">(TODAY()-staff[[#This Row],[Date Joined]])/365</f>
        <v>2.095890410958904</v>
      </c>
      <c r="K46" s="19">
        <f ca="1">ROUNDUP(IF(staff[[#This Row],[Tenure]]&gt;2, 3%, 2%)*staff[[#This Row],[Salary]], 0)</f>
        <v>2550</v>
      </c>
      <c r="L46" s="19">
        <f>_xlfn.XLOOKUP(staff[[#This Row],[Rating]],Mapping!$B$2:$B$6, Mapping!$C$2:$C$6)</f>
        <v>3</v>
      </c>
      <c r="M46" s="5"/>
    </row>
    <row r="47" spans="2:13" x14ac:dyDescent="0.25">
      <c r="B47" s="3" t="s">
        <v>178</v>
      </c>
      <c r="C47" s="3" t="s">
        <v>8</v>
      </c>
      <c r="D47">
        <v>21</v>
      </c>
      <c r="E47" t="s">
        <v>16</v>
      </c>
      <c r="F47" s="4">
        <v>44619</v>
      </c>
      <c r="G47" s="3" t="s">
        <v>12</v>
      </c>
      <c r="H47" s="22">
        <v>33920</v>
      </c>
      <c r="I47" t="s">
        <v>205</v>
      </c>
      <c r="J47" s="5">
        <f ca="1">(TODAY()-staff[[#This Row],[Date Joined]])/365</f>
        <v>1.4876712328767123</v>
      </c>
      <c r="K47" s="19">
        <f ca="1">ROUNDUP(IF(staff[[#This Row],[Tenure]]&gt;2, 3%, 2%)*staff[[#This Row],[Salary]], 0)</f>
        <v>679</v>
      </c>
      <c r="L47" s="19">
        <f>_xlfn.XLOOKUP(staff[[#This Row],[Rating]],Mapping!$B$2:$B$6, Mapping!$C$2:$C$6)</f>
        <v>3</v>
      </c>
      <c r="M47" s="5"/>
    </row>
    <row r="48" spans="2:13" x14ac:dyDescent="0.25">
      <c r="B48" s="3" t="s">
        <v>187</v>
      </c>
      <c r="C48" s="3" t="s">
        <v>8</v>
      </c>
      <c r="D48">
        <v>33</v>
      </c>
      <c r="E48" t="s">
        <v>16</v>
      </c>
      <c r="F48" s="4">
        <v>44253</v>
      </c>
      <c r="G48" s="3" t="s">
        <v>12</v>
      </c>
      <c r="H48" s="22">
        <v>75280</v>
      </c>
      <c r="I48" t="s">
        <v>205</v>
      </c>
      <c r="J48" s="5">
        <f ca="1">(TODAY()-staff[[#This Row],[Date Joined]])/365</f>
        <v>2.4904109589041097</v>
      </c>
      <c r="K48" s="19">
        <f ca="1">ROUNDUP(IF(staff[[#This Row],[Tenure]]&gt;2, 3%, 2%)*staff[[#This Row],[Salary]], 0)</f>
        <v>2259</v>
      </c>
      <c r="L48" s="19">
        <f>_xlfn.XLOOKUP(staff[[#This Row],[Rating]],Mapping!$B$2:$B$6, Mapping!$C$2:$C$6)</f>
        <v>3</v>
      </c>
      <c r="M48" s="5"/>
    </row>
    <row r="49" spans="2:13" x14ac:dyDescent="0.25">
      <c r="B49" s="3" t="s">
        <v>129</v>
      </c>
      <c r="C49" s="3" t="s">
        <v>8</v>
      </c>
      <c r="D49">
        <v>34</v>
      </c>
      <c r="E49" t="s">
        <v>16</v>
      </c>
      <c r="F49" s="4">
        <v>44594</v>
      </c>
      <c r="G49" s="3" t="s">
        <v>21</v>
      </c>
      <c r="H49" s="22">
        <v>58940</v>
      </c>
      <c r="I49" t="s">
        <v>205</v>
      </c>
      <c r="J49" s="5">
        <f ca="1">(TODAY()-staff[[#This Row],[Date Joined]])/365</f>
        <v>1.5561643835616439</v>
      </c>
      <c r="K49" s="19">
        <f ca="1">ROUNDUP(IF(staff[[#This Row],[Tenure]]&gt;2, 3%, 2%)*staff[[#This Row],[Salary]], 0)</f>
        <v>1179</v>
      </c>
      <c r="L49" s="19">
        <f>_xlfn.XLOOKUP(staff[[#This Row],[Rating]],Mapping!$B$2:$B$6, Mapping!$C$2:$C$6)</f>
        <v>3</v>
      </c>
      <c r="M49" s="5"/>
    </row>
    <row r="50" spans="2:13" x14ac:dyDescent="0.25">
      <c r="B50" s="3" t="s">
        <v>135</v>
      </c>
      <c r="C50" s="3" t="s">
        <v>8</v>
      </c>
      <c r="D50">
        <v>28</v>
      </c>
      <c r="E50" t="s">
        <v>16</v>
      </c>
      <c r="F50" s="4">
        <v>44425</v>
      </c>
      <c r="G50" s="3" t="s">
        <v>9</v>
      </c>
      <c r="H50" s="22">
        <v>104770</v>
      </c>
      <c r="I50" t="s">
        <v>205</v>
      </c>
      <c r="J50" s="5">
        <f ca="1">(TODAY()-staff[[#This Row],[Date Joined]])/365</f>
        <v>2.0191780821917806</v>
      </c>
      <c r="K50" s="19">
        <f ca="1">ROUNDUP(IF(staff[[#This Row],[Tenure]]&gt;2, 3%, 2%)*staff[[#This Row],[Salary]], 0)</f>
        <v>3144</v>
      </c>
      <c r="L50" s="19">
        <f>_xlfn.XLOOKUP(staff[[#This Row],[Rating]],Mapping!$B$2:$B$6, Mapping!$C$2:$C$6)</f>
        <v>3</v>
      </c>
      <c r="M50" s="5"/>
    </row>
    <row r="51" spans="2:13" x14ac:dyDescent="0.25">
      <c r="B51" s="3" t="s">
        <v>124</v>
      </c>
      <c r="C51" s="3" t="s">
        <v>15</v>
      </c>
      <c r="D51">
        <v>21</v>
      </c>
      <c r="E51" t="s">
        <v>16</v>
      </c>
      <c r="F51" s="4">
        <v>44701</v>
      </c>
      <c r="G51" s="3" t="s">
        <v>9</v>
      </c>
      <c r="H51" s="22">
        <v>57090</v>
      </c>
      <c r="I51" t="s">
        <v>205</v>
      </c>
      <c r="J51" s="5">
        <f ca="1">(TODAY()-staff[[#This Row],[Date Joined]])/365</f>
        <v>1.263013698630137</v>
      </c>
      <c r="K51" s="19">
        <f ca="1">ROUNDUP(IF(staff[[#This Row],[Tenure]]&gt;2, 3%, 2%)*staff[[#This Row],[Salary]], 0)</f>
        <v>1142</v>
      </c>
      <c r="L51" s="19">
        <f>_xlfn.XLOOKUP(staff[[#This Row],[Rating]],Mapping!$B$2:$B$6, Mapping!$C$2:$C$6)</f>
        <v>3</v>
      </c>
      <c r="M51" s="5"/>
    </row>
    <row r="52" spans="2:13" x14ac:dyDescent="0.25">
      <c r="B52" s="3" t="s">
        <v>159</v>
      </c>
      <c r="C52" s="3" t="s">
        <v>15</v>
      </c>
      <c r="D52">
        <v>27</v>
      </c>
      <c r="E52" t="s">
        <v>13</v>
      </c>
      <c r="F52" s="4">
        <v>44174</v>
      </c>
      <c r="G52" s="3" t="s">
        <v>21</v>
      </c>
      <c r="H52" s="22">
        <v>91650</v>
      </c>
      <c r="I52" t="s">
        <v>205</v>
      </c>
      <c r="J52" s="5">
        <f ca="1">(TODAY()-staff[[#This Row],[Date Joined]])/365</f>
        <v>2.7068493150684931</v>
      </c>
      <c r="K52" s="19">
        <f ca="1">ROUNDUP(IF(staff[[#This Row],[Tenure]]&gt;2, 3%, 2%)*staff[[#This Row],[Salary]], 0)</f>
        <v>2750</v>
      </c>
      <c r="L52" s="19">
        <f>_xlfn.XLOOKUP(staff[[#This Row],[Rating]],Mapping!$B$2:$B$6, Mapping!$C$2:$C$6)</f>
        <v>4</v>
      </c>
      <c r="M52" s="5"/>
    </row>
    <row r="53" spans="2:13" x14ac:dyDescent="0.25">
      <c r="B53" s="3" t="s">
        <v>182</v>
      </c>
      <c r="C53" s="3" t="s">
        <v>15</v>
      </c>
      <c r="D53">
        <v>42</v>
      </c>
      <c r="E53" t="s">
        <v>24</v>
      </c>
      <c r="F53" s="4">
        <v>44670</v>
      </c>
      <c r="G53" s="3" t="s">
        <v>21</v>
      </c>
      <c r="H53" s="22">
        <v>70270</v>
      </c>
      <c r="I53" t="s">
        <v>205</v>
      </c>
      <c r="J53" s="5">
        <f ca="1">(TODAY()-staff[[#This Row],[Date Joined]])/365</f>
        <v>1.3479452054794521</v>
      </c>
      <c r="K53" s="19">
        <f ca="1">ROUNDUP(IF(staff[[#This Row],[Tenure]]&gt;2, 3%, 2%)*staff[[#This Row],[Salary]], 0)</f>
        <v>1406</v>
      </c>
      <c r="L53" s="19">
        <f>_xlfn.XLOOKUP(staff[[#This Row],[Rating]],Mapping!$B$2:$B$6, Mapping!$C$2:$C$6)</f>
        <v>2</v>
      </c>
      <c r="M53" s="5"/>
    </row>
    <row r="54" spans="2:13" x14ac:dyDescent="0.25">
      <c r="B54" s="3" t="s">
        <v>128</v>
      </c>
      <c r="C54" s="3" t="s">
        <v>8</v>
      </c>
      <c r="D54">
        <v>28</v>
      </c>
      <c r="E54" t="s">
        <v>16</v>
      </c>
      <c r="F54" s="4">
        <v>44124</v>
      </c>
      <c r="G54" s="3" t="s">
        <v>21</v>
      </c>
      <c r="H54" s="22">
        <v>75970</v>
      </c>
      <c r="I54" t="s">
        <v>205</v>
      </c>
      <c r="J54" s="5">
        <f ca="1">(TODAY()-staff[[#This Row],[Date Joined]])/365</f>
        <v>2.8438356164383563</v>
      </c>
      <c r="K54" s="19">
        <f ca="1">ROUNDUP(IF(staff[[#This Row],[Tenure]]&gt;2, 3%, 2%)*staff[[#This Row],[Salary]], 0)</f>
        <v>2280</v>
      </c>
      <c r="L54" s="19">
        <f>_xlfn.XLOOKUP(staff[[#This Row],[Rating]],Mapping!$B$2:$B$6, Mapping!$C$2:$C$6)</f>
        <v>3</v>
      </c>
      <c r="M54" s="5"/>
    </row>
    <row r="55" spans="2:13" x14ac:dyDescent="0.25">
      <c r="B55" s="3" t="s">
        <v>111</v>
      </c>
      <c r="C55" s="3" t="s">
        <v>206</v>
      </c>
      <c r="D55">
        <v>27</v>
      </c>
      <c r="E55" t="s">
        <v>13</v>
      </c>
      <c r="F55" s="4">
        <v>44212</v>
      </c>
      <c r="G55" s="3" t="s">
        <v>12</v>
      </c>
      <c r="H55" s="22">
        <v>90700</v>
      </c>
      <c r="I55" t="s">
        <v>205</v>
      </c>
      <c r="J55" s="5">
        <f ca="1">(TODAY()-staff[[#This Row],[Date Joined]])/365</f>
        <v>2.6027397260273974</v>
      </c>
      <c r="K55" s="19">
        <f ca="1">ROUNDUP(IF(staff[[#This Row],[Tenure]]&gt;2, 3%, 2%)*staff[[#This Row],[Salary]], 0)</f>
        <v>2721</v>
      </c>
      <c r="L55" s="19">
        <f>_xlfn.XLOOKUP(staff[[#This Row],[Rating]],Mapping!$B$2:$B$6, Mapping!$C$2:$C$6)</f>
        <v>4</v>
      </c>
      <c r="M55" s="5"/>
    </row>
    <row r="56" spans="2:13" x14ac:dyDescent="0.25">
      <c r="B56" s="3" t="s">
        <v>130</v>
      </c>
      <c r="C56" s="3" t="s">
        <v>15</v>
      </c>
      <c r="D56">
        <v>30</v>
      </c>
      <c r="E56" t="s">
        <v>16</v>
      </c>
      <c r="F56" s="4">
        <v>44607</v>
      </c>
      <c r="G56" s="3" t="s">
        <v>9</v>
      </c>
      <c r="H56" s="22">
        <v>60570</v>
      </c>
      <c r="I56" t="s">
        <v>205</v>
      </c>
      <c r="J56" s="5">
        <f ca="1">(TODAY()-staff[[#This Row],[Date Joined]])/365</f>
        <v>1.5205479452054795</v>
      </c>
      <c r="K56" s="19">
        <f ca="1">ROUNDUP(IF(staff[[#This Row],[Tenure]]&gt;2, 3%, 2%)*staff[[#This Row],[Salary]], 0)</f>
        <v>1212</v>
      </c>
      <c r="L56" s="19">
        <f>_xlfn.XLOOKUP(staff[[#This Row],[Rating]],Mapping!$B$2:$B$6, Mapping!$C$2:$C$6)</f>
        <v>3</v>
      </c>
      <c r="M56" s="5"/>
    </row>
    <row r="57" spans="2:13" x14ac:dyDescent="0.25">
      <c r="B57" s="3" t="s">
        <v>133</v>
      </c>
      <c r="C57" s="3" t="s">
        <v>15</v>
      </c>
      <c r="D57">
        <v>33</v>
      </c>
      <c r="E57" t="s">
        <v>16</v>
      </c>
      <c r="F57" s="4">
        <v>44103</v>
      </c>
      <c r="G57" s="3" t="s">
        <v>9</v>
      </c>
      <c r="H57" s="22">
        <v>115920</v>
      </c>
      <c r="I57" t="s">
        <v>205</v>
      </c>
      <c r="J57" s="5">
        <f ca="1">(TODAY()-staff[[#This Row],[Date Joined]])/365</f>
        <v>2.9013698630136986</v>
      </c>
      <c r="K57" s="19">
        <f ca="1">ROUNDUP(IF(staff[[#This Row],[Tenure]]&gt;2, 3%, 2%)*staff[[#This Row],[Salary]], 0)</f>
        <v>3478</v>
      </c>
      <c r="L57" s="19">
        <f>_xlfn.XLOOKUP(staff[[#This Row],[Rating]],Mapping!$B$2:$B$6, Mapping!$C$2:$C$6)</f>
        <v>3</v>
      </c>
      <c r="M57" s="5"/>
    </row>
    <row r="58" spans="2:13" x14ac:dyDescent="0.25">
      <c r="B58" s="3" t="s">
        <v>185</v>
      </c>
      <c r="C58" s="3" t="s">
        <v>8</v>
      </c>
      <c r="D58">
        <v>33</v>
      </c>
      <c r="E58" t="s">
        <v>16</v>
      </c>
      <c r="F58" s="4">
        <v>44006</v>
      </c>
      <c r="G58" s="3" t="s">
        <v>21</v>
      </c>
      <c r="H58" s="22">
        <v>65360</v>
      </c>
      <c r="I58" t="s">
        <v>205</v>
      </c>
      <c r="J58" s="5">
        <f ca="1">(TODAY()-staff[[#This Row],[Date Joined]])/365</f>
        <v>3.1671232876712327</v>
      </c>
      <c r="K58" s="19">
        <f ca="1">ROUNDUP(IF(staff[[#This Row],[Tenure]]&gt;2, 3%, 2%)*staff[[#This Row],[Salary]], 0)</f>
        <v>1961</v>
      </c>
      <c r="L58" s="19">
        <f>_xlfn.XLOOKUP(staff[[#This Row],[Rating]],Mapping!$B$2:$B$6, Mapping!$C$2:$C$6)</f>
        <v>3</v>
      </c>
      <c r="M58" s="5"/>
    </row>
    <row r="59" spans="2:13" x14ac:dyDescent="0.25">
      <c r="B59" s="3" t="s">
        <v>115</v>
      </c>
      <c r="C59" s="3" t="s">
        <v>206</v>
      </c>
      <c r="D59">
        <v>30</v>
      </c>
      <c r="E59" t="s">
        <v>16</v>
      </c>
      <c r="F59" s="4">
        <v>44535</v>
      </c>
      <c r="G59" s="3" t="s">
        <v>21</v>
      </c>
      <c r="H59" s="22">
        <v>64000</v>
      </c>
      <c r="I59" t="s">
        <v>205</v>
      </c>
      <c r="J59" s="5">
        <f ca="1">(TODAY()-staff[[#This Row],[Date Joined]])/365</f>
        <v>1.7178082191780821</v>
      </c>
      <c r="K59" s="19">
        <f ca="1">ROUNDUP(IF(staff[[#This Row],[Tenure]]&gt;2, 3%, 2%)*staff[[#This Row],[Salary]], 0)</f>
        <v>1280</v>
      </c>
      <c r="L59" s="19">
        <f>_xlfn.XLOOKUP(staff[[#This Row],[Rating]],Mapping!$B$2:$B$6, Mapping!$C$2:$C$6)</f>
        <v>3</v>
      </c>
      <c r="M59" s="5"/>
    </row>
    <row r="60" spans="2:13" x14ac:dyDescent="0.25">
      <c r="B60" s="3" t="s">
        <v>194</v>
      </c>
      <c r="C60" s="3" t="s">
        <v>8</v>
      </c>
      <c r="D60">
        <v>34</v>
      </c>
      <c r="E60" t="s">
        <v>16</v>
      </c>
      <c r="F60" s="4">
        <v>44383</v>
      </c>
      <c r="G60" s="3" t="s">
        <v>21</v>
      </c>
      <c r="H60" s="22">
        <v>92450</v>
      </c>
      <c r="I60" t="s">
        <v>205</v>
      </c>
      <c r="J60" s="5">
        <f ca="1">(TODAY()-staff[[#This Row],[Date Joined]])/365</f>
        <v>2.1342465753424658</v>
      </c>
      <c r="K60" s="19">
        <f ca="1">ROUNDUP(IF(staff[[#This Row],[Tenure]]&gt;2, 3%, 2%)*staff[[#This Row],[Salary]], 0)</f>
        <v>2774</v>
      </c>
      <c r="L60" s="19">
        <f>_xlfn.XLOOKUP(staff[[#This Row],[Rating]],Mapping!$B$2:$B$6, Mapping!$C$2:$C$6)</f>
        <v>3</v>
      </c>
      <c r="M60" s="5"/>
    </row>
    <row r="61" spans="2:13" x14ac:dyDescent="0.25">
      <c r="B61" s="3" t="s">
        <v>112</v>
      </c>
      <c r="C61" s="3" t="s">
        <v>15</v>
      </c>
      <c r="D61">
        <v>31</v>
      </c>
      <c r="E61" t="s">
        <v>16</v>
      </c>
      <c r="F61" s="4">
        <v>44450</v>
      </c>
      <c r="G61" s="3" t="s">
        <v>12</v>
      </c>
      <c r="H61" s="22">
        <v>48950</v>
      </c>
      <c r="I61" t="s">
        <v>205</v>
      </c>
      <c r="J61" s="5">
        <f ca="1">(TODAY()-staff[[#This Row],[Date Joined]])/365</f>
        <v>1.9506849315068493</v>
      </c>
      <c r="K61" s="19">
        <f ca="1">ROUNDUP(IF(staff[[#This Row],[Tenure]]&gt;2, 3%, 2%)*staff[[#This Row],[Salary]], 0)</f>
        <v>979</v>
      </c>
      <c r="L61" s="19">
        <f>_xlfn.XLOOKUP(staff[[#This Row],[Rating]],Mapping!$B$2:$B$6, Mapping!$C$2:$C$6)</f>
        <v>3</v>
      </c>
      <c r="M61" s="5"/>
    </row>
    <row r="62" spans="2:13" x14ac:dyDescent="0.25">
      <c r="B62" s="3" t="s">
        <v>184</v>
      </c>
      <c r="C62" s="3" t="s">
        <v>8</v>
      </c>
      <c r="D62">
        <v>27</v>
      </c>
      <c r="E62" t="s">
        <v>16</v>
      </c>
      <c r="F62" s="4">
        <v>44625</v>
      </c>
      <c r="G62" s="3" t="s">
        <v>12</v>
      </c>
      <c r="H62" s="22">
        <v>83750</v>
      </c>
      <c r="I62" t="s">
        <v>205</v>
      </c>
      <c r="J62" s="5">
        <f ca="1">(TODAY()-staff[[#This Row],[Date Joined]])/365</f>
        <v>1.4712328767123288</v>
      </c>
      <c r="K62" s="19">
        <f ca="1">ROUNDUP(IF(staff[[#This Row],[Tenure]]&gt;2, 3%, 2%)*staff[[#This Row],[Salary]], 0)</f>
        <v>1675</v>
      </c>
      <c r="L62" s="19">
        <f>_xlfn.XLOOKUP(staff[[#This Row],[Rating]],Mapping!$B$2:$B$6, Mapping!$C$2:$C$6)</f>
        <v>3</v>
      </c>
      <c r="M62" s="5"/>
    </row>
    <row r="63" spans="2:13" x14ac:dyDescent="0.25">
      <c r="B63" s="3" t="s">
        <v>165</v>
      </c>
      <c r="C63" s="3" t="s">
        <v>8</v>
      </c>
      <c r="D63">
        <v>40</v>
      </c>
      <c r="E63" t="s">
        <v>16</v>
      </c>
      <c r="F63" s="4">
        <v>44276</v>
      </c>
      <c r="G63" s="3" t="s">
        <v>12</v>
      </c>
      <c r="H63" s="22">
        <v>87620</v>
      </c>
      <c r="I63" t="s">
        <v>205</v>
      </c>
      <c r="J63" s="5">
        <f ca="1">(TODAY()-staff[[#This Row],[Date Joined]])/365</f>
        <v>2.4273972602739726</v>
      </c>
      <c r="K63" s="19">
        <f ca="1">ROUNDUP(IF(staff[[#This Row],[Tenure]]&gt;2, 3%, 2%)*staff[[#This Row],[Salary]], 0)</f>
        <v>2629</v>
      </c>
      <c r="L63" s="19">
        <f>_xlfn.XLOOKUP(staff[[#This Row],[Rating]],Mapping!$B$2:$B$6, Mapping!$C$2:$C$6)</f>
        <v>3</v>
      </c>
      <c r="M63" s="5"/>
    </row>
    <row r="64" spans="2:13" x14ac:dyDescent="0.25">
      <c r="B64" s="3" t="s">
        <v>183</v>
      </c>
      <c r="C64" s="3" t="s">
        <v>8</v>
      </c>
      <c r="D64">
        <v>20</v>
      </c>
      <c r="E64" t="s">
        <v>24</v>
      </c>
      <c r="F64" s="4">
        <v>44476</v>
      </c>
      <c r="G64" s="3" t="s">
        <v>19</v>
      </c>
      <c r="H64" s="22">
        <v>68900</v>
      </c>
      <c r="I64" t="s">
        <v>205</v>
      </c>
      <c r="J64" s="5">
        <f ca="1">(TODAY()-staff[[#This Row],[Date Joined]])/365</f>
        <v>1.8794520547945206</v>
      </c>
      <c r="K64" s="19">
        <f ca="1">ROUNDUP(IF(staff[[#This Row],[Tenure]]&gt;2, 3%, 2%)*staff[[#This Row],[Salary]], 0)</f>
        <v>1378</v>
      </c>
      <c r="L64" s="19">
        <f>_xlfn.XLOOKUP(staff[[#This Row],[Rating]],Mapping!$B$2:$B$6, Mapping!$C$2:$C$6)</f>
        <v>2</v>
      </c>
      <c r="M64" s="5"/>
    </row>
    <row r="65" spans="2:13" x14ac:dyDescent="0.25">
      <c r="B65" s="3" t="s">
        <v>156</v>
      </c>
      <c r="C65" s="3" t="s">
        <v>15</v>
      </c>
      <c r="D65">
        <v>32</v>
      </c>
      <c r="E65" t="s">
        <v>16</v>
      </c>
      <c r="F65" s="4">
        <v>44403</v>
      </c>
      <c r="G65" s="3" t="s">
        <v>19</v>
      </c>
      <c r="H65" s="22">
        <v>53540</v>
      </c>
      <c r="I65" t="s">
        <v>205</v>
      </c>
      <c r="J65" s="5">
        <f ca="1">(TODAY()-staff[[#This Row],[Date Joined]])/365</f>
        <v>2.0794520547945203</v>
      </c>
      <c r="K65" s="19">
        <f ca="1">ROUNDUP(IF(staff[[#This Row],[Tenure]]&gt;2, 3%, 2%)*staff[[#This Row],[Salary]], 0)</f>
        <v>1607</v>
      </c>
      <c r="L65" s="19">
        <f>_xlfn.XLOOKUP(staff[[#This Row],[Rating]],Mapping!$B$2:$B$6, Mapping!$C$2:$C$6)</f>
        <v>3</v>
      </c>
      <c r="M65" s="5"/>
    </row>
    <row r="66" spans="2:13" x14ac:dyDescent="0.25">
      <c r="B66" s="3" t="s">
        <v>171</v>
      </c>
      <c r="C66" s="3" t="s">
        <v>15</v>
      </c>
      <c r="D66">
        <v>28</v>
      </c>
      <c r="E66" t="s">
        <v>42</v>
      </c>
      <c r="F66" s="4">
        <v>44758</v>
      </c>
      <c r="G66" s="3" t="s">
        <v>19</v>
      </c>
      <c r="H66" s="22">
        <v>43510</v>
      </c>
      <c r="I66" t="s">
        <v>205</v>
      </c>
      <c r="J66" s="5">
        <f ca="1">(TODAY()-staff[[#This Row],[Date Joined]])/365</f>
        <v>1.106849315068493</v>
      </c>
      <c r="K66" s="19">
        <f ca="1">ROUNDUP(IF(staff[[#This Row],[Tenure]]&gt;2, 3%, 2%)*staff[[#This Row],[Salary]], 0)</f>
        <v>871</v>
      </c>
      <c r="L66" s="19">
        <f>_xlfn.XLOOKUP(staff[[#This Row],[Rating]],Mapping!$B$2:$B$6, Mapping!$C$2:$C$6)</f>
        <v>1</v>
      </c>
      <c r="M66" s="5"/>
    </row>
    <row r="67" spans="2:13" x14ac:dyDescent="0.25">
      <c r="B67" s="3" t="s">
        <v>126</v>
      </c>
      <c r="C67" s="3" t="s">
        <v>8</v>
      </c>
      <c r="D67">
        <v>38</v>
      </c>
      <c r="E67" t="s">
        <v>10</v>
      </c>
      <c r="F67" s="4">
        <v>44316</v>
      </c>
      <c r="G67" s="3" t="s">
        <v>19</v>
      </c>
      <c r="H67" s="22">
        <v>109160</v>
      </c>
      <c r="I67" t="s">
        <v>205</v>
      </c>
      <c r="J67" s="5">
        <f ca="1">(TODAY()-staff[[#This Row],[Date Joined]])/365</f>
        <v>2.3178082191780822</v>
      </c>
      <c r="K67" s="19">
        <f ca="1">ROUNDUP(IF(staff[[#This Row],[Tenure]]&gt;2, 3%, 2%)*staff[[#This Row],[Salary]], 0)</f>
        <v>3275</v>
      </c>
      <c r="L67" s="19">
        <f>_xlfn.XLOOKUP(staff[[#This Row],[Rating]],Mapping!$B$2:$B$6, Mapping!$C$2:$C$6)</f>
        <v>5</v>
      </c>
      <c r="M67" s="5"/>
    </row>
    <row r="68" spans="2:13" x14ac:dyDescent="0.25">
      <c r="B68" s="3" t="s">
        <v>197</v>
      </c>
      <c r="C68" s="3" t="s">
        <v>15</v>
      </c>
      <c r="D68">
        <v>40</v>
      </c>
      <c r="E68" t="s">
        <v>16</v>
      </c>
      <c r="F68" s="4">
        <v>44204</v>
      </c>
      <c r="G68" s="3" t="s">
        <v>9</v>
      </c>
      <c r="H68" s="22">
        <v>99750</v>
      </c>
      <c r="I68" t="s">
        <v>205</v>
      </c>
      <c r="J68" s="5">
        <f ca="1">(TODAY()-staff[[#This Row],[Date Joined]])/365</f>
        <v>2.6246575342465754</v>
      </c>
      <c r="K68" s="19">
        <f ca="1">ROUNDUP(IF(staff[[#This Row],[Tenure]]&gt;2, 3%, 2%)*staff[[#This Row],[Salary]], 0)</f>
        <v>2993</v>
      </c>
      <c r="L68" s="19">
        <f>_xlfn.XLOOKUP(staff[[#This Row],[Rating]],Mapping!$B$2:$B$6, Mapping!$C$2:$C$6)</f>
        <v>3</v>
      </c>
      <c r="M68" s="5"/>
    </row>
    <row r="69" spans="2:13" x14ac:dyDescent="0.25">
      <c r="B69" s="3" t="s">
        <v>123</v>
      </c>
      <c r="C69" s="3" t="s">
        <v>8</v>
      </c>
      <c r="D69">
        <v>31</v>
      </c>
      <c r="E69" t="s">
        <v>16</v>
      </c>
      <c r="F69" s="4">
        <v>44084</v>
      </c>
      <c r="G69" s="3" t="s">
        <v>12</v>
      </c>
      <c r="H69" s="22">
        <v>41980</v>
      </c>
      <c r="I69" t="s">
        <v>205</v>
      </c>
      <c r="J69" s="5">
        <f ca="1">(TODAY()-staff[[#This Row],[Date Joined]])/365</f>
        <v>2.9534246575342467</v>
      </c>
      <c r="K69" s="19">
        <f ca="1">ROUNDUP(IF(staff[[#This Row],[Tenure]]&gt;2, 3%, 2%)*staff[[#This Row],[Salary]], 0)</f>
        <v>1260</v>
      </c>
      <c r="L69" s="19">
        <f>_xlfn.XLOOKUP(staff[[#This Row],[Rating]],Mapping!$B$2:$B$6, Mapping!$C$2:$C$6)</f>
        <v>3</v>
      </c>
      <c r="M69" s="5"/>
    </row>
    <row r="70" spans="2:13" x14ac:dyDescent="0.25">
      <c r="B70" s="3" t="s">
        <v>186</v>
      </c>
      <c r="C70" s="3" t="s">
        <v>15</v>
      </c>
      <c r="D70">
        <v>36</v>
      </c>
      <c r="E70" t="s">
        <v>16</v>
      </c>
      <c r="F70" s="4">
        <v>44272</v>
      </c>
      <c r="G70" s="3" t="s">
        <v>21</v>
      </c>
      <c r="H70" s="22">
        <v>71380</v>
      </c>
      <c r="I70" t="s">
        <v>205</v>
      </c>
      <c r="J70" s="5">
        <f ca="1">(TODAY()-staff[[#This Row],[Date Joined]])/365</f>
        <v>2.4383561643835616</v>
      </c>
      <c r="K70" s="19">
        <f ca="1">ROUNDUP(IF(staff[[#This Row],[Tenure]]&gt;2, 3%, 2%)*staff[[#This Row],[Salary]], 0)</f>
        <v>2142</v>
      </c>
      <c r="L70" s="19">
        <f>_xlfn.XLOOKUP(staff[[#This Row],[Rating]],Mapping!$B$2:$B$6, Mapping!$C$2:$C$6)</f>
        <v>3</v>
      </c>
      <c r="M70" s="5"/>
    </row>
    <row r="71" spans="2:13" x14ac:dyDescent="0.25">
      <c r="B71" s="3" t="s">
        <v>190</v>
      </c>
      <c r="C71" s="3" t="s">
        <v>15</v>
      </c>
      <c r="D71">
        <v>27</v>
      </c>
      <c r="E71" t="s">
        <v>42</v>
      </c>
      <c r="F71" s="4">
        <v>44547</v>
      </c>
      <c r="G71" s="3" t="s">
        <v>9</v>
      </c>
      <c r="H71" s="22">
        <v>113280</v>
      </c>
      <c r="I71" t="s">
        <v>205</v>
      </c>
      <c r="J71" s="5">
        <f ca="1">(TODAY()-staff[[#This Row],[Date Joined]])/365</f>
        <v>1.6849315068493151</v>
      </c>
      <c r="K71" s="19">
        <f ca="1">ROUNDUP(IF(staff[[#This Row],[Tenure]]&gt;2, 3%, 2%)*staff[[#This Row],[Salary]], 0)</f>
        <v>2266</v>
      </c>
      <c r="L71" s="19">
        <f>_xlfn.XLOOKUP(staff[[#This Row],[Rating]],Mapping!$B$2:$B$6, Mapping!$C$2:$C$6)</f>
        <v>1</v>
      </c>
      <c r="M71" s="5"/>
    </row>
    <row r="72" spans="2:13" x14ac:dyDescent="0.25">
      <c r="B72" s="3" t="s">
        <v>180</v>
      </c>
      <c r="C72" s="3" t="s">
        <v>8</v>
      </c>
      <c r="D72">
        <v>33</v>
      </c>
      <c r="E72" t="s">
        <v>16</v>
      </c>
      <c r="F72" s="4">
        <v>44747</v>
      </c>
      <c r="G72" s="3" t="s">
        <v>21</v>
      </c>
      <c r="H72" s="22">
        <v>86570</v>
      </c>
      <c r="I72" t="s">
        <v>205</v>
      </c>
      <c r="J72" s="5">
        <f ca="1">(TODAY()-staff[[#This Row],[Date Joined]])/365</f>
        <v>1.1369863013698631</v>
      </c>
      <c r="K72" s="19">
        <f ca="1">ROUNDUP(IF(staff[[#This Row],[Tenure]]&gt;2, 3%, 2%)*staff[[#This Row],[Salary]], 0)</f>
        <v>1732</v>
      </c>
      <c r="L72" s="19">
        <f>_xlfn.XLOOKUP(staff[[#This Row],[Rating]],Mapping!$B$2:$B$6, Mapping!$C$2:$C$6)</f>
        <v>3</v>
      </c>
      <c r="M72" s="5"/>
    </row>
    <row r="73" spans="2:13" x14ac:dyDescent="0.25">
      <c r="B73" s="3" t="s">
        <v>138</v>
      </c>
      <c r="C73" s="3" t="s">
        <v>15</v>
      </c>
      <c r="D73">
        <v>26</v>
      </c>
      <c r="E73" t="s">
        <v>16</v>
      </c>
      <c r="F73" s="4">
        <v>44350</v>
      </c>
      <c r="G73" s="3" t="s">
        <v>9</v>
      </c>
      <c r="H73" s="22">
        <v>53540</v>
      </c>
      <c r="I73" t="s">
        <v>205</v>
      </c>
      <c r="J73" s="5">
        <f ca="1">(TODAY()-staff[[#This Row],[Date Joined]])/365</f>
        <v>2.2246575342465755</v>
      </c>
      <c r="K73" s="19">
        <f ca="1">ROUNDUP(IF(staff[[#This Row],[Tenure]]&gt;2, 3%, 2%)*staff[[#This Row],[Salary]], 0)</f>
        <v>1607</v>
      </c>
      <c r="L73" s="19">
        <f>_xlfn.XLOOKUP(staff[[#This Row],[Rating]],Mapping!$B$2:$B$6, Mapping!$C$2:$C$6)</f>
        <v>3</v>
      </c>
      <c r="M73" s="5"/>
    </row>
    <row r="74" spans="2:13" x14ac:dyDescent="0.25">
      <c r="B74" s="3" t="s">
        <v>189</v>
      </c>
      <c r="C74" s="3" t="s">
        <v>15</v>
      </c>
      <c r="D74">
        <v>37</v>
      </c>
      <c r="E74" t="s">
        <v>16</v>
      </c>
      <c r="F74" s="4">
        <v>44640</v>
      </c>
      <c r="G74" s="3" t="s">
        <v>12</v>
      </c>
      <c r="H74" s="22">
        <v>69070</v>
      </c>
      <c r="I74" t="s">
        <v>205</v>
      </c>
      <c r="J74" s="5">
        <f ca="1">(TODAY()-staff[[#This Row],[Date Joined]])/365</f>
        <v>1.4301369863013698</v>
      </c>
      <c r="K74" s="19">
        <f ca="1">ROUNDUP(IF(staff[[#This Row],[Tenure]]&gt;2, 3%, 2%)*staff[[#This Row],[Salary]], 0)</f>
        <v>1382</v>
      </c>
      <c r="L74" s="19">
        <f>_xlfn.XLOOKUP(staff[[#This Row],[Rating]],Mapping!$B$2:$B$6, Mapping!$C$2:$C$6)</f>
        <v>3</v>
      </c>
      <c r="M74" s="5"/>
    </row>
    <row r="75" spans="2:13" x14ac:dyDescent="0.25">
      <c r="B75" s="3" t="s">
        <v>120</v>
      </c>
      <c r="C75" s="3" t="s">
        <v>8</v>
      </c>
      <c r="D75">
        <v>30</v>
      </c>
      <c r="E75" t="s">
        <v>24</v>
      </c>
      <c r="F75" s="4">
        <v>44328</v>
      </c>
      <c r="G75" s="3" t="s">
        <v>21</v>
      </c>
      <c r="H75" s="22">
        <v>67910</v>
      </c>
      <c r="I75" t="s">
        <v>205</v>
      </c>
      <c r="J75" s="5">
        <f ca="1">(TODAY()-staff[[#This Row],[Date Joined]])/365</f>
        <v>2.2849315068493152</v>
      </c>
      <c r="K75" s="19">
        <f ca="1">ROUNDUP(IF(staff[[#This Row],[Tenure]]&gt;2, 3%, 2%)*staff[[#This Row],[Salary]], 0)</f>
        <v>2038</v>
      </c>
      <c r="L75" s="19">
        <f>_xlfn.XLOOKUP(staff[[#This Row],[Rating]],Mapping!$B$2:$B$6, Mapping!$C$2:$C$6)</f>
        <v>2</v>
      </c>
      <c r="M75" s="5"/>
    </row>
    <row r="76" spans="2:13" x14ac:dyDescent="0.25">
      <c r="B76" s="3" t="s">
        <v>118</v>
      </c>
      <c r="C76" s="3" t="s">
        <v>15</v>
      </c>
      <c r="D76">
        <v>30</v>
      </c>
      <c r="E76" t="s">
        <v>16</v>
      </c>
      <c r="F76" s="4">
        <v>44214</v>
      </c>
      <c r="G76" s="3" t="s">
        <v>12</v>
      </c>
      <c r="H76" s="22">
        <v>69120</v>
      </c>
      <c r="I76" t="s">
        <v>205</v>
      </c>
      <c r="J76" s="5">
        <f ca="1">(TODAY()-staff[[#This Row],[Date Joined]])/365</f>
        <v>2.5972602739726027</v>
      </c>
      <c r="K76" s="19">
        <f ca="1">ROUNDUP(IF(staff[[#This Row],[Tenure]]&gt;2, 3%, 2%)*staff[[#This Row],[Salary]], 0)</f>
        <v>2074</v>
      </c>
      <c r="L76" s="19">
        <f>_xlfn.XLOOKUP(staff[[#This Row],[Rating]],Mapping!$B$2:$B$6, Mapping!$C$2:$C$6)</f>
        <v>3</v>
      </c>
      <c r="M76" s="5"/>
    </row>
    <row r="77" spans="2:13" x14ac:dyDescent="0.25">
      <c r="B77" s="3" t="s">
        <v>131</v>
      </c>
      <c r="C77" s="3" t="s">
        <v>8</v>
      </c>
      <c r="D77">
        <v>34</v>
      </c>
      <c r="E77" t="s">
        <v>16</v>
      </c>
      <c r="F77" s="4">
        <v>44550</v>
      </c>
      <c r="G77" s="3" t="s">
        <v>21</v>
      </c>
      <c r="H77" s="22">
        <v>60130</v>
      </c>
      <c r="I77" t="s">
        <v>205</v>
      </c>
      <c r="J77" s="5">
        <f ca="1">(TODAY()-staff[[#This Row],[Date Joined]])/365</f>
        <v>1.6767123287671233</v>
      </c>
      <c r="K77" s="19">
        <f ca="1">ROUNDUP(IF(staff[[#This Row],[Tenure]]&gt;2, 3%, 2%)*staff[[#This Row],[Salary]], 0)</f>
        <v>1203</v>
      </c>
      <c r="L77" s="19">
        <f>_xlfn.XLOOKUP(staff[[#This Row],[Rating]],Mapping!$B$2:$B$6, Mapping!$C$2:$C$6)</f>
        <v>3</v>
      </c>
      <c r="M77" s="5"/>
    </row>
    <row r="78" spans="2:13" x14ac:dyDescent="0.25">
      <c r="B78" s="3" t="s">
        <v>160</v>
      </c>
      <c r="C78" s="3" t="s">
        <v>15</v>
      </c>
      <c r="D78">
        <v>23</v>
      </c>
      <c r="E78" t="s">
        <v>16</v>
      </c>
      <c r="F78" s="4">
        <v>44378</v>
      </c>
      <c r="G78" s="3" t="s">
        <v>9</v>
      </c>
      <c r="H78" s="22">
        <v>106460</v>
      </c>
      <c r="I78" t="s">
        <v>205</v>
      </c>
      <c r="J78" s="5">
        <f ca="1">(TODAY()-staff[[#This Row],[Date Joined]])/365</f>
        <v>2.1479452054794521</v>
      </c>
      <c r="K78" s="19">
        <f ca="1">ROUNDUP(IF(staff[[#This Row],[Tenure]]&gt;2, 3%, 2%)*staff[[#This Row],[Salary]], 0)</f>
        <v>3194</v>
      </c>
      <c r="L78" s="19">
        <f>_xlfn.XLOOKUP(staff[[#This Row],[Rating]],Mapping!$B$2:$B$6, Mapping!$C$2:$C$6)</f>
        <v>3</v>
      </c>
      <c r="M78" s="5"/>
    </row>
    <row r="79" spans="2:13" x14ac:dyDescent="0.25">
      <c r="B79" s="3" t="s">
        <v>147</v>
      </c>
      <c r="C79" s="3" t="s">
        <v>8</v>
      </c>
      <c r="D79">
        <v>37</v>
      </c>
      <c r="E79" t="s">
        <v>16</v>
      </c>
      <c r="F79" s="4">
        <v>44389</v>
      </c>
      <c r="G79" s="3" t="s">
        <v>56</v>
      </c>
      <c r="H79" s="22">
        <v>118100</v>
      </c>
      <c r="I79" t="s">
        <v>205</v>
      </c>
      <c r="J79" s="5">
        <f ca="1">(TODAY()-staff[[#This Row],[Date Joined]])/365</f>
        <v>2.117808219178082</v>
      </c>
      <c r="K79" s="19">
        <f ca="1">ROUNDUP(IF(staff[[#This Row],[Tenure]]&gt;2, 3%, 2%)*staff[[#This Row],[Salary]], 0)</f>
        <v>3543</v>
      </c>
      <c r="L79" s="19">
        <f>_xlfn.XLOOKUP(staff[[#This Row],[Rating]],Mapping!$B$2:$B$6, Mapping!$C$2:$C$6)</f>
        <v>3</v>
      </c>
      <c r="M79" s="5"/>
    </row>
    <row r="80" spans="2:13" x14ac:dyDescent="0.25">
      <c r="B80" s="3" t="s">
        <v>163</v>
      </c>
      <c r="C80" s="3" t="s">
        <v>8</v>
      </c>
      <c r="D80">
        <v>36</v>
      </c>
      <c r="E80" t="s">
        <v>16</v>
      </c>
      <c r="F80" s="4">
        <v>44468</v>
      </c>
      <c r="G80" s="3" t="s">
        <v>9</v>
      </c>
      <c r="H80" s="22">
        <v>78390</v>
      </c>
      <c r="I80" t="s">
        <v>205</v>
      </c>
      <c r="J80" s="5">
        <f ca="1">(TODAY()-staff[[#This Row],[Date Joined]])/365</f>
        <v>1.9013698630136986</v>
      </c>
      <c r="K80" s="19">
        <f ca="1">ROUNDUP(IF(staff[[#This Row],[Tenure]]&gt;2, 3%, 2%)*staff[[#This Row],[Salary]], 0)</f>
        <v>1568</v>
      </c>
      <c r="L80" s="19">
        <f>_xlfn.XLOOKUP(staff[[#This Row],[Rating]],Mapping!$B$2:$B$6, Mapping!$C$2:$C$6)</f>
        <v>3</v>
      </c>
      <c r="M80" s="5"/>
    </row>
    <row r="81" spans="2:13" x14ac:dyDescent="0.25">
      <c r="B81" s="3" t="s">
        <v>146</v>
      </c>
      <c r="C81" s="3" t="s">
        <v>8</v>
      </c>
      <c r="D81">
        <v>30</v>
      </c>
      <c r="E81" t="s">
        <v>16</v>
      </c>
      <c r="F81" s="4">
        <v>44789</v>
      </c>
      <c r="G81" s="3" t="s">
        <v>9</v>
      </c>
      <c r="H81" s="22">
        <v>114180</v>
      </c>
      <c r="I81" t="s">
        <v>205</v>
      </c>
      <c r="J81" s="5">
        <f ca="1">(TODAY()-staff[[#This Row],[Date Joined]])/365</f>
        <v>1.021917808219178</v>
      </c>
      <c r="K81" s="19">
        <f ca="1">ROUNDUP(IF(staff[[#This Row],[Tenure]]&gt;2, 3%, 2%)*staff[[#This Row],[Salary]], 0)</f>
        <v>2284</v>
      </c>
      <c r="L81" s="19">
        <f>_xlfn.XLOOKUP(staff[[#This Row],[Rating]],Mapping!$B$2:$B$6, Mapping!$C$2:$C$6)</f>
        <v>3</v>
      </c>
      <c r="M81" s="5"/>
    </row>
    <row r="82" spans="2:13" x14ac:dyDescent="0.25">
      <c r="B82" s="3" t="s">
        <v>188</v>
      </c>
      <c r="C82" s="3" t="s">
        <v>8</v>
      </c>
      <c r="D82">
        <v>28</v>
      </c>
      <c r="E82" t="s">
        <v>16</v>
      </c>
      <c r="F82" s="4">
        <v>44590</v>
      </c>
      <c r="G82" s="3" t="s">
        <v>9</v>
      </c>
      <c r="H82" s="22">
        <v>104120</v>
      </c>
      <c r="I82" t="s">
        <v>205</v>
      </c>
      <c r="J82" s="5">
        <f ca="1">(TODAY()-staff[[#This Row],[Date Joined]])/365</f>
        <v>1.5671232876712329</v>
      </c>
      <c r="K82" s="19">
        <f ca="1">ROUNDUP(IF(staff[[#This Row],[Tenure]]&gt;2, 3%, 2%)*staff[[#This Row],[Salary]], 0)</f>
        <v>2083</v>
      </c>
      <c r="L82" s="19">
        <f>_xlfn.XLOOKUP(staff[[#This Row],[Rating]],Mapping!$B$2:$B$6, Mapping!$C$2:$C$6)</f>
        <v>3</v>
      </c>
      <c r="M82" s="5"/>
    </row>
    <row r="83" spans="2:13" x14ac:dyDescent="0.25">
      <c r="B83" s="3" t="s">
        <v>137</v>
      </c>
      <c r="C83" s="3" t="s">
        <v>15</v>
      </c>
      <c r="D83">
        <v>30</v>
      </c>
      <c r="E83" t="s">
        <v>16</v>
      </c>
      <c r="F83" s="4">
        <v>44640</v>
      </c>
      <c r="G83" s="3" t="s">
        <v>9</v>
      </c>
      <c r="H83" s="22">
        <v>67950</v>
      </c>
      <c r="I83" t="s">
        <v>205</v>
      </c>
      <c r="J83" s="5">
        <f ca="1">(TODAY()-staff[[#This Row],[Date Joined]])/365</f>
        <v>1.4301369863013698</v>
      </c>
      <c r="K83" s="19">
        <f ca="1">ROUNDUP(IF(staff[[#This Row],[Tenure]]&gt;2, 3%, 2%)*staff[[#This Row],[Salary]], 0)</f>
        <v>1359</v>
      </c>
      <c r="L83" s="19">
        <f>_xlfn.XLOOKUP(staff[[#This Row],[Rating]],Mapping!$B$2:$B$6, Mapping!$C$2:$C$6)</f>
        <v>3</v>
      </c>
      <c r="M83" s="5"/>
    </row>
    <row r="84" spans="2:13" x14ac:dyDescent="0.25">
      <c r="B84" s="3" t="s">
        <v>136</v>
      </c>
      <c r="C84" s="3" t="s">
        <v>8</v>
      </c>
      <c r="D84">
        <v>29</v>
      </c>
      <c r="E84" t="s">
        <v>16</v>
      </c>
      <c r="F84" s="4">
        <v>43962</v>
      </c>
      <c r="G84" s="3" t="s">
        <v>12</v>
      </c>
      <c r="H84" s="22">
        <v>34980</v>
      </c>
      <c r="I84" t="s">
        <v>205</v>
      </c>
      <c r="J84" s="5">
        <f ca="1">(TODAY()-staff[[#This Row],[Date Joined]])/365</f>
        <v>3.2876712328767121</v>
      </c>
      <c r="K84" s="19">
        <f ca="1">ROUNDUP(IF(staff[[#This Row],[Tenure]]&gt;2, 3%, 2%)*staff[[#This Row],[Salary]], 0)</f>
        <v>1050</v>
      </c>
      <c r="L84" s="19">
        <f>_xlfn.XLOOKUP(staff[[#This Row],[Rating]],Mapping!$B$2:$B$6, Mapping!$C$2:$C$6)</f>
        <v>3</v>
      </c>
      <c r="M84" s="5"/>
    </row>
    <row r="85" spans="2:13" x14ac:dyDescent="0.25">
      <c r="B85" s="3" t="s">
        <v>152</v>
      </c>
      <c r="C85" s="3" t="s">
        <v>8</v>
      </c>
      <c r="D85">
        <v>24</v>
      </c>
      <c r="E85" t="s">
        <v>16</v>
      </c>
      <c r="F85" s="4">
        <v>44087</v>
      </c>
      <c r="G85" s="3" t="s">
        <v>12</v>
      </c>
      <c r="H85" s="22">
        <v>62780</v>
      </c>
      <c r="I85" t="s">
        <v>205</v>
      </c>
      <c r="J85" s="5">
        <f ca="1">(TODAY()-staff[[#This Row],[Date Joined]])/365</f>
        <v>2.9452054794520546</v>
      </c>
      <c r="K85" s="19">
        <f ca="1">ROUNDUP(IF(staff[[#This Row],[Tenure]]&gt;2, 3%, 2%)*staff[[#This Row],[Salary]], 0)</f>
        <v>1884</v>
      </c>
      <c r="L85" s="19">
        <f>_xlfn.XLOOKUP(staff[[#This Row],[Rating]],Mapping!$B$2:$B$6, Mapping!$C$2:$C$6)</f>
        <v>3</v>
      </c>
      <c r="M85" s="5"/>
    </row>
    <row r="86" spans="2:13" x14ac:dyDescent="0.25">
      <c r="B86" s="3" t="s">
        <v>116</v>
      </c>
      <c r="C86" s="3" t="s">
        <v>15</v>
      </c>
      <c r="D86">
        <v>20</v>
      </c>
      <c r="E86" t="s">
        <v>16</v>
      </c>
      <c r="F86" s="4">
        <v>44397</v>
      </c>
      <c r="G86" s="3" t="s">
        <v>12</v>
      </c>
      <c r="H86" s="22">
        <v>107700</v>
      </c>
      <c r="I86" t="s">
        <v>205</v>
      </c>
      <c r="J86" s="5">
        <f ca="1">(TODAY()-staff[[#This Row],[Date Joined]])/365</f>
        <v>2.095890410958904</v>
      </c>
      <c r="K86" s="19">
        <f ca="1">ROUNDUP(IF(staff[[#This Row],[Tenure]]&gt;2, 3%, 2%)*staff[[#This Row],[Salary]], 0)</f>
        <v>3231</v>
      </c>
      <c r="L86" s="19">
        <f>_xlfn.XLOOKUP(staff[[#This Row],[Rating]],Mapping!$B$2:$B$6, Mapping!$C$2:$C$6)</f>
        <v>3</v>
      </c>
      <c r="M86" s="5"/>
    </row>
    <row r="87" spans="2:13" x14ac:dyDescent="0.25">
      <c r="B87" s="3" t="s">
        <v>167</v>
      </c>
      <c r="C87" s="3" t="s">
        <v>15</v>
      </c>
      <c r="D87">
        <v>25</v>
      </c>
      <c r="E87" t="s">
        <v>16</v>
      </c>
      <c r="F87" s="4">
        <v>44322</v>
      </c>
      <c r="G87" s="3" t="s">
        <v>19</v>
      </c>
      <c r="H87" s="22">
        <v>65700</v>
      </c>
      <c r="I87" t="s">
        <v>205</v>
      </c>
      <c r="J87" s="5">
        <f ca="1">(TODAY()-staff[[#This Row],[Date Joined]])/365</f>
        <v>2.3013698630136985</v>
      </c>
      <c r="K87" s="19">
        <f ca="1">ROUNDUP(IF(staff[[#This Row],[Tenure]]&gt;2, 3%, 2%)*staff[[#This Row],[Salary]], 0)</f>
        <v>1971</v>
      </c>
      <c r="L87" s="19">
        <f>_xlfn.XLOOKUP(staff[[#This Row],[Rating]],Mapping!$B$2:$B$6, Mapping!$C$2:$C$6)</f>
        <v>3</v>
      </c>
      <c r="M87" s="5"/>
    </row>
    <row r="88" spans="2:13" x14ac:dyDescent="0.25">
      <c r="B88" s="3" t="s">
        <v>134</v>
      </c>
      <c r="C88" s="3" t="s">
        <v>8</v>
      </c>
      <c r="D88">
        <v>33</v>
      </c>
      <c r="E88" t="s">
        <v>42</v>
      </c>
      <c r="F88" s="4">
        <v>44313</v>
      </c>
      <c r="G88" s="3" t="s">
        <v>12</v>
      </c>
      <c r="H88" s="22">
        <v>75480</v>
      </c>
      <c r="I88" t="s">
        <v>205</v>
      </c>
      <c r="J88" s="5">
        <f ca="1">(TODAY()-staff[[#This Row],[Date Joined]])/365</f>
        <v>2.3260273972602739</v>
      </c>
      <c r="K88" s="19">
        <f ca="1">ROUNDUP(IF(staff[[#This Row],[Tenure]]&gt;2, 3%, 2%)*staff[[#This Row],[Salary]], 0)</f>
        <v>2265</v>
      </c>
      <c r="L88" s="19">
        <f>_xlfn.XLOOKUP(staff[[#This Row],[Rating]],Mapping!$B$2:$B$6, Mapping!$C$2:$C$6)</f>
        <v>1</v>
      </c>
      <c r="M88" s="5"/>
    </row>
    <row r="89" spans="2:13" x14ac:dyDescent="0.25">
      <c r="B89" s="3" t="s">
        <v>173</v>
      </c>
      <c r="C89" s="3" t="s">
        <v>15</v>
      </c>
      <c r="D89">
        <v>33</v>
      </c>
      <c r="E89" t="s">
        <v>16</v>
      </c>
      <c r="F89" s="4">
        <v>44448</v>
      </c>
      <c r="G89" s="3" t="s">
        <v>12</v>
      </c>
      <c r="H89" s="22">
        <v>53870</v>
      </c>
      <c r="I89" t="s">
        <v>205</v>
      </c>
      <c r="J89" s="5">
        <f ca="1">(TODAY()-staff[[#This Row],[Date Joined]])/365</f>
        <v>1.9561643835616438</v>
      </c>
      <c r="K89" s="19">
        <f ca="1">ROUNDUP(IF(staff[[#This Row],[Tenure]]&gt;2, 3%, 2%)*staff[[#This Row],[Salary]], 0)</f>
        <v>1078</v>
      </c>
      <c r="L89" s="19">
        <f>_xlfn.XLOOKUP(staff[[#This Row],[Rating]],Mapping!$B$2:$B$6, Mapping!$C$2:$C$6)</f>
        <v>3</v>
      </c>
      <c r="M89" s="5"/>
    </row>
    <row r="90" spans="2:13" x14ac:dyDescent="0.25">
      <c r="B90" s="3" t="s">
        <v>140</v>
      </c>
      <c r="C90" s="3" t="s">
        <v>8</v>
      </c>
      <c r="D90">
        <v>36</v>
      </c>
      <c r="E90" t="s">
        <v>16</v>
      </c>
      <c r="F90" s="4">
        <v>44433</v>
      </c>
      <c r="G90" s="3" t="s">
        <v>19</v>
      </c>
      <c r="H90" s="22">
        <v>78540</v>
      </c>
      <c r="I90" t="s">
        <v>205</v>
      </c>
      <c r="J90" s="5">
        <f ca="1">(TODAY()-staff[[#This Row],[Date Joined]])/365</f>
        <v>1.9972602739726026</v>
      </c>
      <c r="K90" s="19">
        <f ca="1">ROUNDUP(IF(staff[[#This Row],[Tenure]]&gt;2, 3%, 2%)*staff[[#This Row],[Salary]], 0)</f>
        <v>1571</v>
      </c>
      <c r="L90" s="19">
        <f>_xlfn.XLOOKUP(staff[[#This Row],[Rating]],Mapping!$B$2:$B$6, Mapping!$C$2:$C$6)</f>
        <v>3</v>
      </c>
      <c r="M90" s="5"/>
    </row>
    <row r="91" spans="2:13" x14ac:dyDescent="0.25">
      <c r="B91" s="3" t="s">
        <v>192</v>
      </c>
      <c r="C91" s="3" t="s">
        <v>15</v>
      </c>
      <c r="D91">
        <v>19</v>
      </c>
      <c r="E91" t="s">
        <v>16</v>
      </c>
      <c r="F91" s="4">
        <v>44218</v>
      </c>
      <c r="G91" s="3" t="s">
        <v>9</v>
      </c>
      <c r="H91" s="22">
        <v>58960</v>
      </c>
      <c r="I91" t="s">
        <v>205</v>
      </c>
      <c r="J91" s="5">
        <f ca="1">(TODAY()-staff[[#This Row],[Date Joined]])/365</f>
        <v>2.5863013698630137</v>
      </c>
      <c r="K91" s="19">
        <f ca="1">ROUNDUP(IF(staff[[#This Row],[Tenure]]&gt;2, 3%, 2%)*staff[[#This Row],[Salary]], 0)</f>
        <v>1769</v>
      </c>
      <c r="L91" s="19">
        <f>_xlfn.XLOOKUP(staff[[#This Row],[Rating]],Mapping!$B$2:$B$6, Mapping!$C$2:$C$6)</f>
        <v>3</v>
      </c>
      <c r="M91" s="5"/>
    </row>
    <row r="92" spans="2:13" x14ac:dyDescent="0.25">
      <c r="B92" s="3" t="s">
        <v>161</v>
      </c>
      <c r="C92" s="3" t="s">
        <v>15</v>
      </c>
      <c r="D92">
        <v>46</v>
      </c>
      <c r="E92" t="s">
        <v>16</v>
      </c>
      <c r="F92" s="4">
        <v>44697</v>
      </c>
      <c r="G92" s="3" t="s">
        <v>9</v>
      </c>
      <c r="H92" s="22">
        <v>70610</v>
      </c>
      <c r="I92" t="s">
        <v>205</v>
      </c>
      <c r="J92" s="5">
        <f ca="1">(TODAY()-staff[[#This Row],[Date Joined]])/365</f>
        <v>1.273972602739726</v>
      </c>
      <c r="K92" s="19">
        <f ca="1">ROUNDUP(IF(staff[[#This Row],[Tenure]]&gt;2, 3%, 2%)*staff[[#This Row],[Salary]], 0)</f>
        <v>1413</v>
      </c>
      <c r="L92" s="19">
        <f>_xlfn.XLOOKUP(staff[[#This Row],[Rating]],Mapping!$B$2:$B$6, Mapping!$C$2:$C$6)</f>
        <v>3</v>
      </c>
      <c r="M92" s="5"/>
    </row>
    <row r="93" spans="2:13" x14ac:dyDescent="0.25">
      <c r="B93" s="3" t="s">
        <v>170</v>
      </c>
      <c r="C93" s="3" t="s">
        <v>15</v>
      </c>
      <c r="D93">
        <v>33</v>
      </c>
      <c r="E93" t="s">
        <v>16</v>
      </c>
      <c r="F93" s="4">
        <v>44181</v>
      </c>
      <c r="G93" s="3" t="s">
        <v>21</v>
      </c>
      <c r="H93" s="22">
        <v>59430</v>
      </c>
      <c r="I93" t="s">
        <v>205</v>
      </c>
      <c r="J93" s="5">
        <f ca="1">(TODAY()-staff[[#This Row],[Date Joined]])/365</f>
        <v>2.6876712328767125</v>
      </c>
      <c r="K93" s="19">
        <f ca="1">ROUNDUP(IF(staff[[#This Row],[Tenure]]&gt;2, 3%, 2%)*staff[[#This Row],[Salary]], 0)</f>
        <v>1783</v>
      </c>
      <c r="L93" s="19">
        <f>_xlfn.XLOOKUP(staff[[#This Row],[Rating]],Mapping!$B$2:$B$6, Mapping!$C$2:$C$6)</f>
        <v>3</v>
      </c>
      <c r="M93" s="5"/>
    </row>
    <row r="94" spans="2:13" x14ac:dyDescent="0.25">
      <c r="B94" s="3" t="s">
        <v>143</v>
      </c>
      <c r="C94" s="3" t="s">
        <v>15</v>
      </c>
      <c r="D94">
        <v>33</v>
      </c>
      <c r="E94" t="s">
        <v>13</v>
      </c>
      <c r="F94" s="4">
        <v>44640</v>
      </c>
      <c r="G94" s="3" t="s">
        <v>9</v>
      </c>
      <c r="H94" s="22">
        <v>48530</v>
      </c>
      <c r="I94" t="s">
        <v>205</v>
      </c>
      <c r="J94" s="5">
        <f ca="1">(TODAY()-staff[[#This Row],[Date Joined]])/365</f>
        <v>1.4301369863013698</v>
      </c>
      <c r="K94" s="19">
        <f ca="1">ROUNDUP(IF(staff[[#This Row],[Tenure]]&gt;2, 3%, 2%)*staff[[#This Row],[Salary]], 0)</f>
        <v>971</v>
      </c>
      <c r="L94" s="19">
        <f>_xlfn.XLOOKUP(staff[[#This Row],[Rating]],Mapping!$B$2:$B$6, Mapping!$C$2:$C$6)</f>
        <v>4</v>
      </c>
      <c r="M94" s="5"/>
    </row>
    <row r="95" spans="2:13" x14ac:dyDescent="0.25">
      <c r="B95" s="3" t="s">
        <v>162</v>
      </c>
      <c r="C95" s="3" t="s">
        <v>8</v>
      </c>
      <c r="D95">
        <v>33</v>
      </c>
      <c r="E95" t="s">
        <v>16</v>
      </c>
      <c r="F95" s="4">
        <v>44129</v>
      </c>
      <c r="G95" s="3" t="s">
        <v>12</v>
      </c>
      <c r="H95" s="22">
        <v>96140</v>
      </c>
      <c r="I95" t="s">
        <v>205</v>
      </c>
      <c r="J95" s="5">
        <f ca="1">(TODAY()-staff[[#This Row],[Date Joined]])/365</f>
        <v>2.8301369863013699</v>
      </c>
      <c r="K95" s="19">
        <f ca="1">ROUNDUP(IF(staff[[#This Row],[Tenure]]&gt;2, 3%, 2%)*staff[[#This Row],[Salary]], 0)</f>
        <v>2885</v>
      </c>
      <c r="L95" s="19">
        <f>_xlfn.XLOOKUP(staff[[#This Row],[Rating]],Mapping!$B$2:$B$6, Mapping!$C$2:$C$6)</f>
        <v>3</v>
      </c>
      <c r="M95" s="5"/>
    </row>
    <row r="96" spans="2:13" x14ac:dyDescent="0.25">
      <c r="B96" s="3" t="s">
        <v>58</v>
      </c>
      <c r="C96" s="3" t="s">
        <v>15</v>
      </c>
      <c r="D96">
        <v>22</v>
      </c>
      <c r="E96" t="s">
        <v>13</v>
      </c>
      <c r="F96" s="4">
        <v>44446</v>
      </c>
      <c r="G96" s="3" t="s">
        <v>19</v>
      </c>
      <c r="H96" s="22">
        <v>112780</v>
      </c>
      <c r="I96" t="s">
        <v>207</v>
      </c>
      <c r="J96" s="5">
        <f ca="1">(TODAY()-staff[[#This Row],[Date Joined]])/365</f>
        <v>1.9616438356164383</v>
      </c>
      <c r="K96" s="19">
        <f ca="1">ROUNDUP(IF(staff[[#This Row],[Tenure]]&gt;2, 3%, 2%)*staff[[#This Row],[Salary]], 0)</f>
        <v>2256</v>
      </c>
      <c r="L96" s="19">
        <f>_xlfn.XLOOKUP(staff[[#This Row],[Rating]],Mapping!$B$2:$B$6, Mapping!$C$2:$C$6)</f>
        <v>4</v>
      </c>
      <c r="M96" s="5"/>
    </row>
    <row r="97" spans="2:13" x14ac:dyDescent="0.25">
      <c r="B97" s="3" t="s">
        <v>70</v>
      </c>
      <c r="C97" s="3" t="s">
        <v>15</v>
      </c>
      <c r="D97">
        <v>46</v>
      </c>
      <c r="E97" t="s">
        <v>16</v>
      </c>
      <c r="F97" s="4">
        <v>44758</v>
      </c>
      <c r="G97" s="3" t="s">
        <v>9</v>
      </c>
      <c r="H97" s="22">
        <v>70610</v>
      </c>
      <c r="I97" t="s">
        <v>207</v>
      </c>
      <c r="J97" s="5">
        <f ca="1">(TODAY()-staff[[#This Row],[Date Joined]])/365</f>
        <v>1.106849315068493</v>
      </c>
      <c r="K97" s="19">
        <f ca="1">ROUNDUP(IF(staff[[#This Row],[Tenure]]&gt;2, 3%, 2%)*staff[[#This Row],[Salary]], 0)</f>
        <v>1413</v>
      </c>
      <c r="L97" s="19">
        <f>_xlfn.XLOOKUP(staff[[#This Row],[Rating]],Mapping!$B$2:$B$6, Mapping!$C$2:$C$6)</f>
        <v>3</v>
      </c>
      <c r="M97" s="5"/>
    </row>
    <row r="98" spans="2:13" x14ac:dyDescent="0.25">
      <c r="B98" s="3" t="s">
        <v>75</v>
      </c>
      <c r="C98" s="3" t="s">
        <v>8</v>
      </c>
      <c r="D98">
        <v>28</v>
      </c>
      <c r="E98" t="s">
        <v>16</v>
      </c>
      <c r="F98" s="4">
        <v>44357</v>
      </c>
      <c r="G98" s="3" t="s">
        <v>19</v>
      </c>
      <c r="H98" s="22">
        <v>53240</v>
      </c>
      <c r="I98" t="s">
        <v>207</v>
      </c>
      <c r="J98" s="5">
        <f ca="1">(TODAY()-staff[[#This Row],[Date Joined]])/365</f>
        <v>2.2054794520547945</v>
      </c>
      <c r="K98" s="19">
        <f ca="1">ROUNDUP(IF(staff[[#This Row],[Tenure]]&gt;2, 3%, 2%)*staff[[#This Row],[Salary]], 0)</f>
        <v>1598</v>
      </c>
      <c r="L98" s="19">
        <f>_xlfn.XLOOKUP(staff[[#This Row],[Rating]],Mapping!$B$2:$B$6, Mapping!$C$2:$C$6)</f>
        <v>3</v>
      </c>
      <c r="M98" s="5"/>
    </row>
    <row r="99" spans="2:13" x14ac:dyDescent="0.25">
      <c r="B99" s="3" t="s">
        <v>49</v>
      </c>
      <c r="C99" s="3" t="s">
        <v>206</v>
      </c>
      <c r="D99">
        <v>37</v>
      </c>
      <c r="E99" t="s">
        <v>24</v>
      </c>
      <c r="F99" s="4">
        <v>44146</v>
      </c>
      <c r="G99" s="3" t="s">
        <v>21</v>
      </c>
      <c r="H99" s="22">
        <v>115440</v>
      </c>
      <c r="I99" t="s">
        <v>207</v>
      </c>
      <c r="J99" s="5">
        <f ca="1">(TODAY()-staff[[#This Row],[Date Joined]])/365</f>
        <v>2.7835616438356166</v>
      </c>
      <c r="K99" s="19">
        <f ca="1">ROUNDUP(IF(staff[[#This Row],[Tenure]]&gt;2, 3%, 2%)*staff[[#This Row],[Salary]], 0)</f>
        <v>3464</v>
      </c>
      <c r="L99" s="19">
        <f>_xlfn.XLOOKUP(staff[[#This Row],[Rating]],Mapping!$B$2:$B$6, Mapping!$C$2:$C$6)</f>
        <v>2</v>
      </c>
      <c r="M99" s="5"/>
    </row>
    <row r="100" spans="2:13" x14ac:dyDescent="0.25">
      <c r="B100" s="3" t="s">
        <v>65</v>
      </c>
      <c r="C100" s="3" t="s">
        <v>15</v>
      </c>
      <c r="D100">
        <v>32</v>
      </c>
      <c r="E100" t="s">
        <v>16</v>
      </c>
      <c r="F100" s="4">
        <v>44465</v>
      </c>
      <c r="G100" s="3" t="s">
        <v>19</v>
      </c>
      <c r="H100" s="22">
        <v>53540</v>
      </c>
      <c r="I100" t="s">
        <v>207</v>
      </c>
      <c r="J100" s="5">
        <f ca="1">(TODAY()-staff[[#This Row],[Date Joined]])/365</f>
        <v>1.9095890410958904</v>
      </c>
      <c r="K100" s="19">
        <f ca="1">ROUNDUP(IF(staff[[#This Row],[Tenure]]&gt;2, 3%, 2%)*staff[[#This Row],[Salary]], 0)</f>
        <v>1071</v>
      </c>
      <c r="L100" s="19">
        <f>_xlfn.XLOOKUP(staff[[#This Row],[Rating]],Mapping!$B$2:$B$6, Mapping!$C$2:$C$6)</f>
        <v>3</v>
      </c>
      <c r="M100" s="5"/>
    </row>
    <row r="101" spans="2:13" x14ac:dyDescent="0.25">
      <c r="B101" s="3" t="s">
        <v>81</v>
      </c>
      <c r="C101" s="3" t="s">
        <v>8</v>
      </c>
      <c r="D101">
        <v>30</v>
      </c>
      <c r="E101" t="s">
        <v>16</v>
      </c>
      <c r="F101" s="4">
        <v>44861</v>
      </c>
      <c r="G101" s="3" t="s">
        <v>9</v>
      </c>
      <c r="H101" s="22">
        <v>112570</v>
      </c>
      <c r="I101" t="s">
        <v>207</v>
      </c>
      <c r="J101" s="5">
        <f ca="1">(TODAY()-staff[[#This Row],[Date Joined]])/365</f>
        <v>0.8246575342465754</v>
      </c>
      <c r="K101" s="19">
        <f ca="1">ROUNDUP(IF(staff[[#This Row],[Tenure]]&gt;2, 3%, 2%)*staff[[#This Row],[Salary]], 0)</f>
        <v>2252</v>
      </c>
      <c r="L101" s="19">
        <f>_xlfn.XLOOKUP(staff[[#This Row],[Rating]],Mapping!$B$2:$B$6, Mapping!$C$2:$C$6)</f>
        <v>3</v>
      </c>
      <c r="M101" s="5"/>
    </row>
    <row r="102" spans="2:13" x14ac:dyDescent="0.25">
      <c r="B102" s="3" t="s">
        <v>51</v>
      </c>
      <c r="C102" s="3" t="s">
        <v>15</v>
      </c>
      <c r="D102">
        <v>33</v>
      </c>
      <c r="E102" t="s">
        <v>13</v>
      </c>
      <c r="F102" s="4">
        <v>44701</v>
      </c>
      <c r="G102" s="3" t="s">
        <v>9</v>
      </c>
      <c r="H102" s="22">
        <v>48530</v>
      </c>
      <c r="I102" t="s">
        <v>207</v>
      </c>
      <c r="J102" s="5">
        <f ca="1">(TODAY()-staff[[#This Row],[Date Joined]])/365</f>
        <v>1.263013698630137</v>
      </c>
      <c r="K102" s="19">
        <f ca="1">ROUNDUP(IF(staff[[#This Row],[Tenure]]&gt;2, 3%, 2%)*staff[[#This Row],[Salary]], 0)</f>
        <v>971</v>
      </c>
      <c r="L102" s="19">
        <f>_xlfn.XLOOKUP(staff[[#This Row],[Rating]],Mapping!$B$2:$B$6, Mapping!$C$2:$C$6)</f>
        <v>4</v>
      </c>
      <c r="M102" s="5"/>
    </row>
    <row r="103" spans="2:13" x14ac:dyDescent="0.25">
      <c r="B103" s="3" t="s">
        <v>61</v>
      </c>
      <c r="C103" s="3" t="s">
        <v>8</v>
      </c>
      <c r="D103">
        <v>24</v>
      </c>
      <c r="E103" t="s">
        <v>16</v>
      </c>
      <c r="F103" s="4">
        <v>44148</v>
      </c>
      <c r="G103" s="3" t="s">
        <v>12</v>
      </c>
      <c r="H103" s="22">
        <v>62780</v>
      </c>
      <c r="I103" t="s">
        <v>207</v>
      </c>
      <c r="J103" s="5">
        <f ca="1">(TODAY()-staff[[#This Row],[Date Joined]])/365</f>
        <v>2.7780821917808218</v>
      </c>
      <c r="K103" s="19">
        <f ca="1">ROUNDUP(IF(staff[[#This Row],[Tenure]]&gt;2, 3%, 2%)*staff[[#This Row],[Salary]], 0)</f>
        <v>1884</v>
      </c>
      <c r="L103" s="19">
        <f>_xlfn.XLOOKUP(staff[[#This Row],[Rating]],Mapping!$B$2:$B$6, Mapping!$C$2:$C$6)</f>
        <v>3</v>
      </c>
      <c r="M103" s="5"/>
    </row>
    <row r="104" spans="2:13" x14ac:dyDescent="0.25">
      <c r="B104" s="3" t="s">
        <v>82</v>
      </c>
      <c r="C104" s="3" t="s">
        <v>15</v>
      </c>
      <c r="D104">
        <v>33</v>
      </c>
      <c r="E104" t="s">
        <v>16</v>
      </c>
      <c r="F104" s="4">
        <v>44509</v>
      </c>
      <c r="G104" s="3" t="s">
        <v>12</v>
      </c>
      <c r="H104" s="22">
        <v>53870</v>
      </c>
      <c r="I104" t="s">
        <v>207</v>
      </c>
      <c r="J104" s="5">
        <f ca="1">(TODAY()-staff[[#This Row],[Date Joined]])/365</f>
        <v>1.789041095890411</v>
      </c>
      <c r="K104" s="19">
        <f ca="1">ROUNDUP(IF(staff[[#This Row],[Tenure]]&gt;2, 3%, 2%)*staff[[#This Row],[Salary]], 0)</f>
        <v>1078</v>
      </c>
      <c r="L104" s="19">
        <f>_xlfn.XLOOKUP(staff[[#This Row],[Rating]],Mapping!$B$2:$B$6, Mapping!$C$2:$C$6)</f>
        <v>3</v>
      </c>
      <c r="M104" s="5"/>
    </row>
    <row r="105" spans="2:13" x14ac:dyDescent="0.25">
      <c r="B105" s="3" t="s">
        <v>60</v>
      </c>
      <c r="C105" s="3" t="s">
        <v>8</v>
      </c>
      <c r="D105">
        <v>27</v>
      </c>
      <c r="E105" t="s">
        <v>16</v>
      </c>
      <c r="F105" s="4">
        <v>44122</v>
      </c>
      <c r="G105" s="3" t="s">
        <v>56</v>
      </c>
      <c r="H105" s="22">
        <v>119110</v>
      </c>
      <c r="I105" t="s">
        <v>207</v>
      </c>
      <c r="J105" s="5">
        <f ca="1">(TODAY()-staff[[#This Row],[Date Joined]])/365</f>
        <v>2.8493150684931505</v>
      </c>
      <c r="K105" s="19">
        <f ca="1">ROUNDUP(IF(staff[[#This Row],[Tenure]]&gt;2, 3%, 2%)*staff[[#This Row],[Salary]], 0)</f>
        <v>3574</v>
      </c>
      <c r="L105" s="19">
        <f>_xlfn.XLOOKUP(staff[[#This Row],[Rating]],Mapping!$B$2:$B$6, Mapping!$C$2:$C$6)</f>
        <v>3</v>
      </c>
      <c r="M105" s="5"/>
    </row>
    <row r="106" spans="2:13" x14ac:dyDescent="0.25">
      <c r="B106" s="3" t="s">
        <v>87</v>
      </c>
      <c r="C106" s="3" t="s">
        <v>15</v>
      </c>
      <c r="D106">
        <v>29</v>
      </c>
      <c r="E106" t="s">
        <v>24</v>
      </c>
      <c r="F106" s="4">
        <v>44180</v>
      </c>
      <c r="G106" s="3" t="s">
        <v>12</v>
      </c>
      <c r="H106" s="22">
        <v>112110</v>
      </c>
      <c r="I106" t="s">
        <v>207</v>
      </c>
      <c r="J106" s="5">
        <f ca="1">(TODAY()-staff[[#This Row],[Date Joined]])/365</f>
        <v>2.6904109589041094</v>
      </c>
      <c r="K106" s="19">
        <f ca="1">ROUNDUP(IF(staff[[#This Row],[Tenure]]&gt;2, 3%, 2%)*staff[[#This Row],[Salary]], 0)</f>
        <v>3364</v>
      </c>
      <c r="L106" s="19">
        <f>_xlfn.XLOOKUP(staff[[#This Row],[Rating]],Mapping!$B$2:$B$6, Mapping!$C$2:$C$6)</f>
        <v>2</v>
      </c>
      <c r="M106" s="5"/>
    </row>
    <row r="107" spans="2:13" x14ac:dyDescent="0.25">
      <c r="B107" s="3" t="s">
        <v>76</v>
      </c>
      <c r="C107" s="3" t="s">
        <v>15</v>
      </c>
      <c r="D107">
        <v>25</v>
      </c>
      <c r="E107" t="s">
        <v>16</v>
      </c>
      <c r="F107" s="4">
        <v>44383</v>
      </c>
      <c r="G107" s="3" t="s">
        <v>19</v>
      </c>
      <c r="H107" s="22">
        <v>65700</v>
      </c>
      <c r="I107" t="s">
        <v>207</v>
      </c>
      <c r="J107" s="5">
        <f ca="1">(TODAY()-staff[[#This Row],[Date Joined]])/365</f>
        <v>2.1342465753424658</v>
      </c>
      <c r="K107" s="19">
        <f ca="1">ROUNDUP(IF(staff[[#This Row],[Tenure]]&gt;2, 3%, 2%)*staff[[#This Row],[Salary]], 0)</f>
        <v>1971</v>
      </c>
      <c r="L107" s="19">
        <f>_xlfn.XLOOKUP(staff[[#This Row],[Rating]],Mapping!$B$2:$B$6, Mapping!$C$2:$C$6)</f>
        <v>3</v>
      </c>
      <c r="M107" s="5"/>
    </row>
    <row r="108" spans="2:13" x14ac:dyDescent="0.25">
      <c r="B108" s="3" t="s">
        <v>97</v>
      </c>
      <c r="C108" s="3" t="s">
        <v>15</v>
      </c>
      <c r="D108">
        <v>37</v>
      </c>
      <c r="E108" t="s">
        <v>16</v>
      </c>
      <c r="F108" s="4">
        <v>44701</v>
      </c>
      <c r="G108" s="3" t="s">
        <v>12</v>
      </c>
      <c r="H108" s="22">
        <v>69070</v>
      </c>
      <c r="I108" t="s">
        <v>207</v>
      </c>
      <c r="J108" s="5">
        <f ca="1">(TODAY()-staff[[#This Row],[Date Joined]])/365</f>
        <v>1.263013698630137</v>
      </c>
      <c r="K108" s="19">
        <f ca="1">ROUNDUP(IF(staff[[#This Row],[Tenure]]&gt;2, 3%, 2%)*staff[[#This Row],[Salary]], 0)</f>
        <v>1382</v>
      </c>
      <c r="L108" s="19">
        <f>_xlfn.XLOOKUP(staff[[#This Row],[Rating]],Mapping!$B$2:$B$6, Mapping!$C$2:$C$6)</f>
        <v>3</v>
      </c>
      <c r="M108" s="5"/>
    </row>
    <row r="109" spans="2:13" x14ac:dyDescent="0.25">
      <c r="B109" s="3" t="s">
        <v>22</v>
      </c>
      <c r="C109" s="3" t="s">
        <v>15</v>
      </c>
      <c r="D109">
        <v>20</v>
      </c>
      <c r="E109" t="s">
        <v>16</v>
      </c>
      <c r="F109" s="4">
        <v>44459</v>
      </c>
      <c r="G109" s="3" t="s">
        <v>12</v>
      </c>
      <c r="H109" s="22">
        <v>107700</v>
      </c>
      <c r="I109" t="s">
        <v>207</v>
      </c>
      <c r="J109" s="5">
        <f ca="1">(TODAY()-staff[[#This Row],[Date Joined]])/365</f>
        <v>1.9260273972602739</v>
      </c>
      <c r="K109" s="19">
        <f ca="1">ROUNDUP(IF(staff[[#This Row],[Tenure]]&gt;2, 3%, 2%)*staff[[#This Row],[Salary]], 0)</f>
        <v>2154</v>
      </c>
      <c r="L109" s="19">
        <f>_xlfn.XLOOKUP(staff[[#This Row],[Rating]],Mapping!$B$2:$B$6, Mapping!$C$2:$C$6)</f>
        <v>3</v>
      </c>
      <c r="M109" s="5"/>
    </row>
    <row r="110" spans="2:13" x14ac:dyDescent="0.25">
      <c r="B110" s="3" t="s">
        <v>84</v>
      </c>
      <c r="C110" s="3" t="s">
        <v>8</v>
      </c>
      <c r="D110">
        <v>32</v>
      </c>
      <c r="E110" t="s">
        <v>13</v>
      </c>
      <c r="F110" s="4">
        <v>44354</v>
      </c>
      <c r="G110" s="3" t="s">
        <v>12</v>
      </c>
      <c r="H110" s="22">
        <v>43840</v>
      </c>
      <c r="I110" t="s">
        <v>207</v>
      </c>
      <c r="J110" s="5">
        <f ca="1">(TODAY()-staff[[#This Row],[Date Joined]])/365</f>
        <v>2.2136986301369861</v>
      </c>
      <c r="K110" s="19">
        <f ca="1">ROUNDUP(IF(staff[[#This Row],[Tenure]]&gt;2, 3%, 2%)*staff[[#This Row],[Salary]], 0)</f>
        <v>1316</v>
      </c>
      <c r="L110" s="19">
        <f>_xlfn.XLOOKUP(staff[[#This Row],[Rating]],Mapping!$B$2:$B$6, Mapping!$C$2:$C$6)</f>
        <v>4</v>
      </c>
      <c r="M110" s="5"/>
    </row>
    <row r="111" spans="2:13" x14ac:dyDescent="0.25">
      <c r="B111" s="3" t="s">
        <v>105</v>
      </c>
      <c r="C111" s="3" t="s">
        <v>15</v>
      </c>
      <c r="D111">
        <v>40</v>
      </c>
      <c r="E111" t="s">
        <v>16</v>
      </c>
      <c r="F111" s="4">
        <v>44263</v>
      </c>
      <c r="G111" s="3" t="s">
        <v>9</v>
      </c>
      <c r="H111" s="22">
        <v>99750</v>
      </c>
      <c r="I111" t="s">
        <v>207</v>
      </c>
      <c r="J111" s="5">
        <f ca="1">(TODAY()-staff[[#This Row],[Date Joined]])/365</f>
        <v>2.463013698630137</v>
      </c>
      <c r="K111" s="19">
        <f ca="1">ROUNDUP(IF(staff[[#This Row],[Tenure]]&gt;2, 3%, 2%)*staff[[#This Row],[Salary]], 0)</f>
        <v>2993</v>
      </c>
      <c r="L111" s="19">
        <f>_xlfn.XLOOKUP(staff[[#This Row],[Rating]],Mapping!$B$2:$B$6, Mapping!$C$2:$C$6)</f>
        <v>3</v>
      </c>
      <c r="M111" s="5"/>
    </row>
    <row r="112" spans="2:13" x14ac:dyDescent="0.25">
      <c r="B112" s="3" t="s">
        <v>47</v>
      </c>
      <c r="C112" s="3" t="s">
        <v>15</v>
      </c>
      <c r="D112">
        <v>21</v>
      </c>
      <c r="E112" t="s">
        <v>16</v>
      </c>
      <c r="F112" s="4">
        <v>44104</v>
      </c>
      <c r="G112" s="3" t="s">
        <v>9</v>
      </c>
      <c r="H112" s="22">
        <v>37920</v>
      </c>
      <c r="I112" t="s">
        <v>207</v>
      </c>
      <c r="J112" s="5">
        <f ca="1">(TODAY()-staff[[#This Row],[Date Joined]])/365</f>
        <v>2.8986301369863012</v>
      </c>
      <c r="K112" s="19">
        <f ca="1">ROUNDUP(IF(staff[[#This Row],[Tenure]]&gt;2, 3%, 2%)*staff[[#This Row],[Salary]], 0)</f>
        <v>1138</v>
      </c>
      <c r="L112" s="19">
        <f>_xlfn.XLOOKUP(staff[[#This Row],[Rating]],Mapping!$B$2:$B$6, Mapping!$C$2:$C$6)</f>
        <v>3</v>
      </c>
      <c r="M112" s="5"/>
    </row>
    <row r="113" spans="2:13" x14ac:dyDescent="0.25">
      <c r="B113" s="3" t="s">
        <v>31</v>
      </c>
      <c r="C113" s="3" t="s">
        <v>15</v>
      </c>
      <c r="D113">
        <v>21</v>
      </c>
      <c r="E113" t="s">
        <v>16</v>
      </c>
      <c r="F113" s="4">
        <v>44762</v>
      </c>
      <c r="G113" s="3" t="s">
        <v>9</v>
      </c>
      <c r="H113" s="22">
        <v>57090</v>
      </c>
      <c r="I113" t="s">
        <v>207</v>
      </c>
      <c r="J113" s="5">
        <f ca="1">(TODAY()-staff[[#This Row],[Date Joined]])/365</f>
        <v>1.095890410958904</v>
      </c>
      <c r="K113" s="19">
        <f ca="1">ROUNDUP(IF(staff[[#This Row],[Tenure]]&gt;2, 3%, 2%)*staff[[#This Row],[Salary]], 0)</f>
        <v>1142</v>
      </c>
      <c r="L113" s="19">
        <f>_xlfn.XLOOKUP(staff[[#This Row],[Rating]],Mapping!$B$2:$B$6, Mapping!$C$2:$C$6)</f>
        <v>3</v>
      </c>
      <c r="M113" s="5"/>
    </row>
    <row r="114" spans="2:13" x14ac:dyDescent="0.25">
      <c r="B114" s="3" t="s">
        <v>30</v>
      </c>
      <c r="C114" s="3" t="s">
        <v>8</v>
      </c>
      <c r="D114">
        <v>31</v>
      </c>
      <c r="E114" t="s">
        <v>16</v>
      </c>
      <c r="F114" s="4">
        <v>44145</v>
      </c>
      <c r="G114" s="3" t="s">
        <v>12</v>
      </c>
      <c r="H114" s="22">
        <v>41980</v>
      </c>
      <c r="I114" t="s">
        <v>207</v>
      </c>
      <c r="J114" s="5">
        <f ca="1">(TODAY()-staff[[#This Row],[Date Joined]])/365</f>
        <v>2.7863013698630139</v>
      </c>
      <c r="K114" s="19">
        <f ca="1">ROUNDUP(IF(staff[[#This Row],[Tenure]]&gt;2, 3%, 2%)*staff[[#This Row],[Salary]], 0)</f>
        <v>1260</v>
      </c>
      <c r="L114" s="19">
        <f>_xlfn.XLOOKUP(staff[[#This Row],[Rating]],Mapping!$B$2:$B$6, Mapping!$C$2:$C$6)</f>
        <v>3</v>
      </c>
      <c r="M114" s="5"/>
    </row>
    <row r="115" spans="2:13" x14ac:dyDescent="0.25">
      <c r="B115" s="3" t="s">
        <v>78</v>
      </c>
      <c r="C115" s="3" t="s">
        <v>15</v>
      </c>
      <c r="D115">
        <v>21</v>
      </c>
      <c r="E115" t="s">
        <v>16</v>
      </c>
      <c r="F115" s="4">
        <v>44242</v>
      </c>
      <c r="G115" s="3" t="s">
        <v>56</v>
      </c>
      <c r="H115" s="22">
        <v>75880</v>
      </c>
      <c r="I115" t="s">
        <v>207</v>
      </c>
      <c r="J115" s="5">
        <f ca="1">(TODAY()-staff[[#This Row],[Date Joined]])/365</f>
        <v>2.5205479452054793</v>
      </c>
      <c r="K115" s="19">
        <f ca="1">ROUNDUP(IF(staff[[#This Row],[Tenure]]&gt;2, 3%, 2%)*staff[[#This Row],[Salary]], 0)</f>
        <v>2277</v>
      </c>
      <c r="L115" s="19">
        <f>_xlfn.XLOOKUP(staff[[#This Row],[Rating]],Mapping!$B$2:$B$6, Mapping!$C$2:$C$6)</f>
        <v>3</v>
      </c>
      <c r="M115" s="5"/>
    </row>
    <row r="116" spans="2:13" x14ac:dyDescent="0.25">
      <c r="B116" s="3" t="s">
        <v>36</v>
      </c>
      <c r="C116" s="3" t="s">
        <v>8</v>
      </c>
      <c r="D116">
        <v>34</v>
      </c>
      <c r="E116" t="s">
        <v>16</v>
      </c>
      <c r="F116" s="4">
        <v>44653</v>
      </c>
      <c r="G116" s="3" t="s">
        <v>21</v>
      </c>
      <c r="H116" s="22">
        <v>58940</v>
      </c>
      <c r="I116" t="s">
        <v>207</v>
      </c>
      <c r="J116" s="5">
        <f ca="1">(TODAY()-staff[[#This Row],[Date Joined]])/365</f>
        <v>1.3945205479452054</v>
      </c>
      <c r="K116" s="19">
        <f ca="1">ROUNDUP(IF(staff[[#This Row],[Tenure]]&gt;2, 3%, 2%)*staff[[#This Row],[Salary]], 0)</f>
        <v>1179</v>
      </c>
      <c r="L116" s="19">
        <f>_xlfn.XLOOKUP(staff[[#This Row],[Rating]],Mapping!$B$2:$B$6, Mapping!$C$2:$C$6)</f>
        <v>3</v>
      </c>
      <c r="M116" s="5"/>
    </row>
    <row r="117" spans="2:13" x14ac:dyDescent="0.25">
      <c r="B117" s="3" t="s">
        <v>27</v>
      </c>
      <c r="C117" s="3" t="s">
        <v>8</v>
      </c>
      <c r="D117">
        <v>30</v>
      </c>
      <c r="E117" t="s">
        <v>24</v>
      </c>
      <c r="F117" s="4">
        <v>44389</v>
      </c>
      <c r="G117" s="3" t="s">
        <v>21</v>
      </c>
      <c r="H117" s="22">
        <v>67910</v>
      </c>
      <c r="I117" t="s">
        <v>207</v>
      </c>
      <c r="J117" s="5">
        <f ca="1">(TODAY()-staff[[#This Row],[Date Joined]])/365</f>
        <v>2.117808219178082</v>
      </c>
      <c r="K117" s="19">
        <f ca="1">ROUNDUP(IF(staff[[#This Row],[Tenure]]&gt;2, 3%, 2%)*staff[[#This Row],[Salary]], 0)</f>
        <v>2038</v>
      </c>
      <c r="L117" s="19">
        <f>_xlfn.XLOOKUP(staff[[#This Row],[Rating]],Mapping!$B$2:$B$6, Mapping!$C$2:$C$6)</f>
        <v>2</v>
      </c>
      <c r="M117" s="5"/>
    </row>
    <row r="118" spans="2:13" x14ac:dyDescent="0.25">
      <c r="B118" s="3" t="s">
        <v>26</v>
      </c>
      <c r="C118" s="3" t="s">
        <v>8</v>
      </c>
      <c r="D118">
        <v>31</v>
      </c>
      <c r="E118" t="s">
        <v>16</v>
      </c>
      <c r="F118" s="4">
        <v>44663</v>
      </c>
      <c r="G118" s="3" t="s">
        <v>12</v>
      </c>
      <c r="H118" s="22">
        <v>58100</v>
      </c>
      <c r="I118" t="s">
        <v>207</v>
      </c>
      <c r="J118" s="5">
        <f ca="1">(TODAY()-staff[[#This Row],[Date Joined]])/365</f>
        <v>1.3671232876712329</v>
      </c>
      <c r="K118" s="19">
        <f ca="1">ROUNDUP(IF(staff[[#This Row],[Tenure]]&gt;2, 3%, 2%)*staff[[#This Row],[Salary]], 0)</f>
        <v>1162</v>
      </c>
      <c r="L118" s="19">
        <f>_xlfn.XLOOKUP(staff[[#This Row],[Rating]],Mapping!$B$2:$B$6, Mapping!$C$2:$C$6)</f>
        <v>3</v>
      </c>
      <c r="M118" s="5"/>
    </row>
    <row r="119" spans="2:13" x14ac:dyDescent="0.25">
      <c r="B119" s="3" t="s">
        <v>53</v>
      </c>
      <c r="C119" s="3" t="s">
        <v>15</v>
      </c>
      <c r="D119">
        <v>27</v>
      </c>
      <c r="E119" t="s">
        <v>16</v>
      </c>
      <c r="F119" s="4">
        <v>44567</v>
      </c>
      <c r="G119" s="3" t="s">
        <v>21</v>
      </c>
      <c r="H119" s="22">
        <v>48980</v>
      </c>
      <c r="I119" t="s">
        <v>207</v>
      </c>
      <c r="J119" s="5">
        <f ca="1">(TODAY()-staff[[#This Row],[Date Joined]])/365</f>
        <v>1.6301369863013699</v>
      </c>
      <c r="K119" s="19">
        <f ca="1">ROUNDUP(IF(staff[[#This Row],[Tenure]]&gt;2, 3%, 2%)*staff[[#This Row],[Salary]], 0)</f>
        <v>980</v>
      </c>
      <c r="L119" s="19">
        <f>_xlfn.XLOOKUP(staff[[#This Row],[Rating]],Mapping!$B$2:$B$6, Mapping!$C$2:$C$6)</f>
        <v>3</v>
      </c>
      <c r="M119" s="5"/>
    </row>
    <row r="120" spans="2:13" x14ac:dyDescent="0.25">
      <c r="B120" s="3" t="s">
        <v>20</v>
      </c>
      <c r="C120" s="3" t="s">
        <v>206</v>
      </c>
      <c r="D120">
        <v>30</v>
      </c>
      <c r="E120" t="s">
        <v>16</v>
      </c>
      <c r="F120" s="4">
        <v>44597</v>
      </c>
      <c r="G120" s="3" t="s">
        <v>21</v>
      </c>
      <c r="H120" s="22">
        <v>64000</v>
      </c>
      <c r="I120" t="s">
        <v>207</v>
      </c>
      <c r="J120" s="5">
        <f ca="1">(TODAY()-staff[[#This Row],[Date Joined]])/365</f>
        <v>1.547945205479452</v>
      </c>
      <c r="K120" s="19">
        <f ca="1">ROUNDUP(IF(staff[[#This Row],[Tenure]]&gt;2, 3%, 2%)*staff[[#This Row],[Salary]], 0)</f>
        <v>1280</v>
      </c>
      <c r="L120" s="19">
        <f>_xlfn.XLOOKUP(staff[[#This Row],[Rating]],Mapping!$B$2:$B$6, Mapping!$C$2:$C$6)</f>
        <v>3</v>
      </c>
      <c r="M120" s="5"/>
    </row>
    <row r="121" spans="2:13" x14ac:dyDescent="0.25">
      <c r="B121" s="3" t="s">
        <v>7</v>
      </c>
      <c r="C121" s="3" t="s">
        <v>8</v>
      </c>
      <c r="D121">
        <v>42</v>
      </c>
      <c r="E121" t="s">
        <v>10</v>
      </c>
      <c r="F121" s="4">
        <v>44779</v>
      </c>
      <c r="G121" s="3" t="s">
        <v>9</v>
      </c>
      <c r="H121" s="22">
        <v>75000</v>
      </c>
      <c r="I121" t="s">
        <v>207</v>
      </c>
      <c r="J121" s="5">
        <f ca="1">(TODAY()-staff[[#This Row],[Date Joined]])/365</f>
        <v>1.0493150684931507</v>
      </c>
      <c r="K121" s="19">
        <f ca="1">ROUNDUP(IF(staff[[#This Row],[Tenure]]&gt;2, 3%, 2%)*staff[[#This Row],[Salary]], 0)</f>
        <v>1500</v>
      </c>
      <c r="L121" s="19">
        <f>_xlfn.XLOOKUP(staff[[#This Row],[Rating]],Mapping!$B$2:$B$6, Mapping!$C$2:$C$6)</f>
        <v>5</v>
      </c>
      <c r="M121" s="5"/>
    </row>
    <row r="122" spans="2:13" x14ac:dyDescent="0.25">
      <c r="B122" s="3" t="s">
        <v>74</v>
      </c>
      <c r="C122" s="3" t="s">
        <v>8</v>
      </c>
      <c r="D122">
        <v>40</v>
      </c>
      <c r="E122" t="s">
        <v>16</v>
      </c>
      <c r="F122" s="4">
        <v>44337</v>
      </c>
      <c r="G122" s="3" t="s">
        <v>12</v>
      </c>
      <c r="H122" s="22">
        <v>87620</v>
      </c>
      <c r="I122" t="s">
        <v>207</v>
      </c>
      <c r="J122" s="5">
        <f ca="1">(TODAY()-staff[[#This Row],[Date Joined]])/365</f>
        <v>2.2602739726027399</v>
      </c>
      <c r="K122" s="19">
        <f ca="1">ROUNDUP(IF(staff[[#This Row],[Tenure]]&gt;2, 3%, 2%)*staff[[#This Row],[Salary]], 0)</f>
        <v>2629</v>
      </c>
      <c r="L122" s="19">
        <f>_xlfn.XLOOKUP(staff[[#This Row],[Rating]],Mapping!$B$2:$B$6, Mapping!$C$2:$C$6)</f>
        <v>3</v>
      </c>
      <c r="M122" s="5"/>
    </row>
    <row r="123" spans="2:13" x14ac:dyDescent="0.25">
      <c r="B123" s="3" t="s">
        <v>44</v>
      </c>
      <c r="C123" s="3" t="s">
        <v>8</v>
      </c>
      <c r="D123">
        <v>29</v>
      </c>
      <c r="E123" t="s">
        <v>16</v>
      </c>
      <c r="F123" s="4">
        <v>44023</v>
      </c>
      <c r="G123" s="3" t="s">
        <v>12</v>
      </c>
      <c r="H123" s="22">
        <v>34980</v>
      </c>
      <c r="I123" t="s">
        <v>207</v>
      </c>
      <c r="J123" s="5">
        <f ca="1">(TODAY()-staff[[#This Row],[Date Joined]])/365</f>
        <v>3.1205479452054794</v>
      </c>
      <c r="K123" s="19">
        <f ca="1">ROUNDUP(IF(staff[[#This Row],[Tenure]]&gt;2, 3%, 2%)*staff[[#This Row],[Salary]], 0)</f>
        <v>1050</v>
      </c>
      <c r="L123" s="19">
        <f>_xlfn.XLOOKUP(staff[[#This Row],[Rating]],Mapping!$B$2:$B$6, Mapping!$C$2:$C$6)</f>
        <v>3</v>
      </c>
      <c r="M123" s="5"/>
    </row>
    <row r="124" spans="2:13" x14ac:dyDescent="0.25">
      <c r="B124" s="3" t="s">
        <v>35</v>
      </c>
      <c r="C124" s="3" t="s">
        <v>8</v>
      </c>
      <c r="D124">
        <v>28</v>
      </c>
      <c r="E124" t="s">
        <v>16</v>
      </c>
      <c r="F124" s="4">
        <v>44185</v>
      </c>
      <c r="G124" s="3" t="s">
        <v>21</v>
      </c>
      <c r="H124" s="22">
        <v>75970</v>
      </c>
      <c r="I124" t="s">
        <v>207</v>
      </c>
      <c r="J124" s="5">
        <f ca="1">(TODAY()-staff[[#This Row],[Date Joined]])/365</f>
        <v>2.6767123287671235</v>
      </c>
      <c r="K124" s="19">
        <f ca="1">ROUNDUP(IF(staff[[#This Row],[Tenure]]&gt;2, 3%, 2%)*staff[[#This Row],[Salary]], 0)</f>
        <v>2280</v>
      </c>
      <c r="L124" s="19">
        <f>_xlfn.XLOOKUP(staff[[#This Row],[Rating]],Mapping!$B$2:$B$6, Mapping!$C$2:$C$6)</f>
        <v>3</v>
      </c>
      <c r="M124" s="5"/>
    </row>
    <row r="125" spans="2:13" x14ac:dyDescent="0.25">
      <c r="B125" s="3" t="s">
        <v>38</v>
      </c>
      <c r="C125" s="3" t="s">
        <v>8</v>
      </c>
      <c r="D125">
        <v>34</v>
      </c>
      <c r="E125" t="s">
        <v>16</v>
      </c>
      <c r="F125" s="4">
        <v>44612</v>
      </c>
      <c r="G125" s="3" t="s">
        <v>21</v>
      </c>
      <c r="H125" s="22">
        <v>60130</v>
      </c>
      <c r="I125" t="s">
        <v>207</v>
      </c>
      <c r="J125" s="5">
        <f ca="1">(TODAY()-staff[[#This Row],[Date Joined]])/365</f>
        <v>1.5068493150684932</v>
      </c>
      <c r="K125" s="19">
        <f ca="1">ROUNDUP(IF(staff[[#This Row],[Tenure]]&gt;2, 3%, 2%)*staff[[#This Row],[Salary]], 0)</f>
        <v>1203</v>
      </c>
      <c r="L125" s="19">
        <f>_xlfn.XLOOKUP(staff[[#This Row],[Rating]],Mapping!$B$2:$B$6, Mapping!$C$2:$C$6)</f>
        <v>3</v>
      </c>
      <c r="M125" s="5"/>
    </row>
    <row r="126" spans="2:13" x14ac:dyDescent="0.25">
      <c r="B126" s="3" t="s">
        <v>41</v>
      </c>
      <c r="C126" s="3" t="s">
        <v>8</v>
      </c>
      <c r="D126">
        <v>33</v>
      </c>
      <c r="E126" t="s">
        <v>42</v>
      </c>
      <c r="F126" s="4">
        <v>44374</v>
      </c>
      <c r="G126" s="3" t="s">
        <v>12</v>
      </c>
      <c r="H126" s="22">
        <v>75480</v>
      </c>
      <c r="I126" t="s">
        <v>207</v>
      </c>
      <c r="J126" s="5">
        <f ca="1">(TODAY()-staff[[#This Row],[Date Joined]])/365</f>
        <v>2.1589041095890411</v>
      </c>
      <c r="K126" s="19">
        <f ca="1">ROUNDUP(IF(staff[[#This Row],[Tenure]]&gt;2, 3%, 2%)*staff[[#This Row],[Salary]], 0)</f>
        <v>2265</v>
      </c>
      <c r="L126" s="19">
        <f>_xlfn.XLOOKUP(staff[[#This Row],[Rating]],Mapping!$B$2:$B$6, Mapping!$C$2:$C$6)</f>
        <v>1</v>
      </c>
      <c r="M126" s="5"/>
    </row>
    <row r="127" spans="2:13" x14ac:dyDescent="0.25">
      <c r="B127" s="3" t="s">
        <v>40</v>
      </c>
      <c r="C127" s="3" t="s">
        <v>15</v>
      </c>
      <c r="D127">
        <v>33</v>
      </c>
      <c r="E127" t="s">
        <v>16</v>
      </c>
      <c r="F127" s="4">
        <v>44164</v>
      </c>
      <c r="G127" s="3" t="s">
        <v>9</v>
      </c>
      <c r="H127" s="22">
        <v>115920</v>
      </c>
      <c r="I127" t="s">
        <v>207</v>
      </c>
      <c r="J127" s="5">
        <f ca="1">(TODAY()-staff[[#This Row],[Date Joined]])/365</f>
        <v>2.7342465753424658</v>
      </c>
      <c r="K127" s="19">
        <f ca="1">ROUNDUP(IF(staff[[#This Row],[Tenure]]&gt;2, 3%, 2%)*staff[[#This Row],[Salary]], 0)</f>
        <v>3478</v>
      </c>
      <c r="L127" s="19">
        <f>_xlfn.XLOOKUP(staff[[#This Row],[Rating]],Mapping!$B$2:$B$6, Mapping!$C$2:$C$6)</f>
        <v>3</v>
      </c>
      <c r="M127" s="5"/>
    </row>
    <row r="128" spans="2:13" x14ac:dyDescent="0.25">
      <c r="B128" s="3" t="s">
        <v>48</v>
      </c>
      <c r="C128" s="3" t="s">
        <v>8</v>
      </c>
      <c r="D128">
        <v>36</v>
      </c>
      <c r="E128" t="s">
        <v>16</v>
      </c>
      <c r="F128" s="4">
        <v>44494</v>
      </c>
      <c r="G128" s="3" t="s">
        <v>19</v>
      </c>
      <c r="H128" s="22">
        <v>78540</v>
      </c>
      <c r="I128" t="s">
        <v>207</v>
      </c>
      <c r="J128" s="5">
        <f ca="1">(TODAY()-staff[[#This Row],[Date Joined]])/365</f>
        <v>1.8301369863013699</v>
      </c>
      <c r="K128" s="19">
        <f ca="1">ROUNDUP(IF(staff[[#This Row],[Tenure]]&gt;2, 3%, 2%)*staff[[#This Row],[Salary]], 0)</f>
        <v>1571</v>
      </c>
      <c r="L128" s="19">
        <f>_xlfn.XLOOKUP(staff[[#This Row],[Rating]],Mapping!$B$2:$B$6, Mapping!$C$2:$C$6)</f>
        <v>3</v>
      </c>
      <c r="M128" s="5"/>
    </row>
    <row r="129" spans="2:13" x14ac:dyDescent="0.25">
      <c r="B129" s="3" t="s">
        <v>34</v>
      </c>
      <c r="C129" s="3" t="s">
        <v>15</v>
      </c>
      <c r="D129">
        <v>25</v>
      </c>
      <c r="E129" t="s">
        <v>13</v>
      </c>
      <c r="F129" s="4">
        <v>44726</v>
      </c>
      <c r="G129" s="3" t="s">
        <v>9</v>
      </c>
      <c r="H129" s="22">
        <v>109190</v>
      </c>
      <c r="I129" t="s">
        <v>207</v>
      </c>
      <c r="J129" s="5">
        <f ca="1">(TODAY()-staff[[#This Row],[Date Joined]])/365</f>
        <v>1.1945205479452055</v>
      </c>
      <c r="K129" s="19">
        <f ca="1">ROUNDUP(IF(staff[[#This Row],[Tenure]]&gt;2, 3%, 2%)*staff[[#This Row],[Salary]], 0)</f>
        <v>2184</v>
      </c>
      <c r="L129" s="19">
        <f>_xlfn.XLOOKUP(staff[[#This Row],[Rating]],Mapping!$B$2:$B$6, Mapping!$C$2:$C$6)</f>
        <v>4</v>
      </c>
      <c r="M129" s="5"/>
    </row>
    <row r="130" spans="2:13" x14ac:dyDescent="0.25">
      <c r="B130" s="3" t="s">
        <v>73</v>
      </c>
      <c r="C130" s="3" t="s">
        <v>8</v>
      </c>
      <c r="D130">
        <v>34</v>
      </c>
      <c r="E130" t="s">
        <v>24</v>
      </c>
      <c r="F130" s="4">
        <v>44721</v>
      </c>
      <c r="G130" s="3" t="s">
        <v>19</v>
      </c>
      <c r="H130" s="22">
        <v>49630</v>
      </c>
      <c r="I130" t="s">
        <v>207</v>
      </c>
      <c r="J130" s="5">
        <f ca="1">(TODAY()-staff[[#This Row],[Date Joined]])/365</f>
        <v>1.2082191780821918</v>
      </c>
      <c r="K130" s="19">
        <f ca="1">ROUNDUP(IF(staff[[#This Row],[Tenure]]&gt;2, 3%, 2%)*staff[[#This Row],[Salary]], 0)</f>
        <v>993</v>
      </c>
      <c r="L130" s="19">
        <f>_xlfn.XLOOKUP(staff[[#This Row],[Rating]],Mapping!$B$2:$B$6, Mapping!$C$2:$C$6)</f>
        <v>2</v>
      </c>
      <c r="M130" s="5"/>
    </row>
    <row r="131" spans="2:13" x14ac:dyDescent="0.25">
      <c r="B131" s="3" t="s">
        <v>107</v>
      </c>
      <c r="C131" s="3" t="s">
        <v>8</v>
      </c>
      <c r="D131">
        <v>28</v>
      </c>
      <c r="E131" t="s">
        <v>16</v>
      </c>
      <c r="F131" s="4">
        <v>44630</v>
      </c>
      <c r="G131" s="3" t="s">
        <v>9</v>
      </c>
      <c r="H131" s="22">
        <v>99970</v>
      </c>
      <c r="I131" t="s">
        <v>207</v>
      </c>
      <c r="J131" s="5">
        <f ca="1">(TODAY()-staff[[#This Row],[Date Joined]])/365</f>
        <v>1.4575342465753425</v>
      </c>
      <c r="K131" s="19">
        <f ca="1">ROUNDUP(IF(staff[[#This Row],[Tenure]]&gt;2, 3%, 2%)*staff[[#This Row],[Salary]], 0)</f>
        <v>2000</v>
      </c>
      <c r="L131" s="19">
        <f>_xlfn.XLOOKUP(staff[[#This Row],[Rating]],Mapping!$B$2:$B$6, Mapping!$C$2:$C$6)</f>
        <v>3</v>
      </c>
      <c r="M131" s="5"/>
    </row>
    <row r="132" spans="2:13" x14ac:dyDescent="0.25">
      <c r="B132" s="3" t="s">
        <v>71</v>
      </c>
      <c r="C132" s="3" t="s">
        <v>8</v>
      </c>
      <c r="D132">
        <v>33</v>
      </c>
      <c r="E132" t="s">
        <v>16</v>
      </c>
      <c r="F132" s="4">
        <v>44190</v>
      </c>
      <c r="G132" s="3" t="s">
        <v>12</v>
      </c>
      <c r="H132" s="22">
        <v>96140</v>
      </c>
      <c r="I132" t="s">
        <v>207</v>
      </c>
      <c r="J132" s="5">
        <f ca="1">(TODAY()-staff[[#This Row],[Date Joined]])/365</f>
        <v>2.6630136986301371</v>
      </c>
      <c r="K132" s="19">
        <f ca="1">ROUNDUP(IF(staff[[#This Row],[Tenure]]&gt;2, 3%, 2%)*staff[[#This Row],[Salary]], 0)</f>
        <v>2885</v>
      </c>
      <c r="L132" s="19">
        <f>_xlfn.XLOOKUP(staff[[#This Row],[Rating]],Mapping!$B$2:$B$6, Mapping!$C$2:$C$6)</f>
        <v>3</v>
      </c>
      <c r="M132" s="5"/>
    </row>
    <row r="133" spans="2:13" x14ac:dyDescent="0.25">
      <c r="B133" s="3" t="s">
        <v>50</v>
      </c>
      <c r="C133" s="3" t="s">
        <v>15</v>
      </c>
      <c r="D133">
        <v>31</v>
      </c>
      <c r="E133" t="s">
        <v>16</v>
      </c>
      <c r="F133" s="4">
        <v>44724</v>
      </c>
      <c r="G133" s="3" t="s">
        <v>9</v>
      </c>
      <c r="H133" s="22">
        <v>103550</v>
      </c>
      <c r="I133" t="s">
        <v>207</v>
      </c>
      <c r="J133" s="5">
        <f ca="1">(TODAY()-staff[[#This Row],[Date Joined]])/365</f>
        <v>1.2</v>
      </c>
      <c r="K133" s="19">
        <f ca="1">ROUNDUP(IF(staff[[#This Row],[Tenure]]&gt;2, 3%, 2%)*staff[[#This Row],[Salary]], 0)</f>
        <v>2071</v>
      </c>
      <c r="L133" s="19">
        <f>_xlfn.XLOOKUP(staff[[#This Row],[Rating]],Mapping!$B$2:$B$6, Mapping!$C$2:$C$6)</f>
        <v>3</v>
      </c>
      <c r="M133" s="5"/>
    </row>
    <row r="134" spans="2:13" x14ac:dyDescent="0.25">
      <c r="B134" s="3" t="s">
        <v>14</v>
      </c>
      <c r="C134" s="3" t="s">
        <v>15</v>
      </c>
      <c r="D134">
        <v>31</v>
      </c>
      <c r="E134" t="s">
        <v>16</v>
      </c>
      <c r="F134" s="4">
        <v>44511</v>
      </c>
      <c r="G134" s="3" t="s">
        <v>12</v>
      </c>
      <c r="H134" s="22">
        <v>48950</v>
      </c>
      <c r="I134" t="s">
        <v>207</v>
      </c>
      <c r="J134" s="5">
        <f ca="1">(TODAY()-staff[[#This Row],[Date Joined]])/365</f>
        <v>1.7835616438356163</v>
      </c>
      <c r="K134" s="19">
        <f ca="1">ROUNDUP(IF(staff[[#This Row],[Tenure]]&gt;2, 3%, 2%)*staff[[#This Row],[Salary]], 0)</f>
        <v>979</v>
      </c>
      <c r="L134" s="19">
        <f>_xlfn.XLOOKUP(staff[[#This Row],[Rating]],Mapping!$B$2:$B$6, Mapping!$C$2:$C$6)</f>
        <v>3</v>
      </c>
      <c r="M134" s="5"/>
    </row>
    <row r="135" spans="2:13" x14ac:dyDescent="0.25">
      <c r="B135" s="3" t="s">
        <v>63</v>
      </c>
      <c r="C135" s="3" t="s">
        <v>15</v>
      </c>
      <c r="D135">
        <v>24</v>
      </c>
      <c r="E135" t="s">
        <v>24</v>
      </c>
      <c r="F135" s="4">
        <v>44436</v>
      </c>
      <c r="G135" s="3" t="s">
        <v>21</v>
      </c>
      <c r="H135" s="22">
        <v>52610</v>
      </c>
      <c r="I135" t="s">
        <v>207</v>
      </c>
      <c r="J135" s="5">
        <f ca="1">(TODAY()-staff[[#This Row],[Date Joined]])/365</f>
        <v>1.989041095890411</v>
      </c>
      <c r="K135" s="19">
        <f ca="1">ROUNDUP(IF(staff[[#This Row],[Tenure]]&gt;2, 3%, 2%)*staff[[#This Row],[Salary]], 0)</f>
        <v>1053</v>
      </c>
      <c r="L135" s="19">
        <f>_xlfn.XLOOKUP(staff[[#This Row],[Rating]],Mapping!$B$2:$B$6, Mapping!$C$2:$C$6)</f>
        <v>2</v>
      </c>
      <c r="M135" s="5"/>
    </row>
    <row r="136" spans="2:13" x14ac:dyDescent="0.25">
      <c r="B136" s="3" t="s">
        <v>72</v>
      </c>
      <c r="C136" s="3" t="s">
        <v>8</v>
      </c>
      <c r="D136">
        <v>36</v>
      </c>
      <c r="E136" t="s">
        <v>16</v>
      </c>
      <c r="F136" s="4">
        <v>44529</v>
      </c>
      <c r="G136" s="3" t="s">
        <v>9</v>
      </c>
      <c r="H136" s="22">
        <v>78390</v>
      </c>
      <c r="I136" t="s">
        <v>207</v>
      </c>
      <c r="J136" s="5">
        <f ca="1">(TODAY()-staff[[#This Row],[Date Joined]])/365</f>
        <v>1.7342465753424658</v>
      </c>
      <c r="K136" s="19">
        <f ca="1">ROUNDUP(IF(staff[[#This Row],[Tenure]]&gt;2, 3%, 2%)*staff[[#This Row],[Salary]], 0)</f>
        <v>1568</v>
      </c>
      <c r="L136" s="19">
        <f>_xlfn.XLOOKUP(staff[[#This Row],[Rating]],Mapping!$B$2:$B$6, Mapping!$C$2:$C$6)</f>
        <v>3</v>
      </c>
      <c r="M136" s="5"/>
    </row>
    <row r="137" spans="2:13" x14ac:dyDescent="0.25">
      <c r="B137" s="3" t="s">
        <v>88</v>
      </c>
      <c r="C137" s="3" t="s">
        <v>8</v>
      </c>
      <c r="D137">
        <v>33</v>
      </c>
      <c r="E137" t="s">
        <v>16</v>
      </c>
      <c r="F137" s="4">
        <v>44809</v>
      </c>
      <c r="G137" s="3" t="s">
        <v>21</v>
      </c>
      <c r="H137" s="22">
        <v>86570</v>
      </c>
      <c r="I137" t="s">
        <v>207</v>
      </c>
      <c r="J137" s="5">
        <f ca="1">(TODAY()-staff[[#This Row],[Date Joined]])/365</f>
        <v>0.9671232876712329</v>
      </c>
      <c r="K137" s="19">
        <f ca="1">ROUNDUP(IF(staff[[#This Row],[Tenure]]&gt;2, 3%, 2%)*staff[[#This Row],[Salary]], 0)</f>
        <v>1732</v>
      </c>
      <c r="L137" s="19">
        <f>_xlfn.XLOOKUP(staff[[#This Row],[Rating]],Mapping!$B$2:$B$6, Mapping!$C$2:$C$6)</f>
        <v>3</v>
      </c>
      <c r="M137" s="5"/>
    </row>
    <row r="138" spans="2:13" x14ac:dyDescent="0.25">
      <c r="B138" s="3" t="s">
        <v>92</v>
      </c>
      <c r="C138" s="3" t="s">
        <v>8</v>
      </c>
      <c r="D138">
        <v>27</v>
      </c>
      <c r="E138" t="s">
        <v>16</v>
      </c>
      <c r="F138" s="4">
        <v>44686</v>
      </c>
      <c r="G138" s="3" t="s">
        <v>12</v>
      </c>
      <c r="H138" s="22">
        <v>83750</v>
      </c>
      <c r="I138" t="s">
        <v>207</v>
      </c>
      <c r="J138" s="5">
        <f ca="1">(TODAY()-staff[[#This Row],[Date Joined]])/365</f>
        <v>1.3041095890410959</v>
      </c>
      <c r="K138" s="19">
        <f ca="1">ROUNDUP(IF(staff[[#This Row],[Tenure]]&gt;2, 3%, 2%)*staff[[#This Row],[Salary]], 0)</f>
        <v>1675</v>
      </c>
      <c r="L138" s="19">
        <f>_xlfn.XLOOKUP(staff[[#This Row],[Rating]],Mapping!$B$2:$B$6, Mapping!$C$2:$C$6)</f>
        <v>3</v>
      </c>
      <c r="M138" s="5"/>
    </row>
    <row r="139" spans="2:13" x14ac:dyDescent="0.25">
      <c r="B139" s="3" t="s">
        <v>102</v>
      </c>
      <c r="C139" s="3" t="s">
        <v>8</v>
      </c>
      <c r="D139">
        <v>34</v>
      </c>
      <c r="E139" t="s">
        <v>16</v>
      </c>
      <c r="F139" s="4">
        <v>44445</v>
      </c>
      <c r="G139" s="3" t="s">
        <v>21</v>
      </c>
      <c r="H139" s="22">
        <v>92450</v>
      </c>
      <c r="I139" t="s">
        <v>207</v>
      </c>
      <c r="J139" s="5">
        <f ca="1">(TODAY()-staff[[#This Row],[Date Joined]])/365</f>
        <v>1.9643835616438357</v>
      </c>
      <c r="K139" s="19">
        <f ca="1">ROUNDUP(IF(staff[[#This Row],[Tenure]]&gt;2, 3%, 2%)*staff[[#This Row],[Salary]], 0)</f>
        <v>1849</v>
      </c>
      <c r="L139" s="19">
        <f>_xlfn.XLOOKUP(staff[[#This Row],[Rating]],Mapping!$B$2:$B$6, Mapping!$C$2:$C$6)</f>
        <v>3</v>
      </c>
      <c r="M139" s="5"/>
    </row>
    <row r="140" spans="2:13" x14ac:dyDescent="0.25">
      <c r="B140" s="3" t="s">
        <v>64</v>
      </c>
      <c r="C140" s="3" t="s">
        <v>15</v>
      </c>
      <c r="D140">
        <v>20</v>
      </c>
      <c r="E140" t="s">
        <v>16</v>
      </c>
      <c r="F140" s="4">
        <v>44183</v>
      </c>
      <c r="G140" s="3" t="s">
        <v>12</v>
      </c>
      <c r="H140" s="22">
        <v>112650</v>
      </c>
      <c r="I140" t="s">
        <v>207</v>
      </c>
      <c r="J140" s="5">
        <f ca="1">(TODAY()-staff[[#This Row],[Date Joined]])/365</f>
        <v>2.6821917808219178</v>
      </c>
      <c r="K140" s="19">
        <f ca="1">ROUNDUP(IF(staff[[#This Row],[Tenure]]&gt;2, 3%, 2%)*staff[[#This Row],[Salary]], 0)</f>
        <v>3380</v>
      </c>
      <c r="L140" s="19">
        <f>_xlfn.XLOOKUP(staff[[#This Row],[Rating]],Mapping!$B$2:$B$6, Mapping!$C$2:$C$6)</f>
        <v>3</v>
      </c>
      <c r="M140" s="5"/>
    </row>
    <row r="141" spans="2:13" x14ac:dyDescent="0.25">
      <c r="B141" s="3" t="s">
        <v>104</v>
      </c>
      <c r="C141" s="3" t="s">
        <v>15</v>
      </c>
      <c r="D141">
        <v>20</v>
      </c>
      <c r="E141" t="s">
        <v>16</v>
      </c>
      <c r="F141" s="4">
        <v>44744</v>
      </c>
      <c r="G141" s="3" t="s">
        <v>9</v>
      </c>
      <c r="H141" s="22">
        <v>79570</v>
      </c>
      <c r="I141" t="s">
        <v>207</v>
      </c>
      <c r="J141" s="5">
        <f ca="1">(TODAY()-staff[[#This Row],[Date Joined]])/365</f>
        <v>1.1452054794520548</v>
      </c>
      <c r="K141" s="19">
        <f ca="1">ROUNDUP(IF(staff[[#This Row],[Tenure]]&gt;2, 3%, 2%)*staff[[#This Row],[Salary]], 0)</f>
        <v>1592</v>
      </c>
      <c r="L141" s="19">
        <f>_xlfn.XLOOKUP(staff[[#This Row],[Rating]],Mapping!$B$2:$B$6, Mapping!$C$2:$C$6)</f>
        <v>3</v>
      </c>
      <c r="M141" s="5"/>
    </row>
    <row r="142" spans="2:13" x14ac:dyDescent="0.25">
      <c r="B142" s="3" t="s">
        <v>91</v>
      </c>
      <c r="C142" s="3" t="s">
        <v>8</v>
      </c>
      <c r="D142">
        <v>20</v>
      </c>
      <c r="E142" t="s">
        <v>24</v>
      </c>
      <c r="F142" s="4">
        <v>44537</v>
      </c>
      <c r="G142" s="3" t="s">
        <v>19</v>
      </c>
      <c r="H142" s="22">
        <v>68900</v>
      </c>
      <c r="I142" t="s">
        <v>207</v>
      </c>
      <c r="J142" s="5">
        <f ca="1">(TODAY()-staff[[#This Row],[Date Joined]])/365</f>
        <v>1.7123287671232876</v>
      </c>
      <c r="K142" s="19">
        <f ca="1">ROUNDUP(IF(staff[[#This Row],[Tenure]]&gt;2, 3%, 2%)*staff[[#This Row],[Salary]], 0)</f>
        <v>1378</v>
      </c>
      <c r="L142" s="19">
        <f>_xlfn.XLOOKUP(staff[[#This Row],[Rating]],Mapping!$B$2:$B$6, Mapping!$C$2:$C$6)</f>
        <v>2</v>
      </c>
      <c r="M142" s="5"/>
    </row>
    <row r="143" spans="2:13" x14ac:dyDescent="0.25">
      <c r="B143" s="3" t="s">
        <v>39</v>
      </c>
      <c r="C143" s="3" t="s">
        <v>8</v>
      </c>
      <c r="D143">
        <v>25</v>
      </c>
      <c r="E143" t="s">
        <v>13</v>
      </c>
      <c r="F143" s="4">
        <v>44694</v>
      </c>
      <c r="G143" s="3" t="s">
        <v>12</v>
      </c>
      <c r="H143" s="22">
        <v>80700</v>
      </c>
      <c r="I143" t="s">
        <v>207</v>
      </c>
      <c r="J143" s="5">
        <f ca="1">(TODAY()-staff[[#This Row],[Date Joined]])/365</f>
        <v>1.2821917808219179</v>
      </c>
      <c r="K143" s="19">
        <f ca="1">ROUNDUP(IF(staff[[#This Row],[Tenure]]&gt;2, 3%, 2%)*staff[[#This Row],[Salary]], 0)</f>
        <v>1614</v>
      </c>
      <c r="L143" s="19">
        <f>_xlfn.XLOOKUP(staff[[#This Row],[Rating]],Mapping!$B$2:$B$6, Mapping!$C$2:$C$6)</f>
        <v>4</v>
      </c>
      <c r="M143" s="5"/>
    </row>
    <row r="144" spans="2:13" x14ac:dyDescent="0.25">
      <c r="B144" s="3" t="s">
        <v>100</v>
      </c>
      <c r="C144" s="3" t="s">
        <v>15</v>
      </c>
      <c r="D144">
        <v>19</v>
      </c>
      <c r="E144" t="s">
        <v>16</v>
      </c>
      <c r="F144" s="4">
        <v>44277</v>
      </c>
      <c r="G144" s="3" t="s">
        <v>9</v>
      </c>
      <c r="H144" s="22">
        <v>58960</v>
      </c>
      <c r="I144" t="s">
        <v>207</v>
      </c>
      <c r="J144" s="5">
        <f ca="1">(TODAY()-staff[[#This Row],[Date Joined]])/365</f>
        <v>2.4246575342465753</v>
      </c>
      <c r="K144" s="19">
        <f ca="1">ROUNDUP(IF(staff[[#This Row],[Tenure]]&gt;2, 3%, 2%)*staff[[#This Row],[Salary]], 0)</f>
        <v>1769</v>
      </c>
      <c r="L144" s="19">
        <f>_xlfn.XLOOKUP(staff[[#This Row],[Rating]],Mapping!$B$2:$B$6, Mapping!$C$2:$C$6)</f>
        <v>3</v>
      </c>
      <c r="M144" s="5"/>
    </row>
    <row r="145" spans="2:13" x14ac:dyDescent="0.25">
      <c r="B145" s="3" t="s">
        <v>106</v>
      </c>
      <c r="C145" s="3" t="s">
        <v>15</v>
      </c>
      <c r="D145">
        <v>36</v>
      </c>
      <c r="E145" t="s">
        <v>16</v>
      </c>
      <c r="F145" s="4">
        <v>44019</v>
      </c>
      <c r="G145" s="3" t="s">
        <v>12</v>
      </c>
      <c r="H145" s="22">
        <v>118840</v>
      </c>
      <c r="I145" t="s">
        <v>207</v>
      </c>
      <c r="J145" s="5">
        <f ca="1">(TODAY()-staff[[#This Row],[Date Joined]])/365</f>
        <v>3.1315068493150684</v>
      </c>
      <c r="K145" s="19">
        <f ca="1">ROUNDUP(IF(staff[[#This Row],[Tenure]]&gt;2, 3%, 2%)*staff[[#This Row],[Salary]], 0)</f>
        <v>3566</v>
      </c>
      <c r="L145" s="19">
        <f>_xlfn.XLOOKUP(staff[[#This Row],[Rating]],Mapping!$B$2:$B$6, Mapping!$C$2:$C$6)</f>
        <v>3</v>
      </c>
      <c r="M145" s="5"/>
    </row>
    <row r="146" spans="2:13" x14ac:dyDescent="0.25">
      <c r="B146" s="3" t="s">
        <v>29</v>
      </c>
      <c r="C146" s="3" t="s">
        <v>15</v>
      </c>
      <c r="D146">
        <v>28</v>
      </c>
      <c r="E146" t="s">
        <v>13</v>
      </c>
      <c r="F146" s="4">
        <v>44041</v>
      </c>
      <c r="G146" s="3" t="s">
        <v>21</v>
      </c>
      <c r="H146" s="22">
        <v>48170</v>
      </c>
      <c r="I146" t="s">
        <v>207</v>
      </c>
      <c r="J146" s="5">
        <f ca="1">(TODAY()-staff[[#This Row],[Date Joined]])/365</f>
        <v>3.0712328767123287</v>
      </c>
      <c r="K146" s="19">
        <f ca="1">ROUNDUP(IF(staff[[#This Row],[Tenure]]&gt;2, 3%, 2%)*staff[[#This Row],[Salary]], 0)</f>
        <v>1446</v>
      </c>
      <c r="L146" s="19">
        <f>_xlfn.XLOOKUP(staff[[#This Row],[Rating]],Mapping!$B$2:$B$6, Mapping!$C$2:$C$6)</f>
        <v>4</v>
      </c>
      <c r="M146" s="5"/>
    </row>
    <row r="147" spans="2:13" x14ac:dyDescent="0.25">
      <c r="B147" s="3" t="s">
        <v>108</v>
      </c>
      <c r="C147" s="3" t="s">
        <v>8</v>
      </c>
      <c r="D147">
        <v>32</v>
      </c>
      <c r="E147" t="s">
        <v>16</v>
      </c>
      <c r="F147" s="4">
        <v>44400</v>
      </c>
      <c r="G147" s="3" t="s">
        <v>56</v>
      </c>
      <c r="H147" s="22">
        <v>45510</v>
      </c>
      <c r="I147" t="s">
        <v>207</v>
      </c>
      <c r="J147" s="5">
        <f ca="1">(TODAY()-staff[[#This Row],[Date Joined]])/365</f>
        <v>2.0876712328767124</v>
      </c>
      <c r="K147" s="19">
        <f ca="1">ROUNDUP(IF(staff[[#This Row],[Tenure]]&gt;2, 3%, 2%)*staff[[#This Row],[Salary]], 0)</f>
        <v>1366</v>
      </c>
      <c r="L147" s="19">
        <f>_xlfn.XLOOKUP(staff[[#This Row],[Rating]],Mapping!$B$2:$B$6, Mapping!$C$2:$C$6)</f>
        <v>3</v>
      </c>
      <c r="M147" s="5"/>
    </row>
    <row r="148" spans="2:13" x14ac:dyDescent="0.25">
      <c r="B148" s="3" t="s">
        <v>83</v>
      </c>
      <c r="C148" s="3" t="s">
        <v>8</v>
      </c>
      <c r="D148">
        <v>36</v>
      </c>
      <c r="E148" t="s">
        <v>16</v>
      </c>
      <c r="F148" s="4">
        <v>44085</v>
      </c>
      <c r="G148" s="3" t="s">
        <v>9</v>
      </c>
      <c r="H148" s="22">
        <v>114890</v>
      </c>
      <c r="I148" t="s">
        <v>207</v>
      </c>
      <c r="J148" s="5">
        <f ca="1">(TODAY()-staff[[#This Row],[Date Joined]])/365</f>
        <v>2.9506849315068493</v>
      </c>
      <c r="K148" s="19">
        <f ca="1">ROUNDUP(IF(staff[[#This Row],[Tenure]]&gt;2, 3%, 2%)*staff[[#This Row],[Salary]], 0)</f>
        <v>3447</v>
      </c>
      <c r="L148" s="19">
        <f>_xlfn.XLOOKUP(staff[[#This Row],[Rating]],Mapping!$B$2:$B$6, Mapping!$C$2:$C$6)</f>
        <v>3</v>
      </c>
      <c r="M148" s="5"/>
    </row>
    <row r="149" spans="2:13" x14ac:dyDescent="0.25">
      <c r="B149" s="3" t="s">
        <v>67</v>
      </c>
      <c r="C149" s="3" t="s">
        <v>15</v>
      </c>
      <c r="D149">
        <v>30</v>
      </c>
      <c r="E149" t="s">
        <v>16</v>
      </c>
      <c r="F149" s="4">
        <v>44850</v>
      </c>
      <c r="G149" s="3" t="s">
        <v>12</v>
      </c>
      <c r="H149" s="22">
        <v>69710</v>
      </c>
      <c r="I149" t="s">
        <v>207</v>
      </c>
      <c r="J149" s="5">
        <f ca="1">(TODAY()-staff[[#This Row],[Date Joined]])/365</f>
        <v>0.85479452054794525</v>
      </c>
      <c r="K149" s="19">
        <f ca="1">ROUNDUP(IF(staff[[#This Row],[Tenure]]&gt;2, 3%, 2%)*staff[[#This Row],[Salary]], 0)</f>
        <v>1395</v>
      </c>
      <c r="L149" s="19">
        <f>_xlfn.XLOOKUP(staff[[#This Row],[Rating]],Mapping!$B$2:$B$6, Mapping!$C$2:$C$6)</f>
        <v>3</v>
      </c>
      <c r="M149" s="5"/>
    </row>
    <row r="150" spans="2:13" x14ac:dyDescent="0.25">
      <c r="B150" s="3" t="s">
        <v>94</v>
      </c>
      <c r="C150" s="3" t="s">
        <v>15</v>
      </c>
      <c r="D150">
        <v>36</v>
      </c>
      <c r="E150" t="s">
        <v>16</v>
      </c>
      <c r="F150" s="4">
        <v>44333</v>
      </c>
      <c r="G150" s="3" t="s">
        <v>21</v>
      </c>
      <c r="H150" s="22">
        <v>71380</v>
      </c>
      <c r="I150" t="s">
        <v>207</v>
      </c>
      <c r="J150" s="5">
        <f ca="1">(TODAY()-staff[[#This Row],[Date Joined]])/365</f>
        <v>2.2712328767123289</v>
      </c>
      <c r="K150" s="19">
        <f ca="1">ROUNDUP(IF(staff[[#This Row],[Tenure]]&gt;2, 3%, 2%)*staff[[#This Row],[Salary]], 0)</f>
        <v>2142</v>
      </c>
      <c r="L150" s="19">
        <f>_xlfn.XLOOKUP(staff[[#This Row],[Rating]],Mapping!$B$2:$B$6, Mapping!$C$2:$C$6)</f>
        <v>3</v>
      </c>
      <c r="M150" s="5"/>
    </row>
    <row r="151" spans="2:13" x14ac:dyDescent="0.25">
      <c r="B151" s="3" t="s">
        <v>33</v>
      </c>
      <c r="C151" s="3" t="s">
        <v>8</v>
      </c>
      <c r="D151">
        <v>38</v>
      </c>
      <c r="E151" t="s">
        <v>10</v>
      </c>
      <c r="F151" s="4">
        <v>44377</v>
      </c>
      <c r="G151" s="3" t="s">
        <v>19</v>
      </c>
      <c r="H151" s="22">
        <v>109160</v>
      </c>
      <c r="I151" t="s">
        <v>207</v>
      </c>
      <c r="J151" s="5">
        <f ca="1">(TODAY()-staff[[#This Row],[Date Joined]])/365</f>
        <v>2.1506849315068495</v>
      </c>
      <c r="K151" s="19">
        <f ca="1">ROUNDUP(IF(staff[[#This Row],[Tenure]]&gt;2, 3%, 2%)*staff[[#This Row],[Salary]], 0)</f>
        <v>3275</v>
      </c>
      <c r="L151" s="19">
        <f>_xlfn.XLOOKUP(staff[[#This Row],[Rating]],Mapping!$B$2:$B$6, Mapping!$C$2:$C$6)</f>
        <v>5</v>
      </c>
      <c r="M151" s="5"/>
    </row>
    <row r="152" spans="2:13" x14ac:dyDescent="0.25">
      <c r="B152" s="3" t="s">
        <v>98</v>
      </c>
      <c r="C152" s="3" t="s">
        <v>15</v>
      </c>
      <c r="D152">
        <v>27</v>
      </c>
      <c r="E152" t="s">
        <v>42</v>
      </c>
      <c r="F152" s="4">
        <v>44609</v>
      </c>
      <c r="G152" s="3" t="s">
        <v>9</v>
      </c>
      <c r="H152" s="22">
        <v>113280</v>
      </c>
      <c r="I152" t="s">
        <v>207</v>
      </c>
      <c r="J152" s="5">
        <f ca="1">(TODAY()-staff[[#This Row],[Date Joined]])/365</f>
        <v>1.515068493150685</v>
      </c>
      <c r="K152" s="19">
        <f ca="1">ROUNDUP(IF(staff[[#This Row],[Tenure]]&gt;2, 3%, 2%)*staff[[#This Row],[Salary]], 0)</f>
        <v>2266</v>
      </c>
      <c r="L152" s="19">
        <f>_xlfn.XLOOKUP(staff[[#This Row],[Rating]],Mapping!$B$2:$B$6, Mapping!$C$2:$C$6)</f>
        <v>1</v>
      </c>
      <c r="M152" s="5"/>
    </row>
    <row r="153" spans="2:13" x14ac:dyDescent="0.25">
      <c r="B153" s="3" t="s">
        <v>25</v>
      </c>
      <c r="C153" s="3" t="s">
        <v>15</v>
      </c>
      <c r="D153">
        <v>30</v>
      </c>
      <c r="E153" t="s">
        <v>16</v>
      </c>
      <c r="F153" s="4">
        <v>44273</v>
      </c>
      <c r="G153" s="3" t="s">
        <v>12</v>
      </c>
      <c r="H153" s="22">
        <v>69120</v>
      </c>
      <c r="I153" t="s">
        <v>207</v>
      </c>
      <c r="J153" s="5">
        <f ca="1">(TODAY()-staff[[#This Row],[Date Joined]])/365</f>
        <v>2.4356164383561643</v>
      </c>
      <c r="K153" s="19">
        <f ca="1">ROUNDUP(IF(staff[[#This Row],[Tenure]]&gt;2, 3%, 2%)*staff[[#This Row],[Salary]], 0)</f>
        <v>2074</v>
      </c>
      <c r="L153" s="19">
        <f>_xlfn.XLOOKUP(staff[[#This Row],[Rating]],Mapping!$B$2:$B$6, Mapping!$C$2:$C$6)</f>
        <v>3</v>
      </c>
      <c r="M153" s="5"/>
    </row>
    <row r="154" spans="2:13" x14ac:dyDescent="0.25">
      <c r="B154" s="3" t="s">
        <v>55</v>
      </c>
      <c r="C154" s="3" t="s">
        <v>8</v>
      </c>
      <c r="D154">
        <v>37</v>
      </c>
      <c r="E154" t="s">
        <v>16</v>
      </c>
      <c r="F154" s="4">
        <v>44451</v>
      </c>
      <c r="G154" s="3" t="s">
        <v>56</v>
      </c>
      <c r="H154" s="22">
        <v>118100</v>
      </c>
      <c r="I154" t="s">
        <v>207</v>
      </c>
      <c r="J154" s="5">
        <f ca="1">(TODAY()-staff[[#This Row],[Date Joined]])/365</f>
        <v>1.9479452054794522</v>
      </c>
      <c r="K154" s="19">
        <f ca="1">ROUNDUP(IF(staff[[#This Row],[Tenure]]&gt;2, 3%, 2%)*staff[[#This Row],[Salary]], 0)</f>
        <v>2362</v>
      </c>
      <c r="L154" s="19">
        <f>_xlfn.XLOOKUP(staff[[#This Row],[Rating]],Mapping!$B$2:$B$6, Mapping!$C$2:$C$6)</f>
        <v>3</v>
      </c>
      <c r="M154" s="5"/>
    </row>
    <row r="155" spans="2:13" x14ac:dyDescent="0.25">
      <c r="B155" s="3" t="s">
        <v>62</v>
      </c>
      <c r="C155" s="3" t="s">
        <v>8</v>
      </c>
      <c r="D155">
        <v>22</v>
      </c>
      <c r="E155" t="s">
        <v>13</v>
      </c>
      <c r="F155" s="4">
        <v>44450</v>
      </c>
      <c r="G155" s="3" t="s">
        <v>9</v>
      </c>
      <c r="H155" s="22">
        <v>76900</v>
      </c>
      <c r="I155" t="s">
        <v>207</v>
      </c>
      <c r="J155" s="5">
        <f ca="1">(TODAY()-staff[[#This Row],[Date Joined]])/365</f>
        <v>1.9506849315068493</v>
      </c>
      <c r="K155" s="19">
        <f ca="1">ROUNDUP(IF(staff[[#This Row],[Tenure]]&gt;2, 3%, 2%)*staff[[#This Row],[Salary]], 0)</f>
        <v>1538</v>
      </c>
      <c r="L155" s="19">
        <f>_xlfn.XLOOKUP(staff[[#This Row],[Rating]],Mapping!$B$2:$B$6, Mapping!$C$2:$C$6)</f>
        <v>4</v>
      </c>
      <c r="M155" s="5"/>
    </row>
    <row r="156" spans="2:13" x14ac:dyDescent="0.25">
      <c r="B156" s="3" t="s">
        <v>17</v>
      </c>
      <c r="C156" s="3" t="s">
        <v>8</v>
      </c>
      <c r="D156">
        <v>43</v>
      </c>
      <c r="E156" t="s">
        <v>16</v>
      </c>
      <c r="F156" s="4">
        <v>45045</v>
      </c>
      <c r="G156" s="3" t="s">
        <v>12</v>
      </c>
      <c r="H156" s="22">
        <v>114870</v>
      </c>
      <c r="I156" t="s">
        <v>207</v>
      </c>
      <c r="J156" s="5">
        <f ca="1">(TODAY()-staff[[#This Row],[Date Joined]])/365</f>
        <v>0.32054794520547947</v>
      </c>
      <c r="K156" s="19">
        <f ca="1">ROUNDUP(IF(staff[[#This Row],[Tenure]]&gt;2, 3%, 2%)*staff[[#This Row],[Salary]], 0)</f>
        <v>2298</v>
      </c>
      <c r="L156" s="19">
        <f>_xlfn.XLOOKUP(staff[[#This Row],[Rating]],Mapping!$B$2:$B$6, Mapping!$C$2:$C$6)</f>
        <v>3</v>
      </c>
      <c r="M156" s="5"/>
    </row>
    <row r="157" spans="2:13" x14ac:dyDescent="0.25">
      <c r="B157" s="3" t="s">
        <v>52</v>
      </c>
      <c r="C157" s="3" t="s">
        <v>206</v>
      </c>
      <c r="D157">
        <v>32</v>
      </c>
      <c r="E157" t="s">
        <v>16</v>
      </c>
      <c r="F157" s="4">
        <v>44774</v>
      </c>
      <c r="G157" s="3" t="s">
        <v>12</v>
      </c>
      <c r="H157" s="22">
        <v>91310</v>
      </c>
      <c r="I157" t="s">
        <v>207</v>
      </c>
      <c r="J157" s="5">
        <f ca="1">(TODAY()-staff[[#This Row],[Date Joined]])/365</f>
        <v>1.0630136986301371</v>
      </c>
      <c r="K157" s="19">
        <f ca="1">ROUNDUP(IF(staff[[#This Row],[Tenure]]&gt;2, 3%, 2%)*staff[[#This Row],[Salary]], 0)</f>
        <v>1827</v>
      </c>
      <c r="L157" s="19">
        <f>_xlfn.XLOOKUP(staff[[#This Row],[Rating]],Mapping!$B$2:$B$6, Mapping!$C$2:$C$6)</f>
        <v>3</v>
      </c>
      <c r="M157" s="5"/>
    </row>
    <row r="158" spans="2:13" x14ac:dyDescent="0.25">
      <c r="B158" s="3" t="s">
        <v>43</v>
      </c>
      <c r="C158" s="3" t="s">
        <v>8</v>
      </c>
      <c r="D158">
        <v>28</v>
      </c>
      <c r="E158" t="s">
        <v>16</v>
      </c>
      <c r="F158" s="4">
        <v>44486</v>
      </c>
      <c r="G158" s="3" t="s">
        <v>9</v>
      </c>
      <c r="H158" s="22">
        <v>104770</v>
      </c>
      <c r="I158" t="s">
        <v>207</v>
      </c>
      <c r="J158" s="5">
        <f ca="1">(TODAY()-staff[[#This Row],[Date Joined]])/365</f>
        <v>1.8520547945205479</v>
      </c>
      <c r="K158" s="19">
        <f ca="1">ROUNDUP(IF(staff[[#This Row],[Tenure]]&gt;2, 3%, 2%)*staff[[#This Row],[Salary]], 0)</f>
        <v>2096</v>
      </c>
      <c r="L158" s="19">
        <f>_xlfn.XLOOKUP(staff[[#This Row],[Rating]],Mapping!$B$2:$B$6, Mapping!$C$2:$C$6)</f>
        <v>3</v>
      </c>
      <c r="M158" s="5"/>
    </row>
    <row r="159" spans="2:13" x14ac:dyDescent="0.25">
      <c r="B159" s="3" t="s">
        <v>89</v>
      </c>
      <c r="C159" s="3" t="s">
        <v>15</v>
      </c>
      <c r="D159">
        <v>27</v>
      </c>
      <c r="E159" t="s">
        <v>16</v>
      </c>
      <c r="F159" s="4">
        <v>44134</v>
      </c>
      <c r="G159" s="3" t="s">
        <v>19</v>
      </c>
      <c r="H159" s="22">
        <v>54970</v>
      </c>
      <c r="I159" t="s">
        <v>207</v>
      </c>
      <c r="J159" s="5">
        <f ca="1">(TODAY()-staff[[#This Row],[Date Joined]])/365</f>
        <v>2.8164383561643835</v>
      </c>
      <c r="K159" s="19">
        <f ca="1">ROUNDUP(IF(staff[[#This Row],[Tenure]]&gt;2, 3%, 2%)*staff[[#This Row],[Salary]], 0)</f>
        <v>1650</v>
      </c>
      <c r="L159" s="19">
        <f>_xlfn.XLOOKUP(staff[[#This Row],[Rating]],Mapping!$B$2:$B$6, Mapping!$C$2:$C$6)</f>
        <v>3</v>
      </c>
      <c r="M159" s="5"/>
    </row>
    <row r="160" spans="2:13" x14ac:dyDescent="0.25">
      <c r="B160" s="3" t="s">
        <v>11</v>
      </c>
      <c r="C160" s="3" t="s">
        <v>206</v>
      </c>
      <c r="D160">
        <v>26</v>
      </c>
      <c r="E160" t="s">
        <v>13</v>
      </c>
      <c r="F160" s="4">
        <v>44271</v>
      </c>
      <c r="G160" s="3" t="s">
        <v>12</v>
      </c>
      <c r="H160" s="22">
        <v>90700</v>
      </c>
      <c r="I160" t="s">
        <v>207</v>
      </c>
      <c r="J160" s="5">
        <f ca="1">(TODAY()-staff[[#This Row],[Date Joined]])/365</f>
        <v>2.441095890410959</v>
      </c>
      <c r="K160" s="19">
        <f ca="1">ROUNDUP(IF(staff[[#This Row],[Tenure]]&gt;2, 3%, 2%)*staff[[#This Row],[Salary]], 0)</f>
        <v>2721</v>
      </c>
      <c r="L160" s="19">
        <f>_xlfn.XLOOKUP(staff[[#This Row],[Rating]],Mapping!$B$2:$B$6, Mapping!$C$2:$C$6)</f>
        <v>4</v>
      </c>
      <c r="M160" s="5"/>
    </row>
    <row r="161" spans="2:13" x14ac:dyDescent="0.25">
      <c r="B161" s="3" t="s">
        <v>109</v>
      </c>
      <c r="C161" s="3" t="s">
        <v>8</v>
      </c>
      <c r="D161">
        <v>38</v>
      </c>
      <c r="E161" t="s">
        <v>13</v>
      </c>
      <c r="F161" s="4">
        <v>44329</v>
      </c>
      <c r="G161" s="3" t="s">
        <v>19</v>
      </c>
      <c r="H161" s="22">
        <v>56870</v>
      </c>
      <c r="I161" t="s">
        <v>207</v>
      </c>
      <c r="J161" s="5">
        <f ca="1">(TODAY()-staff[[#This Row],[Date Joined]])/365</f>
        <v>2.2821917808219179</v>
      </c>
      <c r="K161" s="19">
        <f ca="1">ROUNDUP(IF(staff[[#This Row],[Tenure]]&gt;2, 3%, 2%)*staff[[#This Row],[Salary]], 0)</f>
        <v>1707</v>
      </c>
      <c r="L161" s="19">
        <f>_xlfn.XLOOKUP(staff[[#This Row],[Rating]],Mapping!$B$2:$B$6, Mapping!$C$2:$C$6)</f>
        <v>4</v>
      </c>
      <c r="M161" s="5"/>
    </row>
    <row r="162" spans="2:13" x14ac:dyDescent="0.25">
      <c r="B162" s="3" t="s">
        <v>77</v>
      </c>
      <c r="C162" s="3" t="s">
        <v>8</v>
      </c>
      <c r="D162">
        <v>25</v>
      </c>
      <c r="E162" t="s">
        <v>16</v>
      </c>
      <c r="F162" s="4">
        <v>44205</v>
      </c>
      <c r="G162" s="3" t="s">
        <v>19</v>
      </c>
      <c r="H162" s="22">
        <v>92700</v>
      </c>
      <c r="I162" t="s">
        <v>207</v>
      </c>
      <c r="J162" s="5">
        <f ca="1">(TODAY()-staff[[#This Row],[Date Joined]])/365</f>
        <v>2.6219178082191781</v>
      </c>
      <c r="K162" s="19">
        <f ca="1">ROUNDUP(IF(staff[[#This Row],[Tenure]]&gt;2, 3%, 2%)*staff[[#This Row],[Salary]], 0)</f>
        <v>2781</v>
      </c>
      <c r="L162" s="19">
        <f>_xlfn.XLOOKUP(staff[[#This Row],[Rating]],Mapping!$B$2:$B$6, Mapping!$C$2:$C$6)</f>
        <v>3</v>
      </c>
      <c r="M162" s="5"/>
    </row>
    <row r="163" spans="2:13" x14ac:dyDescent="0.25">
      <c r="B163" s="3" t="s">
        <v>32</v>
      </c>
      <c r="C163" s="3" t="s">
        <v>8</v>
      </c>
      <c r="D163">
        <v>21</v>
      </c>
      <c r="E163" t="s">
        <v>16</v>
      </c>
      <c r="F163" s="4">
        <v>44317</v>
      </c>
      <c r="G163" s="3" t="s">
        <v>21</v>
      </c>
      <c r="H163" s="22">
        <v>65920</v>
      </c>
      <c r="I163" t="s">
        <v>207</v>
      </c>
      <c r="J163" s="5">
        <f ca="1">(TODAY()-staff[[#This Row],[Date Joined]])/365</f>
        <v>2.3150684931506849</v>
      </c>
      <c r="K163" s="19">
        <f ca="1">ROUNDUP(IF(staff[[#This Row],[Tenure]]&gt;2, 3%, 2%)*staff[[#This Row],[Salary]], 0)</f>
        <v>1978</v>
      </c>
      <c r="L163" s="19">
        <f>_xlfn.XLOOKUP(staff[[#This Row],[Rating]],Mapping!$B$2:$B$6, Mapping!$C$2:$C$6)</f>
        <v>3</v>
      </c>
      <c r="M163" s="5"/>
    </row>
    <row r="164" spans="2:13" x14ac:dyDescent="0.25">
      <c r="B164" s="3" t="s">
        <v>59</v>
      </c>
      <c r="C164" s="3" t="s">
        <v>15</v>
      </c>
      <c r="D164">
        <v>26</v>
      </c>
      <c r="E164" t="s">
        <v>16</v>
      </c>
      <c r="F164" s="4">
        <v>44225</v>
      </c>
      <c r="G164" s="3" t="s">
        <v>9</v>
      </c>
      <c r="H164" s="22">
        <v>47360</v>
      </c>
      <c r="I164" t="s">
        <v>207</v>
      </c>
      <c r="J164" s="5">
        <f ca="1">(TODAY()-staff[[#This Row],[Date Joined]])/365</f>
        <v>2.5671232876712327</v>
      </c>
      <c r="K164" s="19">
        <f ca="1">ROUNDUP(IF(staff[[#This Row],[Tenure]]&gt;2, 3%, 2%)*staff[[#This Row],[Salary]], 0)</f>
        <v>1421</v>
      </c>
      <c r="L164" s="19">
        <f>_xlfn.XLOOKUP(staff[[#This Row],[Rating]],Mapping!$B$2:$B$6, Mapping!$C$2:$C$6)</f>
        <v>3</v>
      </c>
      <c r="M164" s="5"/>
    </row>
    <row r="165" spans="2:13" x14ac:dyDescent="0.25">
      <c r="B165" s="3" t="s">
        <v>37</v>
      </c>
      <c r="C165" s="3" t="s">
        <v>15</v>
      </c>
      <c r="D165">
        <v>30</v>
      </c>
      <c r="E165" t="s">
        <v>16</v>
      </c>
      <c r="F165" s="4">
        <v>44666</v>
      </c>
      <c r="G165" s="3" t="s">
        <v>9</v>
      </c>
      <c r="H165" s="22">
        <v>60570</v>
      </c>
      <c r="I165" t="s">
        <v>207</v>
      </c>
      <c r="J165" s="5">
        <f ca="1">(TODAY()-staff[[#This Row],[Date Joined]])/365</f>
        <v>1.3589041095890411</v>
      </c>
      <c r="K165" s="19">
        <f ca="1">ROUNDUP(IF(staff[[#This Row],[Tenure]]&gt;2, 3%, 2%)*staff[[#This Row],[Salary]], 0)</f>
        <v>1212</v>
      </c>
      <c r="L165" s="19">
        <f>_xlfn.XLOOKUP(staff[[#This Row],[Rating]],Mapping!$B$2:$B$6, Mapping!$C$2:$C$6)</f>
        <v>3</v>
      </c>
      <c r="M165" s="5"/>
    </row>
    <row r="166" spans="2:13" x14ac:dyDescent="0.25">
      <c r="B166" s="3" t="s">
        <v>96</v>
      </c>
      <c r="C166" s="3" t="s">
        <v>8</v>
      </c>
      <c r="D166">
        <v>28</v>
      </c>
      <c r="E166" t="s">
        <v>16</v>
      </c>
      <c r="F166" s="4">
        <v>44649</v>
      </c>
      <c r="G166" s="3" t="s">
        <v>9</v>
      </c>
      <c r="H166" s="22">
        <v>104120</v>
      </c>
      <c r="I166" t="s">
        <v>207</v>
      </c>
      <c r="J166" s="5">
        <f ca="1">(TODAY()-staff[[#This Row],[Date Joined]])/365</f>
        <v>1.4054794520547946</v>
      </c>
      <c r="K166" s="19">
        <f ca="1">ROUNDUP(IF(staff[[#This Row],[Tenure]]&gt;2, 3%, 2%)*staff[[#This Row],[Salary]], 0)</f>
        <v>2083</v>
      </c>
      <c r="L166" s="19">
        <f>_xlfn.XLOOKUP(staff[[#This Row],[Rating]],Mapping!$B$2:$B$6, Mapping!$C$2:$C$6)</f>
        <v>3</v>
      </c>
      <c r="M166" s="5"/>
    </row>
    <row r="167" spans="2:13" x14ac:dyDescent="0.25">
      <c r="B167" s="3" t="s">
        <v>23</v>
      </c>
      <c r="C167" s="3" t="s">
        <v>15</v>
      </c>
      <c r="D167">
        <v>37</v>
      </c>
      <c r="E167" t="s">
        <v>24</v>
      </c>
      <c r="F167" s="4">
        <v>44338</v>
      </c>
      <c r="G167" s="3" t="s">
        <v>12</v>
      </c>
      <c r="H167" s="22">
        <v>88050</v>
      </c>
      <c r="I167" t="s">
        <v>207</v>
      </c>
      <c r="J167" s="5">
        <f ca="1">(TODAY()-staff[[#This Row],[Date Joined]])/365</f>
        <v>2.2575342465753425</v>
      </c>
      <c r="K167" s="19">
        <f ca="1">ROUNDUP(IF(staff[[#This Row],[Tenure]]&gt;2, 3%, 2%)*staff[[#This Row],[Salary]], 0)</f>
        <v>2642</v>
      </c>
      <c r="L167" s="19">
        <f>_xlfn.XLOOKUP(staff[[#This Row],[Rating]],Mapping!$B$2:$B$6, Mapping!$C$2:$C$6)</f>
        <v>2</v>
      </c>
      <c r="M167" s="5"/>
    </row>
    <row r="168" spans="2:13" x14ac:dyDescent="0.25">
      <c r="B168" s="3" t="s">
        <v>103</v>
      </c>
      <c r="C168" s="3" t="s">
        <v>15</v>
      </c>
      <c r="D168">
        <v>24</v>
      </c>
      <c r="E168" t="s">
        <v>16</v>
      </c>
      <c r="F168" s="4">
        <v>44686</v>
      </c>
      <c r="G168" s="3" t="s">
        <v>12</v>
      </c>
      <c r="H168" s="22">
        <v>100420</v>
      </c>
      <c r="I168" t="s">
        <v>207</v>
      </c>
      <c r="J168" s="5">
        <f ca="1">(TODAY()-staff[[#This Row],[Date Joined]])/365</f>
        <v>1.3041095890410959</v>
      </c>
      <c r="K168" s="19">
        <f ca="1">ROUNDUP(IF(staff[[#This Row],[Tenure]]&gt;2, 3%, 2%)*staff[[#This Row],[Salary]], 0)</f>
        <v>2009</v>
      </c>
      <c r="L168" s="19">
        <f>_xlfn.XLOOKUP(staff[[#This Row],[Rating]],Mapping!$B$2:$B$6, Mapping!$C$2:$C$6)</f>
        <v>3</v>
      </c>
      <c r="M168" s="5"/>
    </row>
    <row r="169" spans="2:13" x14ac:dyDescent="0.25">
      <c r="B169" s="3" t="s">
        <v>54</v>
      </c>
      <c r="C169" s="3" t="s">
        <v>8</v>
      </c>
      <c r="D169">
        <v>30</v>
      </c>
      <c r="E169" t="s">
        <v>16</v>
      </c>
      <c r="F169" s="4">
        <v>44850</v>
      </c>
      <c r="G169" s="3" t="s">
        <v>9</v>
      </c>
      <c r="H169" s="22">
        <v>114180</v>
      </c>
      <c r="I169" t="s">
        <v>207</v>
      </c>
      <c r="J169" s="5">
        <f ca="1">(TODAY()-staff[[#This Row],[Date Joined]])/365</f>
        <v>0.85479452054794525</v>
      </c>
      <c r="K169" s="19">
        <f ca="1">ROUNDUP(IF(staff[[#This Row],[Tenure]]&gt;2, 3%, 2%)*staff[[#This Row],[Salary]], 0)</f>
        <v>2284</v>
      </c>
      <c r="L169" s="19">
        <f>_xlfn.XLOOKUP(staff[[#This Row],[Rating]],Mapping!$B$2:$B$6, Mapping!$C$2:$C$6)</f>
        <v>3</v>
      </c>
      <c r="M169" s="5"/>
    </row>
    <row r="170" spans="2:13" x14ac:dyDescent="0.25">
      <c r="B170" s="3" t="s">
        <v>86</v>
      </c>
      <c r="C170" s="3" t="s">
        <v>8</v>
      </c>
      <c r="D170">
        <v>21</v>
      </c>
      <c r="E170" t="s">
        <v>16</v>
      </c>
      <c r="F170" s="4">
        <v>44678</v>
      </c>
      <c r="G170" s="3" t="s">
        <v>12</v>
      </c>
      <c r="H170" s="22">
        <v>33920</v>
      </c>
      <c r="I170" t="s">
        <v>207</v>
      </c>
      <c r="J170" s="5">
        <f ca="1">(TODAY()-staff[[#This Row],[Date Joined]])/365</f>
        <v>1.3260273972602741</v>
      </c>
      <c r="K170" s="19">
        <f ca="1">ROUNDUP(IF(staff[[#This Row],[Tenure]]&gt;2, 3%, 2%)*staff[[#This Row],[Salary]], 0)</f>
        <v>679</v>
      </c>
      <c r="L170" s="19">
        <f>_xlfn.XLOOKUP(staff[[#This Row],[Rating]],Mapping!$B$2:$B$6, Mapping!$C$2:$C$6)</f>
        <v>3</v>
      </c>
      <c r="M170" s="5"/>
    </row>
    <row r="171" spans="2:13" x14ac:dyDescent="0.25">
      <c r="B171" s="3" t="s">
        <v>69</v>
      </c>
      <c r="C171" s="3" t="s">
        <v>15</v>
      </c>
      <c r="D171">
        <v>23</v>
      </c>
      <c r="E171" t="s">
        <v>16</v>
      </c>
      <c r="F171" s="4">
        <v>44440</v>
      </c>
      <c r="G171" s="3" t="s">
        <v>9</v>
      </c>
      <c r="H171" s="22">
        <v>106460</v>
      </c>
      <c r="I171" t="s">
        <v>207</v>
      </c>
      <c r="J171" s="5">
        <f ca="1">(TODAY()-staff[[#This Row],[Date Joined]])/365</f>
        <v>1.978082191780822</v>
      </c>
      <c r="K171" s="19">
        <f ca="1">ROUNDUP(IF(staff[[#This Row],[Tenure]]&gt;2, 3%, 2%)*staff[[#This Row],[Salary]], 0)</f>
        <v>2130</v>
      </c>
      <c r="L171" s="19">
        <f>_xlfn.XLOOKUP(staff[[#This Row],[Rating]],Mapping!$B$2:$B$6, Mapping!$C$2:$C$6)</f>
        <v>3</v>
      </c>
      <c r="M171" s="5"/>
    </row>
    <row r="172" spans="2:13" x14ac:dyDescent="0.25">
      <c r="B172" s="3" t="s">
        <v>57</v>
      </c>
      <c r="C172" s="3" t="s">
        <v>15</v>
      </c>
      <c r="D172">
        <v>35</v>
      </c>
      <c r="E172" t="s">
        <v>16</v>
      </c>
      <c r="F172" s="4">
        <v>44727</v>
      </c>
      <c r="G172" s="3" t="s">
        <v>9</v>
      </c>
      <c r="H172" s="22">
        <v>40400</v>
      </c>
      <c r="I172" t="s">
        <v>207</v>
      </c>
      <c r="J172" s="5">
        <f ca="1">(TODAY()-staff[[#This Row],[Date Joined]])/365</f>
        <v>1.1917808219178083</v>
      </c>
      <c r="K172" s="19">
        <f ca="1">ROUNDUP(IF(staff[[#This Row],[Tenure]]&gt;2, 3%, 2%)*staff[[#This Row],[Salary]], 0)</f>
        <v>808</v>
      </c>
      <c r="L172" s="19">
        <f>_xlfn.XLOOKUP(staff[[#This Row],[Rating]],Mapping!$B$2:$B$6, Mapping!$C$2:$C$6)</f>
        <v>3</v>
      </c>
      <c r="M172" s="5"/>
    </row>
    <row r="173" spans="2:13" x14ac:dyDescent="0.25">
      <c r="B173" s="3" t="s">
        <v>68</v>
      </c>
      <c r="C173" s="3" t="s">
        <v>15</v>
      </c>
      <c r="D173">
        <v>27</v>
      </c>
      <c r="E173" t="s">
        <v>13</v>
      </c>
      <c r="F173" s="4">
        <v>44236</v>
      </c>
      <c r="G173" s="3" t="s">
        <v>21</v>
      </c>
      <c r="H173" s="22">
        <v>91650</v>
      </c>
      <c r="I173" t="s">
        <v>207</v>
      </c>
      <c r="J173" s="5">
        <f ca="1">(TODAY()-staff[[#This Row],[Date Joined]])/365</f>
        <v>2.536986301369863</v>
      </c>
      <c r="K173" s="19">
        <f ca="1">ROUNDUP(IF(staff[[#This Row],[Tenure]]&gt;2, 3%, 2%)*staff[[#This Row],[Salary]], 0)</f>
        <v>2750</v>
      </c>
      <c r="L173" s="19">
        <f>_xlfn.XLOOKUP(staff[[#This Row],[Rating]],Mapping!$B$2:$B$6, Mapping!$C$2:$C$6)</f>
        <v>4</v>
      </c>
      <c r="M173" s="5"/>
    </row>
    <row r="174" spans="2:13" x14ac:dyDescent="0.25">
      <c r="B174" s="3" t="s">
        <v>99</v>
      </c>
      <c r="C174" s="3" t="s">
        <v>15</v>
      </c>
      <c r="D174">
        <v>43</v>
      </c>
      <c r="E174" t="s">
        <v>16</v>
      </c>
      <c r="F174" s="4">
        <v>44620</v>
      </c>
      <c r="G174" s="3" t="s">
        <v>19</v>
      </c>
      <c r="H174" s="22">
        <v>36040</v>
      </c>
      <c r="I174" t="s">
        <v>207</v>
      </c>
      <c r="J174" s="5">
        <f ca="1">(TODAY()-staff[[#This Row],[Date Joined]])/365</f>
        <v>1.484931506849315</v>
      </c>
      <c r="K174" s="19">
        <f ca="1">ROUNDUP(IF(staff[[#This Row],[Tenure]]&gt;2, 3%, 2%)*staff[[#This Row],[Salary]], 0)</f>
        <v>721</v>
      </c>
      <c r="L174" s="19">
        <f>_xlfn.XLOOKUP(staff[[#This Row],[Rating]],Mapping!$B$2:$B$6, Mapping!$C$2:$C$6)</f>
        <v>3</v>
      </c>
      <c r="M174" s="5"/>
    </row>
    <row r="175" spans="2:13" x14ac:dyDescent="0.25">
      <c r="B175" s="3" t="s">
        <v>101</v>
      </c>
      <c r="C175" s="3" t="s">
        <v>8</v>
      </c>
      <c r="D175">
        <v>40</v>
      </c>
      <c r="E175" t="s">
        <v>16</v>
      </c>
      <c r="F175" s="4">
        <v>44381</v>
      </c>
      <c r="G175" s="3" t="s">
        <v>12</v>
      </c>
      <c r="H175" s="22">
        <v>104410</v>
      </c>
      <c r="I175" t="s">
        <v>207</v>
      </c>
      <c r="J175" s="5">
        <f ca="1">(TODAY()-staff[[#This Row],[Date Joined]])/365</f>
        <v>2.1397260273972605</v>
      </c>
      <c r="K175" s="19">
        <f ca="1">ROUNDUP(IF(staff[[#This Row],[Tenure]]&gt;2, 3%, 2%)*staff[[#This Row],[Salary]], 0)</f>
        <v>3133</v>
      </c>
      <c r="L175" s="19">
        <f>_xlfn.XLOOKUP(staff[[#This Row],[Rating]],Mapping!$B$2:$B$6, Mapping!$C$2:$C$6)</f>
        <v>3</v>
      </c>
      <c r="M175" s="5"/>
    </row>
    <row r="176" spans="2:13" x14ac:dyDescent="0.25">
      <c r="B176" s="3" t="s">
        <v>85</v>
      </c>
      <c r="C176" s="3" t="s">
        <v>15</v>
      </c>
      <c r="D176">
        <v>30</v>
      </c>
      <c r="E176" t="s">
        <v>16</v>
      </c>
      <c r="F176" s="4">
        <v>44606</v>
      </c>
      <c r="G176" s="3" t="s">
        <v>21</v>
      </c>
      <c r="H176" s="22">
        <v>96800</v>
      </c>
      <c r="I176" t="s">
        <v>207</v>
      </c>
      <c r="J176" s="5">
        <f ca="1">(TODAY()-staff[[#This Row],[Date Joined]])/365</f>
        <v>1.5232876712328767</v>
      </c>
      <c r="K176" s="19">
        <f ca="1">ROUNDUP(IF(staff[[#This Row],[Tenure]]&gt;2, 3%, 2%)*staff[[#This Row],[Salary]], 0)</f>
        <v>1936</v>
      </c>
      <c r="L176" s="19">
        <f>_xlfn.XLOOKUP(staff[[#This Row],[Rating]],Mapping!$B$2:$B$6, Mapping!$C$2:$C$6)</f>
        <v>3</v>
      </c>
      <c r="M176" s="5"/>
    </row>
    <row r="177" spans="2:13" x14ac:dyDescent="0.25">
      <c r="B177" s="3" t="s">
        <v>28</v>
      </c>
      <c r="C177" s="3" t="s">
        <v>8</v>
      </c>
      <c r="D177">
        <v>34</v>
      </c>
      <c r="E177" t="s">
        <v>16</v>
      </c>
      <c r="F177" s="4">
        <v>44459</v>
      </c>
      <c r="G177" s="3" t="s">
        <v>21</v>
      </c>
      <c r="H177" s="22">
        <v>85000</v>
      </c>
      <c r="I177" t="s">
        <v>207</v>
      </c>
      <c r="J177" s="5">
        <f ca="1">(TODAY()-staff[[#This Row],[Date Joined]])/365</f>
        <v>1.9260273972602739</v>
      </c>
      <c r="K177" s="19">
        <f ca="1">ROUNDUP(IF(staff[[#This Row],[Tenure]]&gt;2, 3%, 2%)*staff[[#This Row],[Salary]], 0)</f>
        <v>1700</v>
      </c>
      <c r="L177" s="19">
        <f>_xlfn.XLOOKUP(staff[[#This Row],[Rating]],Mapping!$B$2:$B$6, Mapping!$C$2:$C$6)</f>
        <v>3</v>
      </c>
      <c r="M177" s="5"/>
    </row>
    <row r="178" spans="2:13" x14ac:dyDescent="0.25">
      <c r="B178" s="3" t="s">
        <v>80</v>
      </c>
      <c r="C178" s="3" t="s">
        <v>15</v>
      </c>
      <c r="D178">
        <v>28</v>
      </c>
      <c r="E178" t="s">
        <v>42</v>
      </c>
      <c r="F178" s="4">
        <v>44820</v>
      </c>
      <c r="G178" s="3" t="s">
        <v>19</v>
      </c>
      <c r="H178" s="22">
        <v>43510</v>
      </c>
      <c r="I178" t="s">
        <v>207</v>
      </c>
      <c r="J178" s="5">
        <f ca="1">(TODAY()-staff[[#This Row],[Date Joined]])/365</f>
        <v>0.93698630136986305</v>
      </c>
      <c r="K178" s="19">
        <f ca="1">ROUNDUP(IF(staff[[#This Row],[Tenure]]&gt;2, 3%, 2%)*staff[[#This Row],[Salary]], 0)</f>
        <v>871</v>
      </c>
      <c r="L178" s="19">
        <f>_xlfn.XLOOKUP(staff[[#This Row],[Rating]],Mapping!$B$2:$B$6, Mapping!$C$2:$C$6)</f>
        <v>1</v>
      </c>
      <c r="M178" s="5"/>
    </row>
    <row r="179" spans="2:13" x14ac:dyDescent="0.25">
      <c r="B179" s="3" t="s">
        <v>79</v>
      </c>
      <c r="C179" s="3" t="s">
        <v>15</v>
      </c>
      <c r="D179">
        <v>33</v>
      </c>
      <c r="E179" t="s">
        <v>16</v>
      </c>
      <c r="F179" s="4">
        <v>44243</v>
      </c>
      <c r="G179" s="3" t="s">
        <v>21</v>
      </c>
      <c r="H179" s="22">
        <v>59430</v>
      </c>
      <c r="I179" t="s">
        <v>207</v>
      </c>
      <c r="J179" s="5">
        <f ca="1">(TODAY()-staff[[#This Row],[Date Joined]])/365</f>
        <v>2.5178082191780824</v>
      </c>
      <c r="K179" s="19">
        <f ca="1">ROUNDUP(IF(staff[[#This Row],[Tenure]]&gt;2, 3%, 2%)*staff[[#This Row],[Salary]], 0)</f>
        <v>1783</v>
      </c>
      <c r="L179" s="19">
        <f>_xlfn.XLOOKUP(staff[[#This Row],[Rating]],Mapping!$B$2:$B$6, Mapping!$C$2:$C$6)</f>
        <v>3</v>
      </c>
      <c r="M179" s="5"/>
    </row>
    <row r="180" spans="2:13" x14ac:dyDescent="0.25">
      <c r="B180" s="3" t="s">
        <v>93</v>
      </c>
      <c r="C180" s="3" t="s">
        <v>8</v>
      </c>
      <c r="D180">
        <v>33</v>
      </c>
      <c r="E180" t="s">
        <v>16</v>
      </c>
      <c r="F180" s="4">
        <v>44067</v>
      </c>
      <c r="G180" s="3" t="s">
        <v>21</v>
      </c>
      <c r="H180" s="22">
        <v>65360</v>
      </c>
      <c r="I180" t="s">
        <v>207</v>
      </c>
      <c r="J180" s="5">
        <f ca="1">(TODAY()-staff[[#This Row],[Date Joined]])/365</f>
        <v>3</v>
      </c>
      <c r="K180" s="19">
        <f ca="1">ROUNDUP(IF(staff[[#This Row],[Tenure]]&gt;2, 3%, 2%)*staff[[#This Row],[Salary]], 0)</f>
        <v>1961</v>
      </c>
      <c r="L180" s="19">
        <f>_xlfn.XLOOKUP(staff[[#This Row],[Rating]],Mapping!$B$2:$B$6, Mapping!$C$2:$C$6)</f>
        <v>3</v>
      </c>
      <c r="M180" s="5"/>
    </row>
    <row r="181" spans="2:13" x14ac:dyDescent="0.25">
      <c r="B181" s="3" t="s">
        <v>66</v>
      </c>
      <c r="C181" s="3" t="s">
        <v>8</v>
      </c>
      <c r="D181">
        <v>32</v>
      </c>
      <c r="E181" t="s">
        <v>16</v>
      </c>
      <c r="F181" s="4">
        <v>44611</v>
      </c>
      <c r="G181" s="3" t="s">
        <v>9</v>
      </c>
      <c r="H181" s="22">
        <v>41570</v>
      </c>
      <c r="I181" t="s">
        <v>207</v>
      </c>
      <c r="J181" s="5">
        <f ca="1">(TODAY()-staff[[#This Row],[Date Joined]])/365</f>
        <v>1.5095890410958903</v>
      </c>
      <c r="K181" s="19">
        <f ca="1">ROUNDUP(IF(staff[[#This Row],[Tenure]]&gt;2, 3%, 2%)*staff[[#This Row],[Salary]], 0)</f>
        <v>832</v>
      </c>
      <c r="L181" s="19">
        <f>_xlfn.XLOOKUP(staff[[#This Row],[Rating]],Mapping!$B$2:$B$6, Mapping!$C$2:$C$6)</f>
        <v>3</v>
      </c>
      <c r="M181" s="5"/>
    </row>
    <row r="182" spans="2:13" x14ac:dyDescent="0.25">
      <c r="B182" s="3" t="s">
        <v>95</v>
      </c>
      <c r="C182" s="3" t="s">
        <v>8</v>
      </c>
      <c r="D182">
        <v>33</v>
      </c>
      <c r="E182" t="s">
        <v>16</v>
      </c>
      <c r="F182" s="4">
        <v>44312</v>
      </c>
      <c r="G182" s="3" t="s">
        <v>12</v>
      </c>
      <c r="H182" s="22">
        <v>75280</v>
      </c>
      <c r="I182" t="s">
        <v>207</v>
      </c>
      <c r="J182" s="5">
        <f ca="1">(TODAY()-staff[[#This Row],[Date Joined]])/365</f>
        <v>2.3287671232876712</v>
      </c>
      <c r="K182" s="19">
        <f ca="1">ROUNDUP(IF(staff[[#This Row],[Tenure]]&gt;2, 3%, 2%)*staff[[#This Row],[Salary]], 0)</f>
        <v>2259</v>
      </c>
      <c r="L182" s="19">
        <f>_xlfn.XLOOKUP(staff[[#This Row],[Rating]],Mapping!$B$2:$B$6, Mapping!$C$2:$C$6)</f>
        <v>3</v>
      </c>
      <c r="M182" s="5"/>
    </row>
    <row r="183" spans="2:13" x14ac:dyDescent="0.25">
      <c r="B183" s="3" t="s">
        <v>18</v>
      </c>
      <c r="C183" s="3" t="s">
        <v>15</v>
      </c>
      <c r="D183">
        <v>33</v>
      </c>
      <c r="E183" t="s">
        <v>16</v>
      </c>
      <c r="F183" s="4">
        <v>44385</v>
      </c>
      <c r="G183" s="3" t="s">
        <v>19</v>
      </c>
      <c r="H183" s="22">
        <v>74550</v>
      </c>
      <c r="I183" t="s">
        <v>207</v>
      </c>
      <c r="J183" s="5">
        <f ca="1">(TODAY()-staff[[#This Row],[Date Joined]])/365</f>
        <v>2.128767123287671</v>
      </c>
      <c r="K183" s="19">
        <f ca="1">ROUNDUP(IF(staff[[#This Row],[Tenure]]&gt;2, 3%, 2%)*staff[[#This Row],[Salary]], 0)</f>
        <v>2237</v>
      </c>
      <c r="L183" s="19">
        <f>_xlfn.XLOOKUP(staff[[#This Row],[Rating]],Mapping!$B$2:$B$6, Mapping!$C$2:$C$6)</f>
        <v>3</v>
      </c>
      <c r="M183" s="5"/>
    </row>
    <row r="184" spans="2:13" x14ac:dyDescent="0.25">
      <c r="B184" s="3" t="s">
        <v>45</v>
      </c>
      <c r="C184" s="3" t="s">
        <v>15</v>
      </c>
      <c r="D184">
        <v>30</v>
      </c>
      <c r="E184" t="s">
        <v>16</v>
      </c>
      <c r="F184" s="4">
        <v>44701</v>
      </c>
      <c r="G184" s="3" t="s">
        <v>9</v>
      </c>
      <c r="H184" s="22">
        <v>67950</v>
      </c>
      <c r="I184" t="s">
        <v>207</v>
      </c>
      <c r="J184" s="5">
        <f ca="1">(TODAY()-staff[[#This Row],[Date Joined]])/365</f>
        <v>1.263013698630137</v>
      </c>
      <c r="K184" s="19">
        <f ca="1">ROUNDUP(IF(staff[[#This Row],[Tenure]]&gt;2, 3%, 2%)*staff[[#This Row],[Salary]], 0)</f>
        <v>1359</v>
      </c>
      <c r="L184" s="19">
        <f>_xlfn.XLOOKUP(staff[[#This Row],[Rating]],Mapping!$B$2:$B$6, Mapping!$C$2:$C$6)</f>
        <v>3</v>
      </c>
      <c r="M184" s="5"/>
    </row>
    <row r="185" spans="2:13" x14ac:dyDescent="0.25">
      <c r="B185" s="3" t="s">
        <v>90</v>
      </c>
      <c r="C185" s="3" t="s">
        <v>15</v>
      </c>
      <c r="D185">
        <v>42</v>
      </c>
      <c r="E185" t="s">
        <v>24</v>
      </c>
      <c r="F185" s="4">
        <v>44731</v>
      </c>
      <c r="G185" s="3" t="s">
        <v>21</v>
      </c>
      <c r="H185" s="22">
        <v>70270</v>
      </c>
      <c r="I185" t="s">
        <v>207</v>
      </c>
      <c r="J185" s="5">
        <f ca="1">(TODAY()-staff[[#This Row],[Date Joined]])/365</f>
        <v>1.1808219178082191</v>
      </c>
      <c r="K185" s="19">
        <f ca="1">ROUNDUP(IF(staff[[#This Row],[Tenure]]&gt;2, 3%, 2%)*staff[[#This Row],[Salary]], 0)</f>
        <v>1406</v>
      </c>
      <c r="L185" s="19">
        <f>_xlfn.XLOOKUP(staff[[#This Row],[Rating]],Mapping!$B$2:$B$6, Mapping!$C$2:$C$6)</f>
        <v>2</v>
      </c>
      <c r="M185" s="5"/>
    </row>
    <row r="186" spans="2:13" x14ac:dyDescent="0.25">
      <c r="B186" s="3" t="s">
        <v>46</v>
      </c>
      <c r="C186" s="3" t="s">
        <v>15</v>
      </c>
      <c r="D186">
        <v>26</v>
      </c>
      <c r="E186" t="s">
        <v>16</v>
      </c>
      <c r="F186" s="4">
        <v>44411</v>
      </c>
      <c r="G186" s="3" t="s">
        <v>9</v>
      </c>
      <c r="H186" s="22">
        <v>53540</v>
      </c>
      <c r="I186" t="s">
        <v>207</v>
      </c>
      <c r="J186" s="5">
        <f ca="1">(TODAY()-staff[[#This Row],[Date Joined]])/365</f>
        <v>2.0575342465753423</v>
      </c>
      <c r="K186" s="19">
        <f ca="1">ROUNDUP(IF(staff[[#This Row],[Tenure]]&gt;2, 3%, 2%)*staff[[#This Row],[Salary]], 0)</f>
        <v>1607</v>
      </c>
      <c r="L186" s="19">
        <f>_xlfn.XLOOKUP(staff[[#This Row],[Rating]],Mapping!$B$2:$B$6, Mapping!$C$2:$C$6)</f>
        <v>3</v>
      </c>
      <c r="M186" s="5"/>
    </row>
  </sheetData>
  <conditionalFormatting sqref="H4:H186">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63FEB-6093-48AD-B02E-7AE0F41F7466}">
  <sheetPr>
    <tabColor theme="9" tint="-0.249977111117893"/>
  </sheetPr>
  <dimension ref="B2:J32"/>
  <sheetViews>
    <sheetView workbookViewId="0">
      <selection activeCell="K34" sqref="K34"/>
    </sheetView>
  </sheetViews>
  <sheetFormatPr defaultRowHeight="15" x14ac:dyDescent="0.25"/>
  <cols>
    <col min="2" max="2" width="30" bestFit="1" customWidth="1"/>
    <col min="4" max="4" width="18.140625" customWidth="1"/>
  </cols>
  <sheetData>
    <row r="2" spans="2:4" ht="21" x14ac:dyDescent="0.35">
      <c r="B2" s="7">
        <v>3</v>
      </c>
      <c r="C2" t="s">
        <v>218</v>
      </c>
    </row>
    <row r="5" spans="2:4" ht="15.75" x14ac:dyDescent="0.25">
      <c r="B5" s="14" t="s">
        <v>219</v>
      </c>
      <c r="C5" s="15" t="s">
        <v>56</v>
      </c>
    </row>
    <row r="8" spans="2:4" ht="15.75" x14ac:dyDescent="0.25">
      <c r="B8" s="14" t="s">
        <v>220</v>
      </c>
      <c r="C8" s="16">
        <f>COUNTIFS(staff[Department], C5)</f>
        <v>8</v>
      </c>
    </row>
    <row r="12" spans="2:4" x14ac:dyDescent="0.25">
      <c r="B12" t="str" cm="1">
        <f t="array" aca="1" ref="B12:D19" ca="1">_xlfn._xlws.SORT(_xlfn.CHOOSECOLS(_xlfn._xlws.FILTER(staff[], staff[Department]='Info Finder'!C5), 1, 7, 4),2,-1)</f>
        <v>Anjushri Chandiramani</v>
      </c>
      <c r="C12">
        <f ca="1"/>
        <v>119110</v>
      </c>
      <c r="D12" t="str">
        <f ca="1"/>
        <v>Average</v>
      </c>
    </row>
    <row r="13" spans="2:4" x14ac:dyDescent="0.25">
      <c r="B13" t="str">
        <f ca="1"/>
        <v>Ewart Laphorn</v>
      </c>
      <c r="C13">
        <f ca="1"/>
        <v>119110</v>
      </c>
      <c r="D13" t="str">
        <f ca="1"/>
        <v>Average</v>
      </c>
    </row>
    <row r="14" spans="2:4" x14ac:dyDescent="0.25">
      <c r="B14" t="str">
        <f ca="1"/>
        <v>Kaishori Harathi Kateel</v>
      </c>
      <c r="C14">
        <f ca="1"/>
        <v>118100</v>
      </c>
      <c r="D14" t="str">
        <f ca="1"/>
        <v>Average</v>
      </c>
    </row>
    <row r="15" spans="2:4" x14ac:dyDescent="0.25">
      <c r="B15" t="str">
        <f ca="1"/>
        <v>Valentia Etteridge</v>
      </c>
      <c r="C15">
        <f ca="1"/>
        <v>118100</v>
      </c>
      <c r="D15" t="str">
        <f ca="1"/>
        <v>Average</v>
      </c>
    </row>
    <row r="16" spans="2:4" x14ac:dyDescent="0.25">
      <c r="B16" t="str">
        <f ca="1"/>
        <v>Sameer Shashank Sapra</v>
      </c>
      <c r="C16">
        <f ca="1"/>
        <v>75880</v>
      </c>
      <c r="D16" t="str">
        <f ca="1"/>
        <v>Average</v>
      </c>
    </row>
    <row r="17" spans="2:10" x14ac:dyDescent="0.25">
      <c r="B17" t="str">
        <f ca="1"/>
        <v>Shari McNee</v>
      </c>
      <c r="C17">
        <f ca="1"/>
        <v>75880</v>
      </c>
      <c r="D17" t="str">
        <f ca="1"/>
        <v>Average</v>
      </c>
    </row>
    <row r="18" spans="2:10" x14ac:dyDescent="0.25">
      <c r="B18" t="str">
        <f ca="1"/>
        <v>Madhavdas Buhpathi</v>
      </c>
      <c r="C18">
        <f ca="1"/>
        <v>45510</v>
      </c>
      <c r="D18" t="str">
        <f ca="1"/>
        <v>Average</v>
      </c>
    </row>
    <row r="19" spans="2:10" x14ac:dyDescent="0.25">
      <c r="B19" t="str">
        <f ca="1"/>
        <v>Florinda Crace</v>
      </c>
      <c r="C19">
        <f ca="1"/>
        <v>45510</v>
      </c>
      <c r="D19" t="str">
        <f ca="1"/>
        <v>Average</v>
      </c>
    </row>
    <row r="32" spans="2:10" x14ac:dyDescent="0.25">
      <c r="J32" t="s">
        <v>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5DE1F-D40C-4E52-A363-3915E5BC3C89}">
  <dimension ref="A1"/>
  <sheetViews>
    <sheetView workbookViewId="0">
      <selection activeCell="W13" sqref="W13"/>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B4238-9BB2-4904-B6F0-143D0CBD2B27}">
  <sheetPr>
    <tabColor theme="9" tint="0.59999389629810485"/>
  </sheetPr>
  <dimension ref="B2:D12"/>
  <sheetViews>
    <sheetView workbookViewId="0">
      <selection activeCell="N36" sqref="N36"/>
    </sheetView>
  </sheetViews>
  <sheetFormatPr defaultRowHeight="15" x14ac:dyDescent="0.25"/>
  <cols>
    <col min="2" max="2" width="17.5703125" bestFit="1" customWidth="1"/>
    <col min="3" max="3" width="16.28515625" bestFit="1" customWidth="1"/>
    <col min="4" max="4" width="6" bestFit="1" customWidth="1"/>
    <col min="5" max="6" width="12" bestFit="1" customWidth="1"/>
    <col min="7" max="7" width="16.28515625" bestFit="1" customWidth="1"/>
    <col min="8" max="8" width="19.42578125" bestFit="1" customWidth="1"/>
    <col min="9" max="9" width="19.5703125" bestFit="1" customWidth="1"/>
  </cols>
  <sheetData>
    <row r="2" spans="2:4" ht="21" x14ac:dyDescent="0.35">
      <c r="B2" s="21">
        <v>4</v>
      </c>
      <c r="C2" t="s">
        <v>222</v>
      </c>
    </row>
    <row r="7" spans="2:4" x14ac:dyDescent="0.25">
      <c r="C7" s="17" t="s">
        <v>225</v>
      </c>
    </row>
    <row r="8" spans="2:4" x14ac:dyDescent="0.25">
      <c r="B8" s="17" t="s">
        <v>228</v>
      </c>
      <c r="C8" t="s">
        <v>8</v>
      </c>
      <c r="D8" t="s">
        <v>15</v>
      </c>
    </row>
    <row r="9" spans="2:4" x14ac:dyDescent="0.25">
      <c r="B9" s="9" t="s">
        <v>226</v>
      </c>
      <c r="C9" s="3">
        <v>43</v>
      </c>
      <c r="D9" s="3">
        <v>45</v>
      </c>
    </row>
    <row r="10" spans="2:4" x14ac:dyDescent="0.25">
      <c r="B10" s="9" t="s">
        <v>227</v>
      </c>
      <c r="C10" s="18">
        <v>31.418604651162791</v>
      </c>
      <c r="D10" s="18">
        <v>29.444444444444443</v>
      </c>
    </row>
    <row r="11" spans="2:4" x14ac:dyDescent="0.25">
      <c r="B11" s="9" t="s">
        <v>229</v>
      </c>
      <c r="C11" s="19">
        <v>78284.186046511633</v>
      </c>
      <c r="D11" s="19">
        <v>75334.444444444438</v>
      </c>
    </row>
    <row r="12" spans="2:4" x14ac:dyDescent="0.25">
      <c r="B12" s="9" t="s">
        <v>230</v>
      </c>
      <c r="C12" s="18">
        <v>2.0804077731761708</v>
      </c>
      <c r="D12" s="18">
        <v>2.0634398782343988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458E9-551E-482A-B3D7-1522B55F9D65}">
  <sheetPr>
    <tabColor theme="7" tint="0.59999389629810485"/>
  </sheetPr>
  <dimension ref="B3:D9"/>
  <sheetViews>
    <sheetView workbookViewId="0">
      <selection activeCell="M34" sqref="M34"/>
    </sheetView>
  </sheetViews>
  <sheetFormatPr defaultRowHeight="15" x14ac:dyDescent="0.25"/>
  <cols>
    <col min="2" max="2" width="19.28515625" bestFit="1" customWidth="1"/>
    <col min="3" max="3" width="20.28515625" bestFit="1" customWidth="1"/>
    <col min="4" max="4" width="23.42578125" bestFit="1" customWidth="1"/>
  </cols>
  <sheetData>
    <row r="3" spans="2:4" ht="21" x14ac:dyDescent="0.35">
      <c r="B3" s="27" t="s">
        <v>223</v>
      </c>
      <c r="C3" s="28" t="s">
        <v>226</v>
      </c>
      <c r="D3" s="28" t="s">
        <v>229</v>
      </c>
    </row>
    <row r="4" spans="2:4" ht="21" x14ac:dyDescent="0.35">
      <c r="B4" s="24" t="s">
        <v>10</v>
      </c>
      <c r="C4" s="25">
        <v>4</v>
      </c>
      <c r="D4" s="26">
        <v>92080</v>
      </c>
    </row>
    <row r="5" spans="2:4" ht="21" x14ac:dyDescent="0.35">
      <c r="B5" s="24" t="s">
        <v>13</v>
      </c>
      <c r="C5" s="25">
        <v>20</v>
      </c>
      <c r="D5" s="26">
        <v>75933</v>
      </c>
    </row>
    <row r="6" spans="2:4" ht="21" x14ac:dyDescent="0.35">
      <c r="B6" s="24" t="s">
        <v>16</v>
      </c>
      <c r="C6" s="25">
        <v>137</v>
      </c>
      <c r="D6" s="26">
        <v>76798.759124087592</v>
      </c>
    </row>
    <row r="7" spans="2:4" ht="21" x14ac:dyDescent="0.35">
      <c r="B7" s="24" t="s">
        <v>24</v>
      </c>
      <c r="C7" s="25">
        <v>16</v>
      </c>
      <c r="D7" s="26">
        <v>78115</v>
      </c>
    </row>
    <row r="8" spans="2:4" ht="21" x14ac:dyDescent="0.35">
      <c r="B8" s="24" t="s">
        <v>42</v>
      </c>
      <c r="C8" s="25">
        <v>6</v>
      </c>
      <c r="D8" s="26">
        <v>77423.333333333328</v>
      </c>
    </row>
    <row r="9" spans="2:4" ht="21" x14ac:dyDescent="0.35">
      <c r="B9" s="24" t="s">
        <v>224</v>
      </c>
      <c r="C9" s="25">
        <v>183</v>
      </c>
      <c r="D9" s="26">
        <v>77173.715846994543</v>
      </c>
    </row>
  </sheetData>
  <conditionalFormatting pivot="1" sqref="D4:D8">
    <cfRule type="dataBar" priority="1">
      <dataBar>
        <cfvo type="min"/>
        <cfvo type="max"/>
        <color rgb="FF638EC6"/>
      </dataBar>
      <extLst>
        <ext xmlns:x14="http://schemas.microsoft.com/office/spreadsheetml/2009/9/main" uri="{B025F937-C7B1-47D3-B67F-A62EFF666E3E}">
          <x14:id>{EB0AA12F-12E5-4CF2-A5AA-D57411E4FFDF}</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B0AA12F-12E5-4CF2-A5AA-D57411E4FFDF}">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F343B-4BD7-4679-9A8D-D9593671A54F}">
  <sheetPr>
    <tabColor theme="2" tint="-0.499984740745262"/>
  </sheetPr>
  <dimension ref="B2:C6"/>
  <sheetViews>
    <sheetView workbookViewId="0">
      <selection activeCell="P34" sqref="P34"/>
    </sheetView>
  </sheetViews>
  <sheetFormatPr defaultRowHeight="15" x14ac:dyDescent="0.25"/>
  <cols>
    <col min="2" max="2" width="14.42578125" customWidth="1"/>
  </cols>
  <sheetData>
    <row r="2" spans="2:3" x14ac:dyDescent="0.25">
      <c r="B2" s="10" t="s">
        <v>10</v>
      </c>
      <c r="C2" s="10">
        <v>5</v>
      </c>
    </row>
    <row r="3" spans="2:3" x14ac:dyDescent="0.25">
      <c r="B3" s="10" t="s">
        <v>13</v>
      </c>
      <c r="C3" s="10">
        <v>4</v>
      </c>
    </row>
    <row r="4" spans="2:3" x14ac:dyDescent="0.25">
      <c r="B4" s="10" t="s">
        <v>16</v>
      </c>
      <c r="C4" s="10">
        <v>3</v>
      </c>
    </row>
    <row r="5" spans="2:3" x14ac:dyDescent="0.25">
      <c r="B5" s="10" t="s">
        <v>24</v>
      </c>
      <c r="C5" s="10">
        <v>2</v>
      </c>
    </row>
    <row r="6" spans="2:3" x14ac:dyDescent="0.25">
      <c r="B6" s="10" t="s">
        <v>42</v>
      </c>
      <c r="C6" s="1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38F3C-0E66-4BFB-9871-125F25E0E9F7}">
  <sheetPr>
    <tabColor theme="9" tint="-0.249977111117893"/>
  </sheetPr>
  <dimension ref="A1:S39"/>
  <sheetViews>
    <sheetView workbookViewId="0">
      <selection activeCell="A3" sqref="A3"/>
    </sheetView>
  </sheetViews>
  <sheetFormatPr defaultRowHeight="15" x14ac:dyDescent="0.25"/>
  <cols>
    <col min="1" max="1" width="13.140625" bestFit="1" customWidth="1"/>
    <col min="2" max="2" width="14.42578125" bestFit="1" customWidth="1"/>
    <col min="18" max="18" width="14.5703125" customWidth="1"/>
    <col min="19" max="19" width="16" customWidth="1"/>
  </cols>
  <sheetData>
    <row r="1" spans="1:19" x14ac:dyDescent="0.25">
      <c r="K1" t="s">
        <v>252</v>
      </c>
    </row>
    <row r="3" spans="1:19" ht="15.75" x14ac:dyDescent="0.25">
      <c r="A3" s="17" t="s">
        <v>223</v>
      </c>
      <c r="B3" t="s">
        <v>226</v>
      </c>
      <c r="P3" s="31"/>
      <c r="Q3" s="30" t="s">
        <v>249</v>
      </c>
      <c r="R3" s="30" t="s">
        <v>251</v>
      </c>
      <c r="S3" s="30" t="s">
        <v>250</v>
      </c>
    </row>
    <row r="4" spans="1:19" x14ac:dyDescent="0.25">
      <c r="A4" s="9" t="s">
        <v>233</v>
      </c>
      <c r="B4" s="3"/>
      <c r="P4" cm="1">
        <f t="array" ref="P4:P39">_xlfn.SEQUENCE(36)</f>
        <v>1</v>
      </c>
      <c r="Q4" s="29" cm="1">
        <f t="array" ref="Q4:Q39">EDATE(DATE(2020,4,1),_xlfn.ANCHORARRAY( P4)+0)</f>
        <v>43952</v>
      </c>
      <c r="R4">
        <f>COUNTIFS(staff[Date Joined], "&gt;="&amp;Q4, staff[Date Joined], "&lt;="&amp;EOMONTH(Q4, 0))</f>
        <v>3</v>
      </c>
      <c r="S4">
        <f>SUM($R$4:R4)</f>
        <v>3</v>
      </c>
    </row>
    <row r="5" spans="1:19" x14ac:dyDescent="0.25">
      <c r="A5" s="20" t="s">
        <v>234</v>
      </c>
      <c r="B5" s="3">
        <v>3</v>
      </c>
      <c r="P5">
        <v>2</v>
      </c>
      <c r="Q5" s="29">
        <v>43983</v>
      </c>
      <c r="R5">
        <f>COUNTIFS(staff[Date Joined], "&gt;="&amp;Q5, staff[Date Joined], "&lt;="&amp;EOMONTH(Q5, 0))</f>
        <v>1</v>
      </c>
      <c r="S5">
        <f>SUM($R$4:R5)</f>
        <v>4</v>
      </c>
    </row>
    <row r="6" spans="1:19" x14ac:dyDescent="0.25">
      <c r="A6" s="20" t="s">
        <v>235</v>
      </c>
      <c r="B6" s="3">
        <v>4</v>
      </c>
      <c r="P6">
        <v>3</v>
      </c>
      <c r="Q6" s="29">
        <v>44013</v>
      </c>
      <c r="R6">
        <f>COUNTIFS(staff[Date Joined], "&gt;="&amp;Q6, staff[Date Joined], "&lt;="&amp;EOMONTH(Q6, 0))</f>
        <v>5</v>
      </c>
      <c r="S6">
        <f>SUM($R$4:R6)</f>
        <v>9</v>
      </c>
    </row>
    <row r="7" spans="1:19" x14ac:dyDescent="0.25">
      <c r="A7" s="20" t="s">
        <v>236</v>
      </c>
      <c r="B7" s="3">
        <v>9</v>
      </c>
      <c r="P7">
        <v>4</v>
      </c>
      <c r="Q7" s="29">
        <v>44044</v>
      </c>
      <c r="R7">
        <f>COUNTIFS(staff[Date Joined], "&gt;="&amp;Q7, staff[Date Joined], "&lt;="&amp;EOMONTH(Q7, 0))</f>
        <v>3</v>
      </c>
      <c r="S7">
        <f>SUM($R$4:R7)</f>
        <v>12</v>
      </c>
    </row>
    <row r="8" spans="1:19" x14ac:dyDescent="0.25">
      <c r="A8" s="20" t="s">
        <v>237</v>
      </c>
      <c r="B8" s="3">
        <v>12</v>
      </c>
      <c r="P8">
        <v>5</v>
      </c>
      <c r="Q8" s="29">
        <v>44075</v>
      </c>
      <c r="R8">
        <f>COUNTIFS(staff[Date Joined], "&gt;="&amp;Q8, staff[Date Joined], "&lt;="&amp;EOMONTH(Q8, 0))</f>
        <v>6</v>
      </c>
      <c r="S8">
        <f>SUM($R$4:R8)</f>
        <v>18</v>
      </c>
    </row>
    <row r="9" spans="1:19" x14ac:dyDescent="0.25">
      <c r="A9" s="20" t="s">
        <v>238</v>
      </c>
      <c r="B9" s="3">
        <v>18</v>
      </c>
      <c r="P9">
        <v>6</v>
      </c>
      <c r="Q9" s="29">
        <v>44105</v>
      </c>
      <c r="R9">
        <f>COUNTIFS(staff[Date Joined], "&gt;="&amp;Q9, staff[Date Joined], "&lt;="&amp;EOMONTH(Q9, 0))</f>
        <v>6</v>
      </c>
      <c r="S9">
        <f>SUM($R$4:R9)</f>
        <v>24</v>
      </c>
    </row>
    <row r="10" spans="1:19" x14ac:dyDescent="0.25">
      <c r="A10" s="20" t="s">
        <v>239</v>
      </c>
      <c r="B10" s="3">
        <v>24</v>
      </c>
      <c r="P10">
        <v>7</v>
      </c>
      <c r="Q10" s="29">
        <v>44136</v>
      </c>
      <c r="R10">
        <f>COUNTIFS(staff[Date Joined], "&gt;="&amp;Q10, staff[Date Joined], "&lt;="&amp;EOMONTH(Q10, 0))</f>
        <v>6</v>
      </c>
      <c r="S10">
        <f>SUM($R$4:R10)</f>
        <v>30</v>
      </c>
    </row>
    <row r="11" spans="1:19" x14ac:dyDescent="0.25">
      <c r="A11" s="20" t="s">
        <v>240</v>
      </c>
      <c r="B11" s="3">
        <v>30</v>
      </c>
      <c r="P11">
        <v>8</v>
      </c>
      <c r="Q11" s="29">
        <v>44166</v>
      </c>
      <c r="R11">
        <f>COUNTIFS(staff[Date Joined], "&gt;="&amp;Q11, staff[Date Joined], "&lt;="&amp;EOMONTH(Q11, 0))</f>
        <v>7</v>
      </c>
      <c r="S11">
        <f>SUM($R$4:R11)</f>
        <v>37</v>
      </c>
    </row>
    <row r="12" spans="1:19" x14ac:dyDescent="0.25">
      <c r="A12" s="20" t="s">
        <v>241</v>
      </c>
      <c r="B12" s="3">
        <v>37</v>
      </c>
      <c r="P12">
        <v>9</v>
      </c>
      <c r="Q12" s="29">
        <v>44197</v>
      </c>
      <c r="R12">
        <f>COUNTIFS(staff[Date Joined], "&gt;="&amp;Q12, staff[Date Joined], "&lt;="&amp;EOMONTH(Q12, 0))</f>
        <v>6</v>
      </c>
      <c r="S12">
        <f>SUM($R$4:R12)</f>
        <v>43</v>
      </c>
    </row>
    <row r="13" spans="1:19" x14ac:dyDescent="0.25">
      <c r="A13" s="9" t="s">
        <v>242</v>
      </c>
      <c r="B13" s="3"/>
      <c r="P13">
        <v>10</v>
      </c>
      <c r="Q13" s="29">
        <v>44228</v>
      </c>
      <c r="R13">
        <f>COUNTIFS(staff[Date Joined], "&gt;="&amp;Q13, staff[Date Joined], "&lt;="&amp;EOMONTH(Q13, 0))</f>
        <v>4</v>
      </c>
      <c r="S13">
        <f>SUM($R$4:R13)</f>
        <v>47</v>
      </c>
    </row>
    <row r="14" spans="1:19" x14ac:dyDescent="0.25">
      <c r="A14" s="20" t="s">
        <v>243</v>
      </c>
      <c r="B14" s="3">
        <v>6</v>
      </c>
      <c r="P14">
        <v>11</v>
      </c>
      <c r="Q14" s="29">
        <v>44256</v>
      </c>
      <c r="R14">
        <f>COUNTIFS(staff[Date Joined], "&gt;="&amp;Q14, staff[Date Joined], "&lt;="&amp;EOMONTH(Q14, 0))</f>
        <v>9</v>
      </c>
      <c r="S14">
        <f>SUM($R$4:R14)</f>
        <v>56</v>
      </c>
    </row>
    <row r="15" spans="1:19" x14ac:dyDescent="0.25">
      <c r="A15" s="20" t="s">
        <v>244</v>
      </c>
      <c r="B15" s="3">
        <v>10</v>
      </c>
      <c r="P15">
        <v>12</v>
      </c>
      <c r="Q15" s="29">
        <v>44287</v>
      </c>
      <c r="R15">
        <f>COUNTIFS(staff[Date Joined], "&gt;="&amp;Q15, staff[Date Joined], "&lt;="&amp;EOMONTH(Q15, 0))</f>
        <v>5</v>
      </c>
      <c r="S15">
        <f>SUM($R$4:R15)</f>
        <v>61</v>
      </c>
    </row>
    <row r="16" spans="1:19" x14ac:dyDescent="0.25">
      <c r="A16" s="20" t="s">
        <v>245</v>
      </c>
      <c r="B16" s="3">
        <v>19</v>
      </c>
      <c r="P16">
        <v>13</v>
      </c>
      <c r="Q16" s="29">
        <v>44317</v>
      </c>
      <c r="R16">
        <f>COUNTIFS(staff[Date Joined], "&gt;="&amp;Q16, staff[Date Joined], "&lt;="&amp;EOMONTH(Q16, 0))</f>
        <v>10</v>
      </c>
      <c r="S16">
        <f>SUM($R$4:R16)</f>
        <v>71</v>
      </c>
    </row>
    <row r="17" spans="1:19" x14ac:dyDescent="0.25">
      <c r="A17" s="20" t="s">
        <v>246</v>
      </c>
      <c r="B17" s="3">
        <v>24</v>
      </c>
      <c r="P17">
        <v>14</v>
      </c>
      <c r="Q17" s="29">
        <v>44348</v>
      </c>
      <c r="R17">
        <f>COUNTIFS(staff[Date Joined], "&gt;="&amp;Q17, staff[Date Joined], "&lt;="&amp;EOMONTH(Q17, 0))</f>
        <v>6</v>
      </c>
      <c r="S17">
        <f>SUM($R$4:R17)</f>
        <v>77</v>
      </c>
    </row>
    <row r="18" spans="1:19" x14ac:dyDescent="0.25">
      <c r="A18" s="20" t="s">
        <v>234</v>
      </c>
      <c r="B18" s="3">
        <v>34</v>
      </c>
      <c r="P18">
        <v>15</v>
      </c>
      <c r="Q18" s="29">
        <v>44378</v>
      </c>
      <c r="R18">
        <f>COUNTIFS(staff[Date Joined], "&gt;="&amp;Q18, staff[Date Joined], "&lt;="&amp;EOMONTH(Q18, 0))</f>
        <v>13</v>
      </c>
      <c r="S18">
        <f>SUM($R$4:R18)</f>
        <v>90</v>
      </c>
    </row>
    <row r="19" spans="1:19" x14ac:dyDescent="0.25">
      <c r="A19" s="20" t="s">
        <v>235</v>
      </c>
      <c r="B19" s="3">
        <v>40</v>
      </c>
      <c r="P19">
        <v>16</v>
      </c>
      <c r="Q19" s="29">
        <v>44409</v>
      </c>
      <c r="R19">
        <f>COUNTIFS(staff[Date Joined], "&gt;="&amp;Q19, staff[Date Joined], "&lt;="&amp;EOMONTH(Q19, 0))</f>
        <v>4</v>
      </c>
      <c r="S19">
        <f>SUM($R$4:R19)</f>
        <v>94</v>
      </c>
    </row>
    <row r="20" spans="1:19" x14ac:dyDescent="0.25">
      <c r="A20" s="20" t="s">
        <v>236</v>
      </c>
      <c r="B20" s="3">
        <v>53</v>
      </c>
      <c r="P20">
        <v>17</v>
      </c>
      <c r="Q20" s="29">
        <v>44440</v>
      </c>
      <c r="R20">
        <f>COUNTIFS(staff[Date Joined], "&gt;="&amp;Q20, staff[Date Joined], "&lt;="&amp;EOMONTH(Q20, 0))</f>
        <v>11</v>
      </c>
      <c r="S20">
        <f>SUM($R$4:R20)</f>
        <v>105</v>
      </c>
    </row>
    <row r="21" spans="1:19" x14ac:dyDescent="0.25">
      <c r="A21" s="20" t="s">
        <v>237</v>
      </c>
      <c r="B21" s="3">
        <v>57</v>
      </c>
      <c r="P21">
        <v>18</v>
      </c>
      <c r="Q21" s="29">
        <v>44470</v>
      </c>
      <c r="R21">
        <f>COUNTIFS(staff[Date Joined], "&gt;="&amp;Q21, staff[Date Joined], "&lt;="&amp;EOMONTH(Q21, 0))</f>
        <v>3</v>
      </c>
      <c r="S21">
        <f>SUM($R$4:R21)</f>
        <v>108</v>
      </c>
    </row>
    <row r="22" spans="1:19" x14ac:dyDescent="0.25">
      <c r="A22" s="20" t="s">
        <v>238</v>
      </c>
      <c r="B22" s="3">
        <v>68</v>
      </c>
      <c r="P22">
        <v>19</v>
      </c>
      <c r="Q22" s="29">
        <v>44501</v>
      </c>
      <c r="R22">
        <f>COUNTIFS(staff[Date Joined], "&gt;="&amp;Q22, staff[Date Joined], "&lt;="&amp;EOMONTH(Q22, 0))</f>
        <v>4</v>
      </c>
      <c r="S22">
        <f>SUM($R$4:R22)</f>
        <v>112</v>
      </c>
    </row>
    <row r="23" spans="1:19" x14ac:dyDescent="0.25">
      <c r="A23" s="20" t="s">
        <v>239</v>
      </c>
      <c r="B23" s="3">
        <v>71</v>
      </c>
      <c r="P23">
        <v>20</v>
      </c>
      <c r="Q23" s="29">
        <v>44531</v>
      </c>
      <c r="R23">
        <f>COUNTIFS(staff[Date Joined], "&gt;="&amp;Q23, staff[Date Joined], "&lt;="&amp;EOMONTH(Q23, 0))</f>
        <v>7</v>
      </c>
      <c r="S23">
        <f>SUM($R$4:R23)</f>
        <v>119</v>
      </c>
    </row>
    <row r="24" spans="1:19" x14ac:dyDescent="0.25">
      <c r="A24" s="20" t="s">
        <v>240</v>
      </c>
      <c r="B24" s="3">
        <v>75</v>
      </c>
      <c r="P24">
        <v>21</v>
      </c>
      <c r="Q24" s="29">
        <v>44562</v>
      </c>
      <c r="R24">
        <f>COUNTIFS(staff[Date Joined], "&gt;="&amp;Q24, staff[Date Joined], "&lt;="&amp;EOMONTH(Q24, 0))</f>
        <v>3</v>
      </c>
      <c r="S24">
        <f>SUM($R$4:R24)</f>
        <v>122</v>
      </c>
    </row>
    <row r="25" spans="1:19" x14ac:dyDescent="0.25">
      <c r="A25" s="20" t="s">
        <v>241</v>
      </c>
      <c r="B25" s="3">
        <v>82</v>
      </c>
      <c r="P25">
        <v>22</v>
      </c>
      <c r="Q25" s="29">
        <v>44593</v>
      </c>
      <c r="R25">
        <f>COUNTIFS(staff[Date Joined], "&gt;="&amp;Q25, staff[Date Joined], "&lt;="&amp;EOMONTH(Q25, 0))</f>
        <v>10</v>
      </c>
      <c r="S25">
        <f>SUM($R$4:R25)</f>
        <v>132</v>
      </c>
    </row>
    <row r="26" spans="1:19" x14ac:dyDescent="0.25">
      <c r="A26" s="9" t="s">
        <v>247</v>
      </c>
      <c r="B26" s="3"/>
      <c r="P26">
        <v>23</v>
      </c>
      <c r="Q26" s="29">
        <v>44621</v>
      </c>
      <c r="R26">
        <f>COUNTIFS(staff[Date Joined], "&gt;="&amp;Q26, staff[Date Joined], "&lt;="&amp;EOMONTH(Q26, 0))</f>
        <v>9</v>
      </c>
      <c r="S26">
        <f>SUM($R$4:R26)</f>
        <v>141</v>
      </c>
    </row>
    <row r="27" spans="1:19" x14ac:dyDescent="0.25">
      <c r="A27" s="20" t="s">
        <v>243</v>
      </c>
      <c r="B27" s="3">
        <v>3</v>
      </c>
      <c r="P27">
        <v>24</v>
      </c>
      <c r="Q27" s="29">
        <v>44652</v>
      </c>
      <c r="R27">
        <f>COUNTIFS(staff[Date Joined], "&gt;="&amp;Q27, staff[Date Joined], "&lt;="&amp;EOMONTH(Q27, 0))</f>
        <v>9</v>
      </c>
      <c r="S27">
        <f>SUM($R$4:R27)</f>
        <v>150</v>
      </c>
    </row>
    <row r="28" spans="1:19" x14ac:dyDescent="0.25">
      <c r="A28" s="20" t="s">
        <v>244</v>
      </c>
      <c r="B28" s="3">
        <v>13</v>
      </c>
      <c r="P28">
        <v>25</v>
      </c>
      <c r="Q28" s="29">
        <v>44682</v>
      </c>
      <c r="R28">
        <f>COUNTIFS(staff[Date Joined], "&gt;="&amp;Q28, staff[Date Joined], "&lt;="&amp;EOMONTH(Q28, 0))</f>
        <v>9</v>
      </c>
      <c r="S28">
        <f>SUM($R$4:R28)</f>
        <v>159</v>
      </c>
    </row>
    <row r="29" spans="1:19" x14ac:dyDescent="0.25">
      <c r="A29" s="20" t="s">
        <v>245</v>
      </c>
      <c r="B29" s="3">
        <v>22</v>
      </c>
      <c r="P29">
        <v>26</v>
      </c>
      <c r="Q29" s="29">
        <v>44713</v>
      </c>
      <c r="R29">
        <f>COUNTIFS(staff[Date Joined], "&gt;="&amp;Q29, staff[Date Joined], "&lt;="&amp;EOMONTH(Q29, 0))</f>
        <v>7</v>
      </c>
      <c r="S29">
        <f>SUM($R$4:R29)</f>
        <v>166</v>
      </c>
    </row>
    <row r="30" spans="1:19" x14ac:dyDescent="0.25">
      <c r="A30" s="20" t="s">
        <v>246</v>
      </c>
      <c r="B30" s="3">
        <v>31</v>
      </c>
      <c r="P30">
        <v>27</v>
      </c>
      <c r="Q30" s="29">
        <v>44743</v>
      </c>
      <c r="R30">
        <f>COUNTIFS(staff[Date Joined], "&gt;="&amp;Q30, staff[Date Joined], "&lt;="&amp;EOMONTH(Q30, 0))</f>
        <v>5</v>
      </c>
      <c r="S30">
        <f>SUM($R$4:R30)</f>
        <v>171</v>
      </c>
    </row>
    <row r="31" spans="1:19" x14ac:dyDescent="0.25">
      <c r="A31" s="20" t="s">
        <v>234</v>
      </c>
      <c r="B31" s="3">
        <v>40</v>
      </c>
      <c r="P31">
        <v>28</v>
      </c>
      <c r="Q31" s="29">
        <v>44774</v>
      </c>
      <c r="R31">
        <f>COUNTIFS(staff[Date Joined], "&gt;="&amp;Q31, staff[Date Joined], "&lt;="&amp;EOMONTH(Q31, 0))</f>
        <v>5</v>
      </c>
      <c r="S31">
        <f>SUM($R$4:R31)</f>
        <v>176</v>
      </c>
    </row>
    <row r="32" spans="1:19" x14ac:dyDescent="0.25">
      <c r="A32" s="20" t="s">
        <v>235</v>
      </c>
      <c r="B32" s="3">
        <v>47</v>
      </c>
      <c r="P32">
        <v>29</v>
      </c>
      <c r="Q32" s="29">
        <v>44805</v>
      </c>
      <c r="R32">
        <f>COUNTIFS(staff[Date Joined], "&gt;="&amp;Q32, staff[Date Joined], "&lt;="&amp;EOMONTH(Q32, 0))</f>
        <v>2</v>
      </c>
      <c r="S32">
        <f>SUM($R$4:R32)</f>
        <v>178</v>
      </c>
    </row>
    <row r="33" spans="1:19" x14ac:dyDescent="0.25">
      <c r="A33" s="20" t="s">
        <v>236</v>
      </c>
      <c r="B33" s="3">
        <v>52</v>
      </c>
      <c r="P33">
        <v>30</v>
      </c>
      <c r="Q33" s="29">
        <v>44835</v>
      </c>
      <c r="R33">
        <f>COUNTIFS(staff[Date Joined], "&gt;="&amp;Q33, staff[Date Joined], "&lt;="&amp;EOMONTH(Q33, 0))</f>
        <v>3</v>
      </c>
      <c r="S33">
        <f>SUM($R$4:R33)</f>
        <v>181</v>
      </c>
    </row>
    <row r="34" spans="1:19" x14ac:dyDescent="0.25">
      <c r="A34" s="20" t="s">
        <v>237</v>
      </c>
      <c r="B34" s="3">
        <v>57</v>
      </c>
      <c r="P34">
        <v>31</v>
      </c>
      <c r="Q34" s="29">
        <v>44866</v>
      </c>
      <c r="R34">
        <f>COUNTIFS(staff[Date Joined], "&gt;="&amp;Q34, staff[Date Joined], "&lt;="&amp;EOMONTH(Q34, 0))</f>
        <v>0</v>
      </c>
      <c r="S34">
        <f>SUM($R$4:R34)</f>
        <v>181</v>
      </c>
    </row>
    <row r="35" spans="1:19" x14ac:dyDescent="0.25">
      <c r="A35" s="20" t="s">
        <v>238</v>
      </c>
      <c r="B35" s="3">
        <v>59</v>
      </c>
      <c r="P35">
        <v>32</v>
      </c>
      <c r="Q35" s="29">
        <v>44896</v>
      </c>
      <c r="R35">
        <f>COUNTIFS(staff[Date Joined], "&gt;="&amp;Q35, staff[Date Joined], "&lt;="&amp;EOMONTH(Q35, 0))</f>
        <v>0</v>
      </c>
      <c r="S35">
        <f>SUM($R$4:R35)</f>
        <v>181</v>
      </c>
    </row>
    <row r="36" spans="1:19" x14ac:dyDescent="0.25">
      <c r="A36" s="20" t="s">
        <v>239</v>
      </c>
      <c r="B36" s="3">
        <v>62</v>
      </c>
      <c r="P36">
        <v>33</v>
      </c>
      <c r="Q36" s="29">
        <v>44927</v>
      </c>
      <c r="R36">
        <f>COUNTIFS(staff[Date Joined], "&gt;="&amp;Q36, staff[Date Joined], "&lt;="&amp;EOMONTH(Q36, 0))</f>
        <v>0</v>
      </c>
      <c r="S36">
        <f>SUM($R$4:R36)</f>
        <v>181</v>
      </c>
    </row>
    <row r="37" spans="1:19" x14ac:dyDescent="0.25">
      <c r="A37" s="9" t="s">
        <v>248</v>
      </c>
      <c r="B37" s="3" t="e">
        <v>#N/A</v>
      </c>
      <c r="P37">
        <v>34</v>
      </c>
      <c r="Q37" s="29">
        <v>44958</v>
      </c>
      <c r="R37">
        <f>COUNTIFS(staff[Date Joined], "&gt;="&amp;Q37, staff[Date Joined], "&lt;="&amp;EOMONTH(Q37, 0))</f>
        <v>1</v>
      </c>
      <c r="S37">
        <f>SUM($R$4:R37)</f>
        <v>182</v>
      </c>
    </row>
    <row r="38" spans="1:19" x14ac:dyDescent="0.25">
      <c r="A38" s="9" t="s">
        <v>224</v>
      </c>
      <c r="B38" s="3"/>
      <c r="P38">
        <v>35</v>
      </c>
      <c r="Q38" s="29">
        <v>44986</v>
      </c>
      <c r="R38">
        <f>COUNTIFS(staff[Date Joined], "&gt;="&amp;Q38, staff[Date Joined], "&lt;="&amp;EOMONTH(Q38, 0))</f>
        <v>0</v>
      </c>
      <c r="S38">
        <f>SUM($R$4:R38)</f>
        <v>182</v>
      </c>
    </row>
    <row r="39" spans="1:19" x14ac:dyDescent="0.25">
      <c r="P39">
        <v>36</v>
      </c>
      <c r="Q39" s="29">
        <v>45017</v>
      </c>
      <c r="R39">
        <f>COUNTIFS(staff[Date Joined], "&gt;="&amp;Q39, staff[Date Joined], "&lt;="&amp;EOMONTH(Q39, 0))</f>
        <v>1</v>
      </c>
      <c r="S39">
        <f>SUM($R$4:R39)</f>
        <v>183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214E1-F1E9-40DC-8212-141C3A62D0C2}">
  <dimension ref="B2:G10"/>
  <sheetViews>
    <sheetView workbookViewId="0">
      <selection activeCell="G6" sqref="G6"/>
    </sheetView>
  </sheetViews>
  <sheetFormatPr defaultRowHeight="15" x14ac:dyDescent="0.25"/>
  <cols>
    <col min="2" max="2" width="13.140625" bestFit="1" customWidth="1"/>
    <col min="3" max="3" width="14.42578125" bestFit="1" customWidth="1"/>
    <col min="6" max="6" width="13.140625" bestFit="1" customWidth="1"/>
    <col min="7" max="7" width="14.42578125" bestFit="1" customWidth="1"/>
  </cols>
  <sheetData>
    <row r="2" spans="2:7" x14ac:dyDescent="0.25">
      <c r="B2" s="17" t="s">
        <v>204</v>
      </c>
      <c r="C2" t="s" vm="1">
        <v>205</v>
      </c>
      <c r="F2" s="17" t="s">
        <v>204</v>
      </c>
      <c r="G2" t="s" vm="2">
        <v>207</v>
      </c>
    </row>
    <row r="4" spans="2:7" x14ac:dyDescent="0.25">
      <c r="B4" s="17" t="s">
        <v>223</v>
      </c>
      <c r="C4" t="s">
        <v>226</v>
      </c>
      <c r="F4" s="17" t="s">
        <v>223</v>
      </c>
      <c r="G4" t="s">
        <v>226</v>
      </c>
    </row>
    <row r="5" spans="2:7" x14ac:dyDescent="0.25">
      <c r="B5" s="9" t="s">
        <v>9</v>
      </c>
      <c r="C5" s="23">
        <v>28</v>
      </c>
      <c r="F5" s="9" t="s">
        <v>12</v>
      </c>
      <c r="G5" s="23">
        <v>27</v>
      </c>
    </row>
    <row r="6" spans="2:7" x14ac:dyDescent="0.25">
      <c r="B6" s="9" t="s">
        <v>12</v>
      </c>
      <c r="C6" s="23">
        <v>27</v>
      </c>
      <c r="F6" s="9" t="s">
        <v>9</v>
      </c>
      <c r="G6" s="23">
        <v>27</v>
      </c>
    </row>
    <row r="7" spans="2:7" x14ac:dyDescent="0.25">
      <c r="B7" s="9" t="s">
        <v>21</v>
      </c>
      <c r="C7" s="23">
        <v>19</v>
      </c>
      <c r="F7" s="9" t="s">
        <v>21</v>
      </c>
      <c r="G7" s="23">
        <v>19</v>
      </c>
    </row>
    <row r="8" spans="2:7" x14ac:dyDescent="0.25">
      <c r="B8" s="9" t="s">
        <v>19</v>
      </c>
      <c r="C8" s="23">
        <v>14</v>
      </c>
      <c r="F8" s="9" t="s">
        <v>19</v>
      </c>
      <c r="G8" s="23">
        <v>14</v>
      </c>
    </row>
    <row r="9" spans="2:7" x14ac:dyDescent="0.25">
      <c r="B9" s="9" t="s">
        <v>56</v>
      </c>
      <c r="C9" s="23">
        <v>4</v>
      </c>
      <c r="F9" s="9" t="s">
        <v>56</v>
      </c>
      <c r="G9" s="23">
        <v>4</v>
      </c>
    </row>
    <row r="10" spans="2:7" x14ac:dyDescent="0.25">
      <c r="B10" s="9" t="s">
        <v>224</v>
      </c>
      <c r="C10" s="3">
        <v>92</v>
      </c>
      <c r="F10" s="9" t="s">
        <v>224</v>
      </c>
      <c r="G10" s="3">
        <v>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7E418-41E4-4832-BA64-419399F40DE8}">
  <sheetPr>
    <tabColor rgb="FFFF0000"/>
  </sheetPr>
  <dimension ref="C2:N20"/>
  <sheetViews>
    <sheetView showGridLines="0" workbookViewId="0">
      <selection activeCell="J30" sqref="J30"/>
    </sheetView>
  </sheetViews>
  <sheetFormatPr defaultRowHeight="15" x14ac:dyDescent="0.25"/>
  <cols>
    <col min="3" max="3" width="18.140625" customWidth="1"/>
    <col min="4" max="4" width="3.28515625" customWidth="1"/>
    <col min="5" max="5" width="18.140625" customWidth="1"/>
    <col min="6" max="6" width="2.85546875" customWidth="1"/>
    <col min="7" max="7" width="18.5703125" customWidth="1"/>
    <col min="10" max="10" width="18.140625" customWidth="1"/>
    <col min="11" max="11" width="3.28515625" customWidth="1"/>
    <col min="12" max="12" width="18.140625" customWidth="1"/>
    <col min="13" max="13" width="2.85546875" customWidth="1"/>
    <col min="14" max="14" width="18.5703125" customWidth="1"/>
  </cols>
  <sheetData>
    <row r="2" spans="3:14" ht="51.75" customHeight="1" x14ac:dyDescent="0.25">
      <c r="C2" s="48" t="s">
        <v>254</v>
      </c>
      <c r="D2" s="48"/>
      <c r="E2" s="48"/>
      <c r="F2" s="48"/>
      <c r="G2" s="48"/>
      <c r="J2" s="48" t="s">
        <v>255</v>
      </c>
      <c r="K2" s="48"/>
      <c r="L2" s="48"/>
      <c r="M2" s="48"/>
      <c r="N2" s="48"/>
    </row>
    <row r="3" spans="3:14" ht="90.75" customHeight="1" x14ac:dyDescent="0.25">
      <c r="C3" s="41">
        <f>COUNTIFS(staff[Country], "NZ")</f>
        <v>91</v>
      </c>
      <c r="E3" s="42">
        <f>COUNTIFS(staff[Country],"NZ", staff[Gender], "Female")/C3</f>
        <v>0.47252747252747251</v>
      </c>
      <c r="G3" s="43">
        <f>AVERAGEIFS(staff[Salary], staff[Country], "NZ")</f>
        <v>76978.791208791212</v>
      </c>
      <c r="J3" s="44">
        <f>COUNTIFS(staff[Country], "IND")</f>
        <v>92</v>
      </c>
      <c r="L3" s="45">
        <f>COUNTIFS(staff[Country],"IND", staff[Gender], "Female")/J3</f>
        <v>0.46739130434782611</v>
      </c>
      <c r="N3" s="46">
        <f>AVERAGEIFS(staff[Salary], staff[Country], "IND")</f>
        <v>77366.521739130432</v>
      </c>
    </row>
    <row r="6" spans="3:14" ht="30" customHeight="1" x14ac:dyDescent="0.5">
      <c r="C6" s="47" t="s">
        <v>253</v>
      </c>
      <c r="D6" s="47"/>
      <c r="E6" s="47"/>
      <c r="F6" s="47"/>
      <c r="G6" s="47"/>
      <c r="H6" s="47"/>
      <c r="I6" s="47"/>
      <c r="J6" s="47"/>
      <c r="K6" s="47"/>
      <c r="L6" s="47"/>
      <c r="M6" s="47"/>
      <c r="N6" s="47"/>
    </row>
    <row r="7" spans="3:14" ht="15.75" thickBot="1" x14ac:dyDescent="0.3"/>
    <row r="8" spans="3:14" x14ac:dyDescent="0.25">
      <c r="C8" s="32"/>
      <c r="D8" s="33"/>
      <c r="E8" s="33"/>
      <c r="F8" s="33"/>
      <c r="G8" s="34"/>
      <c r="J8" s="32"/>
      <c r="K8" s="33"/>
      <c r="L8" s="33"/>
      <c r="M8" s="33"/>
      <c r="N8" s="34"/>
    </row>
    <row r="9" spans="3:14" x14ac:dyDescent="0.25">
      <c r="C9" s="35"/>
      <c r="D9" s="36"/>
      <c r="E9" s="36"/>
      <c r="F9" s="36"/>
      <c r="G9" s="37"/>
      <c r="J9" s="35"/>
      <c r="K9" s="36"/>
      <c r="L9" s="36"/>
      <c r="M9" s="36"/>
      <c r="N9" s="37"/>
    </row>
    <row r="10" spans="3:14" x14ac:dyDescent="0.25">
      <c r="C10" s="35"/>
      <c r="D10" s="36"/>
      <c r="E10" s="36"/>
      <c r="F10" s="36"/>
      <c r="G10" s="37"/>
      <c r="J10" s="35"/>
      <c r="K10" s="36"/>
      <c r="L10" s="36"/>
      <c r="M10" s="36"/>
      <c r="N10" s="37"/>
    </row>
    <row r="11" spans="3:14" x14ac:dyDescent="0.25">
      <c r="C11" s="35"/>
      <c r="D11" s="36"/>
      <c r="E11" s="36"/>
      <c r="F11" s="36"/>
      <c r="G11" s="37"/>
      <c r="J11" s="35"/>
      <c r="K11" s="36"/>
      <c r="L11" s="36"/>
      <c r="M11" s="36"/>
      <c r="N11" s="37"/>
    </row>
    <row r="12" spans="3:14" x14ac:dyDescent="0.25">
      <c r="C12" s="35"/>
      <c r="D12" s="36"/>
      <c r="E12" s="36"/>
      <c r="F12" s="36"/>
      <c r="G12" s="37"/>
      <c r="J12" s="35"/>
      <c r="K12" s="36"/>
      <c r="L12" s="36"/>
      <c r="M12" s="36"/>
      <c r="N12" s="37"/>
    </row>
    <row r="13" spans="3:14" x14ac:dyDescent="0.25">
      <c r="C13" s="35"/>
      <c r="D13" s="36"/>
      <c r="E13" s="36"/>
      <c r="F13" s="36"/>
      <c r="G13" s="37"/>
      <c r="J13" s="35"/>
      <c r="K13" s="36"/>
      <c r="L13" s="36"/>
      <c r="M13" s="36"/>
      <c r="N13" s="37"/>
    </row>
    <row r="14" spans="3:14" x14ac:dyDescent="0.25">
      <c r="C14" s="35"/>
      <c r="D14" s="36"/>
      <c r="E14" s="36"/>
      <c r="F14" s="36"/>
      <c r="G14" s="37"/>
      <c r="J14" s="35"/>
      <c r="K14" s="36"/>
      <c r="L14" s="36"/>
      <c r="M14" s="36"/>
      <c r="N14" s="37"/>
    </row>
    <row r="15" spans="3:14" x14ac:dyDescent="0.25">
      <c r="C15" s="35"/>
      <c r="D15" s="36"/>
      <c r="E15" s="36"/>
      <c r="F15" s="36"/>
      <c r="G15" s="37"/>
      <c r="J15" s="35"/>
      <c r="K15" s="36"/>
      <c r="L15" s="36"/>
      <c r="M15" s="36"/>
      <c r="N15" s="37"/>
    </row>
    <row r="16" spans="3:14" x14ac:dyDescent="0.25">
      <c r="C16" s="35"/>
      <c r="D16" s="36"/>
      <c r="E16" s="36"/>
      <c r="F16" s="36"/>
      <c r="G16" s="37"/>
      <c r="J16" s="35"/>
      <c r="K16" s="36"/>
      <c r="L16" s="36"/>
      <c r="M16" s="36"/>
      <c r="N16" s="37"/>
    </row>
    <row r="17" spans="3:14" x14ac:dyDescent="0.25">
      <c r="C17" s="35"/>
      <c r="D17" s="36"/>
      <c r="E17" s="36"/>
      <c r="F17" s="36"/>
      <c r="G17" s="37"/>
      <c r="J17" s="35"/>
      <c r="K17" s="36"/>
      <c r="L17" s="36"/>
      <c r="M17" s="36"/>
      <c r="N17" s="37"/>
    </row>
    <row r="18" spans="3:14" x14ac:dyDescent="0.25">
      <c r="C18" s="35"/>
      <c r="D18" s="36"/>
      <c r="E18" s="36"/>
      <c r="F18" s="36"/>
      <c r="G18" s="37"/>
      <c r="J18" s="35"/>
      <c r="K18" s="36"/>
      <c r="L18" s="36"/>
      <c r="M18" s="36"/>
      <c r="N18" s="37"/>
    </row>
    <row r="19" spans="3:14" x14ac:dyDescent="0.25">
      <c r="C19" s="35"/>
      <c r="D19" s="36"/>
      <c r="E19" s="36"/>
      <c r="F19" s="36"/>
      <c r="G19" s="37"/>
      <c r="J19" s="35"/>
      <c r="K19" s="36"/>
      <c r="L19" s="36"/>
      <c r="M19" s="36"/>
      <c r="N19" s="37"/>
    </row>
    <row r="20" spans="3:14" ht="15.75" thickBot="1" x14ac:dyDescent="0.3">
      <c r="C20" s="38"/>
      <c r="D20" s="39"/>
      <c r="E20" s="39"/>
      <c r="F20" s="39"/>
      <c r="G20" s="40"/>
      <c r="J20" s="38"/>
      <c r="K20" s="39"/>
      <c r="L20" s="39"/>
      <c r="M20" s="39"/>
      <c r="N20" s="40"/>
    </row>
  </sheetData>
  <mergeCells count="3">
    <mergeCell ref="C6:N6"/>
    <mergeCell ref="C2:G2"/>
    <mergeCell ref="J2:N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472AC4-BEE5-4E73-8720-114E4EB62E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India Staff</vt:lpstr>
      <vt:lpstr>NZ Staff</vt:lpstr>
      <vt:lpstr>All Staff</vt:lpstr>
      <vt:lpstr>Info Finder</vt:lpstr>
      <vt:lpstr>Salary Spread</vt:lpstr>
      <vt:lpstr>Male vs. Female</vt:lpstr>
      <vt:lpstr>Salary Rating</vt:lpstr>
      <vt:lpstr>Mapping</vt:lpstr>
      <vt:lpstr>Growing Trend</vt:lpstr>
      <vt:lpstr>Mapping2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Jade D.</cp:lastModifiedBy>
  <cp:lastPrinted>2023-08-22T14:34:40Z</cp:lastPrinted>
  <dcterms:created xsi:type="dcterms:W3CDTF">2021-03-14T20:21:32Z</dcterms:created>
  <dcterms:modified xsi:type="dcterms:W3CDTF">2023-08-25T00:04:27Z</dcterms:modified>
</cp:coreProperties>
</file>