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3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Resistance" sheetId="3" r:id="rId1"/>
    <sheet name="Dynamic Response" sheetId="4" r:id="rId2"/>
  </sheets>
  <definedNames>
    <definedName name="_qs1">'Dynamic Response'!$B$3</definedName>
    <definedName name="_qs2">'Dynamic Response'!$B$5</definedName>
  </definedNames>
  <calcPr calcId="125725"/>
</workbook>
</file>

<file path=xl/calcChain.xml><?xml version="1.0" encoding="utf-8"?>
<calcChain xmlns="http://schemas.openxmlformats.org/spreadsheetml/2006/main">
  <c r="J7" i="4"/>
  <c r="S41"/>
  <c r="S42"/>
  <c r="S40"/>
  <c r="S4"/>
  <c r="J10"/>
  <c r="J9"/>
  <c r="J12" s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11"/>
  <c r="E5"/>
  <c r="C3" i="3"/>
  <c r="E4" i="4"/>
  <c r="J6" s="1"/>
  <c r="B30" i="3"/>
  <c r="C30"/>
  <c r="B31"/>
  <c r="B32"/>
  <c r="B33"/>
  <c r="B34"/>
  <c r="C31"/>
  <c r="D31" s="1"/>
  <c r="C32"/>
  <c r="C33"/>
  <c r="C34"/>
  <c r="D34" s="1"/>
  <c r="E10"/>
  <c r="E11"/>
  <c r="E12"/>
  <c r="E13"/>
  <c r="E14"/>
  <c r="E15"/>
  <c r="E16"/>
  <c r="E17"/>
  <c r="E18"/>
  <c r="E19"/>
  <c r="E20"/>
  <c r="E21"/>
  <c r="E9"/>
  <c r="J5" i="4" l="1"/>
  <c r="J11" s="1"/>
  <c r="R38" s="1"/>
  <c r="D33" i="3"/>
  <c r="D30"/>
  <c r="D32"/>
  <c r="R25" i="4" l="1"/>
  <c r="R20"/>
  <c r="R11"/>
  <c r="R4"/>
  <c r="R13"/>
  <c r="R29"/>
  <c r="R8"/>
  <c r="R24"/>
  <c r="R40"/>
  <c r="R15"/>
  <c r="R31"/>
  <c r="R18"/>
  <c r="R34"/>
  <c r="R9"/>
  <c r="R42"/>
  <c r="R41"/>
  <c r="R36"/>
  <c r="R27"/>
  <c r="R14"/>
  <c r="R30"/>
  <c r="R21"/>
  <c r="R37"/>
  <c r="R16"/>
  <c r="R32"/>
  <c r="R7"/>
  <c r="R23"/>
  <c r="R39"/>
  <c r="R10"/>
  <c r="R26"/>
  <c r="R17"/>
  <c r="R33"/>
  <c r="R12"/>
  <c r="R28"/>
  <c r="R5"/>
  <c r="R19"/>
  <c r="R35"/>
  <c r="R6"/>
  <c r="R22"/>
  <c r="F14" i="3"/>
  <c r="F18"/>
  <c r="F9"/>
  <c r="F10" l="1"/>
  <c r="F19"/>
  <c r="F15"/>
  <c r="F11"/>
  <c r="F20"/>
  <c r="F16"/>
  <c r="F12"/>
  <c r="F21"/>
  <c r="F17"/>
  <c r="F13"/>
</calcChain>
</file>

<file path=xl/sharedStrings.xml><?xml version="1.0" encoding="utf-8"?>
<sst xmlns="http://schemas.openxmlformats.org/spreadsheetml/2006/main" count="54" uniqueCount="44">
  <si>
    <t>cm</t>
  </si>
  <si>
    <t>t(s)</t>
  </si>
  <si>
    <t>B</t>
  </si>
  <si>
    <t>A</t>
  </si>
  <si>
    <t>C</t>
  </si>
  <si>
    <t>h(cm)</t>
  </si>
  <si>
    <t>hv(cm)</t>
  </si>
  <si>
    <t>Calculations</t>
  </si>
  <si>
    <t>slope(cm/s)</t>
  </si>
  <si>
    <t>R(s/cm2)</t>
  </si>
  <si>
    <t>a</t>
  </si>
  <si>
    <t>b</t>
  </si>
  <si>
    <t>Dynamic response of tapering tank</t>
  </si>
  <si>
    <t>Initial Rotameter reading</t>
  </si>
  <si>
    <t>Final Rotameter reading</t>
  </si>
  <si>
    <t>qi</t>
  </si>
  <si>
    <t>hs(cm)</t>
  </si>
  <si>
    <t>P</t>
  </si>
  <si>
    <t>Q</t>
  </si>
  <si>
    <t>Step</t>
  </si>
  <si>
    <t>hs (cm)</t>
  </si>
  <si>
    <t>hv (cm)</t>
  </si>
  <si>
    <t>h=hv+h1 (cm)</t>
  </si>
  <si>
    <t>t (s)</t>
  </si>
  <si>
    <t>degrees</t>
  </si>
  <si>
    <t>Cylindrical Section</t>
  </si>
  <si>
    <t>Tapering section</t>
  </si>
  <si>
    <t>Resistance offered by outlet of tank to the flow</t>
  </si>
  <si>
    <r>
      <t xml:space="preserve">Angle </t>
    </r>
    <r>
      <rPr>
        <b/>
        <sz val="11"/>
        <color theme="1"/>
        <rFont val="Calibri"/>
        <family val="2"/>
      </rPr>
      <t>α</t>
    </r>
  </si>
  <si>
    <t>h1</t>
  </si>
  <si>
    <t>Observation Table</t>
  </si>
  <si>
    <t>Calculations Table</t>
  </si>
  <si>
    <t>Slope (a)</t>
  </si>
  <si>
    <t>Intercept (b)</t>
  </si>
  <si>
    <t>ml/s</t>
  </si>
  <si>
    <t>Initial steady state flow rate, qs1</t>
  </si>
  <si>
    <t>Initial steady state height, hs1</t>
  </si>
  <si>
    <t>Final steady state flowrate, qs2</t>
  </si>
  <si>
    <t>Final steady state height, hs2</t>
  </si>
  <si>
    <t>hs2 (linearised)</t>
  </si>
  <si>
    <t>R (s/cm2)</t>
  </si>
  <si>
    <t>h th (cm)</t>
  </si>
  <si>
    <t>hexp (cm)</t>
  </si>
  <si>
    <t>Plot Table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</si>
</sst>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(cm)</a:t>
            </a:r>
            <a:r>
              <a:rPr lang="en-US"/>
              <a:t> vs t (s)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Resistance!$F$8</c:f>
              <c:strCache>
                <c:ptCount val="1"/>
                <c:pt idx="0">
                  <c:v>h=hv+h1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og"/>
          </c:trendline>
          <c:trendline>
            <c:trendlineType val="log"/>
          </c:trendline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9.6070260644254724E-2"/>
                  <c:y val="-0.26165281423155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-1E-06x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+ 0.0001x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- 0.08x + 39.23
R² = 0.9997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Resistance!$C$9:$C$21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Resistance!$F$9:$F$21</c:f>
              <c:numCache>
                <c:formatCode>0.00</c:formatCode>
                <c:ptCount val="13"/>
                <c:pt idx="0">
                  <c:v>39.240253574341118</c:v>
                </c:pt>
                <c:pt idx="1">
                  <c:v>37.96031993945315</c:v>
                </c:pt>
                <c:pt idx="2">
                  <c:v>36.87729917147103</c:v>
                </c:pt>
                <c:pt idx="3">
                  <c:v>35.794278403488903</c:v>
                </c:pt>
                <c:pt idx="4">
                  <c:v>34.415888335148018</c:v>
                </c:pt>
                <c:pt idx="5">
                  <c:v>33.135954700260051</c:v>
                </c:pt>
                <c:pt idx="6">
                  <c:v>31.856021065372083</c:v>
                </c:pt>
                <c:pt idx="7">
                  <c:v>30.379174563578275</c:v>
                </c:pt>
                <c:pt idx="8">
                  <c:v>28.902328061784466</c:v>
                </c:pt>
                <c:pt idx="9">
                  <c:v>27.130112259631893</c:v>
                </c:pt>
                <c:pt idx="10">
                  <c:v>25.259440024026404</c:v>
                </c:pt>
                <c:pt idx="11">
                  <c:v>22.699572754250468</c:v>
                </c:pt>
                <c:pt idx="12">
                  <c:v>20.631987651739138</c:v>
                </c:pt>
              </c:numCache>
            </c:numRef>
          </c:yVal>
        </c:ser>
        <c:dLbls/>
        <c:axId val="137602560"/>
        <c:axId val="137604480"/>
      </c:scatterChart>
      <c:valAx>
        <c:axId val="1376025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4480"/>
        <c:crosses val="autoZero"/>
        <c:crossBetween val="midCat"/>
        <c:majorUnit val="25"/>
        <c:minorUnit val="5"/>
      </c:valAx>
      <c:valAx>
        <c:axId val="13760448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h(cm)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(s/cm2) vs h</a:t>
            </a:r>
            <a:r>
              <a:rPr lang="en-US" baseline="0"/>
              <a:t> (cm)</a:t>
            </a:r>
            <a:r>
              <a:rPr lang="en-US"/>
              <a:t> 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978999195921088"/>
          <c:y val="0.17171296296296296"/>
          <c:w val="0.82098935483743607"/>
          <c:h val="0.65049394867308252"/>
        </c:manualLayout>
      </c:layout>
      <c:scatterChart>
        <c:scatterStyle val="lineMarker"/>
        <c:ser>
          <c:idx val="0"/>
          <c:order val="0"/>
          <c:tx>
            <c:strRef>
              <c:f>Resistance!$D$29</c:f>
              <c:strCache>
                <c:ptCount val="1"/>
                <c:pt idx="0">
                  <c:v>R(s/cm2)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3.4898253091404864E-3"/>
                  <c:y val="0.174598279381743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0.031x + 2.549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Resistance!$B$30:$B$35</c:f>
              <c:numCache>
                <c:formatCode>0.00</c:formatCode>
                <c:ptCount val="6"/>
                <c:pt idx="0">
                  <c:v>36.893000000000001</c:v>
                </c:pt>
                <c:pt idx="1">
                  <c:v>34.573999999999998</c:v>
                </c:pt>
                <c:pt idx="2">
                  <c:v>32.110999999999997</c:v>
                </c:pt>
                <c:pt idx="3">
                  <c:v>29.341999999999999</c:v>
                </c:pt>
                <c:pt idx="4">
                  <c:v>26.104999999999997</c:v>
                </c:pt>
              </c:numCache>
            </c:numRef>
          </c:xVal>
          <c:yVal>
            <c:numRef>
              <c:f>Resistance!$D$30:$D$36</c:f>
              <c:numCache>
                <c:formatCode>0.000</c:formatCode>
                <c:ptCount val="7"/>
                <c:pt idx="0">
                  <c:v>3.5596594447103369</c:v>
                </c:pt>
                <c:pt idx="1">
                  <c:v>3.6971914611191767</c:v>
                </c:pt>
                <c:pt idx="2">
                  <c:v>3.6348221022893288</c:v>
                </c:pt>
                <c:pt idx="3">
                  <c:v>3.4605601436970068</c:v>
                </c:pt>
                <c:pt idx="4">
                  <c:v>3.2838720124690139</c:v>
                </c:pt>
              </c:numCache>
            </c:numRef>
          </c:yVal>
        </c:ser>
        <c:dLbls/>
        <c:axId val="137867648"/>
        <c:axId val="137869568"/>
      </c:scatterChart>
      <c:valAx>
        <c:axId val="137867648"/>
        <c:scaling>
          <c:orientation val="minMax"/>
          <c:max val="40"/>
          <c:min val="2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(cm)</a:t>
                </a:r>
              </a:p>
            </c:rich>
          </c:tx>
          <c:layout>
            <c:manualLayout>
              <c:xMode val="edge"/>
              <c:yMode val="edge"/>
              <c:x val="0.50446959085850451"/>
              <c:y val="0.90182852143482062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9568"/>
        <c:crosses val="autoZero"/>
        <c:crossBetween val="midCat"/>
      </c:valAx>
      <c:valAx>
        <c:axId val="137869568"/>
        <c:scaling>
          <c:orientation val="minMax"/>
          <c:max val="4"/>
          <c:min val="3.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(s/cm2)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7648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/>
              </a:rPr>
              <a:t>Δ</a:t>
            </a:r>
            <a:r>
              <a:rPr lang="en-US"/>
              <a:t>h</a:t>
            </a:r>
            <a:r>
              <a:rPr lang="en-US" baseline="0"/>
              <a:t> vs 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1238914762570696E-2"/>
          <c:y val="0.122777564044419"/>
          <c:w val="0.87061505412806572"/>
          <c:h val="0.65451331871605678"/>
        </c:manualLayout>
      </c:layout>
      <c:scatterChart>
        <c:scatterStyle val="lineMarker"/>
        <c:ser>
          <c:idx val="1"/>
          <c:order val="1"/>
          <c:tx>
            <c:strRef>
              <c:f>'Dynamic Response'!$S$3</c:f>
              <c:strCache>
                <c:ptCount val="1"/>
                <c:pt idx="0">
                  <c:v>hexp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'Dynamic Response'!$Q$4:$Q$40</c:f>
              <c:numCache>
                <c:formatCode>General</c:formatCode>
                <c:ptCount val="3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</c:numCache>
            </c:numRef>
          </c:xVal>
          <c:yVal>
            <c:numRef>
              <c:f>'Dynamic Response'!$S$4:$S$40</c:f>
              <c:numCache>
                <c:formatCode>0.00</c:formatCode>
                <c:ptCount val="37"/>
                <c:pt idx="0">
                  <c:v>0</c:v>
                </c:pt>
                <c:pt idx="1">
                  <c:v>0.19999999999999929</c:v>
                </c:pt>
                <c:pt idx="2">
                  <c:v>0.40000000000000036</c:v>
                </c:pt>
                <c:pt idx="3">
                  <c:v>0.69999999999999929</c:v>
                </c:pt>
                <c:pt idx="4">
                  <c:v>0.80000000000000071</c:v>
                </c:pt>
                <c:pt idx="5">
                  <c:v>0.90000000000000036</c:v>
                </c:pt>
                <c:pt idx="6">
                  <c:v>1</c:v>
                </c:pt>
                <c:pt idx="7">
                  <c:v>1.0999999999999996</c:v>
                </c:pt>
                <c:pt idx="8">
                  <c:v>1.1999999999999993</c:v>
                </c:pt>
                <c:pt idx="9">
                  <c:v>1.3000000000000007</c:v>
                </c:pt>
                <c:pt idx="10">
                  <c:v>1.5</c:v>
                </c:pt>
                <c:pt idx="11">
                  <c:v>1.5</c:v>
                </c:pt>
                <c:pt idx="12">
                  <c:v>1.5999999999999996</c:v>
                </c:pt>
                <c:pt idx="13">
                  <c:v>1.6999999999999993</c:v>
                </c:pt>
                <c:pt idx="14">
                  <c:v>1.8000000000000007</c:v>
                </c:pt>
                <c:pt idx="15">
                  <c:v>1.9000000000000004</c:v>
                </c:pt>
                <c:pt idx="16">
                  <c:v>1.9000000000000004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2.0999999999999996</c:v>
                </c:pt>
                <c:pt idx="21">
                  <c:v>2.1999999999999993</c:v>
                </c:pt>
                <c:pt idx="22">
                  <c:v>2.1999999999999993</c:v>
                </c:pt>
                <c:pt idx="23">
                  <c:v>2.3000000000000007</c:v>
                </c:pt>
                <c:pt idx="24">
                  <c:v>2.3000000000000007</c:v>
                </c:pt>
                <c:pt idx="25">
                  <c:v>2.3000000000000007</c:v>
                </c:pt>
                <c:pt idx="26">
                  <c:v>2.3000000000000007</c:v>
                </c:pt>
                <c:pt idx="27">
                  <c:v>2.4000000000000004</c:v>
                </c:pt>
                <c:pt idx="28">
                  <c:v>2.4000000000000004</c:v>
                </c:pt>
                <c:pt idx="29">
                  <c:v>2.4000000000000004</c:v>
                </c:pt>
                <c:pt idx="30">
                  <c:v>2.4000000000000004</c:v>
                </c:pt>
                <c:pt idx="31">
                  <c:v>2.4000000000000004</c:v>
                </c:pt>
                <c:pt idx="32">
                  <c:v>2.4000000000000004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</c:numCache>
            </c:numRef>
          </c:yVal>
        </c:ser>
        <c:dLbls/>
        <c:axId val="138008832"/>
        <c:axId val="138015104"/>
      </c:scatterChart>
      <c:scatterChart>
        <c:scatterStyle val="smoothMarker"/>
        <c:ser>
          <c:idx val="0"/>
          <c:order val="0"/>
          <c:tx>
            <c:strRef>
              <c:f>'Dynamic Response'!$R$3</c:f>
              <c:strCache>
                <c:ptCount val="1"/>
                <c:pt idx="0">
                  <c:v>h th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'Dynamic Response'!$Q$4:$Q$40</c:f>
              <c:numCache>
                <c:formatCode>General</c:formatCode>
                <c:ptCount val="3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</c:numCache>
            </c:numRef>
          </c:xVal>
          <c:yVal>
            <c:numRef>
              <c:f>'Dynamic Response'!$R$4:$R$40</c:f>
              <c:numCache>
                <c:formatCode>0.00</c:formatCode>
                <c:ptCount val="37"/>
                <c:pt idx="0">
                  <c:v>0</c:v>
                </c:pt>
                <c:pt idx="1">
                  <c:v>0.23597474997153955</c:v>
                </c:pt>
                <c:pt idx="2">
                  <c:v>0.49098047755736407</c:v>
                </c:pt>
                <c:pt idx="3">
                  <c:v>0.76655199997414214</c:v>
                </c:pt>
                <c:pt idx="4">
                  <c:v>1.0643479149366506</c:v>
                </c:pt>
                <c:pt idx="5">
                  <c:v>1.3861605833524859</c:v>
                </c:pt>
                <c:pt idx="6">
                  <c:v>1.7339269171047769</c:v>
                </c:pt>
                <c:pt idx="7">
                  <c:v>2.1097400368519246</c:v>
                </c:pt>
                <c:pt idx="8">
                  <c:v>2.5158618700098296</c:v>
                </c:pt>
                <c:pt idx="9">
                  <c:v>2.9547367647407743</c:v>
                </c:pt>
                <c:pt idx="10">
                  <c:v>3.4290062018882419</c:v>
                </c:pt>
                <c:pt idx="11">
                  <c:v>3.9415246934052202</c:v>
                </c:pt>
                <c:pt idx="12">
                  <c:v>4.4953769629647322</c:v>
                </c:pt>
                <c:pt idx="13">
                  <c:v>5.0938965121585271</c:v>
                </c:pt>
                <c:pt idx="14">
                  <c:v>5.740685684029291</c:v>
                </c:pt>
                <c:pt idx="15">
                  <c:v>6.4396373446939563</c:v>
                </c:pt>
                <c:pt idx="16">
                  <c:v>7.1949583135544417</c:v>
                </c:pt>
                <c:pt idx="17">
                  <c:v>8.0111946831165568</c:v>
                </c:pt>
                <c:pt idx="18">
                  <c:v>8.8932591808109205</c:v>
                </c:pt>
                <c:pt idx="19">
                  <c:v>9.8464607374999478</c:v>
                </c:pt>
                <c:pt idx="20">
                  <c:v>10.876536440636587</c:v>
                </c:pt>
                <c:pt idx="21">
                  <c:v>11.989686064393021</c:v>
                </c:pt>
                <c:pt idx="22">
                  <c:v>13.192609384587795</c:v>
                </c:pt>
                <c:pt idx="23">
                  <c:v>14.492546503000767</c:v>
                </c:pt>
                <c:pt idx="24">
                  <c:v>15.897321423778092</c:v>
                </c:pt>
                <c:pt idx="25">
                  <c:v>17.415389144203036</c:v>
                </c:pt>
                <c:pt idx="26">
                  <c:v>19.055886543260378</c:v>
                </c:pt>
                <c:pt idx="27">
                  <c:v>20.828687374280317</c:v>
                </c:pt>
                <c:pt idx="28">
                  <c:v>22.744461692649217</c:v>
                </c:pt>
                <c:pt idx="29">
                  <c:v>24.814740076267864</c:v>
                </c:pt>
                <c:pt idx="30">
                  <c:v>27.051983025284873</c:v>
                </c:pt>
                <c:pt idx="31">
                  <c:v>29.469655958804875</c:v>
                </c:pt>
                <c:pt idx="32">
                  <c:v>32.082310259958604</c:v>
                </c:pt>
                <c:pt idx="33">
                  <c:v>34.90567085712545</c:v>
                </c:pt>
                <c:pt idx="34">
                  <c:v>37.956730868438143</c:v>
                </c:pt>
                <c:pt idx="35">
                  <c:v>41.253853879212159</c:v>
                </c:pt>
                <c:pt idx="36">
                  <c:v>44.816884467882339</c:v>
                </c:pt>
              </c:numCache>
            </c:numRef>
          </c:yVal>
          <c:smooth val="1"/>
        </c:ser>
        <c:dLbls/>
        <c:axId val="137908224"/>
        <c:axId val="138017024"/>
      </c:scatterChart>
      <c:valAx>
        <c:axId val="1380088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104"/>
        <c:crosses val="autoZero"/>
        <c:crossBetween val="midCat"/>
      </c:valAx>
      <c:valAx>
        <c:axId val="1380151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/>
                  </a:rPr>
                  <a:t>Δ</a:t>
                </a:r>
                <a:r>
                  <a:rPr lang="en-US"/>
                  <a:t>h (cm)</a:t>
                </a:r>
              </a:p>
            </c:rich>
          </c:tx>
          <c:layout>
            <c:manualLayout>
              <c:xMode val="edge"/>
              <c:yMode val="edge"/>
              <c:x val="1.2052007734795095E-2"/>
              <c:y val="0.38806601545761354"/>
            </c:manualLayout>
          </c:layout>
          <c:spPr>
            <a:noFill/>
            <a:ln>
              <a:noFill/>
            </a:ln>
            <a:effectLst/>
          </c:spPr>
        </c:title>
        <c:numFmt formatCode="0.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832"/>
        <c:crosses val="autoZero"/>
        <c:crossBetween val="midCat"/>
      </c:valAx>
      <c:valAx>
        <c:axId val="138017024"/>
        <c:scaling>
          <c:orientation val="minMax"/>
        </c:scaling>
        <c:axPos val="r"/>
        <c:numFmt formatCode="0.00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224"/>
        <c:crosses val="max"/>
        <c:crossBetween val="midCat"/>
      </c:valAx>
      <c:valAx>
        <c:axId val="137908224"/>
        <c:scaling>
          <c:orientation val="minMax"/>
        </c:scaling>
        <c:delete val="1"/>
        <c:axPos val="t"/>
        <c:numFmt formatCode="General" sourceLinked="1"/>
        <c:tickLblPos val="none"/>
        <c:crossAx val="13801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22972</xdr:colOff>
      <xdr:row>0</xdr:row>
      <xdr:rowOff>180975</xdr:rowOff>
    </xdr:from>
    <xdr:to>
      <xdr:col>14</xdr:col>
      <xdr:colOff>327772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45912</xdr:colOff>
      <xdr:row>17</xdr:row>
      <xdr:rowOff>165100</xdr:rowOff>
    </xdr:from>
    <xdr:to>
      <xdr:col>14</xdr:col>
      <xdr:colOff>348223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186152</xdr:colOff>
      <xdr:row>13</xdr:row>
      <xdr:rowOff>163944</xdr:rowOff>
    </xdr:from>
    <xdr:to>
      <xdr:col>15</xdr:col>
      <xdr:colOff>539750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zoomScale="55" zoomScaleNormal="55" workbookViewId="0">
      <selection activeCell="A28" sqref="A28:D37"/>
    </sheetView>
  </sheetViews>
  <sheetFormatPr defaultRowHeight="15"/>
  <cols>
    <col min="1" max="1" width="12.7109375" customWidth="1"/>
    <col min="2" max="2" width="12.7109375" style="2" customWidth="1"/>
    <col min="3" max="4" width="12.5703125" customWidth="1"/>
    <col min="5" max="5" width="11.5703125" customWidth="1"/>
    <col min="6" max="6" width="16.7109375" customWidth="1"/>
    <col min="27" max="27" width="9.140625" customWidth="1"/>
  </cols>
  <sheetData>
    <row r="1" spans="1:6">
      <c r="A1" s="4" t="s">
        <v>27</v>
      </c>
      <c r="B1" s="4"/>
      <c r="C1" s="4"/>
      <c r="D1" s="4"/>
      <c r="E1" s="4"/>
    </row>
    <row r="2" spans="1:6">
      <c r="A2" s="4" t="s">
        <v>28</v>
      </c>
      <c r="B2" s="4"/>
      <c r="C2" s="5">
        <v>10.08</v>
      </c>
      <c r="D2" s="5"/>
      <c r="E2" s="6" t="s">
        <v>24</v>
      </c>
    </row>
    <row r="3" spans="1:6">
      <c r="A3" s="4" t="s">
        <v>29</v>
      </c>
      <c r="B3" s="4"/>
      <c r="C3" s="5">
        <f>2.25/TAN(PI()*C2/180)</f>
        <v>12.657016542052576</v>
      </c>
      <c r="D3" s="5"/>
      <c r="E3" s="6" t="s">
        <v>0</v>
      </c>
    </row>
    <row r="6" spans="1:6">
      <c r="A6" s="9" t="s">
        <v>30</v>
      </c>
      <c r="B6" s="9"/>
      <c r="C6" s="9"/>
      <c r="D6" s="9"/>
      <c r="E6" s="9"/>
      <c r="F6" s="9"/>
    </row>
    <row r="7" spans="1:6">
      <c r="A7" s="4" t="s">
        <v>25</v>
      </c>
      <c r="B7" s="4"/>
      <c r="C7" s="4" t="s">
        <v>26</v>
      </c>
      <c r="D7" s="4"/>
      <c r="E7" s="4"/>
      <c r="F7" s="4"/>
    </row>
    <row r="8" spans="1:6">
      <c r="A8" s="10" t="s">
        <v>23</v>
      </c>
      <c r="B8" s="11" t="s">
        <v>21</v>
      </c>
      <c r="C8" s="10" t="s">
        <v>23</v>
      </c>
      <c r="D8" s="10" t="s">
        <v>20</v>
      </c>
      <c r="E8" s="10" t="s">
        <v>21</v>
      </c>
      <c r="F8" s="10" t="s">
        <v>22</v>
      </c>
    </row>
    <row r="9" spans="1:6">
      <c r="A9" s="6">
        <v>0</v>
      </c>
      <c r="B9" s="8">
        <v>50</v>
      </c>
      <c r="C9" s="6">
        <v>0</v>
      </c>
      <c r="D9" s="8">
        <v>27</v>
      </c>
      <c r="E9" s="8">
        <f>D9*COS(($C$2*PI())/180)</f>
        <v>26.583237032288544</v>
      </c>
      <c r="F9" s="8">
        <f>E9+$C$3</f>
        <v>39.240253574341118</v>
      </c>
    </row>
    <row r="10" spans="1:6">
      <c r="A10" s="6">
        <v>15</v>
      </c>
      <c r="B10" s="8">
        <v>49</v>
      </c>
      <c r="C10" s="6">
        <v>15</v>
      </c>
      <c r="D10" s="8">
        <v>25.7</v>
      </c>
      <c r="E10" s="8">
        <f>D10*COS(($C$2*PI())/180)</f>
        <v>25.303303397400576</v>
      </c>
      <c r="F10" s="8">
        <f>E10+$C$3</f>
        <v>37.96031993945315</v>
      </c>
    </row>
    <row r="11" spans="1:6">
      <c r="A11" s="6">
        <v>30</v>
      </c>
      <c r="B11" s="8">
        <v>47.6</v>
      </c>
      <c r="C11" s="6">
        <v>30</v>
      </c>
      <c r="D11" s="8">
        <v>24.6</v>
      </c>
      <c r="E11" s="8">
        <f>D11*COS(($C$2*PI())/180)</f>
        <v>24.220282629418453</v>
      </c>
      <c r="F11" s="8">
        <f>E11+$C$3</f>
        <v>36.87729917147103</v>
      </c>
    </row>
    <row r="12" spans="1:6">
      <c r="A12" s="6">
        <v>45</v>
      </c>
      <c r="B12" s="8">
        <v>46.5</v>
      </c>
      <c r="C12" s="6">
        <v>45</v>
      </c>
      <c r="D12" s="8">
        <v>23.5</v>
      </c>
      <c r="E12" s="8">
        <f>D12*COS(($C$2*PI())/180)</f>
        <v>23.137261861436325</v>
      </c>
      <c r="F12" s="8">
        <f>E12+$C$3</f>
        <v>35.794278403488903</v>
      </c>
    </row>
    <row r="13" spans="1:6">
      <c r="A13" s="6">
        <v>60</v>
      </c>
      <c r="B13" s="8">
        <v>45.2</v>
      </c>
      <c r="C13" s="6">
        <v>60</v>
      </c>
      <c r="D13" s="8">
        <v>22.1</v>
      </c>
      <c r="E13" s="8">
        <f>D13*COS(($C$2*PI())/180)</f>
        <v>21.758871793095441</v>
      </c>
      <c r="F13" s="8">
        <f>E13+$C$3</f>
        <v>34.415888335148018</v>
      </c>
    </row>
    <row r="14" spans="1:6">
      <c r="A14" s="6">
        <v>75</v>
      </c>
      <c r="B14" s="8">
        <v>43.9</v>
      </c>
      <c r="C14" s="6">
        <v>75</v>
      </c>
      <c r="D14" s="8">
        <v>20.8</v>
      </c>
      <c r="E14" s="8">
        <f>D14*COS(($C$2*PI())/180)</f>
        <v>20.478938158207473</v>
      </c>
      <c r="F14" s="8">
        <f>E14+$C$3</f>
        <v>33.135954700260051</v>
      </c>
    </row>
    <row r="15" spans="1:6">
      <c r="A15" s="6">
        <v>90</v>
      </c>
      <c r="B15" s="8">
        <v>42.6</v>
      </c>
      <c r="C15" s="6">
        <v>90</v>
      </c>
      <c r="D15" s="8">
        <v>19.5</v>
      </c>
      <c r="E15" s="8">
        <f>D15*COS(($C$2*PI())/180)</f>
        <v>19.199004523319505</v>
      </c>
      <c r="F15" s="8">
        <f>E15+$C$3</f>
        <v>31.856021065372083</v>
      </c>
    </row>
    <row r="16" spans="1:6">
      <c r="A16" s="6">
        <v>105</v>
      </c>
      <c r="B16" s="8">
        <v>41.5</v>
      </c>
      <c r="C16" s="6">
        <v>105</v>
      </c>
      <c r="D16" s="8">
        <v>18</v>
      </c>
      <c r="E16" s="8">
        <f>D16*COS(($C$2*PI())/180)</f>
        <v>17.722158021525697</v>
      </c>
      <c r="F16" s="8">
        <f>E16+$C$3</f>
        <v>30.379174563578275</v>
      </c>
    </row>
    <row r="17" spans="1:6">
      <c r="A17" s="6">
        <v>120</v>
      </c>
      <c r="B17" s="8">
        <v>40.200000000000003</v>
      </c>
      <c r="C17" s="6">
        <v>120</v>
      </c>
      <c r="D17" s="8">
        <v>16.5</v>
      </c>
      <c r="E17" s="8">
        <f>D17*COS(($C$2*PI())/180)</f>
        <v>16.245311519731889</v>
      </c>
      <c r="F17" s="8">
        <f>E17+$C$3</f>
        <v>28.902328061784466</v>
      </c>
    </row>
    <row r="18" spans="1:6">
      <c r="A18" s="6">
        <v>135</v>
      </c>
      <c r="B18" s="8">
        <v>39</v>
      </c>
      <c r="C18" s="6">
        <v>135</v>
      </c>
      <c r="D18" s="8">
        <v>14.7</v>
      </c>
      <c r="E18" s="8">
        <f>D18*COS(($C$2*PI())/180)</f>
        <v>14.473095717579318</v>
      </c>
      <c r="F18" s="8">
        <f>E18+$C$3</f>
        <v>27.130112259631893</v>
      </c>
    </row>
    <row r="19" spans="1:6">
      <c r="A19" s="6">
        <v>150</v>
      </c>
      <c r="B19" s="8">
        <v>38.4</v>
      </c>
      <c r="C19" s="6">
        <v>150</v>
      </c>
      <c r="D19" s="8">
        <v>12.8</v>
      </c>
      <c r="E19" s="8">
        <f>D19*COS(($C$2*PI())/180)</f>
        <v>12.60242348197383</v>
      </c>
      <c r="F19" s="8">
        <f>E19+$C$3</f>
        <v>25.259440024026404</v>
      </c>
    </row>
    <row r="20" spans="1:6">
      <c r="A20" s="6">
        <v>165</v>
      </c>
      <c r="B20" s="8">
        <v>36.700000000000003</v>
      </c>
      <c r="C20" s="6">
        <v>165</v>
      </c>
      <c r="D20" s="8">
        <v>10.199999999999999</v>
      </c>
      <c r="E20" s="8">
        <f>D20*COS(($C$2*PI())/180)</f>
        <v>10.042556212197894</v>
      </c>
      <c r="F20" s="8">
        <f>E20+$C$3</f>
        <v>22.699572754250468</v>
      </c>
    </row>
    <row r="21" spans="1:6">
      <c r="A21" s="6">
        <v>180</v>
      </c>
      <c r="B21" s="8">
        <v>35.700000000000003</v>
      </c>
      <c r="C21" s="6">
        <v>180</v>
      </c>
      <c r="D21" s="8">
        <v>8.1</v>
      </c>
      <c r="E21" s="8">
        <f>D21*COS(($C$2*PI())/180)</f>
        <v>7.974971109686563</v>
      </c>
      <c r="F21" s="8">
        <f>E21+$C$3</f>
        <v>20.631987651739138</v>
      </c>
    </row>
    <row r="22" spans="1:6">
      <c r="A22" s="6">
        <v>195</v>
      </c>
      <c r="B22" s="12">
        <v>34.5</v>
      </c>
      <c r="C22" s="15"/>
      <c r="D22" s="13"/>
      <c r="E22" s="13"/>
      <c r="F22" s="14"/>
    </row>
    <row r="23" spans="1:6">
      <c r="A23" s="6">
        <v>210</v>
      </c>
      <c r="B23" s="12">
        <v>33.4</v>
      </c>
      <c r="C23" s="15"/>
      <c r="D23" s="13"/>
      <c r="E23" s="13"/>
      <c r="F23" s="13"/>
    </row>
    <row r="24" spans="1:6">
      <c r="A24" s="6">
        <v>225</v>
      </c>
      <c r="B24" s="12">
        <v>32.4</v>
      </c>
      <c r="C24" s="15"/>
      <c r="D24" s="13"/>
      <c r="E24" s="13"/>
      <c r="F24" s="13"/>
    </row>
    <row r="25" spans="1:6">
      <c r="A25" s="6">
        <v>240</v>
      </c>
      <c r="B25" s="12">
        <v>31.2</v>
      </c>
      <c r="C25" s="15"/>
      <c r="D25" s="13"/>
      <c r="E25" s="13"/>
      <c r="F25" s="13"/>
    </row>
    <row r="26" spans="1:6">
      <c r="A26" s="6">
        <v>255</v>
      </c>
      <c r="B26" s="12">
        <v>30.1</v>
      </c>
      <c r="C26" s="15"/>
      <c r="D26" s="13"/>
      <c r="E26" s="13"/>
      <c r="F26" s="13"/>
    </row>
    <row r="28" spans="1:6">
      <c r="A28" s="17" t="s">
        <v>31</v>
      </c>
      <c r="B28" s="17"/>
      <c r="C28" s="17"/>
      <c r="D28" s="17"/>
    </row>
    <row r="29" spans="1:6">
      <c r="A29" s="10" t="s">
        <v>1</v>
      </c>
      <c r="B29" s="10" t="s">
        <v>5</v>
      </c>
      <c r="C29" s="10" t="s">
        <v>8</v>
      </c>
      <c r="D29" s="10" t="s">
        <v>9</v>
      </c>
    </row>
    <row r="30" spans="1:6">
      <c r="A30" s="6">
        <v>30</v>
      </c>
      <c r="B30" s="8">
        <f>-0.000001*POWER(A30,3) + 0.0001*POWER(A30,2) - 0.08*A30 + 39.23</f>
        <v>36.893000000000001</v>
      </c>
      <c r="C30" s="18">
        <f>-0.000003*POWER(A30,2) + 0.0002*A30 - 0.08</f>
        <v>-7.6700000000000004E-2</v>
      </c>
      <c r="D30" s="18">
        <f>1/-(C30*B30*PI()*POWER(TAN(10.08*PI()/180),2))</f>
        <v>3.5596594447103369</v>
      </c>
    </row>
    <row r="31" spans="1:6">
      <c r="A31" s="6">
        <v>60</v>
      </c>
      <c r="B31" s="8">
        <f t="shared" ref="B31:B36" si="0">-0.000001*POWER(A31,3) + 0.0001*POWER(A31,2) - 0.08*A31 + 39.23</f>
        <v>34.573999999999998</v>
      </c>
      <c r="C31" s="18">
        <f t="shared" ref="C31:C36" si="1">-0.000003*POWER(A31,2) + 0.0002*A31 - 0.08</f>
        <v>-7.8800000000000009E-2</v>
      </c>
      <c r="D31" s="18">
        <f t="shared" ref="D31:D36" si="2">1/-(C31*B31*PI()*POWER(TAN(10.08*PI()/180),2))</f>
        <v>3.6971914611191767</v>
      </c>
    </row>
    <row r="32" spans="1:6">
      <c r="A32" s="6">
        <v>90</v>
      </c>
      <c r="B32" s="8">
        <f t="shared" si="0"/>
        <v>32.110999999999997</v>
      </c>
      <c r="C32" s="18">
        <f t="shared" si="1"/>
        <v>-8.6300000000000002E-2</v>
      </c>
      <c r="D32" s="18">
        <f t="shared" si="2"/>
        <v>3.6348221022893288</v>
      </c>
    </row>
    <row r="33" spans="1:4">
      <c r="A33" s="6">
        <v>120</v>
      </c>
      <c r="B33" s="8">
        <f t="shared" si="0"/>
        <v>29.341999999999999</v>
      </c>
      <c r="C33" s="18">
        <f t="shared" si="1"/>
        <v>-9.920000000000001E-2</v>
      </c>
      <c r="D33" s="18">
        <f t="shared" si="2"/>
        <v>3.4605601436970068</v>
      </c>
    </row>
    <row r="34" spans="1:4">
      <c r="A34" s="6">
        <v>150</v>
      </c>
      <c r="B34" s="8">
        <f t="shared" si="0"/>
        <v>26.104999999999997</v>
      </c>
      <c r="C34" s="18">
        <f t="shared" si="1"/>
        <v>-0.11750000000000001</v>
      </c>
      <c r="D34" s="18">
        <f t="shared" si="2"/>
        <v>3.2838720124690139</v>
      </c>
    </row>
    <row r="35" spans="1:4">
      <c r="C35" s="16"/>
    </row>
    <row r="36" spans="1:4">
      <c r="A36" s="19" t="s">
        <v>32</v>
      </c>
      <c r="B36" s="19">
        <v>3.1E-2</v>
      </c>
      <c r="C36" s="16"/>
    </row>
    <row r="37" spans="1:4">
      <c r="A37" s="19" t="s">
        <v>33</v>
      </c>
      <c r="B37" s="19">
        <v>2.5489999999999999</v>
      </c>
    </row>
    <row r="38" spans="1:4">
      <c r="B38"/>
    </row>
    <row r="39" spans="1:4">
      <c r="B39"/>
    </row>
  </sheetData>
  <mergeCells count="9">
    <mergeCell ref="A28:D28"/>
    <mergeCell ref="A7:B7"/>
    <mergeCell ref="C7:F7"/>
    <mergeCell ref="A1:E1"/>
    <mergeCell ref="A2:B2"/>
    <mergeCell ref="A3:B3"/>
    <mergeCell ref="C2:D2"/>
    <mergeCell ref="C3:D3"/>
    <mergeCell ref="A6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9"/>
  <sheetViews>
    <sheetView tabSelected="1" zoomScale="55" zoomScaleNormal="55" workbookViewId="0">
      <selection activeCell="I4" sqref="I4:J12"/>
    </sheetView>
  </sheetViews>
  <sheetFormatPr defaultRowHeight="15"/>
  <cols>
    <col min="1" max="1" width="40.7109375" customWidth="1"/>
    <col min="2" max="2" width="8.7109375" customWidth="1"/>
    <col min="3" max="4" width="10.7109375" customWidth="1"/>
    <col min="5" max="6" width="8.7109375" customWidth="1"/>
    <col min="9" max="9" width="20.85546875" customWidth="1"/>
    <col min="10" max="10" width="11.7109375" customWidth="1"/>
    <col min="17" max="17" width="8.7109375" customWidth="1"/>
    <col min="18" max="19" width="12.85546875" customWidth="1"/>
  </cols>
  <sheetData>
    <row r="1" spans="1:19">
      <c r="A1" s="23" t="s">
        <v>12</v>
      </c>
      <c r="B1" s="24"/>
      <c r="C1" s="24"/>
      <c r="D1" s="24"/>
      <c r="E1" s="24"/>
      <c r="F1" s="25"/>
    </row>
    <row r="2" spans="1:19">
      <c r="A2" s="21" t="s">
        <v>13</v>
      </c>
      <c r="B2" s="19">
        <v>60</v>
      </c>
      <c r="C2" s="19"/>
      <c r="D2" s="19" t="s">
        <v>10</v>
      </c>
      <c r="E2" s="19">
        <v>3.1E-2</v>
      </c>
      <c r="F2" s="19"/>
      <c r="Q2" s="9" t="s">
        <v>43</v>
      </c>
      <c r="R2" s="9"/>
      <c r="S2" s="9"/>
    </row>
    <row r="3" spans="1:19">
      <c r="A3" s="21" t="s">
        <v>35</v>
      </c>
      <c r="B3" s="19">
        <v>9.2100000000000009</v>
      </c>
      <c r="C3" s="19" t="s">
        <v>34</v>
      </c>
      <c r="D3" s="19" t="s">
        <v>11</v>
      </c>
      <c r="E3" s="19">
        <v>2.5489999999999999</v>
      </c>
      <c r="F3" s="19"/>
      <c r="Q3" s="10" t="s">
        <v>1</v>
      </c>
      <c r="R3" s="10" t="s">
        <v>41</v>
      </c>
      <c r="S3" s="10" t="s">
        <v>42</v>
      </c>
    </row>
    <row r="4" spans="1:19">
      <c r="A4" s="21" t="s">
        <v>36</v>
      </c>
      <c r="B4" s="19">
        <v>12.6</v>
      </c>
      <c r="C4" s="19" t="s">
        <v>0</v>
      </c>
      <c r="D4" s="19" t="s">
        <v>15</v>
      </c>
      <c r="E4" s="19">
        <f>_qs2</f>
        <v>10.34</v>
      </c>
      <c r="F4" s="19" t="s">
        <v>34</v>
      </c>
      <c r="I4" s="20" t="s">
        <v>7</v>
      </c>
      <c r="J4" s="20"/>
      <c r="Q4" s="6">
        <v>0</v>
      </c>
      <c r="R4" s="8">
        <f>($E$5*$J$12/$J$11)*(EXP($J$11*Q4)-1)</f>
        <v>0</v>
      </c>
      <c r="S4" s="8">
        <f>C11-12.5</f>
        <v>0</v>
      </c>
    </row>
    <row r="5" spans="1:19">
      <c r="A5" s="21" t="s">
        <v>37</v>
      </c>
      <c r="B5" s="19">
        <v>10.34</v>
      </c>
      <c r="C5" s="19" t="s">
        <v>34</v>
      </c>
      <c r="D5" s="19" t="s">
        <v>19</v>
      </c>
      <c r="E5" s="19">
        <f>B5-B3</f>
        <v>1.129999999999999</v>
      </c>
      <c r="F5" s="19" t="s">
        <v>34</v>
      </c>
      <c r="I5" s="21" t="s">
        <v>3</v>
      </c>
      <c r="J5" s="22">
        <f>2*E2*(1-(E2*E4))</f>
        <v>4.2126519999999994E-2</v>
      </c>
      <c r="Q5" s="6">
        <v>15</v>
      </c>
      <c r="R5" s="8">
        <f>($E$5*$J$12/$J$11)*(EXP($J$11*Q5)-1)</f>
        <v>0.23597474997153955</v>
      </c>
      <c r="S5" s="8">
        <f>C12-12.5</f>
        <v>0.19999999999999929</v>
      </c>
    </row>
    <row r="6" spans="1:19">
      <c r="A6" s="21" t="s">
        <v>38</v>
      </c>
      <c r="B6" s="19">
        <v>15</v>
      </c>
      <c r="C6" s="19" t="s">
        <v>0</v>
      </c>
      <c r="D6" s="26"/>
      <c r="E6" s="26"/>
      <c r="F6" s="26"/>
      <c r="I6" s="21" t="s">
        <v>2</v>
      </c>
      <c r="J6" s="22">
        <f>E3*(1-(4*E2*E4))</f>
        <v>-0.71922583999999989</v>
      </c>
      <c r="Q6" s="6">
        <v>30</v>
      </c>
      <c r="R6" s="8">
        <f>($E$5*$J$12/$J$11)*(EXP($J$11*Q6)-1)</f>
        <v>0.49098047755736407</v>
      </c>
      <c r="S6" s="8">
        <f>C13-12.5</f>
        <v>0.40000000000000036</v>
      </c>
    </row>
    <row r="7" spans="1:19">
      <c r="A7" s="21" t="s">
        <v>14</v>
      </c>
      <c r="B7" s="19">
        <v>65</v>
      </c>
      <c r="C7" s="19"/>
      <c r="D7" s="27"/>
      <c r="E7" s="27"/>
      <c r="F7" s="27"/>
      <c r="I7" s="21" t="s">
        <v>4</v>
      </c>
      <c r="J7" s="22">
        <f>-2*E3*E3*E4</f>
        <v>-134.36625268</v>
      </c>
      <c r="Q7" s="6">
        <v>45</v>
      </c>
      <c r="R7" s="8">
        <f>($E$5*$J$12/$J$11)*(EXP($J$11*Q7)-1)</f>
        <v>0.76655199997414214</v>
      </c>
      <c r="S7" s="8">
        <f>C14-12.5</f>
        <v>0.69999999999999929</v>
      </c>
    </row>
    <row r="8" spans="1:19">
      <c r="I8" s="7"/>
      <c r="J8" s="7"/>
      <c r="Q8" s="6">
        <v>60</v>
      </c>
      <c r="R8" s="8">
        <f>($E$5*$J$12/$J$11)*(EXP($J$11*Q8)-1)</f>
        <v>1.0643479149366506</v>
      </c>
      <c r="S8" s="8">
        <f>C15-12.5</f>
        <v>0.80000000000000071</v>
      </c>
    </row>
    <row r="9" spans="1:19">
      <c r="B9" s="9" t="s">
        <v>30</v>
      </c>
      <c r="C9" s="9"/>
      <c r="D9" s="9"/>
      <c r="F9" s="1"/>
      <c r="G9" s="1"/>
      <c r="I9" s="21" t="s">
        <v>39</v>
      </c>
      <c r="J9" s="22">
        <f>C49*COS(10.08*PI()/180)+12.66</f>
        <v>27.42846501793808</v>
      </c>
      <c r="Q9" s="6">
        <v>75</v>
      </c>
      <c r="R9" s="8">
        <f>($E$5*$J$12/$J$11)*(EXP($J$11*Q9)-1)</f>
        <v>1.3861605833524859</v>
      </c>
      <c r="S9" s="8">
        <f>C16-12.5</f>
        <v>0.90000000000000036</v>
      </c>
    </row>
    <row r="10" spans="1:19">
      <c r="B10" s="10" t="s">
        <v>1</v>
      </c>
      <c r="C10" s="10" t="s">
        <v>6</v>
      </c>
      <c r="D10" s="10" t="s">
        <v>16</v>
      </c>
      <c r="I10" s="21" t="s">
        <v>40</v>
      </c>
      <c r="J10" s="22">
        <f>E2*J9+E3</f>
        <v>3.3992824155560806</v>
      </c>
      <c r="Q10" s="6">
        <v>90</v>
      </c>
      <c r="R10" s="8">
        <f>($E$5*$J$12/$J$11)*(EXP($J$11*Q10)-1)</f>
        <v>1.7339269171047769</v>
      </c>
      <c r="S10" s="8">
        <f>C17-12.5</f>
        <v>1</v>
      </c>
    </row>
    <row r="11" spans="1:19">
      <c r="B11" s="6">
        <v>0</v>
      </c>
      <c r="C11" s="8">
        <v>12.5</v>
      </c>
      <c r="D11" s="8">
        <f>C11+_qs1</f>
        <v>21.71</v>
      </c>
      <c r="I11" s="21" t="s">
        <v>17</v>
      </c>
      <c r="J11" s="22">
        <f>-(J5*J9*J9+J6*J9+J7)/(PI()*POWER(J9,3)*POWER(J10,2)*POWER(TAN(10.08*PI()/180),2))</f>
        <v>5.1707465580987898E-3</v>
      </c>
      <c r="Q11" s="6">
        <v>105</v>
      </c>
      <c r="R11" s="8">
        <f>($E$5*$J$12/$J$11)*(EXP($J$11*Q11)-1)</f>
        <v>2.1097400368519246</v>
      </c>
      <c r="S11" s="8">
        <f>C18-12.5</f>
        <v>1.0999999999999996</v>
      </c>
    </row>
    <row r="12" spans="1:19">
      <c r="B12" s="6">
        <v>15</v>
      </c>
      <c r="C12" s="8">
        <v>12.7</v>
      </c>
      <c r="D12" s="8">
        <f>C12+_qs1</f>
        <v>21.91</v>
      </c>
      <c r="I12" s="21" t="s">
        <v>18</v>
      </c>
      <c r="J12" s="22">
        <f>1/(PI()*POWER(J9,2)*POWER(TAN(10.08*PI()/180),2))</f>
        <v>1.3388896330450862E-2</v>
      </c>
      <c r="Q12" s="6">
        <v>120</v>
      </c>
      <c r="R12" s="8">
        <f>($E$5*$J$12/$J$11)*(EXP($J$11*Q12)-1)</f>
        <v>2.5158618700098296</v>
      </c>
      <c r="S12" s="8">
        <f>C19-12.5</f>
        <v>1.1999999999999993</v>
      </c>
    </row>
    <row r="13" spans="1:19">
      <c r="B13" s="6">
        <v>30</v>
      </c>
      <c r="C13" s="8">
        <v>12.9</v>
      </c>
      <c r="D13" s="8">
        <f>C13+_qs1</f>
        <v>22.11</v>
      </c>
      <c r="Q13" s="6">
        <v>135</v>
      </c>
      <c r="R13" s="8">
        <f>($E$5*$J$12/$J$11)*(EXP($J$11*Q13)-1)</f>
        <v>2.9547367647407743</v>
      </c>
      <c r="S13" s="8">
        <f>C20-12.5</f>
        <v>1.3000000000000007</v>
      </c>
    </row>
    <row r="14" spans="1:19">
      <c r="B14" s="6">
        <v>45</v>
      </c>
      <c r="C14" s="8">
        <v>13.2</v>
      </c>
      <c r="D14" s="8">
        <f>C14+_qs1</f>
        <v>22.41</v>
      </c>
      <c r="Q14" s="6">
        <v>150</v>
      </c>
      <c r="R14" s="8">
        <f>($E$5*$J$12/$J$11)*(EXP($J$11*Q14)-1)</f>
        <v>3.4290062018882419</v>
      </c>
      <c r="S14" s="8">
        <f>C21-12.5</f>
        <v>1.5</v>
      </c>
    </row>
    <row r="15" spans="1:19">
      <c r="B15" s="6">
        <v>60</v>
      </c>
      <c r="C15" s="8">
        <v>13.3</v>
      </c>
      <c r="D15" s="8">
        <f>C15+_qs1</f>
        <v>22.51</v>
      </c>
      <c r="I15" s="3"/>
      <c r="Q15" s="6">
        <v>165</v>
      </c>
      <c r="R15" s="8">
        <f>($E$5*$J$12/$J$11)*(EXP($J$11*Q15)-1)</f>
        <v>3.9415246934052202</v>
      </c>
      <c r="S15" s="8">
        <f>C22-12.5</f>
        <v>1.5</v>
      </c>
    </row>
    <row r="16" spans="1:19">
      <c r="B16" s="6">
        <v>75</v>
      </c>
      <c r="C16" s="8">
        <v>13.4</v>
      </c>
      <c r="D16" s="8">
        <f>C16+_qs1</f>
        <v>22.61</v>
      </c>
      <c r="Q16" s="6">
        <v>180</v>
      </c>
      <c r="R16" s="8">
        <f>($E$5*$J$12/$J$11)*(EXP($J$11*Q16)-1)</f>
        <v>4.4953769629647322</v>
      </c>
      <c r="S16" s="8">
        <f>C23-12.5</f>
        <v>1.5999999999999996</v>
      </c>
    </row>
    <row r="17" spans="2:19">
      <c r="B17" s="6">
        <v>90</v>
      </c>
      <c r="C17" s="8">
        <v>13.5</v>
      </c>
      <c r="D17" s="8">
        <f>C17+_qs1</f>
        <v>22.71</v>
      </c>
      <c r="Q17" s="6">
        <v>195</v>
      </c>
      <c r="R17" s="8">
        <f>($E$5*$J$12/$J$11)*(EXP($J$11*Q17)-1)</f>
        <v>5.0938965121585271</v>
      </c>
      <c r="S17" s="8">
        <f>C24-12.5</f>
        <v>1.6999999999999993</v>
      </c>
    </row>
    <row r="18" spans="2:19">
      <c r="B18" s="6">
        <v>105</v>
      </c>
      <c r="C18" s="8">
        <v>13.6</v>
      </c>
      <c r="D18" s="8">
        <f>C18+_qs1</f>
        <v>22.810000000000002</v>
      </c>
      <c r="Q18" s="6">
        <v>210</v>
      </c>
      <c r="R18" s="8">
        <f>($E$5*$J$12/$J$11)*(EXP($J$11*Q18)-1)</f>
        <v>5.740685684029291</v>
      </c>
      <c r="S18" s="8">
        <f>C25-12.5</f>
        <v>1.8000000000000007</v>
      </c>
    </row>
    <row r="19" spans="2:19">
      <c r="B19" s="6">
        <v>120</v>
      </c>
      <c r="C19" s="8">
        <v>13.7</v>
      </c>
      <c r="D19" s="8">
        <f>C19+_qs1</f>
        <v>22.91</v>
      </c>
      <c r="Q19" s="6">
        <v>225</v>
      </c>
      <c r="R19" s="8">
        <f>($E$5*$J$12/$J$11)*(EXP($J$11*Q19)-1)</f>
        <v>6.4396373446939563</v>
      </c>
      <c r="S19" s="8">
        <f>C26-12.5</f>
        <v>1.9000000000000004</v>
      </c>
    </row>
    <row r="20" spans="2:19">
      <c r="B20" s="6">
        <v>135</v>
      </c>
      <c r="C20" s="8">
        <v>13.8</v>
      </c>
      <c r="D20" s="8">
        <f>C20+_qs1</f>
        <v>23.01</v>
      </c>
      <c r="Q20" s="6">
        <v>240</v>
      </c>
      <c r="R20" s="8">
        <f>($E$5*$J$12/$J$11)*(EXP($J$11*Q20)-1)</f>
        <v>7.1949583135544417</v>
      </c>
      <c r="S20" s="8">
        <f>C27-12.5</f>
        <v>1.9000000000000004</v>
      </c>
    </row>
    <row r="21" spans="2:19">
      <c r="B21" s="6">
        <v>150</v>
      </c>
      <c r="C21" s="8">
        <v>14</v>
      </c>
      <c r="D21" s="8">
        <f>C21+_qs1</f>
        <v>23.21</v>
      </c>
      <c r="Q21" s="6">
        <v>255</v>
      </c>
      <c r="R21" s="8">
        <f>($E$5*$J$12/$J$11)*(EXP($J$11*Q21)-1)</f>
        <v>8.0111946831165568</v>
      </c>
      <c r="S21" s="8">
        <f>C28-12.5</f>
        <v>2</v>
      </c>
    </row>
    <row r="22" spans="2:19">
      <c r="B22" s="6">
        <v>165</v>
      </c>
      <c r="C22" s="8">
        <v>14</v>
      </c>
      <c r="D22" s="8">
        <f>C22+_qs1</f>
        <v>23.21</v>
      </c>
      <c r="Q22" s="6">
        <v>270</v>
      </c>
      <c r="R22" s="8">
        <f>($E$5*$J$12/$J$11)*(EXP($J$11*Q22)-1)</f>
        <v>8.8932591808109205</v>
      </c>
      <c r="S22" s="8">
        <f>C29-12.5</f>
        <v>2</v>
      </c>
    </row>
    <row r="23" spans="2:19">
      <c r="B23" s="6">
        <v>180</v>
      </c>
      <c r="C23" s="8">
        <v>14.1</v>
      </c>
      <c r="D23" s="8">
        <f>C23+_qs1</f>
        <v>23.310000000000002</v>
      </c>
      <c r="Q23" s="6">
        <v>285</v>
      </c>
      <c r="R23" s="8">
        <f>($E$5*$J$12/$J$11)*(EXP($J$11*Q23)-1)</f>
        <v>9.8464607374999478</v>
      </c>
      <c r="S23" s="8">
        <f>C30-12.5</f>
        <v>2</v>
      </c>
    </row>
    <row r="24" spans="2:19">
      <c r="B24" s="6">
        <v>195</v>
      </c>
      <c r="C24" s="8">
        <v>14.2</v>
      </c>
      <c r="D24" s="8">
        <f>C24+_qs1</f>
        <v>23.41</v>
      </c>
      <c r="Q24" s="6">
        <v>300</v>
      </c>
      <c r="R24" s="8">
        <f>($E$5*$J$12/$J$11)*(EXP($J$11*Q24)-1)</f>
        <v>10.876536440636587</v>
      </c>
      <c r="S24" s="8">
        <f>C31-12.5</f>
        <v>2.0999999999999996</v>
      </c>
    </row>
    <row r="25" spans="2:19">
      <c r="B25" s="6">
        <v>210</v>
      </c>
      <c r="C25" s="8">
        <v>14.3</v>
      </c>
      <c r="D25" s="8">
        <f>C25+_qs1</f>
        <v>23.51</v>
      </c>
      <c r="Q25" s="6">
        <v>315</v>
      </c>
      <c r="R25" s="8">
        <f>($E$5*$J$12/$J$11)*(EXP($J$11*Q25)-1)</f>
        <v>11.989686064393021</v>
      </c>
      <c r="S25" s="8">
        <f>C32-12.5</f>
        <v>2.1999999999999993</v>
      </c>
    </row>
    <row r="26" spans="2:19">
      <c r="B26" s="6">
        <v>225</v>
      </c>
      <c r="C26" s="8">
        <v>14.4</v>
      </c>
      <c r="D26" s="8">
        <f>C26+_qs1</f>
        <v>23.61</v>
      </c>
      <c r="Q26" s="6">
        <v>330</v>
      </c>
      <c r="R26" s="8">
        <f>($E$5*$J$12/$J$11)*(EXP($J$11*Q26)-1)</f>
        <v>13.192609384587795</v>
      </c>
      <c r="S26" s="8">
        <f>C33-12.5</f>
        <v>2.1999999999999993</v>
      </c>
    </row>
    <row r="27" spans="2:19">
      <c r="B27" s="6">
        <v>240</v>
      </c>
      <c r="C27" s="8">
        <v>14.4</v>
      </c>
      <c r="D27" s="8">
        <f>C27+_qs1</f>
        <v>23.61</v>
      </c>
      <c r="Q27" s="6">
        <v>345</v>
      </c>
      <c r="R27" s="8">
        <f>($E$5*$J$12/$J$11)*(EXP($J$11*Q27)-1)</f>
        <v>14.492546503000767</v>
      </c>
      <c r="S27" s="8">
        <f>C34-12.5</f>
        <v>2.3000000000000007</v>
      </c>
    </row>
    <row r="28" spans="2:19">
      <c r="B28" s="6">
        <v>255</v>
      </c>
      <c r="C28" s="8">
        <v>14.5</v>
      </c>
      <c r="D28" s="8">
        <f>C28+_qs1</f>
        <v>23.71</v>
      </c>
      <c r="Q28" s="6">
        <v>360</v>
      </c>
      <c r="R28" s="8">
        <f>($E$5*$J$12/$J$11)*(EXP($J$11*Q28)-1)</f>
        <v>15.897321423778092</v>
      </c>
      <c r="S28" s="8">
        <f>C35-12.5</f>
        <v>2.3000000000000007</v>
      </c>
    </row>
    <row r="29" spans="2:19">
      <c r="B29" s="6">
        <v>270</v>
      </c>
      <c r="C29" s="8">
        <v>14.5</v>
      </c>
      <c r="D29" s="8">
        <f>C29+_qs1</f>
        <v>23.71</v>
      </c>
      <c r="Q29" s="6">
        <v>375</v>
      </c>
      <c r="R29" s="8">
        <f>($E$5*$J$12/$J$11)*(EXP($J$11*Q29)-1)</f>
        <v>17.415389144203036</v>
      </c>
      <c r="S29" s="8">
        <f>C36-12.5</f>
        <v>2.3000000000000007</v>
      </c>
    </row>
    <row r="30" spans="2:19">
      <c r="B30" s="6">
        <v>285</v>
      </c>
      <c r="C30" s="8">
        <v>14.5</v>
      </c>
      <c r="D30" s="8">
        <f>C30+_qs1</f>
        <v>23.71</v>
      </c>
      <c r="Q30" s="6">
        <v>390</v>
      </c>
      <c r="R30" s="8">
        <f>($E$5*$J$12/$J$11)*(EXP($J$11*Q30)-1)</f>
        <v>19.055886543260378</v>
      </c>
      <c r="S30" s="8">
        <f>C37-12.5</f>
        <v>2.3000000000000007</v>
      </c>
    </row>
    <row r="31" spans="2:19">
      <c r="B31" s="6">
        <v>300</v>
      </c>
      <c r="C31" s="8">
        <v>14.6</v>
      </c>
      <c r="D31" s="8">
        <f>C31+_qs1</f>
        <v>23.810000000000002</v>
      </c>
      <c r="Q31" s="6">
        <v>405</v>
      </c>
      <c r="R31" s="8">
        <f>($E$5*$J$12/$J$11)*(EXP($J$11*Q31)-1)</f>
        <v>20.828687374280317</v>
      </c>
      <c r="S31" s="8">
        <f>C38-12.5</f>
        <v>2.4000000000000004</v>
      </c>
    </row>
    <row r="32" spans="2:19">
      <c r="B32" s="6">
        <v>315</v>
      </c>
      <c r="C32" s="8">
        <v>14.7</v>
      </c>
      <c r="D32" s="8">
        <f>C32+_qs1</f>
        <v>23.91</v>
      </c>
      <c r="Q32" s="6">
        <v>420</v>
      </c>
      <c r="R32" s="8">
        <f>($E$5*$J$12/$J$11)*(EXP($J$11*Q32)-1)</f>
        <v>22.744461692649217</v>
      </c>
      <c r="S32" s="8">
        <f>C39-12.5</f>
        <v>2.4000000000000004</v>
      </c>
    </row>
    <row r="33" spans="2:19">
      <c r="B33" s="6">
        <v>330</v>
      </c>
      <c r="C33" s="8">
        <v>14.7</v>
      </c>
      <c r="D33" s="8">
        <f>C33+_qs1</f>
        <v>23.91</v>
      </c>
      <c r="Q33" s="6">
        <v>435</v>
      </c>
      <c r="R33" s="8">
        <f>($E$5*$J$12/$J$11)*(EXP($J$11*Q33)-1)</f>
        <v>24.814740076267864</v>
      </c>
      <c r="S33" s="8">
        <f>C40-12.5</f>
        <v>2.4000000000000004</v>
      </c>
    </row>
    <row r="34" spans="2:19">
      <c r="B34" s="6">
        <v>345</v>
      </c>
      <c r="C34" s="8">
        <v>14.8</v>
      </c>
      <c r="D34" s="8">
        <f>C34+_qs1</f>
        <v>24.01</v>
      </c>
      <c r="Q34" s="6">
        <v>450</v>
      </c>
      <c r="R34" s="8">
        <f>($E$5*$J$12/$J$11)*(EXP($J$11*Q34)-1)</f>
        <v>27.051983025284873</v>
      </c>
      <c r="S34" s="8">
        <f>C41-12.5</f>
        <v>2.4000000000000004</v>
      </c>
    </row>
    <row r="35" spans="2:19">
      <c r="B35" s="6">
        <v>360</v>
      </c>
      <c r="C35" s="8">
        <v>14.8</v>
      </c>
      <c r="D35" s="8">
        <f>C35+_qs1</f>
        <v>24.01</v>
      </c>
      <c r="Q35" s="6">
        <v>465</v>
      </c>
      <c r="R35" s="8">
        <f>($E$5*$J$12/$J$11)*(EXP($J$11*Q35)-1)</f>
        <v>29.469655958804875</v>
      </c>
      <c r="S35" s="8">
        <f>C42-12.5</f>
        <v>2.4000000000000004</v>
      </c>
    </row>
    <row r="36" spans="2:19">
      <c r="B36" s="6">
        <v>375</v>
      </c>
      <c r="C36" s="8">
        <v>14.8</v>
      </c>
      <c r="D36" s="8">
        <f>C36+_qs1</f>
        <v>24.01</v>
      </c>
      <c r="Q36" s="6">
        <v>480</v>
      </c>
      <c r="R36" s="8">
        <f>($E$5*$J$12/$J$11)*(EXP($J$11*Q36)-1)</f>
        <v>32.082310259958604</v>
      </c>
      <c r="S36" s="8">
        <f>C43-12.5</f>
        <v>2.4000000000000004</v>
      </c>
    </row>
    <row r="37" spans="2:19">
      <c r="B37" s="6">
        <v>390</v>
      </c>
      <c r="C37" s="8">
        <v>14.8</v>
      </c>
      <c r="D37" s="8">
        <f>C37+_qs1</f>
        <v>24.01</v>
      </c>
      <c r="Q37" s="6">
        <v>495</v>
      </c>
      <c r="R37" s="8">
        <f>($E$5*$J$12/$J$11)*(EXP($J$11*Q37)-1)</f>
        <v>34.90567085712545</v>
      </c>
      <c r="S37" s="8">
        <f>C44-12.5</f>
        <v>2.5</v>
      </c>
    </row>
    <row r="38" spans="2:19">
      <c r="B38" s="6">
        <v>405</v>
      </c>
      <c r="C38" s="8">
        <v>14.9</v>
      </c>
      <c r="D38" s="8">
        <f>C38+_qs1</f>
        <v>24.11</v>
      </c>
      <c r="Q38" s="6">
        <v>510</v>
      </c>
      <c r="R38" s="8">
        <f>($E$5*$J$12/$J$11)*(EXP($J$11*Q38)-1)</f>
        <v>37.956730868438143</v>
      </c>
      <c r="S38" s="8">
        <f>C45-12.5</f>
        <v>2.5</v>
      </c>
    </row>
    <row r="39" spans="2:19">
      <c r="B39" s="6">
        <v>420</v>
      </c>
      <c r="C39" s="8">
        <v>14.9</v>
      </c>
      <c r="D39" s="8">
        <f>C39+_qs1</f>
        <v>24.11</v>
      </c>
      <c r="Q39" s="6">
        <v>525</v>
      </c>
      <c r="R39" s="8">
        <f>($E$5*$J$12/$J$11)*(EXP($J$11*Q39)-1)</f>
        <v>41.253853879212159</v>
      </c>
      <c r="S39" s="8">
        <f>C46-12.5</f>
        <v>2.5</v>
      </c>
    </row>
    <row r="40" spans="2:19">
      <c r="B40" s="6">
        <v>435</v>
      </c>
      <c r="C40" s="8">
        <v>14.9</v>
      </c>
      <c r="D40" s="8">
        <f>C40+_qs1</f>
        <v>24.11</v>
      </c>
      <c r="Q40" s="6">
        <v>540</v>
      </c>
      <c r="R40" s="8">
        <f>($E$5*$J$12/$J$11)*(EXP($J$11*Q40)-1)</f>
        <v>44.816884467882339</v>
      </c>
      <c r="S40" s="8">
        <f>C47-12.5</f>
        <v>2.5</v>
      </c>
    </row>
    <row r="41" spans="2:19">
      <c r="B41" s="6">
        <v>450</v>
      </c>
      <c r="C41" s="8">
        <v>14.9</v>
      </c>
      <c r="D41" s="8">
        <f>C41+_qs1</f>
        <v>24.11</v>
      </c>
      <c r="Q41" s="6">
        <v>555</v>
      </c>
      <c r="R41" s="8">
        <f>($E$5*$J$12/$J$11)*(EXP($J$11*Q41)-1)</f>
        <v>48.667267645675594</v>
      </c>
      <c r="S41" s="8">
        <f>C48-12.5</f>
        <v>2.5</v>
      </c>
    </row>
    <row r="42" spans="2:19">
      <c r="B42" s="6">
        <v>465</v>
      </c>
      <c r="C42" s="8">
        <v>14.9</v>
      </c>
      <c r="D42" s="8">
        <f>C42+_qs1</f>
        <v>24.11</v>
      </c>
      <c r="Q42" s="6">
        <v>570</v>
      </c>
      <c r="R42" s="8">
        <f>($E$5*$J$12/$J$11)*(EXP($J$11*Q42)-1)</f>
        <v>52.828177928897901</v>
      </c>
      <c r="S42" s="8">
        <f>C49-12.5</f>
        <v>2.5</v>
      </c>
    </row>
    <row r="43" spans="2:19">
      <c r="B43" s="6">
        <v>480</v>
      </c>
      <c r="C43" s="8">
        <v>14.9</v>
      </c>
      <c r="D43" s="8">
        <f>C43+_qs1</f>
        <v>24.11</v>
      </c>
    </row>
    <row r="44" spans="2:19">
      <c r="B44" s="6">
        <v>495</v>
      </c>
      <c r="C44" s="8">
        <v>15</v>
      </c>
      <c r="D44" s="8">
        <f>C44+_qs1</f>
        <v>24.21</v>
      </c>
    </row>
    <row r="45" spans="2:19">
      <c r="B45" s="6">
        <v>510</v>
      </c>
      <c r="C45" s="8">
        <v>15</v>
      </c>
      <c r="D45" s="8">
        <f>C45+_qs1</f>
        <v>24.21</v>
      </c>
    </row>
    <row r="46" spans="2:19">
      <c r="B46" s="6">
        <v>525</v>
      </c>
      <c r="C46" s="8">
        <v>15</v>
      </c>
      <c r="D46" s="8">
        <f>C46+_qs1</f>
        <v>24.21</v>
      </c>
    </row>
    <row r="47" spans="2:19">
      <c r="B47" s="6">
        <v>540</v>
      </c>
      <c r="C47" s="8">
        <v>15</v>
      </c>
      <c r="D47" s="8">
        <f>C47+_qs1</f>
        <v>24.21</v>
      </c>
    </row>
    <row r="48" spans="2:19">
      <c r="B48" s="6">
        <v>555</v>
      </c>
      <c r="C48" s="8">
        <v>15</v>
      </c>
      <c r="D48" s="8">
        <f>C48+_qs1</f>
        <v>24.21</v>
      </c>
    </row>
    <row r="49" spans="2:4">
      <c r="B49" s="6">
        <v>570</v>
      </c>
      <c r="C49" s="8">
        <v>15</v>
      </c>
      <c r="D49" s="8">
        <f>C49+_qs1</f>
        <v>24.21</v>
      </c>
    </row>
  </sheetData>
  <mergeCells count="6">
    <mergeCell ref="Q2:S2"/>
    <mergeCell ref="I4:J4"/>
    <mergeCell ref="I8:J8"/>
    <mergeCell ref="B9:D9"/>
    <mergeCell ref="A1:F1"/>
    <mergeCell ref="D7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Resistance</vt:lpstr>
      <vt:lpstr>Dynamic Response</vt:lpstr>
      <vt:lpstr>_qs1</vt:lpstr>
      <vt:lpstr>_qs2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2016-02-02T15:18:33Z</dcterms:modified>
</cp:coreProperties>
</file>